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_instructions" sheetId="1" r:id="rId4"/>
    <sheet state="visible" name="tagged-train" sheetId="2" r:id="rId5"/>
    <sheet state="visible" name="tagged-test" sheetId="3" r:id="rId6"/>
    <sheet state="visible" name="tagged-validation" sheetId="4" r:id="rId7"/>
    <sheet state="visible" name="main" sheetId="5" r:id="rId8"/>
    <sheet state="visible" name="Conti_test_set" sheetId="6" r:id="rId9"/>
  </sheets>
  <definedNames/>
  <calcPr/>
</workbook>
</file>

<file path=xl/sharedStrings.xml><?xml version="1.0" encoding="utf-8"?>
<sst xmlns="http://schemas.openxmlformats.org/spreadsheetml/2006/main" count="4259" uniqueCount="1860">
  <si>
    <t xml:space="preserve">Welcome to Public OD Insights! </t>
  </si>
  <si>
    <t>Enhance your data analysis experience with two user-friendly features:</t>
  </si>
  <si>
    <t>Split Script:</t>
  </si>
  <si>
    <r>
      <rPr>
        <rFont val="Montserrat, Arial"/>
        <color theme="1"/>
        <sz val="14.0"/>
      </rPr>
      <t xml:space="preserve">The Split Script automatically organizes the data from the "main" sheet into separate sheets: "tagged -train" and "tagged -test". 
This is helpful in locating the desired data easily.
</t>
    </r>
    <r>
      <rPr>
        <rFont val="Montserrat, Arial"/>
        <color theme="1"/>
        <sz val="14.0"/>
        <u/>
      </rPr>
      <t>important notes :</t>
    </r>
  </si>
  <si>
    <r>
      <rPr>
        <rFont val="Montserrat, Arial"/>
        <color theme="1"/>
        <sz val="14.0"/>
      </rPr>
      <t xml:space="preserve">- The script runs daily </t>
    </r>
    <r>
      <rPr>
        <rFont val="Montserrat, Arial"/>
        <b/>
        <color rgb="FFFF0000"/>
        <sz val="14.0"/>
      </rPr>
      <t>at 1am</t>
    </r>
    <r>
      <rPr>
        <rFont val="Montserrat, Arial"/>
        <color theme="1"/>
        <sz val="14.0"/>
      </rPr>
      <t>, updating the sub sheets.</t>
    </r>
  </si>
  <si>
    <t>- The main sheet is continuously updated, ensuring access to the latest data.</t>
  </si>
  <si>
    <t>- Each tab is labeled according to its purpose and tags for easy navigation.</t>
  </si>
  <si>
    <t>Search Engine:</t>
  </si>
  <si>
    <r>
      <rPr>
        <rFont val="Montserrat, Arial"/>
        <color theme="1"/>
        <sz val="14.0"/>
      </rPr>
      <t xml:space="preserve">The Search Engine is a web application for searching keywords in the sheets. It supports optional keywords for
various categories and allows users to download the search results as a CSV file.
</t>
    </r>
    <r>
      <rPr>
        <rFont val="Montserrat, Arial"/>
        <color theme="1"/>
        <sz val="14.0"/>
        <u/>
      </rPr>
      <t>Using the Search Engine:</t>
    </r>
  </si>
  <si>
    <t>1- Press the link to access the Search Engine.</t>
  </si>
  <si>
    <r>
      <rPr>
        <rFont val="Montserrat, Arial"/>
        <color theme="1"/>
        <sz val="14.0"/>
      </rPr>
      <t xml:space="preserve">2- Select the sheet to search according to your needs. </t>
    </r>
    <r>
      <rPr>
        <rFont val="Montserrat, Arial"/>
        <b/>
        <color theme="1"/>
        <sz val="14.0"/>
      </rPr>
      <t xml:space="preserve">Note: </t>
    </r>
    <r>
      <rPr>
        <rFont val="Montserrat, Arial"/>
        <color theme="1"/>
        <sz val="14.0"/>
      </rPr>
      <t xml:space="preserve">the main sheet is synced and updated, while the rest of the sheets update daily at </t>
    </r>
    <r>
      <rPr>
        <rFont val="Montserrat, Arial"/>
        <color rgb="FFFF0000"/>
        <sz val="14.0"/>
      </rPr>
      <t>1 am.</t>
    </r>
  </si>
  <si>
    <t>3- Enter keywords for the labels you'd like to find in a set.</t>
  </si>
  <si>
    <t xml:space="preserve">4- Click "Search" to generate a list of matching set IDs.
</t>
  </si>
  <si>
    <t>LINK TO THE SEARCH ENGINE</t>
  </si>
  <si>
    <r>
      <rPr>
        <rFont val="Montserrat, Arial"/>
        <color theme="1"/>
        <sz val="14.0"/>
      </rPr>
      <t xml:space="preserve">These features aim to improve efficiency in data analysis.
If you encounter any bugs, need help, or have questions or feedback, please reach out to Yam Meir on Slack. 
Remember that during the workday, a set ID might move to another sheet, but the </t>
    </r>
    <r>
      <rPr>
        <rFont val="Montserrat, Arial"/>
        <color rgb="FFFF0000"/>
        <sz val="14.0"/>
        <u/>
      </rPr>
      <t>sub sheets only update at 1 am.</t>
    </r>
  </si>
  <si>
    <t>tagged_set_id</t>
  </si>
  <si>
    <t>tagged_set_name</t>
  </si>
  <si>
    <t>purpose_od</t>
  </si>
  <si>
    <t>purpose_dc</t>
  </si>
  <si>
    <t>num_of_images</t>
  </si>
  <si>
    <t>image_format</t>
  </si>
  <si>
    <t>labels</t>
  </si>
  <si>
    <t>horizon</t>
  </si>
  <si>
    <t>lowest_point_of_hood</t>
  </si>
  <si>
    <t>highest_point_of_hood</t>
  </si>
  <si>
    <t>update_gt_date</t>
  </si>
  <si>
    <t>63b538c22426700446cd21b3</t>
  </si>
  <si>
    <t>official_batch_1_yochen_mfc520_for_train_updated</t>
  </si>
  <si>
    <t>train</t>
  </si>
  <si>
    <t>QUAD</t>
  </si>
  <si>
    <t>EUROPE, CLEAR, CLOUDY, DAY</t>
  </si>
  <si>
    <t>21/08/2023, 17:23:55</t>
  </si>
  <si>
    <t>63b59fad2426700446ce6d3d</t>
  </si>
  <si>
    <t>official_batch_2_yochen_mfc520_for_train_updated</t>
  </si>
  <si>
    <t>21/08/2023, 17:23:59</t>
  </si>
  <si>
    <t>63b5a0092426700446ce6d9c</t>
  </si>
  <si>
    <t>official_batch_3_yochen_mfc520_for_train_updated</t>
  </si>
  <si>
    <t>21/08/2023, 17:24:03</t>
  </si>
  <si>
    <t>63b5a0522426700446ce6de7</t>
  </si>
  <si>
    <t>official_batch_4_yochen_mfc520_for_train_updated</t>
  </si>
  <si>
    <t>EUROPE, CLEAR, DAY</t>
  </si>
  <si>
    <t>21/08/2023, 17:24:06</t>
  </si>
  <si>
    <t>63b5a1132426700446ce6ead</t>
  </si>
  <si>
    <t>official_batch_5_yochen_mfc520_for_train_updated</t>
  </si>
  <si>
    <t>21/08/2023, 17:24:10</t>
  </si>
  <si>
    <t>63b5a2402426700446ce7002</t>
  </si>
  <si>
    <t>official_batch_7_yochen_mfc520_for_train_updated</t>
  </si>
  <si>
    <t>unknown, unknown, unknown, unknown</t>
  </si>
  <si>
    <t>21/08/2023, 17:24:19</t>
  </si>
  <si>
    <t>63b5a2a62426700446ce7076</t>
  </si>
  <si>
    <t>official_batch_8_yochen_mfc520_for_train_updated</t>
  </si>
  <si>
    <t>21/08/2023, 17:24:22</t>
  </si>
  <si>
    <t>63b5a3022426700446ce70e4</t>
  </si>
  <si>
    <t>official_batch_9_yochen_mfc520_for_train_updated</t>
  </si>
  <si>
    <t>21/08/2023, 17:24:26</t>
  </si>
  <si>
    <t>63b5a3472426700446ce713d</t>
  </si>
  <si>
    <t>official_batch_10_yochen_mfc520_for_train_updated</t>
  </si>
  <si>
    <t>21/08/2023, 17:24:29</t>
  </si>
  <si>
    <t>63b5a3a72426700446ce71ad</t>
  </si>
  <si>
    <t>official_batch_1_kramer_conti_mfc520_day_japan_for_train_updated</t>
  </si>
  <si>
    <t>21/08/2023, 17:24:32</t>
  </si>
  <si>
    <t>63b5a3fe2426700446ce7224</t>
  </si>
  <si>
    <t>official_batch_2_kramer_conti_mfc520_day_japan_for_train_updated</t>
  </si>
  <si>
    <t>21/08/2023, 17:24:36</t>
  </si>
  <si>
    <t>63b5a43b2426700446ce7272</t>
  </si>
  <si>
    <t>official_batch_3_kramer_conti_mfc520_day_japan_for_train_updated</t>
  </si>
  <si>
    <t>21/08/2023, 17:24:38</t>
  </si>
  <si>
    <t>63b5a7332426700446ce7570</t>
  </si>
  <si>
    <t>official_batch_1_george_conti_mfc520_japan_day_for_train_updated</t>
  </si>
  <si>
    <t>21/08/2023, 17:24:42</t>
  </si>
  <si>
    <t>63b5a7902426700446ce75e8</t>
  </si>
  <si>
    <t>official_batch_2_george_conti_mfc520_japan_day_for_train_updated</t>
  </si>
  <si>
    <t>21/08/2023, 17:24:45</t>
  </si>
  <si>
    <t>63b5a7fc2426700446ce7671</t>
  </si>
  <si>
    <t>official_batch_3_george_conti_mfc520_japan_day_for_train_updated</t>
  </si>
  <si>
    <t>21/08/2023, 17:24:49</t>
  </si>
  <si>
    <t>63b67fba2426700446d0237b</t>
  </si>
  <si>
    <t>official_batch_4_george_conti_mfc520_japan_day_for_train_updated</t>
  </si>
  <si>
    <t>21/08/2023, 17:24:52</t>
  </si>
  <si>
    <t>63b680352426700446d02414</t>
  </si>
  <si>
    <t>official_batch_5_george_conti_mfc520_japan_day_for_train_updated</t>
  </si>
  <si>
    <t>21/08/2023, 17:24:55</t>
  </si>
  <si>
    <t>63b680e12426700446d024e8</t>
  </si>
  <si>
    <t>official_batch_6_george_conti_mfc520_japan_day_for_train_updated</t>
  </si>
  <si>
    <t>21/08/2023, 17:24:59</t>
  </si>
  <si>
    <t>63b6812b2426700446d02559</t>
  </si>
  <si>
    <t>official_batch_7_george_conti_mfc520_japan_day_for_train_updated</t>
  </si>
  <si>
    <t>21/08/2023, 17:25:02</t>
  </si>
  <si>
    <t>63b682442426700446d026a8</t>
  </si>
  <si>
    <t>official_batch_8_george_conti_mfc520_japan_day_for_train_updated</t>
  </si>
  <si>
    <t>21/08/2023, 17:25:05</t>
  </si>
  <si>
    <t>63b682982426700446d02720</t>
  </si>
  <si>
    <t>official_batch_9_george_conti_mfc520_japan_day_for_train_updated</t>
  </si>
  <si>
    <t>21/08/2023, 17:25:09</t>
  </si>
  <si>
    <t>63b682fd2426700446d027ae</t>
  </si>
  <si>
    <t>official_batch_10_george_conti_mfc520_japan_day_for_train_updated</t>
  </si>
  <si>
    <t>21/08/2023, 17:25:12</t>
  </si>
  <si>
    <t>63b683322426700446d02808</t>
  </si>
  <si>
    <t>official_batch_11_george_conti_mfc520_japan_day_for_train_updated</t>
  </si>
  <si>
    <t>21/08/2023, 17:25:16</t>
  </si>
  <si>
    <t>63b683c22426700446d028c8</t>
  </si>
  <si>
    <t>official_batch_12_george_conti_mfc520_japan_day_for_train_updated</t>
  </si>
  <si>
    <t>21/08/2023, 17:25:19</t>
  </si>
  <si>
    <t>63b684542426700446d0295b</t>
  </si>
  <si>
    <t>official_batch_13_george_conti_mfc520_japan_day_for_train_updated</t>
  </si>
  <si>
    <t>21/08/2023, 17:25:23</t>
  </si>
  <si>
    <t>63b69c0f2426700446d17be2</t>
  </si>
  <si>
    <t>official_batch_14_george_conti_mfc520_japan_day_for_train_updated</t>
  </si>
  <si>
    <t>21/08/2023, 17:25:27</t>
  </si>
  <si>
    <t>63b69e162426700446d18094</t>
  </si>
  <si>
    <t>official_batch_15_george_conti_mfc520_japan_day_for_train_updated</t>
  </si>
  <si>
    <t>21/08/2023, 17:25:31</t>
  </si>
  <si>
    <t>63b69f4d2426700446d1905f</t>
  </si>
  <si>
    <t>official_batch_16_george_conti_mfc520_japan_day_for_train_updated</t>
  </si>
  <si>
    <t>21/08/2023, 17:25:34</t>
  </si>
  <si>
    <t>63b6a0572426700446d1cd39</t>
  </si>
  <si>
    <t>official_batch_1_hiroshima_day_fas_issues_for_train_updated</t>
  </si>
  <si>
    <t>21/08/2023, 17:25:37</t>
  </si>
  <si>
    <t>63b6a0772426700446d1d407</t>
  </si>
  <si>
    <t>official_batch_2_hiroshima_day_fas_issues_for_train_updated</t>
  </si>
  <si>
    <t>21/08/2023, 17:25:40</t>
  </si>
  <si>
    <t>63b6a0902426700446d1d9a3</t>
  </si>
  <si>
    <t>official_batch_3_hiroshima_day_fas_issues_for_train_updated</t>
  </si>
  <si>
    <t>21/08/2023, 17:25:43</t>
  </si>
  <si>
    <t>63b6a0cd2426700446d1e6dd</t>
  </si>
  <si>
    <t>official_batch_4_hiroshima_day_fas_issues_for_train_updated</t>
  </si>
  <si>
    <t>21/08/2023, 17:25:46</t>
  </si>
  <si>
    <t>63b6a2432426700446d1f156</t>
  </si>
  <si>
    <t>official_batch_5_hiroshima_day_fas_issues_for_train_updated</t>
  </si>
  <si>
    <t>21/08/2023, 17:25:49</t>
  </si>
  <si>
    <t>63b6a29d2426700446d1f1e5</t>
  </si>
  <si>
    <t>official_batch_6_hiroshima_day_fas_issues_for_train_updated</t>
  </si>
  <si>
    <t>21/08/2023, 17:25:52</t>
  </si>
  <si>
    <t>63b6a32a2426700446d1f2a3</t>
  </si>
  <si>
    <t>official_batch_7_hiroshima_day_fas_issues_for_train_updated</t>
  </si>
  <si>
    <t>21/08/2023, 17:25:55</t>
  </si>
  <si>
    <t>63b6a3a32426700446d1f342</t>
  </si>
  <si>
    <t>official_batch_8_hiroshima_day_fas_issues_for_train_updated</t>
  </si>
  <si>
    <t>21/08/2023, 17:25:59</t>
  </si>
  <si>
    <t>63b6a6632426700446d1f73b</t>
  </si>
  <si>
    <t>official_batch_9_hiroshima_day_fas_issues_for_train_updated</t>
  </si>
  <si>
    <t>21/08/2023, 17:26:02</t>
  </si>
  <si>
    <t>63b6a6de2426700446d1f9c9</t>
  </si>
  <si>
    <t>official_batch_10_hiroshima_day_fas_issues_for_train_updated</t>
  </si>
  <si>
    <t>21/08/2023, 17:26:05</t>
  </si>
  <si>
    <t>63b6a70c2426700446d1fa0a</t>
  </si>
  <si>
    <t>official_batch_11_hiroshima_day_fas_issues_for_train_updated</t>
  </si>
  <si>
    <t>21/08/2023, 17:26:08</t>
  </si>
  <si>
    <t>63b6a7642426700446d1fa57</t>
  </si>
  <si>
    <t>official_batch_1_homer_conti_mfc520_korea_day_for_train_updated</t>
  </si>
  <si>
    <t>21/08/2023, 17:26:12</t>
  </si>
  <si>
    <t>63b6a7b52426700446d1fadb</t>
  </si>
  <si>
    <t>official_batch_2_homer_conti_mfc520_korea_day_for_train_updated</t>
  </si>
  <si>
    <t>21/08/2023, 17:26:15</t>
  </si>
  <si>
    <t>63b6a8172426700446d1fb6d</t>
  </si>
  <si>
    <t>official_batch_3_homer_conti_mfc520_korea_day_for_train_updated</t>
  </si>
  <si>
    <t>21/08/2023, 17:26:18</t>
  </si>
  <si>
    <t>63b6a8742426700446d1fbfd</t>
  </si>
  <si>
    <t>official_batch_4_homer_conti_mfc520_korea_day_for_train_updated</t>
  </si>
  <si>
    <t>21/08/2023, 17:26:22</t>
  </si>
  <si>
    <t>63b6a8d82426700446d1fc92</t>
  </si>
  <si>
    <t>official_batch_5_homer_conti_mfc520_korea_day_for_train_updated</t>
  </si>
  <si>
    <t>21/08/2023, 17:26:25</t>
  </si>
  <si>
    <t>63b6a93e2426700446d1fd33</t>
  </si>
  <si>
    <t>official_batch_6_homer_conti_mfc520_korea_day_for_train_updated</t>
  </si>
  <si>
    <t>21/08/2023, 17:26:28</t>
  </si>
  <si>
    <t>63b6aa582426700446d1fe7d</t>
  </si>
  <si>
    <t>official_construction_cones_batch_1_for_train_updated</t>
  </si>
  <si>
    <t>21/08/2023, 17:26:32</t>
  </si>
  <si>
    <t>63b6be492426700446d26ebd</t>
  </si>
  <si>
    <t>official_batch1_peds_2w_ratio_stabilizer_for_train_updated</t>
  </si>
  <si>
    <t>21/08/2023, 17:26:48</t>
  </si>
  <si>
    <t>63b6bef72426700446d26f9b</t>
  </si>
  <si>
    <t>official_batch2_peds_2w_ratio_stabilizer_for_train_updated</t>
  </si>
  <si>
    <t>21/08/2023, 17:26:52</t>
  </si>
  <si>
    <t>63b6c0232426700446d270ab</t>
  </si>
  <si>
    <t>official_batch1_highway_fas_for_train_updated</t>
  </si>
  <si>
    <t>21/08/2023, 17:26:56</t>
  </si>
  <si>
    <t>63b6c0732426700446d27109</t>
  </si>
  <si>
    <t>official_batch2_highway_fas_for_train_updated</t>
  </si>
  <si>
    <t>21/08/2023, 17:26:59</t>
  </si>
  <si>
    <t>63b6c0c72426700446d27172</t>
  </si>
  <si>
    <t>official_2w_motor_overtaking_trucks_leftovers_for_train_updated</t>
  </si>
  <si>
    <t>21/08/2023, 17:27:02</t>
  </si>
  <si>
    <t>63b6c1722426700446d27311</t>
  </si>
  <si>
    <t>official_overtaking_trucks_batch_2_for_train_updated</t>
  </si>
  <si>
    <t>21/08/2023, 17:27:06</t>
  </si>
  <si>
    <t>63b6c1d02426700446d2745a</t>
  </si>
  <si>
    <t>official_2w_motor_overtaking_trucks_leftovers_batch_2_for_train_updated</t>
  </si>
  <si>
    <t>21/08/2023, 17:27:10</t>
  </si>
  <si>
    <t>63b6c2b52426700446d2772b</t>
  </si>
  <si>
    <t>official_overtaking_trucks_batch_1_for_train_updated</t>
  </si>
  <si>
    <t>21/08/2023, 17:27:14</t>
  </si>
  <si>
    <t>63b6c7432426700446d2b19a</t>
  </si>
  <si>
    <t>official_batch1_dummy_train_set_filtered_1_for_train_updated</t>
  </si>
  <si>
    <t>21/08/2023, 17:27:17</t>
  </si>
  <si>
    <t>63b6c7c22426700446d2cd1e</t>
  </si>
  <si>
    <t>official_batch2_vans_for_psa_drives_for_train_updated</t>
  </si>
  <si>
    <t>21/08/2023, 17:27:21</t>
  </si>
  <si>
    <t>63b6c9642426700446d2d08a</t>
  </si>
  <si>
    <t>official_yellow_vest_batch_1_for_train_updated</t>
  </si>
  <si>
    <t>21/08/2023, 17:27:25</t>
  </si>
  <si>
    <t>63b6c9a82426700446d2d0e1</t>
  </si>
  <si>
    <t>official_yellow_vest_batch_2_for_train_updated</t>
  </si>
  <si>
    <t>21/08/2023, 17:27:28</t>
  </si>
  <si>
    <t>63b6ca042426700446d2d13a</t>
  </si>
  <si>
    <t>official_renault_continental_test_yellow_vest_for_train_updated</t>
  </si>
  <si>
    <t>21/08/2023, 17:27:31</t>
  </si>
  <si>
    <t>63b6ca682426700446d2d195</t>
  </si>
  <si>
    <t>official_grid_yellow_vest_for_train_updated</t>
  </si>
  <si>
    <t>21/08/2023, 17:27:34</t>
  </si>
  <si>
    <t>63b6cc882426700446d2d2a8</t>
  </si>
  <si>
    <t>official_big_set_2w_rider_for_train_updated</t>
  </si>
  <si>
    <t>21/08/2023, 17:27:37</t>
  </si>
  <si>
    <t>63b6cd952426700446d2d3ba</t>
  </si>
  <si>
    <t>official_big_set_2w_rider_04_for_train_updated</t>
  </si>
  <si>
    <t>21/08/2023, 17:27:48</t>
  </si>
  <si>
    <t>63b6cde72426700446d2d416</t>
  </si>
  <si>
    <t>official_big_set_2w_rider_05_for_train_updated</t>
  </si>
  <si>
    <t>21/08/2023, 17:27:51</t>
  </si>
  <si>
    <t>63b6cecc2426700446d2d47e</t>
  </si>
  <si>
    <t>official_big_set_2w_rider_06_for_train_updated</t>
  </si>
  <si>
    <t>21/08/2023, 17:27:56</t>
  </si>
  <si>
    <t>63b6cf372426700446d2d4df</t>
  </si>
  <si>
    <t>official_big_set_2w_rider_07_for_train_updated</t>
  </si>
  <si>
    <t>21/08/2023, 17:27:59</t>
  </si>
  <si>
    <t>63b6cf912426700446d2d53b</t>
  </si>
  <si>
    <t>official_2w_germany_general_issues_for_train_updated</t>
  </si>
  <si>
    <t>21/08/2023, 17:28:02</t>
  </si>
  <si>
    <t>63b6cff92426700446d2d5ad</t>
  </si>
  <si>
    <t>official_batch1_2w_rider_germany_for_train_updated</t>
  </si>
  <si>
    <t>21/08/2023, 17:28:05</t>
  </si>
  <si>
    <t>63b6d0822426700446d2d647</t>
  </si>
  <si>
    <t>official_batch1_2w_rider_general_issues_for_train_updated</t>
  </si>
  <si>
    <t>21/08/2023, 17:28:09</t>
  </si>
  <si>
    <t>63b6d30f2426700446d2d9c7</t>
  </si>
  <si>
    <t>official_open_road_2w_data_from_july22_germany_workshop_for_train_updated</t>
  </si>
  <si>
    <t>21/08/2023, 17:28:12</t>
  </si>
  <si>
    <t>63b6d3442426700446d2da2b</t>
  </si>
  <si>
    <t>official_open_road_2w_data_from_july22_germany_workshop_batch2_for_train_updated</t>
  </si>
  <si>
    <t>21/08/2023, 17:28:15</t>
  </si>
  <si>
    <t>63b6d3672426700446d2da8a</t>
  </si>
  <si>
    <t>official_open_road_2w_data_from_july_germany_workshop_for_train_updated</t>
  </si>
  <si>
    <t>21/08/2023, 17:28:17</t>
  </si>
  <si>
    <t>63b6d3992426700446d2daf6</t>
  </si>
  <si>
    <t>official_2w_longi_urbanic_for_train_updated</t>
  </si>
  <si>
    <t>21/08/2023, 17:28:20</t>
  </si>
  <si>
    <t>63b6d41f2426700446d2dbbc</t>
  </si>
  <si>
    <t>official_truncated_peds_in_center_from_preliminary_for_train_updated</t>
  </si>
  <si>
    <t>21/08/2023, 17:28:23</t>
  </si>
  <si>
    <t>63b6d4cc2426700446d2dc42</t>
  </si>
  <si>
    <t>official_truncated_valid_set_for_train_updated</t>
  </si>
  <si>
    <t>21/08/2023, 17:28:28</t>
  </si>
  <si>
    <t>63b6d5b12426700446d2dcd8</t>
  </si>
  <si>
    <t>official_fas_random_23_set_for_train_updated</t>
  </si>
  <si>
    <t>21/08/2023, 17:28:32</t>
  </si>
  <si>
    <t>63b6d6af2426700446d2dd73</t>
  </si>
  <si>
    <t>official_fas_peds_part_2_for_train_updated</t>
  </si>
  <si>
    <t>21/08/2023, 17:28:36</t>
  </si>
  <si>
    <t>63b6d71e2426700446d2de11</t>
  </si>
  <si>
    <t>official_fas_peds_datasets_tagged_for_train_updated</t>
  </si>
  <si>
    <t>21/08/2023, 17:28:39</t>
  </si>
  <si>
    <t>63b6d7e02426700446d2e37e</t>
  </si>
  <si>
    <t>official_strange_trucks_dataset_for_train_updated</t>
  </si>
  <si>
    <t>21/08/2023, 17:28:44</t>
  </si>
  <si>
    <t>63b6d8902426700446d2e768</t>
  </si>
  <si>
    <t>official_4w_india_set_batch1_for_train_updated</t>
  </si>
  <si>
    <t>21/08/2023, 17:28:49</t>
  </si>
  <si>
    <t>63b6d9152426700446d2ec6b</t>
  </si>
  <si>
    <t>official_4w_india_set_batch2_for_train_updated</t>
  </si>
  <si>
    <t>21/08/2023, 17:28:53</t>
  </si>
  <si>
    <t>63b6e1922426700446d318b6</t>
  </si>
  <si>
    <t>official_2w_longi_sanity_data_from_july_germany_workshop_for_train_updated</t>
  </si>
  <si>
    <t>21/08/2023, 17:28:57</t>
  </si>
  <si>
    <t>63b6e3032426700446d31f75</t>
  </si>
  <si>
    <t>official_additional_sanity2w_data_for_train_updated</t>
  </si>
  <si>
    <t>21/08/2023, 17:29:04</t>
  </si>
  <si>
    <t>63b6e3c52426700446d3278e</t>
  </si>
  <si>
    <t>official_bike_and_dummy_data_for_train_updated</t>
  </si>
  <si>
    <t>21/08/2023, 17:29:08</t>
  </si>
  <si>
    <t>63b6e43e2426700446d32818</t>
  </si>
  <si>
    <t>official_medium_prior_day_longitudinal_motorbike_and_bicycle_with_vest_for_train_updated</t>
  </si>
  <si>
    <t>21/08/2023, 17:29:12</t>
  </si>
  <si>
    <t>63b6e5162426700446d32d64</t>
  </si>
  <si>
    <t>official_medium_prior_day_crossing_bicycle_no_vest_new2_for_train_updated</t>
  </si>
  <si>
    <t>21/08/2023, 17:29:17</t>
  </si>
  <si>
    <t>63b6e60b2426700446d334e5</t>
  </si>
  <si>
    <t>official_medium_prior_crossing_motorbike_with_vest_for_train_updated</t>
  </si>
  <si>
    <t>21/08/2023, 17:29:22</t>
  </si>
  <si>
    <t>63b6e6582426700446d33c15</t>
  </si>
  <si>
    <t>official_2w_city_for_train_updated</t>
  </si>
  <si>
    <t>21/08/2023, 17:29:25</t>
  </si>
  <si>
    <t>63b6eb0a2426700446d34dd9</t>
  </si>
  <si>
    <t>official_bike_set_2_for_train_updated</t>
  </si>
  <si>
    <t>21/08/2023, 17:29:28</t>
  </si>
  <si>
    <t>63b6eb4c2426700446d34e48</t>
  </si>
  <si>
    <t>official_bike_yellow_longi_range50m_for_train_updated</t>
  </si>
  <si>
    <t>21/08/2023, 17:29:31</t>
  </si>
  <si>
    <t>63b6ec312426700446d34ec9</t>
  </si>
  <si>
    <t>official_additional_sanity_2w_longi_from_train_data_for_train_updated</t>
  </si>
  <si>
    <t>21/08/2023, 17:29:35</t>
  </si>
  <si>
    <t>63b6ec442426700446d34f36</t>
  </si>
  <si>
    <t>official_sanity_2w_longi_from_germany_data_for_train_updated</t>
  </si>
  <si>
    <t>21/08/2023, 17:29:38</t>
  </si>
  <si>
    <t>63b6ec782426700446d34fa2</t>
  </si>
  <si>
    <t>official_sanity_2w_longi_small_batch2_for_train_updated</t>
  </si>
  <si>
    <t>21/08/2023, 17:29:41</t>
  </si>
  <si>
    <t>63b6ec9d2426700446d35011</t>
  </si>
  <si>
    <t>official_sanity_2w_longi_small_batch_for_train_updated</t>
  </si>
  <si>
    <t>21/08/2023, 17:29:44</t>
  </si>
  <si>
    <t>63b6ed452426700446d3513e</t>
  </si>
  <si>
    <t>official_unify_2w_crossing_moved_from_test_for_train_updated</t>
  </si>
  <si>
    <t>21/08/2023, 17:29:48</t>
  </si>
  <si>
    <t>63b6ef1d2426700446d35ba0</t>
  </si>
  <si>
    <t>official_unify_sanity_2w_longi_from_the_similar_old_test_sets_for_train_updated</t>
  </si>
  <si>
    <t>21/08/2023, 17:29:57</t>
  </si>
  <si>
    <t>63b6ef9b2426700446d36105</t>
  </si>
  <si>
    <t>official_rnm_open_road_for_train_updated</t>
  </si>
  <si>
    <t>21/08/2023, 17:30:00</t>
  </si>
  <si>
    <t>63b6efba2426700446d36176</t>
  </si>
  <si>
    <t>official_crossing_black_car_40m_70m_45m_for_train_updated</t>
  </si>
  <si>
    <t>21/08/2023, 17:30:03</t>
  </si>
  <si>
    <t>63b6f0242426700446d362d2</t>
  </si>
  <si>
    <t>official_crossing_black_car_40m_70m_60m_for_train_updated</t>
  </si>
  <si>
    <t>21/08/2023, 17:30:13</t>
  </si>
  <si>
    <t>63b6f0482426700446d365c0</t>
  </si>
  <si>
    <t>official_crossing_black_car_40m_70m_65m_for_train_updated</t>
  </si>
  <si>
    <t>21/08/2023, 17:30:16</t>
  </si>
  <si>
    <t>63b6f0732426700446d368ac</t>
  </si>
  <si>
    <t>official_crossing_black_car_40m_70m_70m_for_train_updated</t>
  </si>
  <si>
    <t>21/08/2023, 17:30:19</t>
  </si>
  <si>
    <t>63b6f19c2426700446d36bb1</t>
  </si>
  <si>
    <t>official_ncap_2w_longi_for_train_updated</t>
  </si>
  <si>
    <t>21/08/2023, 17:30:24</t>
  </si>
  <si>
    <t>63b6f1c22426700446d36c32</t>
  </si>
  <si>
    <t>official_set_1_cpnc_week_19_for_train_updated</t>
  </si>
  <si>
    <t>21/08/2023, 17:30:27</t>
  </si>
  <si>
    <t>63b6f1df2426700446d36cab</t>
  </si>
  <si>
    <t>official_cpnc_n_close_loop_crossing1_for_train_updated</t>
  </si>
  <si>
    <t>21/08/2023, 17:30:30</t>
  </si>
  <si>
    <t>63b6f2912426700446d36d31</t>
  </si>
  <si>
    <t>official_ncap_2w_longi_close_loop_1_for_train_updated</t>
  </si>
  <si>
    <t>21/08/2023, 17:30:33</t>
  </si>
  <si>
    <t>63b6f3092426700446d37034</t>
  </si>
  <si>
    <t>official_longi_2w_ncap_dataset_for_train_updated</t>
  </si>
  <si>
    <t>21/08/2023, 17:30:36</t>
  </si>
  <si>
    <t>63b6f3ee2426700446d37821</t>
  </si>
  <si>
    <t>official_dummy_longi_data_2st_batch_for_train_updated</t>
  </si>
  <si>
    <t>21/08/2023, 17:30:41</t>
  </si>
  <si>
    <t>63b6f46c2426700446d37d9b</t>
  </si>
  <si>
    <t>official_dummy_longi_data_1st_batch_for_train_updated</t>
  </si>
  <si>
    <t>21/08/2023, 17:30:45</t>
  </si>
  <si>
    <t>63b6f4ac2426700446d38090</t>
  </si>
  <si>
    <t>official_set_2_cpnc_week_19_for_train_updated</t>
  </si>
  <si>
    <t>21/08/2023, 17:30:49</t>
  </si>
  <si>
    <t>63ba77e22426700446d42e25</t>
  </si>
  <si>
    <t>official_ped_yellow_standstill_movingcar_30_for_train_updated</t>
  </si>
  <si>
    <t>21/08/2023, 17:30:52</t>
  </si>
  <si>
    <t>63ba77f42426700446d42ea4</t>
  </si>
  <si>
    <t>official_longitudinal_ped_0m_male_with_yellow_vest1_for_train_updated</t>
  </si>
  <si>
    <t>21/08/2023, 17:30:56</t>
  </si>
  <si>
    <t>63ba78142426700446d42f24</t>
  </si>
  <si>
    <t>official_longitudinal_ped_0m_male_for_train_updated</t>
  </si>
  <si>
    <t>21/08/2023, 17:30:59</t>
  </si>
  <si>
    <t>63ba78b52426700446d42fa6</t>
  </si>
  <si>
    <t>official_ped_crossing_yellow_0m_20m_for_train_updated</t>
  </si>
  <si>
    <t>21/08/2023, 17:31:05</t>
  </si>
  <si>
    <t>63ba795b2426700446d43031</t>
  </si>
  <si>
    <t>official_ped_yellow_10m_50m_occlusion_01_for_train_updated</t>
  </si>
  <si>
    <t>21/08/2023, 17:31:10</t>
  </si>
  <si>
    <t>63ba79852426700446d430bf</t>
  </si>
  <si>
    <t>official_crossing_ped_with_yellow_vest_5_15m_for_train_updated</t>
  </si>
  <si>
    <t>21/08/2023, 17:31:14</t>
  </si>
  <si>
    <t>63ba79a32426700446d4314b</t>
  </si>
  <si>
    <t>official_crossing_ped_30m_with_vest_set_for_train_updated</t>
  </si>
  <si>
    <t>21/08/2023, 17:31:17</t>
  </si>
  <si>
    <t>63ba79c92426700446d431d1</t>
  </si>
  <si>
    <t>official_crossing_ped_15m_with_vest_images_for_train_updated</t>
  </si>
  <si>
    <t>21/08/2023, 17:31:21</t>
  </si>
  <si>
    <t>63ba79d82426700446d43256</t>
  </si>
  <si>
    <t>official_ped_yellow_10m_50m_for_train_updated</t>
  </si>
  <si>
    <t>21/08/2023, 17:31:24</t>
  </si>
  <si>
    <t>63ba79e72426700446d432dc</t>
  </si>
  <si>
    <t>official_crossing_ped_with_vest_10_30m_for_train_updated</t>
  </si>
  <si>
    <t>21/08/2023, 17:31:27</t>
  </si>
  <si>
    <t>63ba7afa2426700446d4337b</t>
  </si>
  <si>
    <t>official_ped_90_degree_15m_35m_withoutvest_for_train_updated</t>
  </si>
  <si>
    <t>21/08/2023, 17:31:33</t>
  </si>
  <si>
    <t>63ba7bbe2426700446d43410</t>
  </si>
  <si>
    <t>official_ped_longi_yellow_range50m_for_train_updated</t>
  </si>
  <si>
    <t>21/08/2023, 17:31:38</t>
  </si>
  <si>
    <t>63ba7c262426700446d4349b</t>
  </si>
  <si>
    <t>official_ped_longi_black_range50m_for_train_updated</t>
  </si>
  <si>
    <t>21/08/2023, 17:31:43</t>
  </si>
  <si>
    <t>63ba7c902426700446d43529</t>
  </si>
  <si>
    <t>official_walking_ped_90__degree_0_10m_for_train_updated</t>
  </si>
  <si>
    <t>21/08/2023, 17:31:47</t>
  </si>
  <si>
    <t>63ba7caa2426700446d435be</t>
  </si>
  <si>
    <t>official_ped_crossing_0_10m_for_train_updated</t>
  </si>
  <si>
    <t>21/08/2023, 17:31:50</t>
  </si>
  <si>
    <t>63ba7cd82426700446d4364d</t>
  </si>
  <si>
    <t>official_peds_35_50m_without_vest_the_rest_for_train_updated</t>
  </si>
  <si>
    <t>21/08/2023, 17:31:54</t>
  </si>
  <si>
    <t>63ba7d032426700446d436dc</t>
  </si>
  <si>
    <t>official_crossing_ped_35m_50m_yellow_vest_for_train_updated</t>
  </si>
  <si>
    <t>21/08/2023, 17:31:57</t>
  </si>
  <si>
    <t>63ba7d2f2426700446d4376b</t>
  </si>
  <si>
    <t>official_peds_35_50m_without_vest_for_train_updated</t>
  </si>
  <si>
    <t>21/08/2023, 17:32:01</t>
  </si>
  <si>
    <t>63ba7d3d2426700446d437fa</t>
  </si>
  <si>
    <t>official_longitudinal_ped_0m_80m_for_train_updated</t>
  </si>
  <si>
    <t>21/08/2023, 17:32:04</t>
  </si>
  <si>
    <t>63ba7d692426700446d4388a</t>
  </si>
  <si>
    <t>official_ped_on_grass_02_for_train_updated</t>
  </si>
  <si>
    <t>21/08/2023, 17:32:07</t>
  </si>
  <si>
    <t>63ba7d832426700446d4391b</t>
  </si>
  <si>
    <t>official_medium_prior_random_ped_trees_for_train_updated</t>
  </si>
  <si>
    <t>21/08/2023, 17:32:10</t>
  </si>
  <si>
    <t>63ba7dae2426700446d439ae</t>
  </si>
  <si>
    <t>official_ped_on_grass_for_train_updated</t>
  </si>
  <si>
    <t>21/08/2023, 17:32:14</t>
  </si>
  <si>
    <t>63ba7deb2426700446d43a41</t>
  </si>
  <si>
    <t>official_gravel_ped_data_for_train_updated</t>
  </si>
  <si>
    <t>21/08/2023, 17:32:18</t>
  </si>
  <si>
    <t>63ba7e2a2426700446d43ad7</t>
  </si>
  <si>
    <t>official_medium_prior_random_ped_snow_1_for_train_updated</t>
  </si>
  <si>
    <t>21/08/2023, 17:32:21</t>
  </si>
  <si>
    <t>63ba81a92426700446d472ee</t>
  </si>
  <si>
    <t>official_sanity_night_random_peds_dataset_02_06_for_train_updated</t>
  </si>
  <si>
    <t>21/08/2023, 17:32:24</t>
  </si>
  <si>
    <t>63ba81d32426700446d47c52</t>
  </si>
  <si>
    <t>official_sanity_night_2w_dataset_02_06_for_train_updated</t>
  </si>
  <si>
    <t>21/08/2023, 17:32:27</t>
  </si>
  <si>
    <t>63ba82ca2426700446d48e59</t>
  </si>
  <si>
    <t>official_sanity_night_peds_longi_with_vest__for_train_updated</t>
  </si>
  <si>
    <t>21/08/2023, 17:32:30</t>
  </si>
  <si>
    <t>63ba82ff2426700446d48ef3</t>
  </si>
  <si>
    <t>official_night_sanity_peds_data_randomly_moving_for_train_updated</t>
  </si>
  <si>
    <t>21/08/2023, 17:32:34</t>
  </si>
  <si>
    <t>63ba832f2426700446d494e4</t>
  </si>
  <si>
    <t>official_sanity_2w_mostly_crossing_and_random_cycling_data_for_train_updated</t>
  </si>
  <si>
    <t>21/08/2023, 17:32:37</t>
  </si>
  <si>
    <t>63ba834f2426700446d49c21</t>
  </si>
  <si>
    <t>official_night_longitudinal_ped_no_vest_train_for_train_updated</t>
  </si>
  <si>
    <t>21/08/2023, 17:32:40</t>
  </si>
  <si>
    <t>63ba84382426700446d4a3a9</t>
  </si>
  <si>
    <t>official_night_static_ped_longitudinal_car_for_train_updated</t>
  </si>
  <si>
    <t>21/08/2023, 17:32:48</t>
  </si>
  <si>
    <t>63ba85172426700446d4a44c</t>
  </si>
  <si>
    <t>official_night_car_crossing_black_passat_for_train_updated</t>
  </si>
  <si>
    <t>21/08/2023, 17:32:51</t>
  </si>
  <si>
    <t>63ba855e2426700446d4a4ec</t>
  </si>
  <si>
    <t>official_ncap_cpla_night_08_11_22_filtered_for_train_updated</t>
  </si>
  <si>
    <t>21/08/2023, 17:32:55</t>
  </si>
  <si>
    <t>63ba86502426700446d4af44</t>
  </si>
  <si>
    <t>official_ncap_cpla_set_night_08_11_22_for_train_updated</t>
  </si>
  <si>
    <t>21/08/2023, 17:33:03</t>
  </si>
  <si>
    <t>63ba978a2426700446d4dbba</t>
  </si>
  <si>
    <t>official_ncap_night_2w_for_train_updated</t>
  </si>
  <si>
    <t>21/08/2023, 17:33:06</t>
  </si>
  <si>
    <t>63bab4b32426700446d4e33e</t>
  </si>
  <si>
    <t>official_ncap_night_for_train_updated</t>
  </si>
  <si>
    <t>21/08/2023, 17:33:09</t>
  </si>
  <si>
    <t>63bab5642426700446d4e4ba</t>
  </si>
  <si>
    <t>official_cpfa_night_set_for_train_updated</t>
  </si>
  <si>
    <t>21/08/2023, 17:33:12</t>
  </si>
  <si>
    <t>63bab6022426700446d4e5e0</t>
  </si>
  <si>
    <t>official_cpnc_night_set_for_train_updated</t>
  </si>
  <si>
    <t>21/08/2023, 17:33:16</t>
  </si>
  <si>
    <t>63bab9472426700446d4e786</t>
  </si>
  <si>
    <t>official_night_dataset_2w_and_peds_15_12_22_for_train_updated</t>
  </si>
  <si>
    <t>21/08/2023, 17:33:19</t>
  </si>
  <si>
    <t>63bab9a72426700446d4e83a</t>
  </si>
  <si>
    <t>official_night_dataset_open_road_and_urban_14_11_22_for_train_updated</t>
  </si>
  <si>
    <t>21/08/2023, 17:33:23</t>
  </si>
  <si>
    <t>63bac0182426700446d4ed26</t>
  </si>
  <si>
    <t>official_night_issues05_for_train_updated</t>
  </si>
  <si>
    <t>21/08/2023, 17:34:25</t>
  </si>
  <si>
    <t>63bac04a2426700446d4edd8</t>
  </si>
  <si>
    <t>official_night_issues04_for_train_updated</t>
  </si>
  <si>
    <t>21/08/2023, 17:34:28</t>
  </si>
  <si>
    <t>63bac5152426700446d4eea9</t>
  </si>
  <si>
    <t>official_night_issues03_for_train_updated</t>
  </si>
  <si>
    <t>21/08/2023, 17:34:32</t>
  </si>
  <si>
    <t>63bac79d2426700446d55a13</t>
  </si>
  <si>
    <t>official_batch3_night_set_for_train_updated</t>
  </si>
  <si>
    <t>21/08/2023, 17:35:02</t>
  </si>
  <si>
    <t>64e3738b7225d01c8be18b11</t>
  </si>
  <si>
    <t>official_batch_6_yochen_mfc520_for_train_updated_tagged_images</t>
  </si>
  <si>
    <t>21/08/2023, 18:26:58</t>
  </si>
  <si>
    <t>63b6efed2426700446d361e9</t>
  </si>
  <si>
    <t>official_crossing_black_car_40m_70m_50m_for_train_updated</t>
  </si>
  <si>
    <t>21/08/2023, 18:31:09</t>
  </si>
  <si>
    <t>64e386c97225d01c8be18b89</t>
  </si>
  <si>
    <t>official_combined_night_urban_and_highway_for_train_updated_added_to_official_super_set_od_train_quad</t>
  </si>
  <si>
    <t>21/08/2023, 18:32:00</t>
  </si>
  <si>
    <t>63babe8a2426700446d4eb9d</t>
  </si>
  <si>
    <t>official_combined_night_vans_to_prepare_for_train_updated</t>
  </si>
  <si>
    <t>21/08/2023, 18:32:21</t>
  </si>
  <si>
    <t>63bac5e92426700446d50ab8</t>
  </si>
  <si>
    <t>official_batch_2_april21_for_train_updated</t>
  </si>
  <si>
    <t>21/08/2023, 18:32:33</t>
  </si>
  <si>
    <t>64e386517225d01c8be18b87</t>
  </si>
  <si>
    <t>official_crossing_black_car_40m_70m_55m_for_train_updated_added_to_official_super_set_od_train_quad</t>
  </si>
  <si>
    <t>21/08/2023, 18:44:20</t>
  </si>
  <si>
    <t>63bac9422426700446d59e00</t>
  </si>
  <si>
    <t>official_batch_1_pokemon_mfc520_night_images_for_train_updated</t>
  </si>
  <si>
    <t>21/08/2023, 18:53:21</t>
  </si>
  <si>
    <t>63badaee2426700446d5bbee</t>
  </si>
  <si>
    <t>official_urbanic_country_night_for_train_updated</t>
  </si>
  <si>
    <t>21/08/2023, 18:53:52</t>
  </si>
  <si>
    <t>63badb162426700446d5c011</t>
  </si>
  <si>
    <t>official_night_dataset_for_train_updated</t>
  </si>
  <si>
    <t>21/08/2023, 18:53:56</t>
  </si>
  <si>
    <t>642ad73abe8ede2209d087bf</t>
  </si>
  <si>
    <t>official_drab_lynn_for_train_updated</t>
  </si>
  <si>
    <t>21/08/2023, 18:54:09</t>
  </si>
  <si>
    <t>642d3098be8ede2209d0937b</t>
  </si>
  <si>
    <t>official_ncap_4w_for_train_updated</t>
  </si>
  <si>
    <t>21/08/2023, 18:54:12</t>
  </si>
  <si>
    <t>642d3218be8ede2209d09387</t>
  </si>
  <si>
    <t>official_data_for_4w_training_classifier_for_train_updated</t>
  </si>
  <si>
    <t>21/08/2023, 18:54:15</t>
  </si>
  <si>
    <t>642d32bdbe8ede2209d0938e</t>
  </si>
  <si>
    <t>official_night_van_as_car_tagging_problems_for_train_updated</t>
  </si>
  <si>
    <t>21/08/2023, 18:54:19</t>
  </si>
  <si>
    <t>64dc92277225d01c8be1612f</t>
  </si>
  <si>
    <t>official_filtered_ncap_1912_for_train_updated</t>
  </si>
  <si>
    <t>21/08/2023, 18:54:22</t>
  </si>
  <si>
    <t>64dc91ff7225d01c8be1612b</t>
  </si>
  <si>
    <t>official_grid_yellow_vest_02_for_train_updated</t>
  </si>
  <si>
    <t>21/08/2023, 18:54:26</t>
  </si>
  <si>
    <t>64dc91b17225d01c8be16121</t>
  </si>
  <si>
    <t>official_racam_batch3a_rig3_50s_part1_for_train_updated</t>
  </si>
  <si>
    <t>21/08/2023, 18:54:33</t>
  </si>
  <si>
    <t>63f36213be8ede2209ce1cdc</t>
  </si>
  <si>
    <t>amba4_germany_for_train</t>
  </si>
  <si>
    <t>AMBARELLA_3840_1920</t>
  </si>
  <si>
    <t>21/08/2023, 19:05:36</t>
  </si>
  <si>
    <t>62f5099907d51f1227acd677</t>
  </si>
  <si>
    <t>sanity_ped_cross_10m_combined_v1_new</t>
  </si>
  <si>
    <t>21/08/2023, 19:05:50</t>
  </si>
  <si>
    <t>62fa39b107d51f1227c834a8</t>
  </si>
  <si>
    <t>sanity_ped_cross_05m_combined_v1_new</t>
  </si>
  <si>
    <t>21/08/2023, 19:05:59</t>
  </si>
  <si>
    <t>62bd99c7ebb0ff6db821686e</t>
  </si>
  <si>
    <t>youtube_beverly_hills_day_train</t>
  </si>
  <si>
    <t>21/08/2023, 19:06:40</t>
  </si>
  <si>
    <t>62f8c71307d51f1227bd7aff</t>
  </si>
  <si>
    <t>sanity_ped_cross_70m_combined_v1_new</t>
  </si>
  <si>
    <t>21/08/2023, 19:06:52</t>
  </si>
  <si>
    <t>62f8aa4707d51f1227bd3935</t>
  </si>
  <si>
    <t>sanity_ped_cross_60m_combined_v1_new1</t>
  </si>
  <si>
    <t>21/08/2023, 19:06:56</t>
  </si>
  <si>
    <t>62bc56ebebb0ff6db81659b9</t>
  </si>
  <si>
    <t>train_wallmart_pedestrian1</t>
  </si>
  <si>
    <t>21/08/2023, 19:06:58</t>
  </si>
  <si>
    <t>62fdefd16cf28d7159d430c2</t>
  </si>
  <si>
    <t>sanity_ped_cross_80m_combined_v1_new</t>
  </si>
  <si>
    <t>21/08/2023, 19:07:13</t>
  </si>
  <si>
    <t>62fb92296cf28d7159cd3322</t>
  </si>
  <si>
    <t>sanity_ped_cross_20m_combined_v1_new</t>
  </si>
  <si>
    <t>21/08/2023, 19:07:36</t>
  </si>
  <si>
    <t>62f8d8ce07d51f1227bda0d2</t>
  </si>
  <si>
    <t>sanity_ped_cross_30m_combined_v1_new</t>
  </si>
  <si>
    <t>21/08/2023, 19:07:47</t>
  </si>
  <si>
    <t>62fbafb16cf28d7159cd8b6f</t>
  </si>
  <si>
    <t>sanity_ped_cross_50m_combined_v1_new</t>
  </si>
  <si>
    <t>21/08/2023, 19:07:51</t>
  </si>
  <si>
    <t>62fa2cb107d51f1227c7eef0</t>
  </si>
  <si>
    <t>sanity_ped_cross_40m_combined_v1_new</t>
  </si>
  <si>
    <t>21/08/2023, 19:07:54</t>
  </si>
  <si>
    <t>64e3741d7225d01c8be18b12</t>
  </si>
  <si>
    <t>official_racam_batch3a_rig3_50s_part2_for_train_updated_tagged_images</t>
  </si>
  <si>
    <t xml:space="preserve">unknown, unknown, unknown, unknown, </t>
  </si>
  <si>
    <t>23/08/2023, 15:29:11</t>
  </si>
  <si>
    <t>64e374ef7225d01c8be18b1a</t>
  </si>
  <si>
    <t>official_crossing_black_car_40m_70m_55m_for_train_updated_tagged_images</t>
  </si>
  <si>
    <t>64e375fe7225d01c8be18b25</t>
  </si>
  <si>
    <t>official_batch_1_rider_for_train_updated_tagged_images</t>
  </si>
  <si>
    <t>64e3869f7225d01c8be18b88</t>
  </si>
  <si>
    <t>official_combined_night_urban_and_highway_2_for_train_updated_added_to_official_super_set_od_train_quad</t>
  </si>
  <si>
    <t>6522d6d554107825f76a3a46</t>
  </si>
  <si>
    <t>official_od_collected_night_issues_from_wolfsburg_demo_v2_batch_8_split_by_size_of_200_od_for_train_tagged</t>
  </si>
  <si>
    <t>8MP_JPG</t>
  </si>
  <si>
    <t>demo, germany, issues, night, v2, wolfsburg</t>
  </si>
  <si>
    <t>6522d81b54107825f76a3a53</t>
  </si>
  <si>
    <t>official_od_od_issues_by_videos_filtering_night_wolfsburg_demo_0_1_batch_7_split_by_size_of_116_od_for_train_tagged_added_to_official_super_set_od_train_8mp</t>
  </si>
  <si>
    <t>demo, germany, night, train, wolfsburg</t>
  </si>
  <si>
    <t>6522d83f54107825f76a3a55</t>
  </si>
  <si>
    <t>official_od_od_issues_by_videos_filtering_night_wolfsburg_demo_0_1_batch_6_split_by_size_of_116_od_for_train_tagged_added_to_official_super_set_od_train_8mp</t>
  </si>
  <si>
    <t>6522d84954107825f76a3a56</t>
  </si>
  <si>
    <t>official_od_od_issues_by_videos_filtering_night_wolfsburg_demo_0_1_batch_5_split_by_size_of_116_od_for_train_tagged</t>
  </si>
  <si>
    <t>6526a79f54107825f76a4c70</t>
  </si>
  <si>
    <t>official_od_collected_night_random_from_wolfsburg_demo_v2_batch_30_split_by_size_of_200_od_for_train_tagged</t>
  </si>
  <si>
    <t>demo, germany, night, random, v2, wolfsburg</t>
  </si>
  <si>
    <t>6526aa2554107825f76a4c78</t>
  </si>
  <si>
    <t>official_od_collected_night_random_from_wolfsburg_demo_v2_batch_18_split_by_size_of_200_od_for_train_tagged</t>
  </si>
  <si>
    <t>6526acb454107825f76a4c90</t>
  </si>
  <si>
    <t>official_od_collected_night_random_from_wolfsburg_demo_v2_batch_12_split_by_size_of_200_od_for_train_tagged</t>
  </si>
  <si>
    <t>6526b6b354107825f76a4d23</t>
  </si>
  <si>
    <t>official_od_collected_night_issues_from_wolfsburg_demo_v2_batch_11_split_by_size_of_200_od_for_train_tagged</t>
  </si>
  <si>
    <t>6526b7ae54107825f76a4d2e</t>
  </si>
  <si>
    <t>official_od_collected_night_issues_from_wolfsburg_demo_v2_batch_10_split_by_size_of_200_od_for_train_tagged</t>
  </si>
  <si>
    <t>6527c4fb54107825f76a5056</t>
  </si>
  <si>
    <t>official_od__sheep_superset_6502aaf17edfb609dc1b4ab9_for_fa_removal_train_skipped_every_10_img_batch_10_split_by_size_of_100_od_for_train_tagged</t>
  </si>
  <si>
    <t>germany, kitzigen, test_track, wolfsburg</t>
  </si>
  <si>
    <t>6527c60d54107825f76a505e</t>
  </si>
  <si>
    <t>official_od__sheep_superset_6502aaf17edfb609dc1b4ab9_for_fa_removal_train_skipped_every_10_img_batch_3_split_by_size_of_100_od_for_train_tagged</t>
  </si>
  <si>
    <t>6527c63454107825f76a505f</t>
  </si>
  <si>
    <t>official_od__sheep_superset_6502aaf17edfb609dc1b4ab9_for_fa_removal_train_skipped_every_10_img_batch_2_split_by_size_of_100_od_for_train_tagged</t>
  </si>
  <si>
    <t>6527c65b54107825f76a5060</t>
  </si>
  <si>
    <t>official_od__sheep_superset_6502aaf17edfb609dc1b4ab9_for_fa_removal_train_skipped_every_10_img_batch_1_split_by_size_of_100_od_for_train_tagged</t>
  </si>
  <si>
    <t>6527c68354107825f76a5061</t>
  </si>
  <si>
    <t>official_od__sheep_superset_6502aaf17edfb609dc1b4ab9_for_fa_removal_train_skipped_every_10_img_batch_0_split_by_size_of_100_od_for_train_tagged</t>
  </si>
  <si>
    <t>63b6ab412426700446d1ffc8</t>
  </si>
  <si>
    <t>official_batch_1_fp_from_conti_for_train_updated</t>
  </si>
  <si>
    <t>2w, day, cloudy</t>
  </si>
  <si>
    <t>27/11/2023, 10:25:43</t>
  </si>
  <si>
    <t>6564534e54107825f77c5c67</t>
  </si>
  <si>
    <t>official_od_on_sr_data_01_peds_2w_filtered_for_train_updated</t>
  </si>
  <si>
    <t>27/11/2023, 10:29:07</t>
  </si>
  <si>
    <t>63b6cd502426700446d2d367</t>
  </si>
  <si>
    <t>official_big_set_2w_rider_03_for_train_updated</t>
  </si>
  <si>
    <t>27/11/2023, 10:29:14</t>
  </si>
  <si>
    <t>63b6cd092426700446d2d30b</t>
  </si>
  <si>
    <t>official_big_set_2w_rider_02_for_train_updated</t>
  </si>
  <si>
    <t>27/11/2023, 10:29:19</t>
  </si>
  <si>
    <t>6565f3b3fa38f84eb4f861b5</t>
  </si>
  <si>
    <t>_collected_night_random_from_wolfsburg_demo_v2_batch_25_split_by_size_of_200_for_train_od_tagged</t>
  </si>
  <si>
    <t>28/11/2023, 16:05:44</t>
  </si>
  <si>
    <t>6565f3d6fa38f84eb4f872c5</t>
  </si>
  <si>
    <t>_collected_night_random_from_wolfsburg_demo_v2_batch_2_split_by_size_of_200_for_train_od_tagged</t>
  </si>
  <si>
    <t>28/11/2023, 16:06:18</t>
  </si>
  <si>
    <t>6565f45bfa38f84eb4f87b89</t>
  </si>
  <si>
    <t>_hideous_visalia_for_train_od_skip_30_tagged</t>
  </si>
  <si>
    <t>/PRE_DAG_UPLOUDS/IL_AB/2023_08_23/2023_08_23_22_39_06/2023_08_23_22_39_06, day, highway, israel, night, urban</t>
  </si>
  <si>
    <t>28/11/2023, 16:08:30</t>
  </si>
  <si>
    <t>65cb36f0ab0e1008324427c1</t>
  </si>
  <si>
    <t>_buildings_test_track_kitzingen_superset_6502b36e7edfb609dc1b4b00_for_fa_removal_train_skipped_every_10_img_batch_4_split_by_size_of_108_for_train_od_tagged</t>
  </si>
  <si>
    <t>13/02/2024, 11:31:31</t>
  </si>
  <si>
    <t>65cb373cab0e100832442a35</t>
  </si>
  <si>
    <t>_buildings_test_track_kitzingen_superset_6502b36e7edfb609dc1b4b00_for_fa_removal_train_skipped_every_10_img_batch_2_split_by_size_of_108_for_train_od_tagged</t>
  </si>
  <si>
    <t>13/02/2024, 12:30:53</t>
  </si>
  <si>
    <t>65cb450eab0e100832449c7e</t>
  </si>
  <si>
    <t>_pert_palatine_for_train_od_tagged</t>
  </si>
  <si>
    <t>13/02/2024, 12:31:45</t>
  </si>
  <si>
    <t>63baba282426700446d4e8e4</t>
  </si>
  <si>
    <t>official_4w_highway_and_urban_night_dataset_for_train_updated</t>
  </si>
  <si>
    <t>fixing, night, train</t>
  </si>
  <si>
    <t>28/02/2024, 12:32:51</t>
  </si>
  <si>
    <t>63bac7372426700446d546e4</t>
  </si>
  <si>
    <t>official_batch4_night_set_for_train_updated</t>
  </si>
  <si>
    <t>28/02/2024, 12:33:40</t>
  </si>
  <si>
    <t>63bad9d52426700446d5b900</t>
  </si>
  <si>
    <t>official_night_issues_set_for_train_updated</t>
  </si>
  <si>
    <t>28/02/2024, 12:35:48</t>
  </si>
  <si>
    <t>63babaab2426700446d4e98d</t>
  </si>
  <si>
    <t>official_night_dataset_week_27_for_train_updated</t>
  </si>
  <si>
    <t>28/02/2024, 12:36:47</t>
  </si>
  <si>
    <t>63bacf302426700446d5af5b</t>
  </si>
  <si>
    <t>official_newman_conti_mfc520_japan_night_for_train_updated</t>
  </si>
  <si>
    <t>night</t>
  </si>
  <si>
    <t>28/02/2024, 15:21:27</t>
  </si>
  <si>
    <t>63babc4c2426700446d4ea3a</t>
  </si>
  <si>
    <t>official_combined_night_urban_and_highway_3_for_train_updated</t>
  </si>
  <si>
    <t>28/02/2024, 15:21:33</t>
  </si>
  <si>
    <t>64e375c97225d01c8be18b23</t>
  </si>
  <si>
    <t>official_combined_night_urban_and_highway_2_for_train_updated_tagged_images</t>
  </si>
  <si>
    <t>63bac6de2426700446d5378e</t>
  </si>
  <si>
    <t>official_batch5_night_set_for_train_updated</t>
  </si>
  <si>
    <t>6535079854107825f76b908f</t>
  </si>
  <si>
    <t>official_od_collected_night_random_from_wolfsburg_demo_v2_batch_3_split_by_size_of_200_od_for_train_tagged</t>
  </si>
  <si>
    <t>fixing</t>
  </si>
  <si>
    <t>65ed7b9879512c347d507908</t>
  </si>
  <si>
    <t>_endemic_north_las_vegas_chosen_to_tag_every_3_images_to_tag_batch_1_each_300</t>
  </si>
  <si>
    <t>CLEAR, TEL_AVIV, TAR_LINES, DAY, ISRAEL, ARROWS</t>
  </si>
  <si>
    <t>16/04/2024, 18:37:47</t>
  </si>
  <si>
    <t>665ed99306e1a362691f11dd</t>
  </si>
  <si>
    <t>2w_crossing_100m_yv1_renault_demo_to_tag</t>
  </si>
  <si>
    <t>GERMANY, DAY, YELLOW_VEST</t>
  </si>
  <si>
    <t>665ed99306e1a362691f11dc</t>
  </si>
  <si>
    <t>2w_crossing_60m_yv_renault_demo_to_tag</t>
  </si>
  <si>
    <t>GERMANY, CLEAR, DAY, YELLOW_VEST</t>
  </si>
  <si>
    <t>665ed99206e1a362691f11db</t>
  </si>
  <si>
    <t>ped_crossing_40m_2_scenario_renault_demo_to_tag</t>
  </si>
  <si>
    <t>GERMANY, DAY</t>
  </si>
  <si>
    <t>665ebe4806e1a362691f0501</t>
  </si>
  <si>
    <t>_4w_crossing_80m_80kph_1_scenario_renault_demo_to_tag</t>
  </si>
  <si>
    <t>665ebe4706e1a362691f0500</t>
  </si>
  <si>
    <t>_ped_crossing_60m_yv_renault_demo_to_tag</t>
  </si>
  <si>
    <t>665ebe4606e1a362691f04ff</t>
  </si>
  <si>
    <t>_4w_crossing_120m_80kph_1_scenario_renault_demo_to_tag</t>
  </si>
  <si>
    <t>665ebe4506e1a362691f04fe</t>
  </si>
  <si>
    <t>_ped_crossing_80m_yv_renault_demo_to_tag</t>
  </si>
  <si>
    <t>665ebe4406e1a362691f04fd</t>
  </si>
  <si>
    <t>_ped_crossing_70m_yv_renault_demo_to_tag</t>
  </si>
  <si>
    <t>665ebe4106e1a362691f04fb</t>
  </si>
  <si>
    <t>_2w_crossing_100m_3_scenario_renault_demo_to_tag</t>
  </si>
  <si>
    <t>665ebe4006e1a362691f04fa</t>
  </si>
  <si>
    <t>_2w_crossing_60m_3_scenario_renault_demo_to_tag</t>
  </si>
  <si>
    <t>665ebe3f06e1a362691f04f9</t>
  </si>
  <si>
    <t>_2w_crossing_40m_yv_renault_demo_to_tag</t>
  </si>
  <si>
    <t>665ebe3e06e1a362691f04f8</t>
  </si>
  <si>
    <t>_2w_crossing_40m_3_scenario_renault_demo_to_tag</t>
  </si>
  <si>
    <t>665ddfb906e1a362691efa13</t>
  </si>
  <si>
    <t>od_sanity_4w_heading_static_30m_deg_45_renault_fr</t>
  </si>
  <si>
    <t>GERMANY, DAY, RENAULT, DEMO</t>
  </si>
  <si>
    <t>665dd9b106e1a362691ef9fc</t>
  </si>
  <si>
    <t>4w_longi_300m_20kph_2_scenario_with_b2b_train_therapeutic_hoboken</t>
  </si>
  <si>
    <t>GERMANY, DAY, CLOUDY, DEMO</t>
  </si>
  <si>
    <t>665dd26206e1a362691ef4a3</t>
  </si>
  <si>
    <t>od_sanity_4w_heading_static_30m_deg_315_renault_fr</t>
  </si>
  <si>
    <t>665dd16806e1a362691ef3fd</t>
  </si>
  <si>
    <t>od_sanity_4w_heading_static_30m_deg_225_renault_fr</t>
  </si>
  <si>
    <t>GERMANY, DAY, TWILIGHT, DEMO, CLOUDY, RENAULT</t>
  </si>
  <si>
    <t>665dcfb306e1a362691ef205</t>
  </si>
  <si>
    <t>od_sanity_4w_heading_static_30m_deg_270_renault_fr</t>
  </si>
  <si>
    <t>665da13906e1a362691e9ee9</t>
  </si>
  <si>
    <t>unintelligent_fishers_every_30_images</t>
  </si>
  <si>
    <t>GERMANY, DAY, CLOUDY</t>
  </si>
  <si>
    <t>665dbf8306e1a362691eed11</t>
  </si>
  <si>
    <t>passing_spokane_valley_with_b2b_train</t>
  </si>
  <si>
    <t>665dbf8206e1a362691eed0e</t>
  </si>
  <si>
    <t>double_greeley_with_b2b_train</t>
  </si>
  <si>
    <t>665dbf8406e1a362691eed13</t>
  </si>
  <si>
    <t>wide_shreveport_with_b2b_train</t>
  </si>
  <si>
    <t>665eeb1106e1a362691f3bb5</t>
  </si>
  <si>
    <t>wide_shreveport_to_tag_batch_0_each_300_added_to_odtaggeddataboard</t>
  </si>
  <si>
    <t>665d833e06e1a362691e9b35</t>
  </si>
  <si>
    <t>_medium_hallandale_beach_every_30_images_to_tag</t>
  </si>
  <si>
    <t>665d833d06e1a362691e9b34</t>
  </si>
  <si>
    <t>_bewildered_burien_every_30_images_to_tag</t>
  </si>
  <si>
    <t>665f0af806e1a362691f65f6</t>
  </si>
  <si>
    <t>od_sanity_4w_heading_static_30m_deg_180_renault_fr_to_tag</t>
  </si>
  <si>
    <t>CLEAR, GERMANY, DAY</t>
  </si>
  <si>
    <t>665f0af506e1a362691f65f3</t>
  </si>
  <si>
    <t>od_sanity_4w_heading_static_30m_deg_135_renault_fr_to_tag</t>
  </si>
  <si>
    <t>665f0af406e1a362691f65f1</t>
  </si>
  <si>
    <t>od_sanity_4w_heading_static_30m_deg_90_renault_fr_to_tag</t>
  </si>
  <si>
    <t>665f0af006e1a362691f65ee</t>
  </si>
  <si>
    <t>od_sanity_4w_heading_static_30m_deg_0_renault_fr_to_tag</t>
  </si>
  <si>
    <t>665f0aed06e1a362691f65eb</t>
  </si>
  <si>
    <t>ped_crossing_80m_2_scenario_to_tag</t>
  </si>
  <si>
    <t>665ebe4306e1a362691f04fc</t>
  </si>
  <si>
    <t>_ped_crossing_70m_3_scenario_renault_demo_to_tag</t>
  </si>
  <si>
    <t>665dbf8506e1a362691eed14</t>
  </si>
  <si>
    <t>steamy_surprise_with_b2b_train</t>
  </si>
  <si>
    <t>665dbf8106e1a362691eeb81</t>
  </si>
  <si>
    <t>unorthodox_newport_beach_with_b2b_train</t>
  </si>
  <si>
    <t>GERMANY, CLOUDY, DAY</t>
  </si>
  <si>
    <t>665d838206e1a362691e9b4e</t>
  </si>
  <si>
    <t>daunting_lima_every_30_images_to_tag</t>
  </si>
  <si>
    <t>YELLOW_VEST, GERMANY, DAY</t>
  </si>
  <si>
    <t>665d837206e1a362691e9b48</t>
  </si>
  <si>
    <t>inharmonious_morgan_hill_every_30_images_to_tag</t>
  </si>
  <si>
    <t>665d836406e1a362691e9b43</t>
  </si>
  <si>
    <t>evening_aliso_viejo_every_30_images_to_tag</t>
  </si>
  <si>
    <t>665d835206e1a362691e9b3d</t>
  </si>
  <si>
    <t>clean_bismarck_every_30_images_to_tag</t>
  </si>
  <si>
    <t>665d834106e1a362691e9b37</t>
  </si>
  <si>
    <t>flushed_loveland_every_30_images_to_tag</t>
  </si>
  <si>
    <t>665d834006e1a362691e9b36</t>
  </si>
  <si>
    <t>_either_las_cruces_every_30_images_to_tag</t>
  </si>
  <si>
    <t>65ed7ba579512c347d507919</t>
  </si>
  <si>
    <t>_tangy_fitchburg_chosen_to_tag_every_3_images_to_tag_batch_1_each_300</t>
  </si>
  <si>
    <t>ARROWS, TEL_AVIV, ISRAEL, CLEAR, DAY</t>
  </si>
  <si>
    <t>16/06/2024, 10:59:58</t>
  </si>
  <si>
    <t>65ed7ba279512c347d507915</t>
  </si>
  <si>
    <t>_potent_valdosta_chosen_to_tag_every_3_images_to_tag_batch_1_each_300</t>
  </si>
  <si>
    <t>16/06/2024, 11:00:07</t>
  </si>
  <si>
    <t>65ed7b9d79512c347d50790f</t>
  </si>
  <si>
    <t>_likeable_hampton_chosen_to_tag_every_3_images_to_tag_batch_1_each_300</t>
  </si>
  <si>
    <t>16/06/2024, 11:00:19</t>
  </si>
  <si>
    <t>66792eaa0273422c87058526</t>
  </si>
  <si>
    <t>_strange_trucks_task_official_super_set_od_train_8mp_to_tag_batch_244_each_200_added_to_odtaggeddataboard</t>
  </si>
  <si>
    <t>CLEAR, DAY, ISRAEL</t>
  </si>
  <si>
    <t>24/06/2024, 11:30:34</t>
  </si>
  <si>
    <t>6527c4aa54107825f76a5053</t>
  </si>
  <si>
    <t>official_od__sheep_superset_6502aaf17edfb609dc1b4ab9_for_fa_removal_train_skipped_every_10_img_batch_12_split_by_size_of_100_od_for_train_tagged</t>
  </si>
  <si>
    <t>CLOUDY, DAY, GERMANY</t>
  </si>
  <si>
    <t>24/06/2024, 11:36:07</t>
  </si>
  <si>
    <t>6527c52354107825f76a5057</t>
  </si>
  <si>
    <t>official_od__sheep_superset_6502aaf17edfb609dc1b4ab9_for_fa_removal_train_skipped_every_10_img_batch_9_split_by_size_of_100_od_for_train_tagged</t>
  </si>
  <si>
    <t>24/06/2024, 11:36:25</t>
  </si>
  <si>
    <t>6527c4d354107825f76a5054</t>
  </si>
  <si>
    <t>official_od__sheep_superset_6502aaf17edfb609dc1b4ab9_for_fa_removal_train_skipped_every_10_img_batch_11_split_by_size_of_100_od_for_train_tagged</t>
  </si>
  <si>
    <t>24/06/2024, 11:36:27</t>
  </si>
  <si>
    <t>6527cdb454107825f76a5078</t>
  </si>
  <si>
    <t>official_od_buildings_test_track_kitzingen_superset_6502b36e7edfb609dc1b4b00_for_fa_removal_train_skipped_every_10_img_batch_0_split_by_size_of_108_od_for_train_tagged</t>
  </si>
  <si>
    <t>24/06/2024, 11:36:38</t>
  </si>
  <si>
    <t>6527cd8854107825f76a5077</t>
  </si>
  <si>
    <t>official_od_buildings_test_track_kitzingen_superset_6502b36e7edfb609dc1b4b00_for_fa_removal_train_skipped_every_10_img_batch_1_split_by_size_of_108_od_for_train_tagged</t>
  </si>
  <si>
    <t>24/06/2024, 11:36:40</t>
  </si>
  <si>
    <t>6527cd6654107825f76a5075</t>
  </si>
  <si>
    <t>official_od_buildings_test_track_kitzingen_superset_6502b36e7edfb609dc1b4b00_for_fa_removal_train_skipped_every_10_img_batch_2_split_by_size_of_108_od_for_train_tagged</t>
  </si>
  <si>
    <t>24/06/2024, 11:36:42</t>
  </si>
  <si>
    <t>6527cd3e54107825f76a5074</t>
  </si>
  <si>
    <t>official_od_buildings_test_track_kitzingen_superset_6502b36e7edfb609dc1b4b00_for_fa_removal_train_skipped_every_10_img_batch_3_split_by_size_of_108_od_for_train_tagged</t>
  </si>
  <si>
    <t>24/06/2024, 11:36:45</t>
  </si>
  <si>
    <t>6527cd0e54107825f76a5072</t>
  </si>
  <si>
    <t>official_od_buildings_test_track_kitzingen_superset_6502b36e7edfb609dc1b4b00_for_fa_removal_train_skipped_every_10_img_batch_4_split_by_size_of_108_od_for_train_tagged</t>
  </si>
  <si>
    <t>24/06/2024, 11:36:47</t>
  </si>
  <si>
    <t>6527c5e954107825f76a505d</t>
  </si>
  <si>
    <t>official_od__sheep_superset_6502aaf17edfb609dc1b4ab9_for_fa_removal_train_skipped_every_10_img_batch_4_split_by_size_of_100_od_for_train_tagged</t>
  </si>
  <si>
    <t>24/06/2024, 11:36:50</t>
  </si>
  <si>
    <t>6527c5c354107825f76a505c</t>
  </si>
  <si>
    <t>official_od__sheep_superset_6502aaf17edfb609dc1b4ab9_for_fa_removal_train_skipped_every_10_img_batch_5_split_by_size_of_100_od_for_train_tagged</t>
  </si>
  <si>
    <t>24/06/2024, 11:36:52</t>
  </si>
  <si>
    <t>6527c59c54107825f76a505b</t>
  </si>
  <si>
    <t>official_od__sheep_superset_6502aaf17edfb609dc1b4ab9_for_fa_removal_train_skipped_every_10_img_batch_6_split_by_size_of_100_od_for_train_tagged</t>
  </si>
  <si>
    <t>24/06/2024, 11:36:54</t>
  </si>
  <si>
    <t>6527c57354107825f76a5059</t>
  </si>
  <si>
    <t>official_od__sheep_superset_6502aaf17edfb609dc1b4ab9_for_fa_removal_train_skipped_every_10_img_batch_7_split_by_size_of_100_od_for_train_tagged</t>
  </si>
  <si>
    <t>24/06/2024, 11:36:56</t>
  </si>
  <si>
    <t>6527c54c54107825f76a5058</t>
  </si>
  <si>
    <t>official_od__sheep_superset_6502aaf17edfb609dc1b4ab9_for_fa_removal_train_skipped_every_10_img_batch_8_split_by_size_of_100_od_for_train_tagged</t>
  </si>
  <si>
    <t>24/06/2024, 11:36:58</t>
  </si>
  <si>
    <t>6535079f54107825f76b951f</t>
  </si>
  <si>
    <t>official_od_collected_night_issues_from_wolfsburg_demo_v2_batch_12_split_by_size_of_200_od_for_train_tagged</t>
  </si>
  <si>
    <t>CLEAR, DEMO, NIGHT, GERMANY</t>
  </si>
  <si>
    <t>24/06/2024, 11:37:34</t>
  </si>
  <si>
    <t>6526b88e54107825f76a4d33</t>
  </si>
  <si>
    <t>official_od_collected_night_issues_from_wolfsburg_demo_v2_batch_9_split_by_size_of_200_od_for_train_tagged</t>
  </si>
  <si>
    <t>24/06/2024, 11:37:38</t>
  </si>
  <si>
    <t>6526b5ae54107825f76a4d11</t>
  </si>
  <si>
    <t>official_od_collected_night_issues_from_wolfsburg_demo_v2_batch_13_split_by_size_of_200_od_for_train_tagged</t>
  </si>
  <si>
    <t>24/06/2024, 11:37:42</t>
  </si>
  <si>
    <t>6526b48c54107825f76a4d0e</t>
  </si>
  <si>
    <t>official_od_collected_night_issues_from_wolfsburg_demo_v2_batch_14_split_by_size_of_200_od_for_train_tagged</t>
  </si>
  <si>
    <t>24/06/2024, 11:37:45</t>
  </si>
  <si>
    <t>6526b39d54107825f76a4d07</t>
  </si>
  <si>
    <t>official_od_collected_night_issues_from_wolfsburg_demo_v2_batch_15_split_by_size_of_200_od_for_train_tagged</t>
  </si>
  <si>
    <t>24/06/2024, 11:37:47</t>
  </si>
  <si>
    <t>6526b99b54107825f76a4d38</t>
  </si>
  <si>
    <t>official_od_collected_night_issues_from_wolfsburg_demo_v2_batch_7_split_by_size_of_200_od_for_train_tagged</t>
  </si>
  <si>
    <t>CLEAR, GERMANY, DEMO, ARROWS, NIGHT</t>
  </si>
  <si>
    <t>24/06/2024, 11:37:59</t>
  </si>
  <si>
    <t>6522d6f154107825f76a3a47</t>
  </si>
  <si>
    <t>official_od_collected_night_issues_from_wolfsburg_demo_v2_batch_6_split_by_size_of_200_od_for_train_tagged</t>
  </si>
  <si>
    <t>TAR_LINES, CLEAR, GERMANY, DEMO, NIGHT</t>
  </si>
  <si>
    <t>24/06/2024, 11:38:04</t>
  </si>
  <si>
    <t>6526baab54107825f76a4d3b</t>
  </si>
  <si>
    <t>official_od_collected_night_issues_from_wolfsburg_demo_v2_batch_4_split_by_size_of_200_od_for_train_tagged</t>
  </si>
  <si>
    <t>24/06/2024, 11:38:18</t>
  </si>
  <si>
    <t>6565f44efa38f84eb4f876bc</t>
  </si>
  <si>
    <t>_2023_09_07_23_58_56_wolfsbourg_magna_clear_night1_2_skipped_120_batch_4_split_by_size_of_100_for_train_od_tagged</t>
  </si>
  <si>
    <t>CLEAR, EUROPE, GERMANY, DEMO, VWB, NIGHT</t>
  </si>
  <si>
    <t>24/06/2024, 11:39:24</t>
  </si>
  <si>
    <t>6565f3a1fa38f84eb4f85ba9</t>
  </si>
  <si>
    <t>_collected_night_random_from_wolfsburg_demo_v2_batch_27_split_by_size_of_200_for_train_od_tagged</t>
  </si>
  <si>
    <t>DEMO, NIGHT, GERMANY</t>
  </si>
  <si>
    <t>24/06/2024, 11:41:20</t>
  </si>
  <si>
    <t>6565f398fa38f84eb4f856a5</t>
  </si>
  <si>
    <t>_collected_night_random_from_wolfsburg_demo_v2_batch_28_split_by_size_of_200_for_train_od_tagged</t>
  </si>
  <si>
    <t>24/06/2024, 11:41:24</t>
  </si>
  <si>
    <t>6565f3bdfa38f84eb4f86571</t>
  </si>
  <si>
    <t>_collected_night_random_from_wolfsburg_demo_v2_batch_24_split_by_size_of_200_for_train_od_tagged</t>
  </si>
  <si>
    <t>24/06/2024, 11:41:44</t>
  </si>
  <si>
    <t>6526a7f454107825f76a4c72</t>
  </si>
  <si>
    <t>official_od_collected_night_random_from_wolfsburg_demo_v2_batch_23_split_by_size_of_200_od_for_train_tagged</t>
  </si>
  <si>
    <t>24/06/2024, 11:41:50</t>
  </si>
  <si>
    <t>6535078a54107825f76b8a00</t>
  </si>
  <si>
    <t>official_od_collected_night_random_from_wolfsburg_demo_v2_batch_22_split_by_size_of_200_od_for_train_tagged</t>
  </si>
  <si>
    <t>24/06/2024, 11:42:01</t>
  </si>
  <si>
    <t>6526a8ef54107825f76a4c75</t>
  </si>
  <si>
    <t>official_od_collected_night_random_from_wolfsburg_demo_v2_batch_20_split_by_size_of_200_od_for_train_tagged</t>
  </si>
  <si>
    <t>24/06/2024, 11:42:04</t>
  </si>
  <si>
    <t>6526a86e54107825f76a4c74</t>
  </si>
  <si>
    <t>official_od_collected_night_random_from_wolfsburg_demo_v2_batch_21_split_by_size_of_200_od_for_train_tagged</t>
  </si>
  <si>
    <t>24/06/2024, 11:42:05</t>
  </si>
  <si>
    <t>6526aad154107825f76a4c7a</t>
  </si>
  <si>
    <t>official_od_collected_night_random_from_wolfsburg_demo_v2_batch_17_split_by_size_of_200_od_for_train_tagged</t>
  </si>
  <si>
    <t>24/06/2024, 11:42:16</t>
  </si>
  <si>
    <t>6526a97854107825f76a4c76</t>
  </si>
  <si>
    <t>official_od_collected_night_random_from_wolfsburg_demo_v2_batch_19_split_by_size_of_200_od_for_train_tagged</t>
  </si>
  <si>
    <t>24/06/2024, 11:42:18</t>
  </si>
  <si>
    <t>6526ab8154107825f76a4c7e</t>
  </si>
  <si>
    <t>official_od_collected_night_random_from_wolfsburg_demo_v2_batch_16_split_by_size_of_200_od_for_train_tagged</t>
  </si>
  <si>
    <t>24/06/2024, 11:42:32</t>
  </si>
  <si>
    <t>6526ac2754107825f76a4c8a</t>
  </si>
  <si>
    <t>official_od_collected_night_random_from_wolfsburg_demo_v2_batch_15_split_by_size_of_200_od_for_train_tagged</t>
  </si>
  <si>
    <t>24/06/2024, 11:42:44</t>
  </si>
  <si>
    <t>6535079254107825f76b8faa</t>
  </si>
  <si>
    <t>official_od_collected_night_random_from_wolfsburg_demo_v2_batch_14_split_by_size_of_200_od_for_train_tagged</t>
  </si>
  <si>
    <t>24/06/2024, 11:42:58</t>
  </si>
  <si>
    <t>6565f3c6fa38f84eb4f86c15</t>
  </si>
  <si>
    <t>_collected_night_random_from_wolfsburg_demo_v2_batch_13_split_by_size_of_200_for_train_od_tagged</t>
  </si>
  <si>
    <t>24/06/2024, 11:43:14</t>
  </si>
  <si>
    <t>6526aea154107825f76a4c95</t>
  </si>
  <si>
    <t>official_od_collected_night_random_from_wolfsburg_demo_v2_batch_9_split_by_size_of_200_od_for_train_tagged</t>
  </si>
  <si>
    <t>24/06/2024, 11:43:15</t>
  </si>
  <si>
    <t>6526adf854107825f76a4c94</t>
  </si>
  <si>
    <t>official_od_collected_night_random_from_wolfsburg_demo_v2_batch_10_split_by_size_of_200_od_for_train_tagged</t>
  </si>
  <si>
    <t>24/06/2024, 11:43:17</t>
  </si>
  <si>
    <t>6526ad5254107825f76a4c92</t>
  </si>
  <si>
    <t>official_od_collected_night_random_from_wolfsburg_demo_v2_batch_11_split_by_size_of_200_od_for_train_tagged</t>
  </si>
  <si>
    <t>24/06/2024, 11:43:18</t>
  </si>
  <si>
    <t>6526bbd454107825f76a4d55</t>
  </si>
  <si>
    <t>official_od_collected_night_issues_from_wolfsburg_demo_v2_batch_3_split_by_size_of_200_od_for_train_tagged</t>
  </si>
  <si>
    <t>24/06/2024, 11:44:08</t>
  </si>
  <si>
    <t>6526b2bd54107825f76a4d00</t>
  </si>
  <si>
    <t>official_od_collected_night_random_from_wolfsburg_demo_v2_batch_0_split_by_size_of_200_od_for_train_tagged</t>
  </si>
  <si>
    <t>24/06/2024, 11:44:09</t>
  </si>
  <si>
    <t>6526b20054107825f76a4cff</t>
  </si>
  <si>
    <t>official_od_collected_night_random_from_wolfsburg_demo_v2_batch_1_split_by_size_of_200_od_for_train_tagged</t>
  </si>
  <si>
    <t>24/06/2024, 11:44:11</t>
  </si>
  <si>
    <t>6522d78754107825f76a3a4f</t>
  </si>
  <si>
    <t>official_od_collected_night_issues_from_wolfsburg_demo_v2_batch_0_split_by_size_of_200_od_for_train_tagged</t>
  </si>
  <si>
    <t>24/06/2024, 11:44:14</t>
  </si>
  <si>
    <t>6522d75d54107825f76a3a4e</t>
  </si>
  <si>
    <t>official_od_collected_night_issues_from_wolfsburg_demo_v2_batch_1_split_by_size_of_200_od_for_train_tagged</t>
  </si>
  <si>
    <t>24/06/2024, 11:44:16</t>
  </si>
  <si>
    <t>65688782fa38f84eb40087b5</t>
  </si>
  <si>
    <t>__ncap_vw_closed_loop_demo_tt_train_batch_0_split_by_size_of_867_tagged</t>
  </si>
  <si>
    <t>CLEAR, DAY, OD_NCAP</t>
  </si>
  <si>
    <t>24/06/2024, 11:44:42</t>
  </si>
  <si>
    <t>6538387454107825f76c00bf</t>
  </si>
  <si>
    <t>official_od_2023_08_01_08_44_05_vaihingen_kitzingen_heavy_rain_day_as_single_set_skipped_6_batch_50_split_by_size_of_500_for_train_tagged</t>
  </si>
  <si>
    <t>DEMO, RAIN, DAY, GERMANY</t>
  </si>
  <si>
    <t>24/06/2024, 11:46:14</t>
  </si>
  <si>
    <t>6460cd2bbe8ede2209d18657</t>
  </si>
  <si>
    <t>night_light_rain_after_filtering_for_train_03_03_23_for_train_tagged</t>
  </si>
  <si>
    <t>RAIN, EUROPE, NIGHT</t>
  </si>
  <si>
    <t>24/06/2024, 12:14:25</t>
  </si>
  <si>
    <t>6347f6675378b16a97be5bf4</t>
  </si>
  <si>
    <t>train_ab_car_germany_dummy_child</t>
  </si>
  <si>
    <t>24/06/2024, 12:17:09</t>
  </si>
  <si>
    <t>6347d1bc5378b16a97bbcc45</t>
  </si>
  <si>
    <t>ab_car_germany_dummy_train</t>
  </si>
  <si>
    <t>24/06/2024, 12:17:26</t>
  </si>
  <si>
    <t>659ac646d8ef2d6f5c523a95</t>
  </si>
  <si>
    <t>official_europe_night_for_train</t>
  </si>
  <si>
    <t>FRANCE, CLEAR, RAIN, EUROPE, GERMANY, NIGHT</t>
  </si>
  <si>
    <t>24/06/2024, 12:25:41</t>
  </si>
  <si>
    <t>6565f454fa38f84eb4f877ab</t>
  </si>
  <si>
    <t>_2023_09_07_23_58_56_wolfsbourg_magna_clear_night1_2_skipped_120_batch_3_split_by_size_of_100_for_train_od_tagged</t>
  </si>
  <si>
    <t>24/06/2024, 12:28:33</t>
  </si>
  <si>
    <t>6565f3defa38f84eb4f874e6</t>
  </si>
  <si>
    <t>_2023_09_08_02_24_38_city_magna_clear_night_skipped_120_batch_0_split_by_size_of_100_for_train_od_tagged</t>
  </si>
  <si>
    <t>24/06/2024, 12:28:35</t>
  </si>
  <si>
    <t>6565f38ffa38f84eb4f84a05</t>
  </si>
  <si>
    <t>_od_night_issues_22_11_2023_train_batch_0_split_by_size_of_384_tagged</t>
  </si>
  <si>
    <t>CLEAR, EUROPE, NIGHT, GERMANY</t>
  </si>
  <si>
    <t>24/06/2024, 12:28:41</t>
  </si>
  <si>
    <t>6565f3aafa38f84eb4f85eed</t>
  </si>
  <si>
    <t>_collected_night_random_from_wolfsburg_demo_v2_batch_26_split_by_size_of_200_for_train_od_tagged</t>
  </si>
  <si>
    <t>24/06/2024, 12:30:19</t>
  </si>
  <si>
    <t>665c2be306e1a362691e8f79</t>
  </si>
  <si>
    <t>asymmetrical_bullhead_city_every_10_images_filtered_to_tag_batch_3_each_172</t>
  </si>
  <si>
    <t>ARROWS, CLOUDY, DAY, CROSSWALK, MAGNA</t>
  </si>
  <si>
    <t>24/06/2024, 13:14:07</t>
  </si>
  <si>
    <t>665c2be306e1a362691e8f78</t>
  </si>
  <si>
    <t>asymmetrical_bullhead_city_every_10_images_filtered_to_tag_batch_2_each_172</t>
  </si>
  <si>
    <t>24/06/2024, 13:14:26</t>
  </si>
  <si>
    <t>665c2be306e1a362691e8f77</t>
  </si>
  <si>
    <t>asymmetrical_bullhead_city_every_10_images_filtered_to_tag_batch_1_each_172</t>
  </si>
  <si>
    <t>24/06/2024, 13:14:45</t>
  </si>
  <si>
    <t>665c2be206e1a362691e8f76</t>
  </si>
  <si>
    <t>asymmetrical_bullhead_city_every_10_images_filtered_to_tag_batch_0_each_172</t>
  </si>
  <si>
    <t>24/06/2024, 13:15:03</t>
  </si>
  <si>
    <t>62e8d79f07d51f12277bce72</t>
  </si>
  <si>
    <t>youtube_germany_tagged_amba_new</t>
  </si>
  <si>
    <t>DAY</t>
  </si>
  <si>
    <t>26/06/2024, 19:01:02</t>
  </si>
  <si>
    <t>65f7267979512c347d587872</t>
  </si>
  <si>
    <t>uninspired_coeur_dalene_chosen_to_tag_every_3_images_to_tag</t>
  </si>
  <si>
    <t>TEL_AVIV, DAY, CLEAR, ISRAEL, ARROWS, WET_ROAD</t>
  </si>
  <si>
    <t>65ed7ba679512c347d50791a</t>
  </si>
  <si>
    <t>_thankful_lincoln_park_chosen_to_tag_every_3_images_to_tag</t>
  </si>
  <si>
    <t>TEL_AVIV, DAY, CLEAR, ISRAEL, ARROWS</t>
  </si>
  <si>
    <t>65ed7ba579512c347d507918</t>
  </si>
  <si>
    <t>_tangy_fitchburg_chosen_to_tag_every_3_images_to_tag_batch_0_each_300</t>
  </si>
  <si>
    <t>65ed7ba179512c347d507914</t>
  </si>
  <si>
    <t>_potent_valdosta_chosen_to_tag_every_3_images_to_tag_batch_0_each_300</t>
  </si>
  <si>
    <t>65ed7b9f79512c347d507912</t>
  </si>
  <si>
    <t>_penetrable_north_miami_chosen_to_tag_every_3_images_to_tag</t>
  </si>
  <si>
    <t>CLEAR, TEL_AVIV, DAY, HIGHWAY_EXIT, ISRAEL, ARROWS</t>
  </si>
  <si>
    <t>65ed7b9f79512c347d507911</t>
  </si>
  <si>
    <t>_lucent_carlsbad_chosen_to_tag_every_3_images_to_tag</t>
  </si>
  <si>
    <t>CLEAR, ISRAEL, TEL_AVIV, DAY</t>
  </si>
  <si>
    <t>65ed7b9c79512c347d50790e</t>
  </si>
  <si>
    <t>_likeable_hampton_chosen_to_tag_every_3_images_to_tag_batch_0_each_300</t>
  </si>
  <si>
    <t>65ed7b9b79512c347d50790c</t>
  </si>
  <si>
    <t>_guiltless_lincoln_park_chosen_to_tag_every_3_images_to_tag_batch_1_each_300</t>
  </si>
  <si>
    <t>65ed7b9b79512c347d50790b</t>
  </si>
  <si>
    <t>_guiltless_lincoln_park_chosen_to_tag_every_3_images_to_tag_batch_0_each_300</t>
  </si>
  <si>
    <t>65ed7b9979512c347d507909</t>
  </si>
  <si>
    <t>_escalating_jefferson_city_chosen_to_tag_every_3_images_to_tag</t>
  </si>
  <si>
    <t>65ed7b9879512c347d507907</t>
  </si>
  <si>
    <t>_endemic_north_las_vegas_chosen_to_tag_every_3_images_to_tag_batch_0_each_300</t>
  </si>
  <si>
    <t>TAR_LINES, TEL_AVIV, DAY, CLEAR, ISRAEL, ARROWS</t>
  </si>
  <si>
    <t>65ed7b9679512c347d507905</t>
  </si>
  <si>
    <t>_deceitful_cape_girardeau_chosen_to_tag_every_3_images_to_tag</t>
  </si>
  <si>
    <t>BRIDGE, TEL_AVIV, DAY, CLEAR, ISRAEL, ARROWS</t>
  </si>
  <si>
    <t>65ed7b9579512c347d507904</t>
  </si>
  <si>
    <t>_concerning_cambridge_chosen_to_tag_every_3_images_to_tag</t>
  </si>
  <si>
    <t>65ed7b9479512c347d507902</t>
  </si>
  <si>
    <t>_audacious_appleton_chosen_to_tag_every_3_images_to_tag_batch_0_each_300</t>
  </si>
  <si>
    <t>6683f6230273422c870fbcb4</t>
  </si>
  <si>
    <t>_strange_trucks_task_official_super_set_od_train_8mp_to_tag_batch_246_each_200_added_to_odtaggeddataboard</t>
  </si>
  <si>
    <t>CLEAR, DAY</t>
  </si>
  <si>
    <t>66792ec10273422c87059253</t>
  </si>
  <si>
    <t>_strange_trucks_task_official_super_set_od_train_8mp_to_tag_batch_242_each_200_added_to_odtaggeddataboard</t>
  </si>
  <si>
    <t>66792e950273422c870574a4</t>
  </si>
  <si>
    <t>_strange_trucks_task_official_super_set_od_train_8mp_to_tag_batch_245_each_200_added_to_odtaggeddataboard</t>
  </si>
  <si>
    <t>65ed7ba379512c347d507916</t>
  </si>
  <si>
    <t>_punishable_germantown_chosen_to_tag_every_3_images_to_tag</t>
  </si>
  <si>
    <t>ISRAEL, TEL_AVIV, HIGHWAY_EXIT, CLEAR, DAY</t>
  </si>
  <si>
    <t>65cb36eaab0e1008324426ed</t>
  </si>
  <si>
    <t>_od_strange_vehicles_20_12_2023_train_batch_2_split_by_size_of_250_tagged</t>
  </si>
  <si>
    <t>EUROPE, GERMANY, RAIN, CLEAR, DAY</t>
  </si>
  <si>
    <t>656885ddfa38f84eb40079cf</t>
  </si>
  <si>
    <t>___ncap_vw_closed_loop_demo_tt_train_batch_1_split_by_size_of_867_tagged</t>
  </si>
  <si>
    <t>OD_NCAP, CLEAR, GERMANY, DAY</t>
  </si>
  <si>
    <t>6565f8fdfa38f84eb4f9d994</t>
  </si>
  <si>
    <t>_dekra_munich_rain_day_highway_od_issues_2023_06_21_10_26_11_train_batch_0_split_by_size_of_200_for_train_od_tagged</t>
  </si>
  <si>
    <t>RAIN, GERMANY, DAY, DEMO</t>
  </si>
  <si>
    <t>6565f7c4fa38f84eb4f8ca12</t>
  </si>
  <si>
    <t>_2023_08_01_08_44_05_vaihingen_kitzingen_heavy_rain_day_as_single_set_skipped_6_batch_47_split_by_size_of_500_tagged</t>
  </si>
  <si>
    <t>6565f7bbfa38f84eb4f8c045</t>
  </si>
  <si>
    <t>_2023_08_01_08_44_05_vaihingen_kitzingen_heavy_rain_day_as_single_set_skipped_6_batch_48_split_by_size_of_500_tagged</t>
  </si>
  <si>
    <t>6565f7b0fa38f84eb4f8b606</t>
  </si>
  <si>
    <t>_2023_08_01_08_44_05_vaihingen_kitzingen_heavy_rain_day_as_single_set_skipped_6_batch_49_split_by_size_of_500_tagged</t>
  </si>
  <si>
    <t>6565f448fa38f84eb4f875e2</t>
  </si>
  <si>
    <t>_2023_09_07_23_58_56_wolfsbourg_magna_clear_night1_2_skipped_120_batch_5_split_by_size_of_100_for_train_od_tagged</t>
  </si>
  <si>
    <t>NIGHT, EUROPE, DEMO, GERMANY, VWB, CLEAR</t>
  </si>
  <si>
    <t>6565f3cefa38f84eb4f871c9</t>
  </si>
  <si>
    <t>_collected_night_random_from_wolfsburg_demo_v2_batch_8_split_by_size_of_200_for_train_od_tagged</t>
  </si>
  <si>
    <t>NIGHT, GERMANY, DEMO</t>
  </si>
  <si>
    <t>6565f384fa38f84eb4f84096</t>
  </si>
  <si>
    <t>_od_night_issues_22_11_2023_train_batch_2_split_by_size_of_384_tagged</t>
  </si>
  <si>
    <t>NIGHT, EUROPE, CLEAR</t>
  </si>
  <si>
    <t>6527b3aa54107825f76a500d</t>
  </si>
  <si>
    <t>official_od__sheep_superset_6502aaf17edfb609dc1b4ab9_for_fa_removal_train_skipped_every_10_img_batch_13_split_by_size_of_100_od_for_train_tagged</t>
  </si>
  <si>
    <t>6526b13254107825f76a4cc5</t>
  </si>
  <si>
    <t>official_od_collected_night_random_from_wolfsburg_demo_v2_batch_5_split_by_size_of_200_od_for_train_tagged</t>
  </si>
  <si>
    <t>6526b06154107825f76a4cb7</t>
  </si>
  <si>
    <t>official_od_collected_night_random_from_wolfsburg_demo_v2_batch_6_split_by_size_of_200_od_for_train_tagged</t>
  </si>
  <si>
    <t>6526af7c54107825f76a4c97</t>
  </si>
  <si>
    <t>official_od_collected_night_random_from_wolfsburg_demo_v2_batch_7_split_by_size_of_200_od_for_train_tagged</t>
  </si>
  <si>
    <t>6522d73454107825f76a3a4b</t>
  </si>
  <si>
    <t>official_od_collected_night_issues_from_wolfsburg_demo_v2_batch_2_split_by_size_of_200_od_for_train_tagged</t>
  </si>
  <si>
    <t>6522d71054107825f76a3a48</t>
  </si>
  <si>
    <t>official_od_collected_night_issues_from_wolfsburg_demo_v2_batch_5_split_by_size_of_200_od_for_train_tagged</t>
  </si>
  <si>
    <t>NIGHT, VWB, GERMANY, DEMO, CLEAR</t>
  </si>
  <si>
    <t>651551b17edfb609dc1ba78e</t>
  </si>
  <si>
    <t>official_od_wolfsburg_demo_night_v1_28_09_2023_for_train_tagged</t>
  </si>
  <si>
    <t>CLOUDY, DOUBLE_LANE_MARKS, BRIDGE, NIGHT, ARROWS, VWB, EUROPE, HIGHWAY_EXIT, TAR_LINES, GERMANY, DEMO, LANE_CHANGE, CLEAR</t>
  </si>
  <si>
    <t>64f8366a7edfb609dc1b049c</t>
  </si>
  <si>
    <t>night_dataset_tagging_net_problems_after_checking_for_train_tagged_added_to_official_super_set_od_train_8mp</t>
  </si>
  <si>
    <t>NIGHT, RAIN, GERMANY</t>
  </si>
  <si>
    <t>64e75df27225d01c8be1a721</t>
  </si>
  <si>
    <t>official_od_acordion_buses_21_08_23_for_train_tagged</t>
  </si>
  <si>
    <t>TEL_AVIV, ISRAEL, DAY, CLEAR</t>
  </si>
  <si>
    <t>64be6696628d0605eb5a3f57</t>
  </si>
  <si>
    <t>29072022_highwaya81_to_sailauf_night_ab_v0.8.1a_amba_rel11072022_combined_v1_tagged_for_train</t>
  </si>
  <si>
    <t>NIGHT</t>
  </si>
  <si>
    <t>641c5450be8ede2209d008e4</t>
  </si>
  <si>
    <t>night_light_rain_dataset_for_train_13_03_23_for_train_tagged</t>
  </si>
  <si>
    <t>EUROPE, NIGHT, RAIN</t>
  </si>
  <si>
    <t>634508265378b16a979720c8</t>
  </si>
  <si>
    <t>train_ab_car_memmingen_center_to_ottobeuren</t>
  </si>
  <si>
    <t>GERMANY, SUNNY, DAY, EUROPE, CLOUDY</t>
  </si>
  <si>
    <t>62e8f3e107d51f12277ca0ce</t>
  </si>
  <si>
    <t>amba2_germany_train_0208</t>
  </si>
  <si>
    <t>6565f8ecfa38f84eb4f9cb44</t>
  </si>
  <si>
    <t>_dekra_munich_rain_day_highway_od_issues_2023_06_21_10_26_11_train_batch_11_split_by_size_of_200_for_train_od_tagged</t>
  </si>
  <si>
    <t>DAY, GERMANY, RAIN, DEMO</t>
  </si>
  <si>
    <t>14/07/2024, 10:38:20</t>
  </si>
  <si>
    <t>652cfbf254107825f76a6500</t>
  </si>
  <si>
    <t>official_od_dekra_munich_rain_day_highway_od_issues_2023_06_21_10_26_11_train_batch_10_split_by_size_of_200_od_for_train_tagged</t>
  </si>
  <si>
    <t>DEMO, DAY, RAIN, GERMANY</t>
  </si>
  <si>
    <t>14/07/2024, 14:32:58</t>
  </si>
  <si>
    <t>6666e52706e1a3626922d59a</t>
  </si>
  <si>
    <t>vans_od_train_batch_2_to_tag_batch_2_each_100</t>
  </si>
  <si>
    <t>CLEAR, DIRECT_SUN, DAY, EUROPE, ITALY, CLOUDY, SPAIN</t>
  </si>
  <si>
    <t>15/07/2024, 10:13:25</t>
  </si>
  <si>
    <t>6665952406e1a36269225f19</t>
  </si>
  <si>
    <t>vans_od_train_batch_1_to_tag_batch_0_each_100</t>
  </si>
  <si>
    <t>SPAIN, CLOUDY, LIGHT_RAIN, DAY, CLEAR</t>
  </si>
  <si>
    <t>17/07/2024, 12:38:42</t>
  </si>
  <si>
    <t>6665950406e1a36269225f0c</t>
  </si>
  <si>
    <t>vans_od_train_batch_0_to_tag_batch_0_each_100</t>
  </si>
  <si>
    <t>GERMANY, SNOW, DAY, EUROPE, ISRAEL</t>
  </si>
  <si>
    <t>17/07/2024, 12:39:04</t>
  </si>
  <si>
    <t>63569a8f5378b16a9724d0c6</t>
  </si>
  <si>
    <t>ab_car_germany_train</t>
  </si>
  <si>
    <t>SUNNY, GERMANY, DAY, RAIN, FRANCE, CLOUDY, TAR_LINES, EUROPE</t>
  </si>
  <si>
    <t>17/07/2024, 18:27:45</t>
  </si>
  <si>
    <t>62e9083807d51f12277cb0ab</t>
  </si>
  <si>
    <t>amba_train_set_detroit_day_snow_new</t>
  </si>
  <si>
    <t>17/07/2024, 18:29:06</t>
  </si>
  <si>
    <t>62e8e7c507d51f12277c95b4</t>
  </si>
  <si>
    <t>amba_cali_train</t>
  </si>
  <si>
    <t>17/07/2024, 18:29:40</t>
  </si>
  <si>
    <t>6565f898fa38f84eb4f96d8b</t>
  </si>
  <si>
    <t>_2023_08_01_08_44_05_vaihingen_kitzingen_heavy_rain_day_as_single_set_skipped_6_batch_23_split_by_size_of_500_tagged</t>
  </si>
  <si>
    <t>DEMO, GERMANY, RAIN, DAY</t>
  </si>
  <si>
    <t>21/07/2024, 14:23:51</t>
  </si>
  <si>
    <t>6565f88efa38f84eb4f96193</t>
  </si>
  <si>
    <t>_2023_08_01_08_44_05_vaihingen_kitzingen_heavy_rain_day_as_single_set_skipped_6_batch_24_split_by_size_of_500_tagged</t>
  </si>
  <si>
    <t>21/07/2024, 14:23:53</t>
  </si>
  <si>
    <t>6565f884fa38f84eb4f95a68</t>
  </si>
  <si>
    <t>_2023_08_01_08_44_05_vaihingen_kitzingen_heavy_rain_day_as_single_set_skipped_6_batch_26_split_by_size_of_500_tagged</t>
  </si>
  <si>
    <t>21/07/2024, 14:23:56</t>
  </si>
  <si>
    <t>6565f878fa38f84eb4f952b4</t>
  </si>
  <si>
    <t>_2023_08_01_08_44_05_vaihingen_kitzingen_heavy_rain_day_as_single_set_skipped_6_batch_27_split_by_size_of_500_tagged</t>
  </si>
  <si>
    <t>21/07/2024, 14:23:58</t>
  </si>
  <si>
    <t>6565f86efa38f84eb4f94a40</t>
  </si>
  <si>
    <t>_2023_08_01_08_44_05_vaihingen_kitzingen_heavy_rain_day_as_single_set_skipped_6_batch_28_split_by_size_of_500_tagged</t>
  </si>
  <si>
    <t>21/07/2024, 14:24:00</t>
  </si>
  <si>
    <t>6565f862fa38f84eb4f941ff</t>
  </si>
  <si>
    <t>_2023_08_01_08_44_05_vaihingen_kitzingen_heavy_rain_day_as_single_set_skipped_6_batch_29_split_by_size_of_500_tagged</t>
  </si>
  <si>
    <t>21/07/2024, 14:24:02</t>
  </si>
  <si>
    <t>6565f858fa38f84eb4f93a6b</t>
  </si>
  <si>
    <t>_2023_08_01_08_44_05_vaihingen_kitzingen_heavy_rain_day_as_single_set_skipped_6_batch_30_split_by_size_of_500_tagged</t>
  </si>
  <si>
    <t>21/07/2024, 14:24:05</t>
  </si>
  <si>
    <t>6565f84efa38f84eb4f932b3</t>
  </si>
  <si>
    <t>_2023_08_01_08_44_05_vaihingen_kitzingen_heavy_rain_day_as_single_set_skipped_6_batch_31_split_by_size_of_500_tagged</t>
  </si>
  <si>
    <t>21/07/2024, 14:24:08</t>
  </si>
  <si>
    <t>6565f843fa38f84eb4f92715</t>
  </si>
  <si>
    <t>_2023_08_01_08_44_05_vaihingen_kitzingen_heavy_rain_day_as_single_set_skipped_6_batch_32_split_by_size_of_500_tagged</t>
  </si>
  <si>
    <t>21/07/2024, 14:24:10</t>
  </si>
  <si>
    <t>6565f838fa38f84eb4f92021</t>
  </si>
  <si>
    <t>_2023_08_01_08_44_05_vaihingen_kitzingen_heavy_rain_day_as_single_set_skipped_6_batch_33_split_by_size_of_500_tagged</t>
  </si>
  <si>
    <t>21/07/2024, 14:24:13</t>
  </si>
  <si>
    <t>653132f654107825f76a8c0b</t>
  </si>
  <si>
    <t>official_od_2023_08_01_08_44_05_vaihingen_kitzingen_heavy_rain_day_as_single_set_skipped_6_batch_25_split_by_size_of_500_for_train_tagged</t>
  </si>
  <si>
    <t>RAIN, DEMO, DAY, WET_ROAD, GERMANY</t>
  </si>
  <si>
    <t>21/07/2024, 14:24:15</t>
  </si>
  <si>
    <t>6666e52706e1a3626922d599</t>
  </si>
  <si>
    <t>vans_od_train_batch_2_to_tag_batch_1_each_100</t>
  </si>
  <si>
    <t>EUROPE, CLEAR, SPAIN, CLOUDY, DIRECT_SUN, DAY, ITALY</t>
  </si>
  <si>
    <t>22/07/2024, 12:33:36</t>
  </si>
  <si>
    <t>6666e52706e1a3626922d598</t>
  </si>
  <si>
    <t>vans_od_train_batch_2_to_tag_batch_0_each_100</t>
  </si>
  <si>
    <t>22/07/2024, 12:33:39</t>
  </si>
  <si>
    <t>6665952506e1a36269225f1c</t>
  </si>
  <si>
    <t>vans_od_train_batch_1_to_tag_batch_3_each_100</t>
  </si>
  <si>
    <t>LIGHT_RAIN, CLEAR, SPAIN, CLOUDY, DAY</t>
  </si>
  <si>
    <t>22/07/2024, 12:33:42</t>
  </si>
  <si>
    <t>6665952406e1a36269225f1b</t>
  </si>
  <si>
    <t>vans_od_train_batch_1_to_tag_batch_2_each_100</t>
  </si>
  <si>
    <t>22/07/2024, 12:33:45</t>
  </si>
  <si>
    <t>6665952406e1a36269225f1a</t>
  </si>
  <si>
    <t>vans_od_train_batch_1_to_tag_batch_1_each_100</t>
  </si>
  <si>
    <t>LIGHT_RAIN, CLEAR, SPAIN, CLOUDY, DAY, WET_ROAD, TAR_LINES</t>
  </si>
  <si>
    <t>22/07/2024, 12:33:47</t>
  </si>
  <si>
    <t>6665950406e1a36269225f0e</t>
  </si>
  <si>
    <t>vans_od_train_batch_0_to_tag_batch_2_each_100</t>
  </si>
  <si>
    <t>EUROPE, SNOW, DAY, ISRAEL, GERMANY</t>
  </si>
  <si>
    <t>22/07/2024, 12:33:50</t>
  </si>
  <si>
    <t>6665950406e1a36269225f0d</t>
  </si>
  <si>
    <t>vans_od_train_batch_0_to_tag_batch_1_each_100</t>
  </si>
  <si>
    <t>22/07/2024, 12:33:53</t>
  </si>
  <si>
    <t>62e8ecfa07d51f12277c9a7a</t>
  </si>
  <si>
    <t>amba_taiwan_train_2_0208</t>
  </si>
  <si>
    <t>ASIA, DAY, CLOUDY</t>
  </si>
  <si>
    <t>28/07/2024, 11:37:06</t>
  </si>
  <si>
    <t>6565f8b9fa38f84eb4f99aee</t>
  </si>
  <si>
    <t>_2023_08_01_08_44_05_vaihingen_kitzingen_heavy_rain_day_as_single_set_skipped_6_batch_20_split_by_size_of_500_tagged</t>
  </si>
  <si>
    <t>31/07/2024, 14:59:18</t>
  </si>
  <si>
    <t>6565f8a2fa38f84eb4f97ea5</t>
  </si>
  <si>
    <t>_2023_08_01_08_44_05_vaihingen_kitzingen_heavy_rain_day_as_single_set_skipped_6_batch_22_split_by_size_of_500_tagged</t>
  </si>
  <si>
    <t>31/07/2024, 14:59:27</t>
  </si>
  <si>
    <t>6538388254107825f76c0f7d</t>
  </si>
  <si>
    <t>official_od_2023_08_01_08_44_05_vaihingen_kitzingen_heavy_rain_day_as_single_set_skipped_6_batch_17_split_by_size_of_500_for_train_tagged</t>
  </si>
  <si>
    <t>31/07/2024, 14:59:50</t>
  </si>
  <si>
    <t>6565f8c7fa38f84eb4f9aa4c</t>
  </si>
  <si>
    <t>_2023_08_01_08_44_05_vaihingen_kitzingen_heavy_rain_day_as_single_set_skipped_6_batch_18_split_by_size_of_500_tagged</t>
  </si>
  <si>
    <t>GERMANY, RAIN, DAY, DEMO</t>
  </si>
  <si>
    <t>31/07/2024, 16:46:02</t>
  </si>
  <si>
    <t>6565f8aefa38f84eb4f98eb8</t>
  </si>
  <si>
    <t>_2023_08_01_08_44_05_vaihingen_kitzingen_heavy_rain_day_as_single_set_skipped_6_batch_21_split_by_size_of_500_tagged</t>
  </si>
  <si>
    <t>31/07/2024, 16:46:06</t>
  </si>
  <si>
    <t>653838aa54107825f76c599d</t>
  </si>
  <si>
    <t>official_od_2023_08_01_08_44_05_vaihingen_kitzingen_heavy_rain_day_as_single_set_skipped_6_batch_12_split_by_size_of_500_for_train_tagged</t>
  </si>
  <si>
    <t>31/07/2024, 16:46:10</t>
  </si>
  <si>
    <t>653838a254107825f76c46fe</t>
  </si>
  <si>
    <t>official_od_2023_08_01_08_44_05_vaihingen_kitzingen_heavy_rain_day_as_single_set_skipped_6_batch_13_split_by_size_of_500_for_train_tagged</t>
  </si>
  <si>
    <t>31/07/2024, 16:46:14</t>
  </si>
  <si>
    <t>6538389954107825f76c3478</t>
  </si>
  <si>
    <t>official_od_2023_08_01_08_44_05_vaihingen_kitzingen_heavy_rain_day_as_single_set_skipped_6_batch_14_split_by_size_of_500_for_train_tagged</t>
  </si>
  <si>
    <t>31/07/2024, 16:46:17</t>
  </si>
  <si>
    <t>6538389254107825f76c2a93</t>
  </si>
  <si>
    <t>official_od_2023_08_01_08_44_05_vaihingen_kitzingen_heavy_rain_day_as_single_set_skipped_6_batch_15_split_by_size_of_500_for_train_tagged</t>
  </si>
  <si>
    <t>31/07/2024, 16:46:21</t>
  </si>
  <si>
    <t>6538388a54107825f76c1b4b</t>
  </si>
  <si>
    <t>official_od_2023_08_01_08_44_05_vaihingen_kitzingen_heavy_rain_day_as_single_set_skipped_6_batch_16_split_by_size_of_500_for_train_tagged</t>
  </si>
  <si>
    <t>31/07/2024, 16:46:25</t>
  </si>
  <si>
    <t>6538387b54107825f76c085a</t>
  </si>
  <si>
    <t>official_od_2023_08_01_08_44_05_vaihingen_kitzingen_heavy_rain_day_as_single_set_skipped_6_batch_19_split_by_size_of_500_for_train_tagged</t>
  </si>
  <si>
    <t>31/07/2024, 16:46:29</t>
  </si>
  <si>
    <t>6565f8f5fa38f84eb4f9d309</t>
  </si>
  <si>
    <t>_dekra_munich_rain_day_highway_od_issues_2023_06_21_10_26_11_train_batch_5_split_by_size_of_200_for_train_od_tagged</t>
  </si>
  <si>
    <t>653838c654107825f76c9ec2</t>
  </si>
  <si>
    <t>official_od_dekra_munich_rain_day_highway_od_issues_2023_06_21_10_26_11_train_batch_3_split_by_size_of_200_od_for_train_tagged</t>
  </si>
  <si>
    <t>653838c054107825f76c94a5</t>
  </si>
  <si>
    <t>official_od_dekra_munich_rain_day_highway_od_issues_2023_06_21_10_26_11_train_batch_4_split_by_size_of_200_od_for_train_tagged</t>
  </si>
  <si>
    <t>652cfb0f54107825f76a64fc</t>
  </si>
  <si>
    <t>official_od_dekra_munich_rain_day_highway_od_issues_2023_06_21_10_26_11_train_batch_9_split_by_size_of_200_od_for_train_tagged</t>
  </si>
  <si>
    <t>652cfa2854107825f76a64f8</t>
  </si>
  <si>
    <t>official_od_dekra_munich_rain_day_highway_od_issues_2023_06_21_10_26_11_train_batch_8_split_by_size_of_200_od_for_train_tagged</t>
  </si>
  <si>
    <t>652cf94854107825f76a64ef</t>
  </si>
  <si>
    <t>official_od_dekra_munich_rain_day_highway_od_issues_2023_06_21_10_26_11_train_batch_7_split_by_size_of_200_od_for_train_tagged</t>
  </si>
  <si>
    <t>652cf86f54107825f76a64e3</t>
  </si>
  <si>
    <t>official_od_dekra_munich_rain_day_highway_od_issues_2023_06_21_10_26_11_train_batch_6_split_by_size_of_200_od_for_train_tagged</t>
  </si>
  <si>
    <t>652cf79a54107825f76a64d8</t>
  </si>
  <si>
    <t>official_od_dekra_munich_rain_day_highway_od_issues_2023_06_21_10_26_11_train_batch_2_split_by_size_of_200_od_for_train_tagged</t>
  </si>
  <si>
    <t>652cf6c954107825f76a64d0</t>
  </si>
  <si>
    <t>official_od_dekra_munich_rain_day_highway_od_issues_2023_06_21_10_26_11_train_batch_1_split_by_size_of_200_od_for_train_tagged</t>
  </si>
  <si>
    <t>64e38b787225d01c8be18bc7</t>
  </si>
  <si>
    <t>official_urban_wuppertal_aptiv_filtered_peds_for_train_tagged_images</t>
  </si>
  <si>
    <t>CLOUDY, GERMANY, CLEAR, WET_ROAD, ARROWS, DAY, EUROPE, SUNNY</t>
  </si>
  <si>
    <t>64254a32be8ede2209d06a5c</t>
  </si>
  <si>
    <t>stellantis_empty_set_after_filtering_for_train_20_03_23_for_train_tagged</t>
  </si>
  <si>
    <t>CLOUDY, GERMANY, FRANCE, DAY, EUROPE</t>
  </si>
  <si>
    <t>641ff5d5be8ede2209d02abb</t>
  </si>
  <si>
    <t>erh_7799_20230308_112001_aptiv_day_10_fps_checking_for_train_tagged</t>
  </si>
  <si>
    <t>DAY, TUNNEL, SNOW</t>
  </si>
  <si>
    <t>659ac992d8ef2d6f5c529006</t>
  </si>
  <si>
    <t>official_europe_heavy_rain_for_train</t>
  </si>
  <si>
    <t>WET_ROAD, GERMANY, LANE_CHANGE, DAY, RAIN</t>
  </si>
  <si>
    <t>6565f82dfa38f84eb4f9175f</t>
  </si>
  <si>
    <t>_2023_08_01_08_44_05_vaihingen_kitzingen_heavy_rain_day_as_single_set_skipped_6_batch_34_split_by_size_of_500_tagged</t>
  </si>
  <si>
    <t>DAY, RAIN, DEMO, GERMANY</t>
  </si>
  <si>
    <t>6565f822fa38f84eb4f91116</t>
  </si>
  <si>
    <t>_2023_08_01_08_44_05_vaihingen_kitzingen_heavy_rain_day_as_single_set_skipped_6_batch_35_split_by_size_of_500_tagged</t>
  </si>
  <si>
    <t>6565f818fa38f84eb4f90a0a</t>
  </si>
  <si>
    <t>_2023_08_01_08_44_05_vaihingen_kitzingen_heavy_rain_day_as_single_set_skipped_6_batch_36_split_by_size_of_500_tagged</t>
  </si>
  <si>
    <t>6565f80dfa38f84eb4f902d3</t>
  </si>
  <si>
    <t>_2023_08_01_08_44_05_vaihingen_kitzingen_heavy_rain_day_as_single_set_skipped_6_batch_37_split_by_size_of_500_tagged</t>
  </si>
  <si>
    <t>6565f803fa38f84eb4f8fd07</t>
  </si>
  <si>
    <t>_2023_08_01_08_44_05_vaihingen_kitzingen_heavy_rain_day_as_single_set_skipped_6_batch_38_split_by_size_of_500_tagged</t>
  </si>
  <si>
    <t>6565f7f9fa38f84eb4f8f455</t>
  </si>
  <si>
    <t>_2023_08_01_08_44_05_vaihingen_kitzingen_heavy_rain_day_as_single_set_skipped_6_batch_41_split_by_size_of_500_tagged</t>
  </si>
  <si>
    <t>6565f7eefa38f84eb4f8ed9d</t>
  </si>
  <si>
    <t>_2023_08_01_08_44_05_vaihingen_kitzingen_heavy_rain_day_as_single_set_skipped_6_batch_42_split_by_size_of_500_tagged</t>
  </si>
  <si>
    <t>6565f7e4fa38f84eb4f8e492</t>
  </si>
  <si>
    <t>_2023_08_01_08_44_05_vaihingen_kitzingen_heavy_rain_day_as_single_set_skipped_6_batch_43_split_by_size_of_500_tagged</t>
  </si>
  <si>
    <t>6565f7d8fa38f84eb4f8dc10</t>
  </si>
  <si>
    <t>_2023_08_01_08_44_05_vaihingen_kitzingen_heavy_rain_day_as_single_set_skipped_6_batch_44_split_by_size_of_500_tagged</t>
  </si>
  <si>
    <t>6565f7cefa38f84eb4f8d377</t>
  </si>
  <si>
    <t>_2023_08_01_08_44_05_vaihingen_kitzingen_heavy_rain_day_as_single_set_skipped_6_batch_45_split_by_size_of_500_tagged</t>
  </si>
  <si>
    <t>653132ed54107825f76a845e</t>
  </si>
  <si>
    <t>official_od_2023_08_01_08_44_05_vaihingen_kitzingen_heavy_rain_day_as_single_set_skipped_6_batch_39_split_by_size_of_500_for_train_tagged</t>
  </si>
  <si>
    <t>HIGHWAY_EXIT, GERMANY, DEMO, LANE_CHANGE, DAY, RAIN</t>
  </si>
  <si>
    <t>653132e254107825f76a7e21</t>
  </si>
  <si>
    <t>official_od_2023_08_01_08_44_05_vaihingen_kitzingen_heavy_rain_day_as_single_set_skipped_6_batch_40_split_by_size_of_500_for_train_tagged</t>
  </si>
  <si>
    <t>64e38d7f7225d01c8be18be6</t>
  </si>
  <si>
    <t>amba_youtube_validation_set_london_day_updated</t>
  </si>
  <si>
    <t>62e8eaa407d51f12277c9770</t>
  </si>
  <si>
    <t>amba_taiwan_train_0208</t>
  </si>
  <si>
    <t>CLOUDY, DAY</t>
  </si>
  <si>
    <t>62dd57d62934ab0e865c3b0d</t>
  </si>
  <si>
    <t>amba_las_vegas_train_fully</t>
  </si>
  <si>
    <t>66793bcb0273422c870cb26a</t>
  </si>
  <si>
    <t>_strange_trucks_task_official_super_set_od_train_8mp_to_tag_batch_0_each_200_added_to_odtaggeddataboard</t>
  </si>
  <si>
    <t>DAY, CLEAR</t>
  </si>
  <si>
    <t>64e38c887225d01c8be18bd1</t>
  </si>
  <si>
    <t>01082022_koln_urban_ab_v0.8.1a_amba_rel11072022_part1_combined_v1new_updated</t>
  </si>
  <si>
    <t>6347f3ff5378b16a97be352a</t>
  </si>
  <si>
    <t>train_set_stuttgar_urban_liran_batch_7_8_9_</t>
  </si>
  <si>
    <t>63397f7d5378b16a975095ae</t>
  </si>
  <si>
    <t>train_sailauf_to_stuttgart_highway_cloudy_rainy</t>
  </si>
  <si>
    <t>63106cda6f140808cc7fbacb</t>
  </si>
  <si>
    <t>stuttgart_urban_from_0_to_99_fr_30_train</t>
  </si>
  <si>
    <t>66b46e30dc62822ed0f3036c</t>
  </si>
  <si>
    <t>fa_and_md_images_fix_from__train</t>
  </si>
  <si>
    <t>SUNNY, DAY</t>
  </si>
  <si>
    <t>65f71e2079512c347d587840</t>
  </si>
  <si>
    <t>_horizon_1000_fix_train_session_2_8mp_jpg_train_tagged</t>
  </si>
  <si>
    <t>EUROPE, CLEAR, DEMO, GERMANY, FRANCE, NIGHT</t>
  </si>
  <si>
    <t>659ac459d8ef2d6f5c51e9cc</t>
  </si>
  <si>
    <t>europe_unique_vehicles_for_train</t>
  </si>
  <si>
    <t>EUROPE, DAY, RAIN, GERMANY</t>
  </si>
  <si>
    <t>659ac28bd8ef2d6f5c51a2d9</t>
  </si>
  <si>
    <t>europe_fog_train</t>
  </si>
  <si>
    <t>FOG, EUROPE, DAY, GERMANY</t>
  </si>
  <si>
    <t>6565f6d2fa38f84eb4f8b0c3</t>
  </si>
  <si>
    <t>_od_unique_vehicles_v1_for_train_tagged</t>
  </si>
  <si>
    <t>EUROPE, DAY, CLEAR, GERMANY</t>
  </si>
  <si>
    <t>64e38bc27225d01c8be18bcc</t>
  </si>
  <si>
    <t>official_fakt_wolfsburg_paris_4w_classifier_2ws_02_03_23_for_train_tagged_images</t>
  </si>
  <si>
    <t>EUROPE, DAY, CLEAR, CLOUDY, SUNNY, GERMANY, FRANCE</t>
  </si>
  <si>
    <t>6460c613be8ede2209d185a4</t>
  </si>
  <si>
    <t>paris_night_urban_for_train_tagged_14_05_23</t>
  </si>
  <si>
    <t>DAY, NIGHT</t>
  </si>
  <si>
    <t>64244663be8ede2209d05db7</t>
  </si>
  <si>
    <t>erh_7799_20230308_122429_aptiv_day_10_fps_after_checking_for_train_tagged</t>
  </si>
  <si>
    <t>DAY, SNOW</t>
  </si>
  <si>
    <t>637ce3df5378b16a97aac904</t>
  </si>
  <si>
    <t>train_22092022_frankfurt_urban_part1_combined</t>
  </si>
  <si>
    <t>6375e5d15378b16a97735d26</t>
  </si>
  <si>
    <t>train_mainz_urban_part_1</t>
  </si>
  <si>
    <t>63749d4a5378b16a976b2203</t>
  </si>
  <si>
    <t>train_28102022_testrecording</t>
  </si>
  <si>
    <t>6373a77e5378b16a975855e0</t>
  </si>
  <si>
    <t>22092022_frankfurt_urban_part3_until_part_88_of_90_train</t>
  </si>
  <si>
    <t>635f95d15378b16a976796cd</t>
  </si>
  <si>
    <t>train_22092022_frankfurt_urban_part2_combined</t>
  </si>
  <si>
    <t>EUROPE, DAY, GERMANY, FOG, NIGHT</t>
  </si>
  <si>
    <t>6342959d5378b16a978979c4</t>
  </si>
  <si>
    <t>germany_train_g810412</t>
  </si>
  <si>
    <t>EUROPE, DAY, SUNNY</t>
  </si>
  <si>
    <t>632334475378b16a97a7c036</t>
  </si>
  <si>
    <t>koln_2_new_train</t>
  </si>
  <si>
    <t>62fa5cf607d51f1227c87c18</t>
  </si>
  <si>
    <t>germany_new_train_batch_1508</t>
  </si>
  <si>
    <t>62e8f64807d51f12277ca5fb</t>
  </si>
  <si>
    <t>germany_train_0208</t>
  </si>
  <si>
    <t>EUROPE, DAY, CLOUDY, SUNNY, GERMANY</t>
  </si>
  <si>
    <t>659abf8ad8ef2d6f5c51135b</t>
  </si>
  <si>
    <t>israel_urban_with_buses</t>
  </si>
  <si>
    <t>15/08/2024, 10:04:10</t>
  </si>
  <si>
    <t>659aa76bd8ef2d6f5c4eacbd</t>
  </si>
  <si>
    <t>europe_israel_usa_special_trucks_cement_mixer_and_buses_for_train</t>
  </si>
  <si>
    <t>DAY, SUNNY, ISRAEL</t>
  </si>
  <si>
    <t>15/08/2024, 10:04:15</t>
  </si>
  <si>
    <t>6565f8e3fa38f84eb4f9c94a</t>
  </si>
  <si>
    <t>_2023_08_01_08_44_05_vaihingen_kitzingen_heavy_rain_day_as_single_set_skipped_6_batch_2_split_by_size_of_500_tagged</t>
  </si>
  <si>
    <t>15/08/2024, 10:04:18</t>
  </si>
  <si>
    <t>6565f8d7fa38f84eb4f9be80</t>
  </si>
  <si>
    <t>_2023_08_01_08_44_05_vaihingen_kitzingen_heavy_rain_day_as_single_set_skipped_6_batch_11_split_by_size_of_500_tagged</t>
  </si>
  <si>
    <t>15/08/2024, 10:04:21</t>
  </si>
  <si>
    <t>653838ba54107825f76c8cf5</t>
  </si>
  <si>
    <t>official_od_2023_08_01_08_44_05_vaihingen_kitzingen_heavy_rain_day_as_single_set_skipped_6_batch_9_split_by_size_of_500_for_train_tagged</t>
  </si>
  <si>
    <t>15/08/2024, 10:04:24</t>
  </si>
  <si>
    <t>653838b254107825f76c73fd</t>
  </si>
  <si>
    <t>official_od_2023_08_01_08_44_05_vaihingen_kitzingen_heavy_rain_day_as_single_set_skipped_6_batch_10_split_by_size_of_500_for_train_tagged</t>
  </si>
  <si>
    <t>15/08/2024, 10:04:28</t>
  </si>
  <si>
    <t>6535056954107825f76b8754</t>
  </si>
  <si>
    <t>official_od_2023_08_01_08_44_05_vaihingen_kitzingen_heavy_rain_day_as_single_set_skipped_6_batch_0_split_by_size_of_500_for_train_tagged</t>
  </si>
  <si>
    <t>15/08/2024, 10:04:31</t>
  </si>
  <si>
    <t>6535055e54107825f76b7609</t>
  </si>
  <si>
    <t>official_od_2023_08_01_08_44_05_vaihingen_kitzingen_heavy_rain_day_as_single_set_skipped_6_batch_1_split_by_size_of_500_for_train_tagged</t>
  </si>
  <si>
    <t>RAIN, GERMANY, WET_ROAD, DAY, DEMO, ARROWS</t>
  </si>
  <si>
    <t>15/08/2024, 10:04:34</t>
  </si>
  <si>
    <t>6535055354107825f76b6a66</t>
  </si>
  <si>
    <t>official_od_2023_08_01_08_44_05_vaihingen_kitzingen_heavy_rain_day_as_single_set_skipped_6_batch_3_split_by_size_of_500_for_train_tagged</t>
  </si>
  <si>
    <t>15/08/2024, 10:04:37</t>
  </si>
  <si>
    <t>6534fb9354107825f76b6185</t>
  </si>
  <si>
    <t>official_od_2023_08_01_08_44_05_vaihingen_kitzingen_heavy_rain_day_as_single_set_skipped_6_batch_4_split_by_size_of_500_for_train_tagged</t>
  </si>
  <si>
    <t>15/08/2024, 10:04:40</t>
  </si>
  <si>
    <t>6531331e54107825f76aafb9</t>
  </si>
  <si>
    <t>official_od_2023_08_01_08_44_05_vaihingen_kitzingen_heavy_rain_day_as_single_set_skipped_6_batch_5_split_by_size_of_500_for_train_tagged</t>
  </si>
  <si>
    <t>15/08/2024, 10:04:43</t>
  </si>
  <si>
    <t>6531331454107825f76aa5ce</t>
  </si>
  <si>
    <t>official_od_2023_08_01_08_44_05_vaihingen_kitzingen_heavy_rain_day_as_single_set_skipped_6_batch_6_split_by_size_of_500_for_train_tagged</t>
  </si>
  <si>
    <t>DAY, HEAVY_RAIN, DEMO, GERMANY</t>
  </si>
  <si>
    <t>15/08/2024, 10:04:46</t>
  </si>
  <si>
    <t>6531330a54107825f76a9c37</t>
  </si>
  <si>
    <t>official_od_2023_08_01_08_44_05_vaihingen_kitzingen_heavy_rain_day_as_single_set_skipped_6_batch_7_split_by_size_of_500_for_train_tagged</t>
  </si>
  <si>
    <t>15/08/2024, 10:04:49</t>
  </si>
  <si>
    <t>6531330054107825f76a92da</t>
  </si>
  <si>
    <t>official_od_2023_08_01_08_44_05_vaihingen_kitzingen_heavy_rain_day_as_single_set_skipped_6_batch_8_split_by_size_of_500_for_train_tagged</t>
  </si>
  <si>
    <t>15/08/2024, 10:04:52</t>
  </si>
  <si>
    <t>64e72a9e7225d01c8be1a546</t>
  </si>
  <si>
    <t>official_od_diagonal_buses_22_08_23_for_train_tagged</t>
  </si>
  <si>
    <t>CLEAR, TEL_AVIV, ISRAEL, DAY</t>
  </si>
  <si>
    <t>15/08/2024, 10:04:54</t>
  </si>
  <si>
    <t>64aea490628d0605eb59f752</t>
  </si>
  <si>
    <t>official_night_europe_dataset_for_test_tagged_12_07_2023</t>
  </si>
  <si>
    <t>test</t>
  </si>
  <si>
    <t>europe, Night</t>
  </si>
  <si>
    <t>21/08/2023, 19:10:53</t>
  </si>
  <si>
    <t>63a15d862426700446052eb3</t>
  </si>
  <si>
    <t>ab_car_validation_germany</t>
  </si>
  <si>
    <t>validation</t>
  </si>
  <si>
    <t>europe, Day</t>
  </si>
  <si>
    <t>22/08/2023, 15:50:09</t>
  </si>
  <si>
    <t>630f4dc56f140808cc7ba036</t>
  </si>
  <si>
    <t>amba_germany_10_validation_set</t>
  </si>
  <si>
    <t>22/08/2023, 15:50:16</t>
  </si>
  <si>
    <t>63c0251f2426700446e07928</t>
  </si>
  <si>
    <t>ab_car_merging_two_night_sets_validation</t>
  </si>
  <si>
    <t>22/08/2023, 15:50:21</t>
  </si>
  <si>
    <t>649ad51d628d0605eb59918f</t>
  </si>
  <si>
    <t>ncap_ccrs_day_usa_for_test_27_06_23</t>
  </si>
  <si>
    <t>usa, Day</t>
  </si>
  <si>
    <t>22/08/2023, 15:51:14</t>
  </si>
  <si>
    <t>64ac084b628d0605eb59eb39</t>
  </si>
  <si>
    <t>official_od_usa_night_urban_and_highway_for_test_10_07_23_for_test_tagged</t>
  </si>
  <si>
    <t>usa, Night</t>
  </si>
  <si>
    <t>22/08/2023, 15:51:18</t>
  </si>
  <si>
    <t>64ac0db3628d0605eb59eb83</t>
  </si>
  <si>
    <t>official_combined_ncap_dummy_car_skipped_every_10_img_for_test_tagged</t>
  </si>
  <si>
    <t>undefined</t>
  </si>
  <si>
    <t>22/08/2023, 15:51:22</t>
  </si>
  <si>
    <t>64ae9c39628d0605eb59f6c3</t>
  </si>
  <si>
    <t>official_night_dataset_from_israel_for_test_tagged_12_07_23</t>
  </si>
  <si>
    <t>israel, Night</t>
  </si>
  <si>
    <t>22/08/2023, 15:51:25</t>
  </si>
  <si>
    <t>649984f9628d0605eb597e69</t>
  </si>
  <si>
    <t>lv_colorado_arizona_usa_for_test_26_06_23</t>
  </si>
  <si>
    <t>22/08/2023, 15:51:29</t>
  </si>
  <si>
    <t>64a5289d628d0605eb59d44f</t>
  </si>
  <si>
    <t>official_buses_from_tel_aviv_for_test_tagged_05_07_23</t>
  </si>
  <si>
    <t>israel, Day</t>
  </si>
  <si>
    <t>22/08/2023, 15:53:26</t>
  </si>
  <si>
    <t>64e4afc77225d01c8be1958f</t>
  </si>
  <si>
    <t>buses_and_trucks_dataset_from_israel_for_test_22_06_23_tagged</t>
  </si>
  <si>
    <t>22/08/2023, 15:53:30</t>
  </si>
  <si>
    <t>64b91f8d628d0605eb5a2707</t>
  </si>
  <si>
    <t>sun_in_frame_dataset_for_test_tagged_19_07_2023</t>
  </si>
  <si>
    <t>22/08/2023, 15:53:33</t>
  </si>
  <si>
    <t>64b694f4628d0605eb5a1a24</t>
  </si>
  <si>
    <t>14062023_holon_rehovot_rishon_for_test_tagged_18_07_23</t>
  </si>
  <si>
    <t>22/08/2023, 15:53:36</t>
  </si>
  <si>
    <t>64bfd085628d0605eb5a4c31</t>
  </si>
  <si>
    <t>night_datasets_from_europe_for_test_tagged_25_07_2023</t>
  </si>
  <si>
    <t>22/08/2023, 15:55:38</t>
  </si>
  <si>
    <t>64de15557225d01c8be16b8e</t>
  </si>
  <si>
    <t>night_dataset_from_usa_ford_for_test_17_08_23</t>
  </si>
  <si>
    <t>22/08/2023, 15:55:43</t>
  </si>
  <si>
    <t>64e4b0507225d01c8be1959b</t>
  </si>
  <si>
    <t>dataset_tel_aviv_2w_and_peds_for_test_27_06_23_tagged</t>
  </si>
  <si>
    <t>israel, day</t>
  </si>
  <si>
    <t>22/08/2023, 16:02:02</t>
  </si>
  <si>
    <t>644fb538be8ede2209d138f8</t>
  </si>
  <si>
    <t>664327133be8ede2209d0987a_filtered_by_hash_17_04_without_duplicates_for_test_tagged</t>
  </si>
  <si>
    <t>22/08/2023, 16:02:05</t>
  </si>
  <si>
    <t>62b01af7ebb0ff6db8c4c77c</t>
  </si>
  <si>
    <t>10062022_openroad_frankfurt_urban_part1_combined_v1</t>
  </si>
  <si>
    <t>unknown, unknown, unknown, unknown, u n d e f i n e d u n d e f i n e d</t>
  </si>
  <si>
    <t>22/08/2023, 16:02:14</t>
  </si>
  <si>
    <t>6395a38824267004467cdcf1</t>
  </si>
  <si>
    <t>germany_urban_validation_170</t>
  </si>
  <si>
    <t>germany, day, urban</t>
  </si>
  <si>
    <t>22/08/2023, 16:02:20</t>
  </si>
  <si>
    <t>6395a57f24267004467d0615</t>
  </si>
  <si>
    <t>amba2_urban_germany_cloudy_dusk_validation</t>
  </si>
  <si>
    <t>22/08/2023, 16:02:23</t>
  </si>
  <si>
    <t>63049b546f140808cc5efd3a</t>
  </si>
  <si>
    <t>amba3_aeb_15_day_003_validation</t>
  </si>
  <si>
    <t>ncap, day, dummy_car</t>
  </si>
  <si>
    <t>22/08/2023, 16:02:26</t>
  </si>
  <si>
    <t>63425e005378b16a978637f6</t>
  </si>
  <si>
    <t>validation_stuttgart_urban</t>
  </si>
  <si>
    <t>germany, stuttgart, urban, cloudy, clear, day</t>
  </si>
  <si>
    <t>22/08/2023, 16:02:30</t>
  </si>
  <si>
    <t>63c7ef5c24267004460ae836</t>
  </si>
  <si>
    <t>dawn_country_cloudy_validation_dusk_realistic_chapel_hill</t>
  </si>
  <si>
    <t>22/08/2023, 16:02:39</t>
  </si>
  <si>
    <t>63c7ef3a24267004460ae5be</t>
  </si>
  <si>
    <t>dawn_highway_cloudy_validation_dusk_realistic_chapel_hill</t>
  </si>
  <si>
    <t>22/08/2023, 16:02:42</t>
  </si>
  <si>
    <t>63c7f83524267004460b6066</t>
  </si>
  <si>
    <t>country_part_1_validation_ab_car_germany_day_v1_</t>
  </si>
  <si>
    <t>germany, day, country</t>
  </si>
  <si>
    <t>22/08/2023, 16:02:45</t>
  </si>
  <si>
    <t>63c7f86424267004460b60ea</t>
  </si>
  <si>
    <t>country_part_2_validation_ab_car_germany_day_v1_</t>
  </si>
  <si>
    <t>22/08/2023, 16:02:48</t>
  </si>
  <si>
    <t>63c7f7fb24267004460b5d94</t>
  </si>
  <si>
    <t>highway_validation_ab_car_germany_day_v1_</t>
  </si>
  <si>
    <t>germany, day, clear, highway</t>
  </si>
  <si>
    <t>22/08/2023, 16:02:51</t>
  </si>
  <si>
    <t>63c7f79624267004460b5c84</t>
  </si>
  <si>
    <t>urban_validation_ab_car_germany_day_v1_</t>
  </si>
  <si>
    <t>germany, day, clear, urban</t>
  </si>
  <si>
    <t>22/08/2023, 16:02:54</t>
  </si>
  <si>
    <t>64244b76be8ede2209d05e38</t>
  </si>
  <si>
    <t>ab001_erh_7799_20230202_110406_wolfsburg_long_demo_route_ssd3_filter_test_for_test_tagged</t>
  </si>
  <si>
    <t>direct_sun, cloudy, wolfsburg, germany</t>
  </si>
  <si>
    <t>22/08/2023, 16:03:04</t>
  </si>
  <si>
    <t>642935b5be8ede2209d07852</t>
  </si>
  <si>
    <t>renault_fas_after_crops_after_tagging_without_duplicates_for_validation_tagged</t>
  </si>
  <si>
    <t>france, twilight, cloudy, urban</t>
  </si>
  <si>
    <t>22/08/2023, 16:03:07</t>
  </si>
  <si>
    <t>6429863dbe8ede2209d07c7e</t>
  </si>
  <si>
    <t>rain_dataset_filtered2_without_duplicates_1_for_test_tagged</t>
  </si>
  <si>
    <t>22/08/2023, 16:03:10</t>
  </si>
  <si>
    <t>64802f86be8ede2209d280cb</t>
  </si>
  <si>
    <t>usa_country_dataset_for_test_07_06_23</t>
  </si>
  <si>
    <t>usa, day, country, clear</t>
  </si>
  <si>
    <t>22/08/2023, 16:03:13</t>
  </si>
  <si>
    <t>62f3681707d51f1227a6477e</t>
  </si>
  <si>
    <t>04082022_ped_crossing_dist_2m_1of3_combined_v1_new</t>
  </si>
  <si>
    <t>22/08/2023, 16:03:19</t>
  </si>
  <si>
    <t>62f3704907d51f1227a66b2f</t>
  </si>
  <si>
    <t>04082022_ped_crossing_dist_5m_1of3_new</t>
  </si>
  <si>
    <t>22/08/2023, 16:03:23</t>
  </si>
  <si>
    <t>63c807af24267004460bcf39</t>
  </si>
  <si>
    <t>04082022_ped_crossing_dist_10m_1of3_combined_v1_new_18_01_23</t>
  </si>
  <si>
    <t>22/08/2023, 16:03:26</t>
  </si>
  <si>
    <t>62f3690307d51f1227a6505a</t>
  </si>
  <si>
    <t>04082022_ped_crossing_dist_20m_1of2_combined_v1_new</t>
  </si>
  <si>
    <t>22/08/2023, 16:03:31</t>
  </si>
  <si>
    <t>62f39d8307d51f1227a713dc</t>
  </si>
  <si>
    <t>04082022_ped_crossing_dist_30m_2of2_new</t>
  </si>
  <si>
    <t>22/08/2023, 16:03:35</t>
  </si>
  <si>
    <t>62f3722407d51f1227a678c3</t>
  </si>
  <si>
    <t>04082022_ped_crossing_dist_40m_2of2_new</t>
  </si>
  <si>
    <t>22/08/2023, 16:03:40</t>
  </si>
  <si>
    <t>62f37e1907d51f1227a6a326</t>
  </si>
  <si>
    <t>04082022_ped_crossing_dist_50m_2of2_new</t>
  </si>
  <si>
    <t>22/08/2023, 16:03:45</t>
  </si>
  <si>
    <t>62f3989007d51f1227a6e2af</t>
  </si>
  <si>
    <t>04082022_ped_crossing_dist_60m_2of2_combined_v1_new</t>
  </si>
  <si>
    <t>22/08/2023, 16:03:52</t>
  </si>
  <si>
    <t>63c8082a24267004460bd22a</t>
  </si>
  <si>
    <t>04082022_longitudinal_ped_offset_0m_part1_combined_v1_new_18_01_23</t>
  </si>
  <si>
    <t>unknown, unknown, unknown, unknown, u n d e f i n e d</t>
  </si>
  <si>
    <t>22/08/2023, 16:03:58</t>
  </si>
  <si>
    <t>638477005378b16a9709c878</t>
  </si>
  <si>
    <t>04082022_car2car_longitudinal_20kph_1of2_combined_v1_1</t>
  </si>
  <si>
    <t>22/08/2023, 16:04:03</t>
  </si>
  <si>
    <t>63c808f324267004460bd6b5</t>
  </si>
  <si>
    <t>04082022_car2car_longitudinal_40kph_1of2_combined_v1_1_new_18_01_23</t>
  </si>
  <si>
    <t>22/08/2023, 16:04:07</t>
  </si>
  <si>
    <t>6384814e5378b16a970a13e9</t>
  </si>
  <si>
    <t>04082022_car2car_longitudinal_60kph_1of2_combined_v1_1</t>
  </si>
  <si>
    <t>22/08/2023, 16:04:10</t>
  </si>
  <si>
    <t>638482635378b16a970a1da4</t>
  </si>
  <si>
    <t>04082022_car2car_longitudinal_80kph_1of2_combined_v1_1</t>
  </si>
  <si>
    <t>22/08/2023, 16:04:14</t>
  </si>
  <si>
    <t>63c8095424267004460bd8d0</t>
  </si>
  <si>
    <t>03082022_bicycle_lat_2m_lr_rl_1of2_combined_v1_new_18_01_23</t>
  </si>
  <si>
    <t>22/08/2023, 16:04:17</t>
  </si>
  <si>
    <t>63c8096924267004460bd93e</t>
  </si>
  <si>
    <t>003082022_bicycle_lat_10m_lr_rl_1of2_combined_v1_new_18_01_23</t>
  </si>
  <si>
    <t>22/08/2023, 16:04:20</t>
  </si>
  <si>
    <t>63c8099624267004460bda15</t>
  </si>
  <si>
    <t>03082022_bicycle_lat_20m_lr_rl_1of2_combined_v1_new_18_01_23</t>
  </si>
  <si>
    <t>22/08/2023, 16:04:24</t>
  </si>
  <si>
    <t>63c80a1724267004460be3d4</t>
  </si>
  <si>
    <t>03082022_bicycle_lat_40m_lr_rl_1of2_combined_v1_1_18_01_23</t>
  </si>
  <si>
    <t>22/08/2023, 16:04:28</t>
  </si>
  <si>
    <t>64e4b75f7225d01c8be19600</t>
  </si>
  <si>
    <t>europe_open_road_diversity_dataset_for_test_26_06_2023_added_to_official_super_set_od_test_8mp</t>
  </si>
  <si>
    <t>germany, day, direct_sun, clear</t>
  </si>
  <si>
    <t>22/08/2023, 16:26:59</t>
  </si>
  <si>
    <t>64e75f557225d01c8be1a729</t>
  </si>
  <si>
    <t>official_od_acordion_buses_for_train_21_08_23_for_test_tagged</t>
  </si>
  <si>
    <t>day, clear, tel_aviv, israel, urban, accordion_bus</t>
  </si>
  <si>
    <t>24/08/2023, 16:47:43</t>
  </si>
  <si>
    <t>64e766607225d01c8be1a79f</t>
  </si>
  <si>
    <t>official_od_special_trucks_focused_on_cement_mixer_and_24_08_2023_for_test_tagged</t>
  </si>
  <si>
    <t>day, clear, israel, special_trucks, cement_mixer</t>
  </si>
  <si>
    <t>24/08/2023, 17:27:21</t>
  </si>
  <si>
    <t>653507a654107825f76b9879</t>
  </si>
  <si>
    <t>official_od_disappointing_palm_springs_skip_10_od_for_test_tagged</t>
  </si>
  <si>
    <t>22/10/2023, 14:29:46</t>
  </si>
  <si>
    <t>654ccf4c54107825f7758267</t>
  </si>
  <si>
    <t>_combined_night_recs_for_od_test_batch_9_split_by_size_of_294_for_test_od_tagged</t>
  </si>
  <si>
    <t>europe, germany, night, test</t>
  </si>
  <si>
    <t>654ccf5254107825f7758b06</t>
  </si>
  <si>
    <t>_combined_night_recs_for_od_test_batch_8_split_by_size_of_294_for_test_od_tagged</t>
  </si>
  <si>
    <t>654ccf5854107825f775914c</t>
  </si>
  <si>
    <t>_combined_night_recs_for_od_test_batch_7_split_by_size_of_294_for_test_od_tagged</t>
  </si>
  <si>
    <t>654ccf5e54107825f77598d9</t>
  </si>
  <si>
    <t>_combined_night_recs_for_od_test_batch_6_split_by_size_of_294_for_test_od_tagged</t>
  </si>
  <si>
    <t>654ccf6554107825f775a08d</t>
  </si>
  <si>
    <t>_combined_night_recs_for_od_test_batch_5_split_by_size_of_294_for_test_od_tagged</t>
  </si>
  <si>
    <t>654ccf6b54107825f775ab91</t>
  </si>
  <si>
    <t>_combined_night_recs_for_od_test_batch_4_split_by_size_of_294_for_test_od_tagged</t>
  </si>
  <si>
    <t>654ccf7154107825f775bb00</t>
  </si>
  <si>
    <t>_combined_night_recs_for_od_test_batch_3_split_by_size_of_294_for_test_od_tagged</t>
  </si>
  <si>
    <t>654ccf7854107825f775c7de</t>
  </si>
  <si>
    <t>_combined_night_recs_for_od_test_batch_2_split_by_size_of_294_for_test_od_tagged</t>
  </si>
  <si>
    <t>654ccf7e54107825f775d2c2</t>
  </si>
  <si>
    <t>_combined_night_recs_for_od_test_batch_1_split_by_size_of_294_for_test_od_tagged</t>
  </si>
  <si>
    <t>654ccf8554107825f775e146</t>
  </si>
  <si>
    <t>_combined_night_recs_for_od_test_batch_0_split_by_size_of_294_for_test_od_tagged</t>
  </si>
  <si>
    <t>654ccee954107825f77576b0</t>
  </si>
  <si>
    <t>_2023_07_29_23_32_38_bonlanden_vaihingen_rain_night_1_fps_for_test_batch_4_split_by_size_of_200_tagged</t>
  </si>
  <si>
    <t>2023_07_29_23_32_38_bonlanden_vaihingen_rain_night, highway, munich, night, rain, test</t>
  </si>
  <si>
    <t>654cceef54107825f7757886</t>
  </si>
  <si>
    <t>_2023_07_29_23_32_38_bonlanden_vaihingen_rain_night_1_fps_for_test_batch_3_split_by_size_of_200_tagged</t>
  </si>
  <si>
    <t>654cde6054107825f7768ab2</t>
  </si>
  <si>
    <t>_2023_07_29_23_32_38_bonlanden_vaihingen_rain_night_1_fps_for_test_batch_1_split_by_size_of_200_tagged</t>
  </si>
  <si>
    <t>656846edfa38f84eb4fe0070</t>
  </si>
  <si>
    <t>_combined_test_set_from_europe_and_israel_highway_and_urban_batch__19_tagged</t>
  </si>
  <si>
    <t>mix, sequential</t>
  </si>
  <si>
    <t>30/11/2023, 10:25:22</t>
  </si>
  <si>
    <t>65684710fa38f84eb4fe7734</t>
  </si>
  <si>
    <t>_combined_test_set_from_europe_and_israel_highway_and_urban_batch__16_tagged</t>
  </si>
  <si>
    <t>30/11/2023, 10:25:56</t>
  </si>
  <si>
    <t>6568471afa38f84eb4fe9cae</t>
  </si>
  <si>
    <t>_combined_test_set_from_europe_and_israel_highway_and_urban_batch__15_tagged</t>
  </si>
  <si>
    <t>30/11/2023, 10:26:07</t>
  </si>
  <si>
    <t>65684726fa38f84eb4feb668</t>
  </si>
  <si>
    <t>_combined_test_set_from_europe_and_israel_highway_and_urban_batch__14_tagged</t>
  </si>
  <si>
    <t>30/11/2023, 10:26:18</t>
  </si>
  <si>
    <t>65684731fa38f84eb4fedd03</t>
  </si>
  <si>
    <t>_combined_test_set_from_europe_and_israel_highway_and_urban_batch__13_tagged</t>
  </si>
  <si>
    <t>30/11/2023, 10:26:29</t>
  </si>
  <si>
    <t>6568473cfa38f84eb4feff56</t>
  </si>
  <si>
    <t>_combined_test_set_from_europe_and_israel_highway_and_urban_batch__12_tagged</t>
  </si>
  <si>
    <t>30/11/2023, 10:26:40</t>
  </si>
  <si>
    <t>65684745fa38f84eb4ff1324</t>
  </si>
  <si>
    <t>_combined_test_set_from_europe_and_israel_highway_and_urban_batch__11_tagged</t>
  </si>
  <si>
    <t>30/11/2023, 10:26:49</t>
  </si>
  <si>
    <t>6568474ffa38f84eb4ff297c</t>
  </si>
  <si>
    <t>_combined_test_set_from_europe_and_israel_highway_and_urban_batch__10_tagged</t>
  </si>
  <si>
    <t>30/11/2023, 10:27:00</t>
  </si>
  <si>
    <t>6568475afa38f84eb4ff46da</t>
  </si>
  <si>
    <t>_combined_test_set_from_europe_and_israel_highway_and_urban_batch__9_tagged</t>
  </si>
  <si>
    <t>30/11/2023, 10:27:10</t>
  </si>
  <si>
    <t>65684764fa38f84eb4ff65d2</t>
  </si>
  <si>
    <t>_combined_test_set_from_europe_and_israel_highway_and_urban_batch__8_tagged</t>
  </si>
  <si>
    <t>30/11/2023, 10:27:20</t>
  </si>
  <si>
    <t>6568476efa38f84eb4ff79ad</t>
  </si>
  <si>
    <t>_combined_test_set_from_europe_and_israel_highway_and_urban_batch__7_tagged</t>
  </si>
  <si>
    <t>30/11/2023, 10:27:30</t>
  </si>
  <si>
    <t>65684779fa38f84eb4ff999e</t>
  </si>
  <si>
    <t>_combined_test_set_from_europe_and_israel_highway_and_urban_batch__6_tagged</t>
  </si>
  <si>
    <t>30/11/2023, 10:27:41</t>
  </si>
  <si>
    <t>65684fc9fa38f84eb4ff9f47</t>
  </si>
  <si>
    <t>_night_highway_france_test_for_test_od_tagged</t>
  </si>
  <si>
    <t>france, highway, night, test</t>
  </si>
  <si>
    <t>30/11/2023, 11:03:09</t>
  </si>
  <si>
    <t>65684fd1fa38f84eb4ffa193</t>
  </si>
  <si>
    <t>_od_night_highway_germany_test_for_test_od_tagged</t>
  </si>
  <si>
    <t>germany, highway, night, test</t>
  </si>
  <si>
    <t>30/11/2023, 11:03:15</t>
  </si>
  <si>
    <t>65684fd6fa38f84eb4ffa323</t>
  </si>
  <si>
    <t>_od_night_urban_germany_test_batch_3_split_by_size_of_250_for_test_od_tagged</t>
  </si>
  <si>
    <t>germany, night, test, urban</t>
  </si>
  <si>
    <t>30/11/2023, 11:03:21</t>
  </si>
  <si>
    <t>65684fddfa38f84eb4ffab66</t>
  </si>
  <si>
    <t>_od_night_urban_germany_test_batch_2_split_by_size_of_250_for_test_od_tagged</t>
  </si>
  <si>
    <t>30/11/2023, 11:03:29</t>
  </si>
  <si>
    <t>65684fe6fa38f84eb4ffb30f</t>
  </si>
  <si>
    <t>_od_night_urban_germany_test_batch_1_split_by_size_of_250_for_test_od_tagged</t>
  </si>
  <si>
    <t>30/11/2023, 11:03:37</t>
  </si>
  <si>
    <t>65684fedfa38f84eb4ffb918</t>
  </si>
  <si>
    <t>_od_night_urban_germany_test_batch_0_split_by_size_of_250_for_test_od_tagged</t>
  </si>
  <si>
    <t>30/11/2023, 11:03:44</t>
  </si>
  <si>
    <t>65687568fa38f84eb4ffe34f</t>
  </si>
  <si>
    <t>_heavy_rain_day_stuttgart_leonberg_test_batch_6_split_by_size_of_250_for_test_od_tagged</t>
  </si>
  <si>
    <t>day, germany, heavy_rain, leonberg, rain, stuttgart</t>
  </si>
  <si>
    <t>30/11/2023, 13:43:39</t>
  </si>
  <si>
    <t>65687570fa38f84eb4ffeceb</t>
  </si>
  <si>
    <t>_heavy_rain_day_stuttgart_leonberg_test_batch_4_split_by_size_of_250_for_test_od_tagged</t>
  </si>
  <si>
    <t>30/11/2023, 13:43:47</t>
  </si>
  <si>
    <t>65687579fa38f84eb4fffc49</t>
  </si>
  <si>
    <t>_heavy_rain_day_stuttgart_leonberg_test_batch_3_split_by_size_of_250_for_test_od_tagged</t>
  </si>
  <si>
    <t>30/11/2023, 13:43:55</t>
  </si>
  <si>
    <t>65687581fa38f84eb40008a8</t>
  </si>
  <si>
    <t>_heavy_rain_day_stuttgart_leonberg_test_batch_2_split_by_size_of_250_for_test_od_tagged</t>
  </si>
  <si>
    <t>30/11/2023, 13:44:04</t>
  </si>
  <si>
    <t>6568758afa38f84eb40019a8</t>
  </si>
  <si>
    <t>_heavy_rain_day_stuttgart_leonberg_test_batch_1_split_by_size_of_250_for_test_od_tagged</t>
  </si>
  <si>
    <t>30/11/2023, 13:44:14</t>
  </si>
  <si>
    <t>659aaa9ad8ef2d6f5c4ec3f3</t>
  </si>
  <si>
    <t>europe_usa_uniuqe_vehicles_for_test_added_to_official_super_set_od_test_8mp</t>
  </si>
  <si>
    <t>USA, RAIN, GERMANY, DAY, EUROPE, LAS_VEGAS, CLEAR, HEAVY_RAIN</t>
  </si>
  <si>
    <t>654cab2354107825f7756fc0</t>
  </si>
  <si>
    <t>od_ncap_vw_closed_loop_demo_tt_test</t>
  </si>
  <si>
    <t>GERMANY, DAY, CLEAR</t>
  </si>
  <si>
    <t>659acbb6d8ef2d6f5c529e2f</t>
  </si>
  <si>
    <t>official_europe_munich_test</t>
  </si>
  <si>
    <t>659acde7d8ef2d6f5c52d9c1</t>
  </si>
  <si>
    <t>official_las_vegas_usa_test</t>
  </si>
  <si>
    <t>USA, LAS_VEGAS, DAY</t>
  </si>
  <si>
    <t>62f8f4ae07d51f1227be1751</t>
  </si>
  <si>
    <t>sanity_longi_ped_day_test_14_08</t>
  </si>
  <si>
    <t>15/02/2024, 13:59:03</t>
  </si>
  <si>
    <t>62f8f53a07d51f1227be17a8</t>
  </si>
  <si>
    <t>sanity_longi_2w_day_test_14_08</t>
  </si>
  <si>
    <t>15/02/2024, 14:06:19</t>
  </si>
  <si>
    <t>62f8f62307d51f1227be19a3</t>
  </si>
  <si>
    <t>sanity_crossing_2w_day_test_14_08</t>
  </si>
  <si>
    <t>15/02/2024, 14:09:24</t>
  </si>
  <si>
    <t>62f8f66f07d51f1227be1e5a</t>
  </si>
  <si>
    <t>sanity_longi_4w_day_test_14_08</t>
  </si>
  <si>
    <t>15/02/2024, 14:11:21</t>
  </si>
  <si>
    <t>62f8f0aa07d51f1227be0e7b</t>
  </si>
  <si>
    <t>sanity_crossing_ped_night_test_14_08</t>
  </si>
  <si>
    <t>15/02/2024, 14:15:51</t>
  </si>
  <si>
    <t>62f8f0f507d51f1227be0e9f</t>
  </si>
  <si>
    <t>sanity_longi_ped_night_test_14_08</t>
  </si>
  <si>
    <t>15/02/2024, 14:17:46</t>
  </si>
  <si>
    <t>62f8e8cb07d51f1227bdee21</t>
  </si>
  <si>
    <t>ncap_longi_ped_day_test_14_08</t>
  </si>
  <si>
    <t>CPFA, SPEED_55, DAY, CPLA, SPEED_40, NCAP, SPEED_60</t>
  </si>
  <si>
    <t>15/02/2024, 14:18:49</t>
  </si>
  <si>
    <t>62f8e6de07d51f1227bde8ac</t>
  </si>
  <si>
    <t>combined_ncap_longi_2w_day_test_14_08</t>
  </si>
  <si>
    <t>SPEED_40, SPEED_60, DAY, CBLA, NCAP, SPEED_30</t>
  </si>
  <si>
    <t>15/02/2024, 15:12:18</t>
  </si>
  <si>
    <t>65ce0db5ab0e100832451c52</t>
  </si>
  <si>
    <t>ncap_crossing_2w_day_test_14_08_added_to_odtaggeddataboard</t>
  </si>
  <si>
    <t>NCAP</t>
  </si>
  <si>
    <t>15/02/2024, 15:12:32</t>
  </si>
  <si>
    <t>62f8e7b607d51f1227bded18</t>
  </si>
  <si>
    <t>combined_ncap_longi_4w_day_test_14_08</t>
  </si>
  <si>
    <t>DAY, CCRM, NCAP, SPEED_80, OVERLAP_75</t>
  </si>
  <si>
    <t>15/02/2024, 15:12:36</t>
  </si>
  <si>
    <t>62f8e89807d51f1227bdede4</t>
  </si>
  <si>
    <t>combined_ncap_crossing_ped_day_test_14_08</t>
  </si>
  <si>
    <t>DAY, SPEED_35, CPNC, NCAP, SPEED_20</t>
  </si>
  <si>
    <t>15/02/2024, 16:06:54</t>
  </si>
  <si>
    <t>66719b6821a647736461e72d</t>
  </si>
  <si>
    <t>day_clear_urban_tel_aviv_od_test_10fps</t>
  </si>
  <si>
    <t>NIGHT, ARROWS, CLEAR, DAY, SUNNY, ISRAEL</t>
  </si>
  <si>
    <t>19/06/2024, 17:25:58</t>
  </si>
  <si>
    <t>654cd46254107825f775e7ef</t>
  </si>
  <si>
    <t>_2023_06_21_11_28_35_dekra_munich_rain_day_highway2_od_test_batch_7_split_by_size_of_200_for_test_od_tagged</t>
  </si>
  <si>
    <t>WET_ROAD, SPECIAL_VEHICLE, GERMANY, EU_SR, CROSSWALK, RAIN, HIGHWAY_EXIT, DOT_BOTS, CLEAR, EUROPE, LANE_CHANGE, TUNNEL, DAY</t>
  </si>
  <si>
    <t>26/06/2024, 18:07:33</t>
  </si>
  <si>
    <t>654cd48b54107825f7761c41</t>
  </si>
  <si>
    <t>____2023_06_21_11_28_35_dekra_munich_rain_day_highway2_od_test_batch_0_split_by_size_of_200_for_test_od_tagged</t>
  </si>
  <si>
    <t>WET_ROAD, SPECIAL_VEHICLE, GERMANY, EU_SR, CROSSWALK, RAIN, HIGHWAY_EXIT, DOT_BOTS, UNCATEGORIZED_EVENT, CLEAR, EUROPE, LANE_CHANGE, BRIDGE, TUNNEL, DAY</t>
  </si>
  <si>
    <t>26/06/2024, 18:09:02</t>
  </si>
  <si>
    <t>654cd48554107825f77614aa</t>
  </si>
  <si>
    <t>_2023_06_21_11_28_35_dekra_munich_rain_day_highway2_od_test_batch_1_split_by_size_of_200_for_test_od_tagged</t>
  </si>
  <si>
    <t>WET_ROAD, DAY, SPECIAL_VEHICLE, GERMANY, EU_SR, CROSSWALK, RAIN, DOT_BOTS, UNCATEGORIZED_EVENT, CLEAR, EUROPE, LANE_CHANGE, TUNNEL, HIGHWAY_EXIT</t>
  </si>
  <si>
    <t>26/06/2024, 18:09:04</t>
  </si>
  <si>
    <t>654cd48054107825f7760c87</t>
  </si>
  <si>
    <t>_2023_06_21_11_28_35_dekra_munich_rain_day_highway2_od_test_batch_2_split_by_size_of_200_for_test_od_tagged</t>
  </si>
  <si>
    <t>WET_ROAD, SPECIAL_VEHICLE, GERMANY, EU_SR, CROSSWALK, RAIN, HIGHWAY_EXIT, DOT_BOTS, UNCATEGORIZED_EVENT, CLEAR, EUROPE, LANE_CHANGE, TUNNEL, DAY</t>
  </si>
  <si>
    <t>26/06/2024, 18:09:06</t>
  </si>
  <si>
    <t>654cd47a54107825f77603c3</t>
  </si>
  <si>
    <t>_2023_06_21_11_28_35_dekra_munich_rain_day_highway2_od_test_batch_3_split_by_size_of_200_for_test_od_tagged</t>
  </si>
  <si>
    <t>26/06/2024, 18:09:09</t>
  </si>
  <si>
    <t>654cd47454107825f775ff6c</t>
  </si>
  <si>
    <t>_2023_06_21_11_28_35_dekra_munich_rain_day_highway2_od_test_batch_4_split_by_size_of_200_for_test_od_tagged</t>
  </si>
  <si>
    <t>WET_ROAD, SPECIAL_VEHICLE, GERMANY, EU_SR, CROSSWALK, RAIN, DOT_BOTS, HIGHWAY_EXIT, UNCATEGORIZED_EVENT, CLEAR, EUROPE, LANE_CHANGE, TUNNEL, DAY</t>
  </si>
  <si>
    <t>26/06/2024, 18:09:32</t>
  </si>
  <si>
    <t>654cd4bf54107825f7767d60</t>
  </si>
  <si>
    <t>_2023_08_16_17_02_13_dekra_moehringen_rain_day_skipped_6_batch_11_split_by_size_of_500_for_test_od_tagged</t>
  </si>
  <si>
    <t>26/06/2024, 18:09:51</t>
  </si>
  <si>
    <t>654cd4b954107825f776742b</t>
  </si>
  <si>
    <t>_2023_08_16_17_02_13_dekra_moehringen_rain_day_skipped_6_batch_12_split_by_size_of_500_for_test_od_tagged</t>
  </si>
  <si>
    <t>26/06/2024, 18:09:53</t>
  </si>
  <si>
    <t>654cd4b454107825f7766f70</t>
  </si>
  <si>
    <t>_2023_08_16_17_02_13_dekra_moehringen_rain_day_skipped_6_batch_13_split_by_size_of_500_for_test_od_tagged</t>
  </si>
  <si>
    <t>26/06/2024, 18:09:54</t>
  </si>
  <si>
    <t>654cd4ac54107825f776614e</t>
  </si>
  <si>
    <t>_2023_08_16_17_02_13_dekra_moehringen_rain_day_skipped_6_batch_14_split_by_size_of_500_for_test_od_tagged</t>
  </si>
  <si>
    <t>26/06/2024, 18:09:56</t>
  </si>
  <si>
    <t>654cd4a454107825f77652fd</t>
  </si>
  <si>
    <t>_2023_08_16_17_02_13_dekra_moehringen_rain_day_skipped_6_batch_15_split_by_size_of_500_for_test_od_tagged</t>
  </si>
  <si>
    <t>26/06/2024, 18:09:58</t>
  </si>
  <si>
    <t>654cd49b54107825f7763ae7</t>
  </si>
  <si>
    <t>_2023_08_16_17_02_13_dekra_moehringen_rain_day_skipped_6_batch_16_split_by_size_of_500_for_test_od_tagged</t>
  </si>
  <si>
    <t>26/06/2024, 18:10:01</t>
  </si>
  <si>
    <t>654cd49354107825f776309c</t>
  </si>
  <si>
    <t>_2023_08_16_17_02_13_dekra_moehringen_rain_day_skipped_6_batch_19_split_by_size_of_500_for_test_od_tagged</t>
  </si>
  <si>
    <t>26/06/2024, 18:10:03</t>
  </si>
  <si>
    <t>654cd46e54107825f775f6a0</t>
  </si>
  <si>
    <t>_2023_06_21_11_28_35_dekra_munich_rain_day_highway2_od_test_batch_5_split_by_size_of_200_for_test_od_tagged</t>
  </si>
  <si>
    <t>26/06/2024, 18:10:06</t>
  </si>
  <si>
    <t>6668415b06e1a3626922d922</t>
  </si>
  <si>
    <t>israel_drive_imx728_isp_v4_yellow_images_extracted_manually_to_tag_batch_6_each_100</t>
  </si>
  <si>
    <t>26/06/2024, 18:27:36</t>
  </si>
  <si>
    <t>6668415406e1a3626922d921</t>
  </si>
  <si>
    <t>israel_drive_imx728_isp_v4_yellow_images_extracted_manually_to_tag_batch_5_each_100</t>
  </si>
  <si>
    <t>DAY, CLEAR, ISRAEL</t>
  </si>
  <si>
    <t>26/06/2024, 18:37:41</t>
  </si>
  <si>
    <t>6668414c06e1a3626922d920</t>
  </si>
  <si>
    <t>israel_drive_imx728_isp_v4_yellow_images_extracted_manually_to_tag_batch_4_each_100</t>
  </si>
  <si>
    <t>26/06/2024, 18:37:52</t>
  </si>
  <si>
    <t>6668414506e1a3626922d91e</t>
  </si>
  <si>
    <t>israel_drive_imx728_isp_v4_yellow_images_extracted_manually_to_tag_batch_2_each_100</t>
  </si>
  <si>
    <t>26/06/2024, 18:38:04</t>
  </si>
  <si>
    <t>6668413206e1a3626922d91d</t>
  </si>
  <si>
    <t>israel_drive_imx728_isp_v4_yellow_images_extracted_manually_to_tag_batch_1_each_100</t>
  </si>
  <si>
    <t>26/06/2024, 18:38:16</t>
  </si>
  <si>
    <t>6668412c06e1a3626922d91c</t>
  </si>
  <si>
    <t>israel_drive_imx728_isp_v4_yellow_images_extracted_manually_to_tag_batch_0_each_100</t>
  </si>
  <si>
    <t>26/06/2024, 18:38:28</t>
  </si>
  <si>
    <t>6668414906e1a3626922d91f</t>
  </si>
  <si>
    <t>israel_drive_imx728_isp_v4_yellow_images_extracted_manually_to_tag_batch_3_each_100</t>
  </si>
  <si>
    <t>ISRAEL, DAY, CLEAR</t>
  </si>
  <si>
    <t>26/06/2024, 18:41:33</t>
  </si>
  <si>
    <t>659accd9d8ef2d6f5c52a7fe</t>
  </si>
  <si>
    <t>2023_06_21_11_28_35_dekra_munich_rain_day_highway2_od_test_batch_8_split_by_size_of_200_tagged</t>
  </si>
  <si>
    <t>DOT_BOTS, UNCATEGORIZED_EVENT, RAIN, EU_SR, WET_ROAD, SPECIAL_VEHICLE, TUNNEL, EUROPE, HIGHWAY_EXIT, GERMANY, LANE_CHANGE, CLEAR, DAY, CROSSWALK</t>
  </si>
  <si>
    <t>654cd46854107825f775edd0</t>
  </si>
  <si>
    <t>_2023_06_21_11_28_35_dekra_munich_rain_day_highway2_od_test_batch_6_split_by_size_of_200_for_test_od_tagged</t>
  </si>
  <si>
    <t>DOT_BOTS, UNCATEGORIZED_EVENT, RAIN, WET_ROAD, SPECIAL_VEHICLE, TUNNEL, EUROPE, HIGHWAY_EXIT, GERMANY, LANE_CHANGE, EU_SR, CLEAR, DAY, CROSSWALK</t>
  </si>
  <si>
    <t>6666bc0b06e1a3626922834e</t>
  </si>
  <si>
    <t>bronzed_harrisonburg_every_30_images_to_tag</t>
  </si>
  <si>
    <t>17/07/2024, 13:00:18</t>
  </si>
  <si>
    <t>6666bc0706e1a3626922834c</t>
  </si>
  <si>
    <t>uninhibited_port_arthur_every_30_images_to_tag</t>
  </si>
  <si>
    <t>17/07/2024, 13:00:26</t>
  </si>
  <si>
    <t>6666bc0406e1a3626922834a</t>
  </si>
  <si>
    <t>less_hutchinson_every_30_images_to_tag</t>
  </si>
  <si>
    <t>17/07/2024, 13:00:34</t>
  </si>
  <si>
    <t>6666bc0006e1a36269228348</t>
  </si>
  <si>
    <t>steely_tempe_every_30_images_to_tag</t>
  </si>
  <si>
    <t>17/07/2024, 13:00:43</t>
  </si>
  <si>
    <t>6666bbfc06e1a36269228346</t>
  </si>
  <si>
    <t>sketchy_elmhurst_every_30_images_to_tag</t>
  </si>
  <si>
    <t>17/07/2024, 13:00:51</t>
  </si>
  <si>
    <t>6666bbf906e1a36269228344</t>
  </si>
  <si>
    <t>five_ankeny_every_30_images_to_tag</t>
  </si>
  <si>
    <t>17/07/2024, 13:00:55</t>
  </si>
  <si>
    <t>64e5fb8b7225d01c8be19ca8</t>
  </si>
  <si>
    <t>combined_datasets_from_israel_for_test_12_06_2023_restored_v1_tagged</t>
  </si>
  <si>
    <t>CLOUDY, TEL_AVIV, SUNNY, DAY, CLEAR, DIRECT_SUN, ISRAEL, BRIDGE</t>
  </si>
  <si>
    <t>17/07/2024, 19:03:44</t>
  </si>
  <si>
    <t>66950cb6b9653c153efaa8b2</t>
  </si>
  <si>
    <t>israel_drive_imx728_isp_v6_images_extracted_manually_07_09_2024_01_44_52_batches_1_to_13_filtered_skip3_batch_0_each_200_to_tag</t>
  </si>
  <si>
    <t>18/07/2024, 11:45:22</t>
  </si>
  <si>
    <t>6699224cb9653c153e023d50</t>
  </si>
  <si>
    <t>od_release_test_set_tagged</t>
  </si>
  <si>
    <t>SUNNY, ARROWS, CLEAR, IRELAND, STRAIGHT, ISRAEL, DAY, USA, LIGHT_RAIN</t>
  </si>
  <si>
    <t>18/07/2024, 17:10:21</t>
  </si>
  <si>
    <t>66950cb8b9653c153efaa8b3</t>
  </si>
  <si>
    <t>israel_drive_imx728_isp_v6_images_extracted_manually_07_09_2024_01_44_52_batches_1_to_13_filtered_skip3_batch_1_each_200_to_tag</t>
  </si>
  <si>
    <t>DAY, ISRAEL, CLEAR</t>
  </si>
  <si>
    <t>22/07/2024, 13:43:08</t>
  </si>
  <si>
    <t>66950cbab9653c153efaa8b5</t>
  </si>
  <si>
    <t>israel_drive_imx728_isp_v6_images_extracted_manually_07_09_2024_01_44_52_batches_1_to_13_filtered_skip3_batch_3_each_200_to_tag</t>
  </si>
  <si>
    <t>22/07/2024, 13:46:13</t>
  </si>
  <si>
    <t>66950cb9b9653c153efaa8b4</t>
  </si>
  <si>
    <t>israel_drive_imx728_isp_v6_images_extracted_manually_07_09_2024_01_44_52_batches_1_to_13_filtered_skip3_batch_2_each_200_to_tag</t>
  </si>
  <si>
    <t>CLEAR, ISRAEL, DAY</t>
  </si>
  <si>
    <t>22/07/2024, 13:47:18</t>
  </si>
  <si>
    <t>66ba03efdc62822ed0f826e9</t>
  </si>
  <si>
    <t>fa_and_md_images_fix_from__test_tagged</t>
  </si>
  <si>
    <t>sanity_crossing_ped_day_test_14_08</t>
  </si>
  <si>
    <t>62f8f2f307d51f1227be0f1f</t>
  </si>
  <si>
    <t>sanity_crossing_4w_day_test_14_08</t>
  </si>
  <si>
    <t>62f8f6c707d51f1227be20e6</t>
  </si>
  <si>
    <t>ncap_crossing_2w_day_test_14_08</t>
  </si>
  <si>
    <t>62f8e72c07d51f1227bdecd2</t>
  </si>
  <si>
    <t>ncap_peds_crossing_neta_1.4</t>
  </si>
  <si>
    <t>6282482f9cf74c4e4a6256f7</t>
  </si>
  <si>
    <t>ncap_peds_longi_neta_1.4</t>
  </si>
  <si>
    <t>628249429cf74c4e4a625875</t>
  </si>
  <si>
    <t>ncap_2w_crossing_neta_1.4</t>
  </si>
  <si>
    <t>62824c679cf74c4e4a625fba</t>
  </si>
  <si>
    <t>ncap_2w_longi_net_a_1.4</t>
  </si>
  <si>
    <t>62824cb69cf74c4e4a626033</t>
  </si>
  <si>
    <t>ncap_4w_longi_net_a_1.4</t>
  </si>
  <si>
    <t>62824f919cf74c4e4a626515</t>
  </si>
  <si>
    <t>combined_ncap_crossing_ped_night_test_14_08</t>
  </si>
  <si>
    <t>62f90c1507d51f1227be4dcf</t>
  </si>
  <si>
    <t>conti_kpi_validation_set</t>
  </si>
  <si>
    <t>5fb4d003538d82453997ddfb</t>
  </si>
  <si>
    <t>large_peds_test_set</t>
  </si>
  <si>
    <t>61e7c3abd50baf2f194af3ad</t>
  </si>
  <si>
    <t>open_road_test_set_16_06GT</t>
  </si>
  <si>
    <t>62ab41e2ebb0ff6db8b268f6</t>
  </si>
  <si>
    <t>incidental_downers_grove</t>
  </si>
  <si>
    <t>6224c0ac35291705b8528b20</t>
  </si>
  <si>
    <t>apprfollcurv_110_60_short.rrec_mc_1649757975646203_to_1649758052804894</t>
  </si>
  <si>
    <t>62b1c5fbebb0ff6db8dca8ba</t>
  </si>
  <si>
    <t>snoring_midland</t>
  </si>
  <si>
    <t>6270fd405f07e724a3c040d2</t>
  </si>
  <si>
    <t>4w_open_road_compare_to_cametra</t>
  </si>
  <si>
    <t>62cc35072934ab0e861af350</t>
  </si>
  <si>
    <t>united_night_open_road_test</t>
  </si>
  <si>
    <t>62dd61862934ab0e865cbbd4</t>
  </si>
  <si>
    <t>conti_2_test_set_28_06</t>
  </si>
  <si>
    <t xml:space="preserve">62bafbbcebb0ff6db800d07a        </t>
  </si>
  <si>
    <t>official_heavy_rain_open_road_dataset_for_train_14_11_22</t>
  </si>
  <si>
    <t>6371f0155378b16a972c08ac</t>
  </si>
  <si>
    <t>heavy_rain_open_road_dataset_for_test_13_11_22</t>
  </si>
  <si>
    <t>6368bf4b5378b16a97b7f784</t>
  </si>
  <si>
    <t>urban_and_highway_light_rain_dataset_for_test</t>
  </si>
  <si>
    <t>635e75c25378b16a975d250d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</si>
</sst>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h:mm:ss"/>
    <numFmt numFmtId="165" formatCode="m/d/yyyy, h:mm:ss"/>
  </numFmts>
  <fonts count="15">
    <font>
      <sz val="10.0"/>
      <color rgb="FF000000"/>
      <name val="Arial"/>
      <scheme val="minor"/>
    </font>
    <font>
      <b/>
      <sz val="18.0"/>
      <color rgb="FFFFFFFF"/>
      <name val="Assistant"/>
    </font>
    <font>
      <color theme="1"/>
      <name val="Arial"/>
    </font>
    <font>
      <sz val="14.0"/>
      <color theme="1"/>
      <name val="Montserrat"/>
    </font>
    <font>
      <b/>
      <sz val="14.0"/>
      <color theme="1"/>
      <name val="Montserrat"/>
    </font>
    <font>
      <u/>
      <sz val="18.0"/>
      <color rgb="FF93C47D"/>
      <name val="Oswald"/>
    </font>
    <font>
      <b/>
      <sz val="10.0"/>
      <color rgb="FF000000"/>
      <name val="Assistant"/>
    </font>
    <font>
      <sz val="10.0"/>
      <color rgb="FF000000"/>
      <name val="Assistant"/>
    </font>
    <font>
      <b/>
      <sz val="10.0"/>
      <color rgb="FFFFFFFF"/>
      <name val="Assistant"/>
    </font>
    <font>
      <color theme="1"/>
      <name val="Arial"/>
      <scheme val="minor"/>
    </font>
    <font>
      <color theme="1"/>
      <name val="Assistant"/>
    </font>
    <font>
      <sz val="9.0"/>
      <color rgb="FF1F1F1F"/>
      <name val="Assistant"/>
    </font>
    <font>
      <color rgb="FF000000"/>
      <name val="Assistant"/>
    </font>
    <font>
      <color rgb="FF1D1C1D"/>
      <name val="Assistant"/>
    </font>
    <font>
      <sz val="9.0"/>
      <color rgb="FF1D1C1D"/>
      <name val="Assistant"/>
    </font>
  </fonts>
  <fills count="6">
    <fill>
      <patternFill patternType="none"/>
    </fill>
    <fill>
      <patternFill patternType="lightGray"/>
    </fill>
    <fill>
      <patternFill patternType="solid">
        <fgColor rgb="FF93C47D"/>
        <bgColor rgb="FF93C47D"/>
      </patternFill>
    </fill>
    <fill>
      <patternFill patternType="solid">
        <fgColor rgb="FF32CD32"/>
        <bgColor rgb="FF32CD32"/>
      </patternFill>
    </fill>
    <fill>
      <patternFill patternType="solid">
        <fgColor rgb="FFFFFFFF"/>
        <bgColor rgb="FFFFFFFF"/>
      </patternFill>
    </fill>
    <fill>
      <patternFill patternType="solid">
        <fgColor rgb="FFF8F8F8"/>
        <bgColor rgb="FFF8F8F8"/>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5" numFmtId="0" xfId="0" applyAlignment="1" applyFont="1">
      <alignment horizontal="center" readingOrder="0" vertical="bottom"/>
    </xf>
    <xf borderId="1" fillId="3" fontId="6" numFmtId="0" xfId="0" applyAlignment="1" applyBorder="1" applyFill="1" applyFont="1">
      <alignment readingOrder="0"/>
    </xf>
    <xf borderId="2" fillId="3" fontId="6" numFmtId="0" xfId="0" applyAlignment="1" applyBorder="1" applyFont="1">
      <alignment readingOrder="0"/>
    </xf>
    <xf borderId="2" fillId="0" fontId="7" numFmtId="0" xfId="0" applyBorder="1" applyFont="1"/>
    <xf borderId="3" fillId="0" fontId="7" numFmtId="0" xfId="0" applyBorder="1" applyFont="1"/>
    <xf borderId="4" fillId="0" fontId="7" numFmtId="0" xfId="0" applyAlignment="1" applyBorder="1" applyFont="1">
      <alignment readingOrder="0"/>
    </xf>
    <xf borderId="0" fillId="0" fontId="7" numFmtId="0" xfId="0" applyAlignment="1" applyFont="1">
      <alignment readingOrder="0"/>
    </xf>
    <xf borderId="0" fillId="0" fontId="7" numFmtId="0" xfId="0" applyAlignment="1" applyFont="1">
      <alignment readingOrder="0"/>
    </xf>
    <xf borderId="0" fillId="0" fontId="7" numFmtId="0" xfId="0" applyFont="1"/>
    <xf borderId="5" fillId="0" fontId="7" numFmtId="0" xfId="0" applyBorder="1" applyFont="1"/>
    <xf borderId="0" fillId="0" fontId="7" numFmtId="14" xfId="0" applyAlignment="1" applyFont="1" applyNumberFormat="1">
      <alignment readingOrder="0"/>
    </xf>
    <xf borderId="4" fillId="0" fontId="7" numFmtId="0" xfId="0" applyBorder="1" applyFont="1"/>
    <xf borderId="6" fillId="0" fontId="7" numFmtId="0" xfId="0" applyBorder="1" applyFont="1"/>
    <xf borderId="7" fillId="0" fontId="7" numFmtId="0" xfId="0" applyBorder="1" applyFont="1"/>
    <xf borderId="8" fillId="0" fontId="7" numFmtId="0" xfId="0" applyBorder="1" applyFont="1"/>
    <xf borderId="1" fillId="3" fontId="8" numFmtId="0" xfId="0" applyBorder="1" applyFont="1"/>
    <xf borderId="2" fillId="3" fontId="8" numFmtId="0" xfId="0" applyBorder="1" applyFont="1"/>
    <xf borderId="3" fillId="3" fontId="8" numFmtId="0" xfId="0" applyBorder="1" applyFont="1"/>
    <xf borderId="4" fillId="0" fontId="9" numFmtId="0" xfId="0" applyBorder="1" applyFont="1"/>
    <xf borderId="0" fillId="0" fontId="9" numFmtId="0" xfId="0" applyFont="1"/>
    <xf borderId="5" fillId="0" fontId="9" numFmtId="0" xfId="0" applyBorder="1" applyFont="1"/>
    <xf borderId="5" fillId="0" fontId="7" numFmtId="164" xfId="0" applyBorder="1" applyFont="1" applyNumberFormat="1"/>
    <xf borderId="5" fillId="0" fontId="9" numFmtId="164" xfId="0" applyBorder="1" applyFont="1" applyNumberFormat="1"/>
    <xf borderId="5" fillId="0" fontId="7" numFmtId="165" xfId="0" applyBorder="1" applyFont="1" applyNumberFormat="1"/>
    <xf borderId="5" fillId="0" fontId="9" numFmtId="165" xfId="0" applyBorder="1" applyFont="1" applyNumberFormat="1"/>
    <xf borderId="8" fillId="0" fontId="7" numFmtId="164" xfId="0" applyBorder="1" applyFont="1" applyNumberFormat="1"/>
    <xf borderId="0" fillId="0" fontId="7" numFmtId="164" xfId="0" applyFont="1" applyNumberFormat="1"/>
    <xf borderId="0" fillId="0" fontId="9" numFmtId="164" xfId="0" applyFont="1" applyNumberFormat="1"/>
    <xf borderId="1" fillId="3" fontId="8" numFmtId="0" xfId="0" applyAlignment="1" applyBorder="1" applyFont="1">
      <alignment horizontal="left" readingOrder="0"/>
    </xf>
    <xf borderId="2" fillId="3" fontId="8" numFmtId="0" xfId="0" applyAlignment="1" applyBorder="1" applyFont="1">
      <alignment readingOrder="0"/>
    </xf>
    <xf borderId="3" fillId="3" fontId="8" numFmtId="0" xfId="0" applyAlignment="1" applyBorder="1" applyFont="1">
      <alignment readingOrder="0"/>
    </xf>
    <xf borderId="0" fillId="0" fontId="10" numFmtId="0" xfId="0" applyAlignment="1" applyFont="1">
      <alignment horizontal="left" vertical="bottom"/>
    </xf>
    <xf borderId="0" fillId="0" fontId="10" numFmtId="0" xfId="0" applyAlignment="1" applyFont="1">
      <alignment horizontal="center" vertical="bottom"/>
    </xf>
    <xf borderId="0" fillId="0" fontId="10" numFmtId="0" xfId="0" applyAlignment="1" applyFont="1">
      <alignment horizontal="center" readingOrder="0" vertical="bottom"/>
    </xf>
    <xf borderId="0" fillId="4" fontId="11" numFmtId="0" xfId="0" applyAlignment="1" applyFill="1" applyFont="1">
      <alignment horizontal="left" readingOrder="0"/>
    </xf>
    <xf borderId="0" fillId="4" fontId="12" numFmtId="0" xfId="0" applyAlignment="1" applyFont="1">
      <alignment horizontal="center" readingOrder="0"/>
    </xf>
    <xf borderId="0" fillId="4" fontId="11" numFmtId="0" xfId="0" applyAlignment="1" applyFont="1">
      <alignment readingOrder="0"/>
    </xf>
    <xf borderId="0" fillId="4" fontId="11" numFmtId="0" xfId="0" applyAlignment="1" applyFont="1">
      <alignment horizontal="center" readingOrder="0"/>
    </xf>
    <xf borderId="0" fillId="0" fontId="10" numFmtId="0" xfId="0" applyAlignment="1" applyFont="1">
      <alignment horizontal="center" vertical="bottom"/>
    </xf>
    <xf borderId="0" fillId="4" fontId="13" numFmtId="0" xfId="0" applyAlignment="1" applyFont="1">
      <alignment horizontal="center" vertical="bottom"/>
    </xf>
    <xf borderId="0" fillId="4" fontId="10" numFmtId="0" xfId="0" applyAlignment="1" applyFont="1">
      <alignment horizontal="center" vertical="bottom"/>
    </xf>
    <xf borderId="0" fillId="0" fontId="10" numFmtId="0" xfId="0" applyAlignment="1" applyFont="1">
      <alignment horizontal="left" readingOrder="0" vertical="bottom"/>
    </xf>
    <xf borderId="0" fillId="4" fontId="13" numFmtId="0" xfId="0" applyAlignment="1" applyFont="1">
      <alignment horizontal="center" readingOrder="0" vertical="bottom"/>
    </xf>
    <xf borderId="0" fillId="0" fontId="10" numFmtId="0" xfId="0" applyAlignment="1" applyFont="1">
      <alignment horizontal="left" shrinkToFit="0" vertical="bottom" wrapText="0"/>
    </xf>
    <xf borderId="0" fillId="5" fontId="10" numFmtId="0" xfId="0" applyAlignment="1" applyFill="1" applyFont="1">
      <alignment horizontal="left" shrinkToFit="0" vertical="bottom" wrapText="0"/>
    </xf>
    <xf borderId="0" fillId="5" fontId="10" numFmtId="0" xfId="0" applyAlignment="1" applyFont="1">
      <alignment vertical="bottom"/>
    </xf>
    <xf borderId="0" fillId="5" fontId="10" numFmtId="0" xfId="0" applyAlignment="1" applyFont="1">
      <alignment horizontal="center" vertical="bottom"/>
    </xf>
    <xf borderId="0" fillId="5" fontId="10" numFmtId="0" xfId="0" applyAlignment="1" applyFont="1">
      <alignment horizontal="left" vertical="bottom"/>
    </xf>
    <xf borderId="0" fillId="5" fontId="10" numFmtId="0" xfId="0" applyAlignment="1" applyFont="1">
      <alignment vertical="bottom"/>
    </xf>
    <xf borderId="0" fillId="0" fontId="14" numFmtId="0" xfId="0" applyAlignment="1" applyFont="1">
      <alignment horizontal="left" shrinkToFit="0" vertical="bottom" wrapText="1"/>
    </xf>
    <xf borderId="0" fillId="0" fontId="10" numFmtId="0" xfId="0" applyAlignment="1" applyFont="1">
      <alignment vertical="bottom"/>
    </xf>
    <xf borderId="0" fillId="0" fontId="14" numFmtId="0" xfId="0" applyAlignment="1" applyFont="1">
      <alignment shrinkToFit="0" vertical="bottom" wrapText="1"/>
    </xf>
    <xf borderId="0" fillId="0" fontId="14" numFmtId="0" xfId="0" applyAlignment="1" applyFont="1">
      <alignment horizontal="center" shrinkToFit="0" vertical="bottom" wrapText="1"/>
    </xf>
    <xf borderId="0" fillId="0" fontId="7" numFmtId="0" xfId="0" applyAlignment="1" applyFont="1">
      <alignment horizontal="left"/>
    </xf>
    <xf borderId="4" fillId="0" fontId="7" numFmtId="0" xfId="0" applyAlignment="1" applyBorder="1" applyFont="1">
      <alignment horizontal="left"/>
    </xf>
    <xf borderId="6" fillId="0" fontId="7" numFmtId="0" xfId="0" applyAlignment="1" applyBorder="1" applyFont="1">
      <alignment horizontal="left"/>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ript.google.com/macros/s/AKfycbzEuAElz08FYQvHj5nOsMEu6UugJvo5ZahlCEv2OL4vnZW0ZLQRdE_eIvnTMeDq7VKVsA/exe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3"/>
      <c r="C2" s="2"/>
      <c r="D2" s="2"/>
      <c r="E2" s="2"/>
      <c r="F2" s="2"/>
      <c r="G2" s="2"/>
      <c r="H2" s="2"/>
      <c r="I2" s="2"/>
      <c r="J2" s="2"/>
      <c r="K2" s="2"/>
      <c r="L2" s="2"/>
      <c r="M2" s="2"/>
      <c r="N2" s="2"/>
      <c r="O2" s="2"/>
      <c r="P2" s="2"/>
      <c r="Q2" s="2"/>
      <c r="R2" s="2"/>
      <c r="S2" s="2"/>
      <c r="T2" s="2"/>
      <c r="U2" s="2"/>
      <c r="V2" s="2"/>
      <c r="W2" s="2"/>
      <c r="X2" s="2"/>
      <c r="Y2" s="2"/>
      <c r="Z2" s="2"/>
    </row>
    <row r="3">
      <c r="A3" s="4" t="s">
        <v>2</v>
      </c>
      <c r="B3" s="3"/>
      <c r="C3" s="2"/>
      <c r="D3" s="2"/>
      <c r="E3" s="2"/>
      <c r="F3" s="2"/>
      <c r="G3" s="2"/>
      <c r="H3" s="2"/>
      <c r="I3" s="2"/>
      <c r="J3" s="2"/>
      <c r="K3" s="2"/>
      <c r="L3" s="2"/>
      <c r="M3" s="2"/>
      <c r="N3" s="2"/>
      <c r="O3" s="2"/>
      <c r="P3" s="2"/>
      <c r="Q3" s="2"/>
      <c r="R3" s="2"/>
      <c r="S3" s="2"/>
      <c r="T3" s="2"/>
      <c r="U3" s="2"/>
      <c r="V3" s="2"/>
      <c r="W3" s="2"/>
      <c r="X3" s="2"/>
      <c r="Y3" s="2"/>
      <c r="Z3" s="2"/>
    </row>
    <row r="4">
      <c r="A4" s="5" t="s">
        <v>3</v>
      </c>
      <c r="B4" s="3"/>
      <c r="C4" s="2"/>
      <c r="D4" s="2"/>
      <c r="E4" s="2"/>
      <c r="F4" s="2"/>
      <c r="G4" s="2"/>
      <c r="H4" s="2"/>
      <c r="I4" s="2"/>
      <c r="J4" s="2"/>
      <c r="K4" s="2"/>
      <c r="L4" s="2"/>
      <c r="M4" s="2"/>
      <c r="N4" s="2"/>
      <c r="O4" s="2"/>
      <c r="P4" s="2"/>
      <c r="Q4" s="2"/>
      <c r="R4" s="2"/>
      <c r="S4" s="2"/>
      <c r="T4" s="2"/>
      <c r="U4" s="2"/>
      <c r="V4" s="2"/>
      <c r="W4" s="2"/>
      <c r="X4" s="2"/>
      <c r="Y4" s="2"/>
      <c r="Z4" s="2"/>
    </row>
    <row r="5">
      <c r="A5" s="6" t="s">
        <v>4</v>
      </c>
      <c r="B5" s="3"/>
      <c r="C5" s="2"/>
      <c r="D5" s="2"/>
      <c r="E5" s="2"/>
      <c r="F5" s="2"/>
      <c r="G5" s="2"/>
      <c r="H5" s="2"/>
      <c r="I5" s="2"/>
      <c r="J5" s="2"/>
      <c r="K5" s="2"/>
      <c r="L5" s="2"/>
      <c r="M5" s="2"/>
      <c r="N5" s="2"/>
      <c r="O5" s="2"/>
      <c r="P5" s="2"/>
      <c r="Q5" s="2"/>
      <c r="R5" s="2"/>
      <c r="S5" s="2"/>
      <c r="T5" s="2"/>
      <c r="U5" s="2"/>
      <c r="V5" s="2"/>
      <c r="W5" s="2"/>
      <c r="X5" s="2"/>
      <c r="Y5" s="2"/>
      <c r="Z5" s="2"/>
    </row>
    <row r="6">
      <c r="A6" s="3" t="s">
        <v>5</v>
      </c>
      <c r="B6" s="3"/>
      <c r="C6" s="2"/>
      <c r="D6" s="2"/>
      <c r="E6" s="2"/>
      <c r="F6" s="2"/>
      <c r="G6" s="2"/>
      <c r="H6" s="2"/>
      <c r="I6" s="2"/>
      <c r="J6" s="2"/>
      <c r="K6" s="2"/>
      <c r="L6" s="2"/>
      <c r="M6" s="2"/>
      <c r="N6" s="2"/>
      <c r="O6" s="2"/>
      <c r="P6" s="2"/>
      <c r="Q6" s="2"/>
      <c r="R6" s="2"/>
      <c r="S6" s="2"/>
      <c r="T6" s="2"/>
      <c r="U6" s="2"/>
      <c r="V6" s="2"/>
      <c r="W6" s="2"/>
      <c r="X6" s="2"/>
      <c r="Y6" s="2"/>
      <c r="Z6" s="2"/>
    </row>
    <row r="7">
      <c r="A7" s="3" t="s">
        <v>6</v>
      </c>
      <c r="B7" s="3"/>
      <c r="C7" s="2"/>
      <c r="D7" s="2"/>
      <c r="E7" s="2"/>
      <c r="F7" s="2"/>
      <c r="G7" s="2"/>
      <c r="H7" s="2"/>
      <c r="I7" s="2"/>
      <c r="J7" s="2"/>
      <c r="K7" s="2"/>
      <c r="L7" s="2"/>
      <c r="M7" s="2"/>
      <c r="N7" s="2"/>
      <c r="O7" s="2"/>
      <c r="P7" s="2"/>
      <c r="Q7" s="2"/>
      <c r="R7" s="2"/>
      <c r="S7" s="2"/>
      <c r="T7" s="2"/>
      <c r="U7" s="2"/>
      <c r="V7" s="2"/>
      <c r="W7" s="2"/>
      <c r="X7" s="2"/>
      <c r="Y7" s="2"/>
      <c r="Z7" s="2"/>
    </row>
    <row r="8">
      <c r="A8" s="3"/>
      <c r="B8" s="3"/>
      <c r="C8" s="2"/>
      <c r="D8" s="2"/>
      <c r="E8" s="2"/>
      <c r="F8" s="2"/>
      <c r="G8" s="2"/>
      <c r="H8" s="2"/>
      <c r="I8" s="2"/>
      <c r="J8" s="2"/>
      <c r="K8" s="2"/>
      <c r="L8" s="2"/>
      <c r="M8" s="2"/>
      <c r="N8" s="2"/>
      <c r="O8" s="2"/>
      <c r="P8" s="2"/>
      <c r="Q8" s="2"/>
      <c r="R8" s="2"/>
      <c r="S8" s="2"/>
      <c r="T8" s="2"/>
      <c r="U8" s="2"/>
      <c r="V8" s="2"/>
      <c r="W8" s="2"/>
      <c r="X8" s="2"/>
      <c r="Y8" s="2"/>
      <c r="Z8" s="2"/>
    </row>
    <row r="9">
      <c r="A9" s="4" t="s">
        <v>7</v>
      </c>
      <c r="B9" s="3"/>
      <c r="C9" s="2"/>
      <c r="D9" s="2"/>
      <c r="E9" s="2"/>
      <c r="F9" s="2"/>
      <c r="G9" s="2"/>
      <c r="H9" s="2"/>
      <c r="I9" s="2"/>
      <c r="J9" s="2"/>
      <c r="K9" s="2"/>
      <c r="L9" s="2"/>
      <c r="M9" s="2"/>
      <c r="N9" s="2"/>
      <c r="O9" s="2"/>
      <c r="P9" s="2"/>
      <c r="Q9" s="2"/>
      <c r="R9" s="2"/>
      <c r="S9" s="2"/>
      <c r="T9" s="2"/>
      <c r="U9" s="2"/>
      <c r="V9" s="2"/>
      <c r="W9" s="2"/>
      <c r="X9" s="2"/>
      <c r="Y9" s="2"/>
      <c r="Z9" s="2"/>
    </row>
    <row r="10">
      <c r="A10" s="6" t="s">
        <v>8</v>
      </c>
      <c r="B10" s="3"/>
      <c r="C10" s="2"/>
      <c r="D10" s="2"/>
      <c r="E10" s="2"/>
      <c r="F10" s="2"/>
      <c r="G10" s="2"/>
      <c r="H10" s="2"/>
      <c r="I10" s="2"/>
      <c r="J10" s="2"/>
      <c r="K10" s="2"/>
      <c r="L10" s="2"/>
      <c r="M10" s="2"/>
      <c r="N10" s="2"/>
      <c r="O10" s="2"/>
      <c r="P10" s="2"/>
      <c r="Q10" s="2"/>
      <c r="R10" s="2"/>
      <c r="S10" s="2"/>
      <c r="T10" s="2"/>
      <c r="U10" s="2"/>
      <c r="V10" s="2"/>
      <c r="W10" s="2"/>
      <c r="X10" s="2"/>
      <c r="Y10" s="2"/>
      <c r="Z10" s="2"/>
    </row>
    <row r="11">
      <c r="A11" s="3" t="s">
        <v>9</v>
      </c>
      <c r="B11" s="3"/>
      <c r="C11" s="2"/>
      <c r="D11" s="2"/>
      <c r="E11" s="2"/>
      <c r="F11" s="2"/>
      <c r="G11" s="2"/>
      <c r="H11" s="2"/>
      <c r="I11" s="2"/>
      <c r="J11" s="2"/>
      <c r="K11" s="2"/>
      <c r="L11" s="2"/>
      <c r="M11" s="2"/>
      <c r="N11" s="2"/>
      <c r="O11" s="2"/>
      <c r="P11" s="2"/>
      <c r="Q11" s="2"/>
      <c r="R11" s="2"/>
      <c r="S11" s="2"/>
      <c r="T11" s="2"/>
      <c r="U11" s="2"/>
      <c r="V11" s="2"/>
      <c r="W11" s="2"/>
      <c r="X11" s="2"/>
      <c r="Y11" s="2"/>
      <c r="Z11" s="2"/>
    </row>
    <row r="12">
      <c r="A12" s="6" t="s">
        <v>10</v>
      </c>
      <c r="B12" s="3"/>
      <c r="C12" s="2"/>
      <c r="D12" s="2"/>
      <c r="E12" s="2"/>
      <c r="F12" s="2"/>
      <c r="G12" s="2"/>
      <c r="H12" s="2"/>
      <c r="I12" s="2"/>
      <c r="J12" s="2"/>
      <c r="K12" s="2"/>
      <c r="L12" s="2"/>
      <c r="M12" s="2"/>
      <c r="N12" s="2"/>
      <c r="O12" s="2"/>
      <c r="P12" s="2"/>
      <c r="Q12" s="2"/>
      <c r="R12" s="2"/>
      <c r="S12" s="2"/>
      <c r="T12" s="2"/>
      <c r="U12" s="2"/>
      <c r="V12" s="2"/>
      <c r="W12" s="2"/>
      <c r="X12" s="2"/>
      <c r="Y12" s="2"/>
      <c r="Z12" s="2"/>
    </row>
    <row r="13">
      <c r="A13" s="3" t="s">
        <v>11</v>
      </c>
      <c r="B13" s="3"/>
      <c r="C13" s="2"/>
      <c r="D13" s="2"/>
      <c r="E13" s="2"/>
      <c r="F13" s="2"/>
      <c r="G13" s="2"/>
      <c r="H13" s="2"/>
      <c r="I13" s="2"/>
      <c r="J13" s="2"/>
      <c r="K13" s="2"/>
      <c r="L13" s="2"/>
      <c r="M13" s="2"/>
      <c r="N13" s="2"/>
      <c r="O13" s="2"/>
      <c r="P13" s="2"/>
      <c r="Q13" s="2"/>
      <c r="R13" s="2"/>
      <c r="S13" s="2"/>
      <c r="T13" s="2"/>
      <c r="U13" s="2"/>
      <c r="V13" s="2"/>
      <c r="W13" s="2"/>
      <c r="X13" s="2"/>
      <c r="Y13" s="2"/>
      <c r="Z13" s="2"/>
    </row>
    <row r="14">
      <c r="A14" s="3" t="s">
        <v>12</v>
      </c>
      <c r="B14" s="3"/>
      <c r="C14" s="2"/>
      <c r="D14" s="2"/>
      <c r="E14" s="2"/>
      <c r="F14" s="2"/>
      <c r="G14" s="2"/>
      <c r="H14" s="2"/>
      <c r="I14" s="2"/>
      <c r="J14" s="2"/>
      <c r="K14" s="2"/>
      <c r="L14" s="2"/>
      <c r="M14" s="2"/>
      <c r="N14" s="2"/>
      <c r="O14" s="2"/>
      <c r="P14" s="2"/>
      <c r="Q14" s="2"/>
      <c r="R14" s="2"/>
      <c r="S14" s="2"/>
      <c r="T14" s="2"/>
      <c r="U14" s="2"/>
      <c r="V14" s="2"/>
      <c r="W14" s="2"/>
      <c r="X14" s="2"/>
      <c r="Y14" s="2"/>
      <c r="Z14" s="2"/>
    </row>
    <row r="15">
      <c r="A15" s="7" t="s">
        <v>13</v>
      </c>
      <c r="B15" s="3"/>
      <c r="C15" s="2"/>
      <c r="D15" s="2"/>
      <c r="E15" s="2"/>
      <c r="F15" s="2"/>
      <c r="G15" s="2"/>
      <c r="H15" s="2"/>
      <c r="I15" s="2"/>
      <c r="J15" s="2"/>
      <c r="K15" s="2"/>
      <c r="L15" s="2"/>
      <c r="M15" s="2"/>
      <c r="N15" s="2"/>
      <c r="O15" s="2"/>
      <c r="P15" s="2"/>
      <c r="Q15" s="2"/>
      <c r="R15" s="2"/>
      <c r="S15" s="2"/>
      <c r="T15" s="2"/>
      <c r="U15" s="2"/>
      <c r="V15" s="2"/>
      <c r="W15" s="2"/>
      <c r="X15" s="2"/>
      <c r="Y15" s="2"/>
      <c r="Z15" s="2"/>
    </row>
    <row r="16">
      <c r="A16" s="6" t="s">
        <v>14</v>
      </c>
      <c r="B16" s="3"/>
      <c r="C16" s="2"/>
      <c r="D16" s="2"/>
      <c r="E16" s="2"/>
      <c r="F16" s="2"/>
      <c r="G16" s="2"/>
      <c r="H16" s="2"/>
      <c r="I16" s="2"/>
      <c r="J16" s="2"/>
      <c r="K16" s="2"/>
      <c r="L16" s="2"/>
      <c r="M16" s="2"/>
      <c r="N16" s="2"/>
      <c r="O16" s="2"/>
      <c r="P16" s="2"/>
      <c r="Q16" s="2"/>
      <c r="R16" s="2"/>
      <c r="S16" s="2"/>
      <c r="T16" s="2"/>
      <c r="U16" s="2"/>
      <c r="V16" s="2"/>
      <c r="W16" s="2"/>
      <c r="X16" s="2"/>
      <c r="Y16" s="2"/>
      <c r="Z16" s="2"/>
    </row>
    <row r="17">
      <c r="A17" s="2"/>
      <c r="B17" s="3"/>
      <c r="C17" s="2"/>
      <c r="D17" s="2"/>
      <c r="E17" s="2"/>
      <c r="F17" s="2"/>
      <c r="G17" s="2"/>
      <c r="H17" s="2"/>
      <c r="I17" s="2"/>
      <c r="J17" s="2"/>
      <c r="K17" s="2"/>
      <c r="L17" s="2"/>
      <c r="M17" s="2"/>
      <c r="N17" s="2"/>
      <c r="O17" s="2"/>
      <c r="P17" s="2"/>
      <c r="Q17" s="2"/>
      <c r="R17" s="2"/>
      <c r="S17" s="2"/>
      <c r="T17" s="2"/>
      <c r="U17" s="2"/>
      <c r="V17" s="2"/>
      <c r="W17" s="2"/>
      <c r="X17" s="2"/>
      <c r="Y17" s="2"/>
      <c r="Z17" s="2"/>
    </row>
    <row r="18">
      <c r="A18" s="3"/>
      <c r="B18" s="3"/>
      <c r="C18" s="2"/>
      <c r="D18" s="2"/>
      <c r="E18" s="2"/>
      <c r="F18" s="2"/>
      <c r="G18" s="2"/>
      <c r="H18" s="2"/>
      <c r="I18" s="2"/>
      <c r="J18" s="2"/>
      <c r="K18" s="2"/>
      <c r="L18" s="2"/>
      <c r="M18" s="2"/>
      <c r="N18" s="2"/>
      <c r="O18" s="2"/>
      <c r="P18" s="2"/>
      <c r="Q18" s="2"/>
      <c r="R18" s="2"/>
      <c r="S18" s="2"/>
      <c r="T18" s="2"/>
      <c r="U18" s="2"/>
      <c r="V18" s="2"/>
      <c r="W18" s="2"/>
      <c r="X18" s="2"/>
      <c r="Y18" s="2"/>
      <c r="Z18" s="2"/>
    </row>
    <row r="19">
      <c r="A19" s="3"/>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hyperlinks>
    <hyperlink r:id="rId1" ref="A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87.63"/>
    <col customWidth="1" min="3" max="4" width="18.88"/>
    <col customWidth="1" min="5" max="6" width="25.13"/>
    <col customWidth="1" min="7" max="7" width="75.13"/>
    <col customWidth="1" min="8" max="19" width="25.13"/>
    <col customWidth="1" min="20" max="20" width="50.13"/>
  </cols>
  <sheetData>
    <row r="1">
      <c r="A1" s="8" t="s">
        <v>15</v>
      </c>
      <c r="B1" s="9" t="s">
        <v>16</v>
      </c>
      <c r="C1" s="9" t="s">
        <v>17</v>
      </c>
      <c r="D1" s="9" t="s">
        <v>18</v>
      </c>
      <c r="E1" s="9" t="s">
        <v>19</v>
      </c>
      <c r="F1" s="9" t="s">
        <v>20</v>
      </c>
      <c r="G1" s="9" t="s">
        <v>21</v>
      </c>
      <c r="H1" s="9" t="s">
        <v>22</v>
      </c>
      <c r="I1" s="9" t="s">
        <v>23</v>
      </c>
      <c r="J1" s="9" t="s">
        <v>24</v>
      </c>
      <c r="K1" s="9" t="s">
        <v>25</v>
      </c>
      <c r="L1" s="10"/>
      <c r="M1" s="10"/>
      <c r="N1" s="10"/>
      <c r="O1" s="10"/>
      <c r="P1" s="10"/>
      <c r="Q1" s="10"/>
      <c r="R1" s="10"/>
      <c r="S1" s="10"/>
      <c r="T1" s="10"/>
      <c r="U1" s="10"/>
      <c r="V1" s="10"/>
      <c r="W1" s="10"/>
      <c r="X1" s="10"/>
      <c r="Y1" s="10"/>
      <c r="Z1" s="11"/>
    </row>
    <row r="2">
      <c r="A2" s="12" t="s">
        <v>26</v>
      </c>
      <c r="B2" s="13" t="s">
        <v>27</v>
      </c>
      <c r="C2" s="13" t="s">
        <v>28</v>
      </c>
      <c r="D2" s="13" t="s">
        <v>28</v>
      </c>
      <c r="E2" s="14">
        <v>257.0</v>
      </c>
      <c r="F2" s="13" t="s">
        <v>29</v>
      </c>
      <c r="G2" s="13" t="s">
        <v>30</v>
      </c>
      <c r="H2" s="14">
        <v>950.0</v>
      </c>
      <c r="I2" s="14">
        <v>1675.0</v>
      </c>
      <c r="J2" s="14">
        <v>1585.0</v>
      </c>
      <c r="K2" s="13" t="s">
        <v>31</v>
      </c>
      <c r="L2" s="15"/>
      <c r="M2" s="15"/>
      <c r="N2" s="15"/>
      <c r="O2" s="15"/>
      <c r="P2" s="15"/>
      <c r="Q2" s="15"/>
      <c r="R2" s="15"/>
      <c r="S2" s="15"/>
      <c r="T2" s="15"/>
      <c r="U2" s="15"/>
      <c r="V2" s="15"/>
      <c r="W2" s="15"/>
      <c r="X2" s="15"/>
      <c r="Y2" s="15"/>
      <c r="Z2" s="16"/>
    </row>
    <row r="3">
      <c r="A3" s="12" t="s">
        <v>32</v>
      </c>
      <c r="B3" s="13" t="s">
        <v>33</v>
      </c>
      <c r="C3" s="13" t="s">
        <v>28</v>
      </c>
      <c r="D3" s="13" t="s">
        <v>28</v>
      </c>
      <c r="E3" s="14">
        <v>307.0</v>
      </c>
      <c r="F3" s="13" t="s">
        <v>29</v>
      </c>
      <c r="G3" s="13" t="s">
        <v>30</v>
      </c>
      <c r="H3" s="14">
        <v>950.0</v>
      </c>
      <c r="I3" s="14">
        <v>1675.0</v>
      </c>
      <c r="J3" s="14">
        <v>1585.0</v>
      </c>
      <c r="K3" s="13" t="s">
        <v>34</v>
      </c>
      <c r="L3" s="15"/>
      <c r="M3" s="15"/>
      <c r="N3" s="15"/>
      <c r="O3" s="15"/>
      <c r="P3" s="15"/>
      <c r="Q3" s="15"/>
      <c r="R3" s="15"/>
      <c r="S3" s="15"/>
      <c r="T3" s="15"/>
      <c r="U3" s="15"/>
      <c r="V3" s="15"/>
      <c r="W3" s="15"/>
      <c r="X3" s="15"/>
      <c r="Y3" s="15"/>
      <c r="Z3" s="16"/>
    </row>
    <row r="4">
      <c r="A4" s="12" t="s">
        <v>35</v>
      </c>
      <c r="B4" s="13" t="s">
        <v>36</v>
      </c>
      <c r="C4" s="13" t="s">
        <v>28</v>
      </c>
      <c r="D4" s="13" t="s">
        <v>28</v>
      </c>
      <c r="E4" s="14">
        <v>521.0</v>
      </c>
      <c r="F4" s="13" t="s">
        <v>29</v>
      </c>
      <c r="G4" s="13" t="s">
        <v>30</v>
      </c>
      <c r="H4" s="14">
        <v>950.0</v>
      </c>
      <c r="I4" s="14">
        <v>1675.0</v>
      </c>
      <c r="J4" s="14">
        <v>1585.0</v>
      </c>
      <c r="K4" s="13" t="s">
        <v>37</v>
      </c>
      <c r="L4" s="15"/>
      <c r="M4" s="15"/>
      <c r="N4" s="15"/>
      <c r="O4" s="15"/>
      <c r="P4" s="15"/>
      <c r="Q4" s="15"/>
      <c r="R4" s="15"/>
      <c r="S4" s="15"/>
      <c r="T4" s="15"/>
      <c r="U4" s="15"/>
      <c r="V4" s="15"/>
      <c r="W4" s="15"/>
      <c r="X4" s="15"/>
      <c r="Y4" s="15"/>
      <c r="Z4" s="16"/>
    </row>
    <row r="5">
      <c r="A5" s="12" t="s">
        <v>38</v>
      </c>
      <c r="B5" s="13" t="s">
        <v>39</v>
      </c>
      <c r="C5" s="13" t="s">
        <v>28</v>
      </c>
      <c r="D5" s="13" t="s">
        <v>28</v>
      </c>
      <c r="E5" s="14">
        <v>507.0</v>
      </c>
      <c r="F5" s="13" t="s">
        <v>29</v>
      </c>
      <c r="G5" s="13" t="s">
        <v>40</v>
      </c>
      <c r="H5" s="14">
        <v>950.0</v>
      </c>
      <c r="I5" s="14">
        <v>1675.0</v>
      </c>
      <c r="J5" s="14">
        <v>1585.0</v>
      </c>
      <c r="K5" s="13" t="s">
        <v>41</v>
      </c>
      <c r="L5" s="15"/>
      <c r="M5" s="15"/>
      <c r="N5" s="15"/>
      <c r="O5" s="15"/>
      <c r="P5" s="15"/>
      <c r="Q5" s="15"/>
      <c r="R5" s="15"/>
      <c r="S5" s="15"/>
      <c r="T5" s="15"/>
      <c r="U5" s="15"/>
      <c r="V5" s="15"/>
      <c r="W5" s="15"/>
      <c r="X5" s="15"/>
      <c r="Y5" s="15"/>
      <c r="Z5" s="16"/>
    </row>
    <row r="6">
      <c r="A6" s="12" t="s">
        <v>42</v>
      </c>
      <c r="B6" s="13" t="s">
        <v>43</v>
      </c>
      <c r="C6" s="13" t="s">
        <v>28</v>
      </c>
      <c r="D6" s="13" t="s">
        <v>28</v>
      </c>
      <c r="E6" s="14">
        <v>1069.0</v>
      </c>
      <c r="F6" s="13" t="s">
        <v>29</v>
      </c>
      <c r="G6" s="13" t="s">
        <v>30</v>
      </c>
      <c r="H6" s="14">
        <v>950.0</v>
      </c>
      <c r="I6" s="14">
        <v>1675.0</v>
      </c>
      <c r="J6" s="14">
        <v>1585.0</v>
      </c>
      <c r="K6" s="13" t="s">
        <v>44</v>
      </c>
      <c r="L6" s="15"/>
      <c r="M6" s="15"/>
      <c r="N6" s="15"/>
      <c r="O6" s="15"/>
      <c r="P6" s="15"/>
      <c r="Q6" s="15"/>
      <c r="R6" s="15"/>
      <c r="S6" s="15"/>
      <c r="T6" s="15"/>
      <c r="U6" s="15"/>
      <c r="V6" s="15"/>
      <c r="W6" s="15"/>
      <c r="X6" s="15"/>
      <c r="Y6" s="15"/>
      <c r="Z6" s="16"/>
    </row>
    <row r="7">
      <c r="A7" s="12" t="s">
        <v>45</v>
      </c>
      <c r="B7" s="13" t="s">
        <v>46</v>
      </c>
      <c r="C7" s="13" t="s">
        <v>28</v>
      </c>
      <c r="D7" s="13" t="s">
        <v>28</v>
      </c>
      <c r="E7" s="14">
        <v>1205.0</v>
      </c>
      <c r="F7" s="13" t="s">
        <v>29</v>
      </c>
      <c r="G7" s="13" t="s">
        <v>47</v>
      </c>
      <c r="H7" s="14">
        <v>950.0</v>
      </c>
      <c r="I7" s="14">
        <v>1675.0</v>
      </c>
      <c r="J7" s="14">
        <v>1585.0</v>
      </c>
      <c r="K7" s="13" t="s">
        <v>48</v>
      </c>
      <c r="L7" s="15"/>
      <c r="M7" s="15"/>
      <c r="N7" s="15"/>
      <c r="O7" s="15"/>
      <c r="P7" s="15"/>
      <c r="Q7" s="15"/>
      <c r="R7" s="15"/>
      <c r="S7" s="15"/>
      <c r="T7" s="15"/>
      <c r="U7" s="15"/>
      <c r="V7" s="15"/>
      <c r="W7" s="15"/>
      <c r="X7" s="15"/>
      <c r="Y7" s="15"/>
      <c r="Z7" s="16"/>
    </row>
    <row r="8">
      <c r="A8" s="12" t="s">
        <v>49</v>
      </c>
      <c r="B8" s="13" t="s">
        <v>50</v>
      </c>
      <c r="C8" s="13" t="s">
        <v>28</v>
      </c>
      <c r="D8" s="13" t="s">
        <v>28</v>
      </c>
      <c r="E8" s="14">
        <v>1143.0</v>
      </c>
      <c r="F8" s="13" t="s">
        <v>29</v>
      </c>
      <c r="G8" s="13" t="s">
        <v>47</v>
      </c>
      <c r="H8" s="14">
        <v>950.0</v>
      </c>
      <c r="I8" s="14">
        <v>1675.0</v>
      </c>
      <c r="J8" s="14">
        <v>1585.0</v>
      </c>
      <c r="K8" s="13" t="s">
        <v>51</v>
      </c>
      <c r="L8" s="15"/>
      <c r="M8" s="15"/>
      <c r="N8" s="15"/>
      <c r="O8" s="15"/>
      <c r="P8" s="15"/>
      <c r="Q8" s="15"/>
      <c r="R8" s="15"/>
      <c r="S8" s="15"/>
      <c r="T8" s="15"/>
      <c r="U8" s="15"/>
      <c r="V8" s="15"/>
      <c r="W8" s="15"/>
      <c r="X8" s="15"/>
      <c r="Y8" s="15"/>
      <c r="Z8" s="16"/>
    </row>
    <row r="9">
      <c r="A9" s="12" t="s">
        <v>52</v>
      </c>
      <c r="B9" s="13" t="s">
        <v>53</v>
      </c>
      <c r="C9" s="13" t="s">
        <v>28</v>
      </c>
      <c r="D9" s="13" t="s">
        <v>28</v>
      </c>
      <c r="E9" s="14">
        <v>978.0</v>
      </c>
      <c r="F9" s="13" t="s">
        <v>29</v>
      </c>
      <c r="G9" s="13" t="s">
        <v>47</v>
      </c>
      <c r="H9" s="14">
        <v>950.0</v>
      </c>
      <c r="I9" s="14">
        <v>1675.0</v>
      </c>
      <c r="J9" s="14">
        <v>1585.0</v>
      </c>
      <c r="K9" s="13" t="s">
        <v>54</v>
      </c>
      <c r="L9" s="15"/>
      <c r="M9" s="15"/>
      <c r="N9" s="15"/>
      <c r="O9" s="15"/>
      <c r="P9" s="15"/>
      <c r="Q9" s="15"/>
      <c r="R9" s="15"/>
      <c r="S9" s="15"/>
      <c r="T9" s="15"/>
      <c r="U9" s="15"/>
      <c r="V9" s="15"/>
      <c r="W9" s="15"/>
      <c r="X9" s="15"/>
      <c r="Y9" s="15"/>
      <c r="Z9" s="16"/>
    </row>
    <row r="10">
      <c r="A10" s="12" t="s">
        <v>55</v>
      </c>
      <c r="B10" s="13" t="s">
        <v>56</v>
      </c>
      <c r="C10" s="13" t="s">
        <v>28</v>
      </c>
      <c r="D10" s="13" t="s">
        <v>28</v>
      </c>
      <c r="E10" s="14">
        <v>646.0</v>
      </c>
      <c r="F10" s="13" t="s">
        <v>29</v>
      </c>
      <c r="G10" s="13" t="s">
        <v>47</v>
      </c>
      <c r="H10" s="14">
        <v>950.0</v>
      </c>
      <c r="I10" s="14">
        <v>1675.0</v>
      </c>
      <c r="J10" s="14">
        <v>1585.0</v>
      </c>
      <c r="K10" s="13" t="s">
        <v>57</v>
      </c>
      <c r="L10" s="15"/>
      <c r="M10" s="15"/>
      <c r="N10" s="15"/>
      <c r="O10" s="15"/>
      <c r="P10" s="15"/>
      <c r="Q10" s="15"/>
      <c r="R10" s="15"/>
      <c r="S10" s="15"/>
      <c r="T10" s="15"/>
      <c r="U10" s="15"/>
      <c r="V10" s="15"/>
      <c r="W10" s="15"/>
      <c r="X10" s="15"/>
      <c r="Y10" s="15"/>
      <c r="Z10" s="16"/>
    </row>
    <row r="11">
      <c r="A11" s="12" t="s">
        <v>58</v>
      </c>
      <c r="B11" s="13" t="s">
        <v>59</v>
      </c>
      <c r="C11" s="13" t="s">
        <v>28</v>
      </c>
      <c r="D11" s="13" t="s">
        <v>28</v>
      </c>
      <c r="E11" s="14">
        <v>1000.0</v>
      </c>
      <c r="F11" s="13" t="s">
        <v>29</v>
      </c>
      <c r="G11" s="13" t="s">
        <v>47</v>
      </c>
      <c r="H11" s="14">
        <v>950.0</v>
      </c>
      <c r="I11" s="14">
        <v>1675.0</v>
      </c>
      <c r="J11" s="14">
        <v>1585.0</v>
      </c>
      <c r="K11" s="13" t="s">
        <v>60</v>
      </c>
      <c r="L11" s="15"/>
      <c r="M11" s="15"/>
      <c r="N11" s="15"/>
      <c r="O11" s="15"/>
      <c r="P11" s="15"/>
      <c r="Q11" s="15"/>
      <c r="R11" s="15"/>
      <c r="S11" s="15"/>
      <c r="T11" s="15"/>
      <c r="U11" s="15"/>
      <c r="V11" s="15"/>
      <c r="W11" s="15"/>
      <c r="X11" s="15"/>
      <c r="Y11" s="15"/>
      <c r="Z11" s="16"/>
    </row>
    <row r="12">
      <c r="A12" s="12" t="s">
        <v>61</v>
      </c>
      <c r="B12" s="13" t="s">
        <v>62</v>
      </c>
      <c r="C12" s="13" t="s">
        <v>28</v>
      </c>
      <c r="D12" s="13" t="s">
        <v>28</v>
      </c>
      <c r="E12" s="14">
        <v>1000.0</v>
      </c>
      <c r="F12" s="13" t="s">
        <v>29</v>
      </c>
      <c r="G12" s="13" t="s">
        <v>47</v>
      </c>
      <c r="H12" s="14">
        <v>950.0</v>
      </c>
      <c r="I12" s="14">
        <v>1675.0</v>
      </c>
      <c r="J12" s="14">
        <v>1585.0</v>
      </c>
      <c r="K12" s="13" t="s">
        <v>63</v>
      </c>
      <c r="L12" s="15"/>
      <c r="M12" s="15"/>
      <c r="N12" s="15"/>
      <c r="O12" s="15"/>
      <c r="P12" s="15"/>
      <c r="Q12" s="15"/>
      <c r="R12" s="15"/>
      <c r="S12" s="15"/>
      <c r="T12" s="15"/>
      <c r="U12" s="15"/>
      <c r="V12" s="15"/>
      <c r="W12" s="15"/>
      <c r="X12" s="15"/>
      <c r="Y12" s="15"/>
      <c r="Z12" s="16"/>
    </row>
    <row r="13">
      <c r="A13" s="12" t="s">
        <v>64</v>
      </c>
      <c r="B13" s="13" t="s">
        <v>65</v>
      </c>
      <c r="C13" s="13" t="s">
        <v>28</v>
      </c>
      <c r="D13" s="13" t="s">
        <v>28</v>
      </c>
      <c r="E13" s="14">
        <v>500.0</v>
      </c>
      <c r="F13" s="13" t="s">
        <v>29</v>
      </c>
      <c r="G13" s="13" t="s">
        <v>47</v>
      </c>
      <c r="H13" s="14">
        <v>950.0</v>
      </c>
      <c r="I13" s="14">
        <v>1675.0</v>
      </c>
      <c r="J13" s="14">
        <v>1585.0</v>
      </c>
      <c r="K13" s="13" t="s">
        <v>66</v>
      </c>
      <c r="L13" s="15"/>
      <c r="M13" s="15"/>
      <c r="N13" s="15"/>
      <c r="O13" s="15"/>
      <c r="P13" s="15"/>
      <c r="Q13" s="15"/>
      <c r="R13" s="15"/>
      <c r="S13" s="15"/>
      <c r="T13" s="15"/>
      <c r="U13" s="15"/>
      <c r="V13" s="15"/>
      <c r="W13" s="15"/>
      <c r="X13" s="15"/>
      <c r="Y13" s="15"/>
      <c r="Z13" s="16"/>
    </row>
    <row r="14">
      <c r="A14" s="12" t="s">
        <v>67</v>
      </c>
      <c r="B14" s="13" t="s">
        <v>68</v>
      </c>
      <c r="C14" s="13" t="s">
        <v>28</v>
      </c>
      <c r="D14" s="13" t="s">
        <v>28</v>
      </c>
      <c r="E14" s="14">
        <v>1000.0</v>
      </c>
      <c r="F14" s="13" t="s">
        <v>29</v>
      </c>
      <c r="G14" s="13" t="s">
        <v>47</v>
      </c>
      <c r="H14" s="14">
        <v>950.0</v>
      </c>
      <c r="I14" s="14">
        <v>1675.0</v>
      </c>
      <c r="J14" s="14">
        <v>1585.0</v>
      </c>
      <c r="K14" s="13" t="s">
        <v>69</v>
      </c>
      <c r="L14" s="15"/>
      <c r="M14" s="15"/>
      <c r="N14" s="15"/>
      <c r="O14" s="15"/>
      <c r="P14" s="15"/>
      <c r="Q14" s="15"/>
      <c r="R14" s="15"/>
      <c r="S14" s="15"/>
      <c r="T14" s="15"/>
      <c r="U14" s="15"/>
      <c r="V14" s="15"/>
      <c r="W14" s="15"/>
      <c r="X14" s="15"/>
      <c r="Y14" s="15"/>
      <c r="Z14" s="16"/>
    </row>
    <row r="15">
      <c r="A15" s="12" t="s">
        <v>70</v>
      </c>
      <c r="B15" s="13" t="s">
        <v>71</v>
      </c>
      <c r="C15" s="13" t="s">
        <v>28</v>
      </c>
      <c r="D15" s="13" t="s">
        <v>28</v>
      </c>
      <c r="E15" s="14">
        <v>998.0</v>
      </c>
      <c r="F15" s="13" t="s">
        <v>29</v>
      </c>
      <c r="G15" s="13" t="s">
        <v>47</v>
      </c>
      <c r="H15" s="14">
        <v>950.0</v>
      </c>
      <c r="I15" s="14">
        <v>1675.0</v>
      </c>
      <c r="J15" s="14">
        <v>1585.0</v>
      </c>
      <c r="K15" s="13" t="s">
        <v>72</v>
      </c>
      <c r="L15" s="15"/>
      <c r="M15" s="15"/>
      <c r="N15" s="15"/>
      <c r="O15" s="15"/>
      <c r="P15" s="15"/>
      <c r="Q15" s="15"/>
      <c r="R15" s="15"/>
      <c r="S15" s="15"/>
      <c r="T15" s="15"/>
      <c r="U15" s="15"/>
      <c r="V15" s="15"/>
      <c r="W15" s="15"/>
      <c r="X15" s="15"/>
      <c r="Y15" s="15"/>
      <c r="Z15" s="16"/>
    </row>
    <row r="16">
      <c r="A16" s="12" t="s">
        <v>73</v>
      </c>
      <c r="B16" s="13" t="s">
        <v>74</v>
      </c>
      <c r="C16" s="13" t="s">
        <v>28</v>
      </c>
      <c r="D16" s="13" t="s">
        <v>28</v>
      </c>
      <c r="E16" s="14">
        <v>1000.0</v>
      </c>
      <c r="F16" s="13" t="s">
        <v>29</v>
      </c>
      <c r="G16" s="13" t="s">
        <v>47</v>
      </c>
      <c r="H16" s="14">
        <v>950.0</v>
      </c>
      <c r="I16" s="14">
        <v>1675.0</v>
      </c>
      <c r="J16" s="14">
        <v>1585.0</v>
      </c>
      <c r="K16" s="13" t="s">
        <v>75</v>
      </c>
      <c r="L16" s="15"/>
      <c r="M16" s="15"/>
      <c r="N16" s="15"/>
      <c r="O16" s="15"/>
      <c r="P16" s="15"/>
      <c r="Q16" s="15"/>
      <c r="R16" s="15"/>
      <c r="S16" s="15"/>
      <c r="T16" s="15"/>
      <c r="U16" s="15"/>
      <c r="V16" s="15"/>
      <c r="W16" s="15"/>
      <c r="X16" s="15"/>
      <c r="Y16" s="15"/>
      <c r="Z16" s="16"/>
    </row>
    <row r="17">
      <c r="A17" s="12" t="s">
        <v>76</v>
      </c>
      <c r="B17" s="13" t="s">
        <v>77</v>
      </c>
      <c r="C17" s="13" t="s">
        <v>28</v>
      </c>
      <c r="D17" s="13" t="s">
        <v>28</v>
      </c>
      <c r="E17" s="14">
        <v>996.0</v>
      </c>
      <c r="F17" s="13" t="s">
        <v>29</v>
      </c>
      <c r="G17" s="13" t="s">
        <v>47</v>
      </c>
      <c r="H17" s="14">
        <v>950.0</v>
      </c>
      <c r="I17" s="14">
        <v>1675.0</v>
      </c>
      <c r="J17" s="14">
        <v>1585.0</v>
      </c>
      <c r="K17" s="13" t="s">
        <v>78</v>
      </c>
      <c r="L17" s="15"/>
      <c r="M17" s="15"/>
      <c r="N17" s="15"/>
      <c r="O17" s="15"/>
      <c r="P17" s="15"/>
      <c r="Q17" s="15"/>
      <c r="R17" s="15"/>
      <c r="S17" s="15"/>
      <c r="T17" s="15"/>
      <c r="U17" s="15"/>
      <c r="V17" s="15"/>
      <c r="W17" s="15"/>
      <c r="X17" s="15"/>
      <c r="Y17" s="15"/>
      <c r="Z17" s="16"/>
    </row>
    <row r="18">
      <c r="A18" s="12" t="s">
        <v>79</v>
      </c>
      <c r="B18" s="13" t="s">
        <v>80</v>
      </c>
      <c r="C18" s="13" t="s">
        <v>28</v>
      </c>
      <c r="D18" s="13" t="s">
        <v>28</v>
      </c>
      <c r="E18" s="14">
        <v>556.0</v>
      </c>
      <c r="F18" s="13" t="s">
        <v>29</v>
      </c>
      <c r="G18" s="13" t="s">
        <v>47</v>
      </c>
      <c r="H18" s="14">
        <v>950.0</v>
      </c>
      <c r="I18" s="14">
        <v>1675.0</v>
      </c>
      <c r="J18" s="14">
        <v>1585.0</v>
      </c>
      <c r="K18" s="13" t="s">
        <v>81</v>
      </c>
      <c r="L18" s="15"/>
      <c r="M18" s="15"/>
      <c r="N18" s="15"/>
      <c r="O18" s="15"/>
      <c r="P18" s="15"/>
      <c r="Q18" s="15"/>
      <c r="R18" s="15"/>
      <c r="S18" s="15"/>
      <c r="T18" s="15"/>
      <c r="U18" s="15"/>
      <c r="V18" s="15"/>
      <c r="W18" s="15"/>
      <c r="X18" s="15"/>
      <c r="Y18" s="15"/>
      <c r="Z18" s="16"/>
    </row>
    <row r="19">
      <c r="A19" s="12" t="s">
        <v>82</v>
      </c>
      <c r="B19" s="13" t="s">
        <v>83</v>
      </c>
      <c r="C19" s="13" t="s">
        <v>28</v>
      </c>
      <c r="D19" s="13" t="s">
        <v>28</v>
      </c>
      <c r="E19" s="14">
        <v>1991.0</v>
      </c>
      <c r="F19" s="13" t="s">
        <v>29</v>
      </c>
      <c r="G19" s="13" t="s">
        <v>47</v>
      </c>
      <c r="H19" s="14">
        <v>950.0</v>
      </c>
      <c r="I19" s="14">
        <v>1675.0</v>
      </c>
      <c r="J19" s="14">
        <v>1585.0</v>
      </c>
      <c r="K19" s="13" t="s">
        <v>84</v>
      </c>
      <c r="L19" s="15"/>
      <c r="M19" s="15"/>
      <c r="N19" s="15"/>
      <c r="O19" s="15"/>
      <c r="P19" s="15"/>
      <c r="Q19" s="15"/>
      <c r="R19" s="15"/>
      <c r="S19" s="15"/>
      <c r="T19" s="15"/>
      <c r="U19" s="15"/>
      <c r="V19" s="15"/>
      <c r="W19" s="15"/>
      <c r="X19" s="15"/>
      <c r="Y19" s="15"/>
      <c r="Z19" s="16"/>
    </row>
    <row r="20">
      <c r="A20" s="12" t="s">
        <v>85</v>
      </c>
      <c r="B20" s="13" t="s">
        <v>86</v>
      </c>
      <c r="C20" s="13" t="s">
        <v>28</v>
      </c>
      <c r="D20" s="13" t="s">
        <v>28</v>
      </c>
      <c r="E20" s="14">
        <v>490.0</v>
      </c>
      <c r="F20" s="13" t="s">
        <v>29</v>
      </c>
      <c r="G20" s="13" t="s">
        <v>47</v>
      </c>
      <c r="H20" s="14">
        <v>950.0</v>
      </c>
      <c r="I20" s="14">
        <v>1675.0</v>
      </c>
      <c r="J20" s="14">
        <v>1585.0</v>
      </c>
      <c r="K20" s="13" t="s">
        <v>87</v>
      </c>
      <c r="L20" s="15"/>
      <c r="M20" s="15"/>
      <c r="N20" s="15"/>
      <c r="O20" s="15"/>
      <c r="P20" s="15"/>
      <c r="Q20" s="15"/>
      <c r="R20" s="15"/>
      <c r="S20" s="15"/>
      <c r="T20" s="15"/>
      <c r="U20" s="15"/>
      <c r="V20" s="15"/>
      <c r="W20" s="15"/>
      <c r="X20" s="15"/>
      <c r="Y20" s="15"/>
      <c r="Z20" s="16"/>
    </row>
    <row r="21">
      <c r="A21" s="12" t="s">
        <v>88</v>
      </c>
      <c r="B21" s="13" t="s">
        <v>89</v>
      </c>
      <c r="C21" s="13" t="s">
        <v>28</v>
      </c>
      <c r="D21" s="13" t="s">
        <v>28</v>
      </c>
      <c r="E21" s="14">
        <v>998.0</v>
      </c>
      <c r="F21" s="13" t="s">
        <v>29</v>
      </c>
      <c r="G21" s="13" t="s">
        <v>47</v>
      </c>
      <c r="H21" s="14">
        <v>950.0</v>
      </c>
      <c r="I21" s="14">
        <v>1675.0</v>
      </c>
      <c r="J21" s="14">
        <v>1585.0</v>
      </c>
      <c r="K21" s="13" t="s">
        <v>90</v>
      </c>
      <c r="L21" s="15"/>
      <c r="M21" s="15"/>
      <c r="N21" s="15"/>
      <c r="O21" s="15"/>
      <c r="P21" s="15"/>
      <c r="Q21" s="15"/>
      <c r="R21" s="15"/>
      <c r="S21" s="15"/>
      <c r="T21" s="15"/>
      <c r="U21" s="15"/>
      <c r="V21" s="15"/>
      <c r="W21" s="15"/>
      <c r="X21" s="15"/>
      <c r="Y21" s="15"/>
      <c r="Z21" s="16"/>
    </row>
    <row r="22">
      <c r="A22" s="12" t="s">
        <v>91</v>
      </c>
      <c r="B22" s="13" t="s">
        <v>92</v>
      </c>
      <c r="C22" s="13" t="s">
        <v>28</v>
      </c>
      <c r="D22" s="13" t="s">
        <v>28</v>
      </c>
      <c r="E22" s="14">
        <v>1013.0</v>
      </c>
      <c r="F22" s="13" t="s">
        <v>29</v>
      </c>
      <c r="G22" s="13" t="s">
        <v>47</v>
      </c>
      <c r="H22" s="14">
        <v>950.0</v>
      </c>
      <c r="I22" s="14">
        <v>1675.0</v>
      </c>
      <c r="J22" s="14">
        <v>1585.0</v>
      </c>
      <c r="K22" s="13" t="s">
        <v>93</v>
      </c>
      <c r="L22" s="15"/>
      <c r="M22" s="15"/>
      <c r="N22" s="15"/>
      <c r="O22" s="15"/>
      <c r="P22" s="15"/>
      <c r="Q22" s="15"/>
      <c r="R22" s="15"/>
      <c r="S22" s="15"/>
      <c r="T22" s="15"/>
      <c r="U22" s="15"/>
      <c r="V22" s="15"/>
      <c r="W22" s="15"/>
      <c r="X22" s="15"/>
      <c r="Y22" s="15"/>
      <c r="Z22" s="16"/>
    </row>
    <row r="23">
      <c r="A23" s="12" t="s">
        <v>94</v>
      </c>
      <c r="B23" s="13" t="s">
        <v>95</v>
      </c>
      <c r="C23" s="13" t="s">
        <v>28</v>
      </c>
      <c r="D23" s="13" t="s">
        <v>28</v>
      </c>
      <c r="E23" s="14">
        <v>1000.0</v>
      </c>
      <c r="F23" s="13" t="s">
        <v>29</v>
      </c>
      <c r="G23" s="13" t="s">
        <v>47</v>
      </c>
      <c r="H23" s="14">
        <v>950.0</v>
      </c>
      <c r="I23" s="14">
        <v>1675.0</v>
      </c>
      <c r="J23" s="14">
        <v>1585.0</v>
      </c>
      <c r="K23" s="13" t="s">
        <v>96</v>
      </c>
      <c r="L23" s="15"/>
      <c r="M23" s="15"/>
      <c r="N23" s="15"/>
      <c r="O23" s="15"/>
      <c r="P23" s="15"/>
      <c r="Q23" s="15"/>
      <c r="R23" s="15"/>
      <c r="S23" s="15"/>
      <c r="T23" s="15"/>
      <c r="U23" s="15"/>
      <c r="V23" s="15"/>
      <c r="W23" s="15"/>
      <c r="X23" s="15"/>
      <c r="Y23" s="15"/>
      <c r="Z23" s="16"/>
    </row>
    <row r="24">
      <c r="A24" s="12" t="s">
        <v>97</v>
      </c>
      <c r="B24" s="13" t="s">
        <v>98</v>
      </c>
      <c r="C24" s="13" t="s">
        <v>28</v>
      </c>
      <c r="D24" s="13" t="s">
        <v>28</v>
      </c>
      <c r="E24" s="14">
        <v>467.0</v>
      </c>
      <c r="F24" s="13" t="s">
        <v>29</v>
      </c>
      <c r="G24" s="13" t="s">
        <v>47</v>
      </c>
      <c r="H24" s="14">
        <v>950.0</v>
      </c>
      <c r="I24" s="14">
        <v>1675.0</v>
      </c>
      <c r="J24" s="14">
        <v>1585.0</v>
      </c>
      <c r="K24" s="13" t="s">
        <v>99</v>
      </c>
      <c r="L24" s="15"/>
      <c r="M24" s="15"/>
      <c r="N24" s="15"/>
      <c r="O24" s="15"/>
      <c r="P24" s="15"/>
      <c r="Q24" s="15"/>
      <c r="R24" s="15"/>
      <c r="S24" s="15"/>
      <c r="T24" s="15"/>
      <c r="U24" s="15"/>
      <c r="V24" s="15"/>
      <c r="W24" s="15"/>
      <c r="X24" s="15"/>
      <c r="Y24" s="15"/>
      <c r="Z24" s="16"/>
    </row>
    <row r="25">
      <c r="A25" s="12" t="s">
        <v>100</v>
      </c>
      <c r="B25" s="13" t="s">
        <v>101</v>
      </c>
      <c r="C25" s="13" t="s">
        <v>28</v>
      </c>
      <c r="D25" s="13" t="s">
        <v>28</v>
      </c>
      <c r="E25" s="14">
        <v>1483.0</v>
      </c>
      <c r="F25" s="13" t="s">
        <v>29</v>
      </c>
      <c r="G25" s="13" t="s">
        <v>47</v>
      </c>
      <c r="H25" s="14">
        <v>950.0</v>
      </c>
      <c r="I25" s="14">
        <v>1675.0</v>
      </c>
      <c r="J25" s="14">
        <v>1585.0</v>
      </c>
      <c r="K25" s="13" t="s">
        <v>102</v>
      </c>
      <c r="L25" s="15"/>
      <c r="M25" s="15"/>
      <c r="N25" s="15"/>
      <c r="O25" s="15"/>
      <c r="P25" s="15"/>
      <c r="Q25" s="15"/>
      <c r="R25" s="15"/>
      <c r="S25" s="15"/>
      <c r="T25" s="15"/>
      <c r="U25" s="15"/>
      <c r="V25" s="15"/>
      <c r="W25" s="15"/>
      <c r="X25" s="15"/>
      <c r="Y25" s="15"/>
      <c r="Z25" s="16"/>
    </row>
    <row r="26">
      <c r="A26" s="12" t="s">
        <v>103</v>
      </c>
      <c r="B26" s="13" t="s">
        <v>104</v>
      </c>
      <c r="C26" s="13" t="s">
        <v>28</v>
      </c>
      <c r="D26" s="13" t="s">
        <v>28</v>
      </c>
      <c r="E26" s="14">
        <v>1614.0</v>
      </c>
      <c r="F26" s="13" t="s">
        <v>29</v>
      </c>
      <c r="G26" s="13" t="s">
        <v>47</v>
      </c>
      <c r="H26" s="14">
        <v>950.0</v>
      </c>
      <c r="I26" s="14">
        <v>1675.0</v>
      </c>
      <c r="J26" s="14">
        <v>1585.0</v>
      </c>
      <c r="K26" s="13" t="s">
        <v>105</v>
      </c>
      <c r="L26" s="15"/>
      <c r="M26" s="15"/>
      <c r="N26" s="15"/>
      <c r="O26" s="15"/>
      <c r="P26" s="15"/>
      <c r="Q26" s="15"/>
      <c r="R26" s="15"/>
      <c r="S26" s="15"/>
      <c r="T26" s="15"/>
      <c r="U26" s="15"/>
      <c r="V26" s="15"/>
      <c r="W26" s="15"/>
      <c r="X26" s="15"/>
      <c r="Y26" s="15"/>
      <c r="Z26" s="16"/>
    </row>
    <row r="27">
      <c r="A27" s="12" t="s">
        <v>106</v>
      </c>
      <c r="B27" s="13" t="s">
        <v>107</v>
      </c>
      <c r="C27" s="13" t="s">
        <v>28</v>
      </c>
      <c r="D27" s="13" t="s">
        <v>28</v>
      </c>
      <c r="E27" s="14">
        <v>2230.0</v>
      </c>
      <c r="F27" s="13" t="s">
        <v>29</v>
      </c>
      <c r="G27" s="13" t="s">
        <v>47</v>
      </c>
      <c r="H27" s="14">
        <v>950.0</v>
      </c>
      <c r="I27" s="14">
        <v>1675.0</v>
      </c>
      <c r="J27" s="14">
        <v>1585.0</v>
      </c>
      <c r="K27" s="13" t="s">
        <v>108</v>
      </c>
      <c r="L27" s="15"/>
      <c r="M27" s="15"/>
      <c r="N27" s="15"/>
      <c r="O27" s="15"/>
      <c r="P27" s="15"/>
      <c r="Q27" s="15"/>
      <c r="R27" s="15"/>
      <c r="S27" s="15"/>
      <c r="T27" s="15"/>
      <c r="U27" s="15"/>
      <c r="V27" s="15"/>
      <c r="W27" s="15"/>
      <c r="X27" s="15"/>
      <c r="Y27" s="15"/>
      <c r="Z27" s="16"/>
    </row>
    <row r="28">
      <c r="A28" s="12" t="s">
        <v>109</v>
      </c>
      <c r="B28" s="13" t="s">
        <v>110</v>
      </c>
      <c r="C28" s="13" t="s">
        <v>28</v>
      </c>
      <c r="D28" s="13" t="s">
        <v>28</v>
      </c>
      <c r="E28" s="14">
        <v>2012.0</v>
      </c>
      <c r="F28" s="13" t="s">
        <v>29</v>
      </c>
      <c r="G28" s="13" t="s">
        <v>47</v>
      </c>
      <c r="H28" s="14">
        <v>950.0</v>
      </c>
      <c r="I28" s="14">
        <v>1675.0</v>
      </c>
      <c r="J28" s="14">
        <v>1585.0</v>
      </c>
      <c r="K28" s="13" t="s">
        <v>111</v>
      </c>
      <c r="L28" s="15"/>
      <c r="M28" s="15"/>
      <c r="N28" s="15"/>
      <c r="O28" s="15"/>
      <c r="P28" s="15"/>
      <c r="Q28" s="15"/>
      <c r="R28" s="15"/>
      <c r="S28" s="15"/>
      <c r="T28" s="15"/>
      <c r="U28" s="15"/>
      <c r="V28" s="15"/>
      <c r="W28" s="15"/>
      <c r="X28" s="15"/>
      <c r="Y28" s="15"/>
      <c r="Z28" s="16"/>
    </row>
    <row r="29">
      <c r="A29" s="12" t="s">
        <v>112</v>
      </c>
      <c r="B29" s="13" t="s">
        <v>113</v>
      </c>
      <c r="C29" s="13" t="s">
        <v>28</v>
      </c>
      <c r="D29" s="13" t="s">
        <v>28</v>
      </c>
      <c r="E29" s="14">
        <v>1156.0</v>
      </c>
      <c r="F29" s="13" t="s">
        <v>29</v>
      </c>
      <c r="G29" s="13" t="s">
        <v>47</v>
      </c>
      <c r="H29" s="14">
        <v>950.0</v>
      </c>
      <c r="I29" s="14">
        <v>1675.0</v>
      </c>
      <c r="J29" s="14">
        <v>1585.0</v>
      </c>
      <c r="K29" s="13" t="s">
        <v>114</v>
      </c>
      <c r="L29" s="15"/>
      <c r="M29" s="15"/>
      <c r="N29" s="15"/>
      <c r="O29" s="15"/>
      <c r="P29" s="15"/>
      <c r="Q29" s="15"/>
      <c r="R29" s="15"/>
      <c r="S29" s="15"/>
      <c r="T29" s="15"/>
      <c r="U29" s="15"/>
      <c r="V29" s="15"/>
      <c r="W29" s="15"/>
      <c r="X29" s="15"/>
      <c r="Y29" s="15"/>
      <c r="Z29" s="16"/>
    </row>
    <row r="30">
      <c r="A30" s="12" t="s">
        <v>115</v>
      </c>
      <c r="B30" s="13" t="s">
        <v>116</v>
      </c>
      <c r="C30" s="13" t="s">
        <v>28</v>
      </c>
      <c r="D30" s="13" t="s">
        <v>28</v>
      </c>
      <c r="E30" s="14">
        <v>288.0</v>
      </c>
      <c r="F30" s="13" t="s">
        <v>29</v>
      </c>
      <c r="G30" s="13" t="s">
        <v>47</v>
      </c>
      <c r="H30" s="14">
        <v>950.0</v>
      </c>
      <c r="I30" s="14">
        <v>1675.0</v>
      </c>
      <c r="J30" s="14">
        <v>1585.0</v>
      </c>
      <c r="K30" s="13" t="s">
        <v>117</v>
      </c>
      <c r="L30" s="15"/>
      <c r="M30" s="15"/>
      <c r="N30" s="15"/>
      <c r="O30" s="15"/>
      <c r="P30" s="15"/>
      <c r="Q30" s="15"/>
      <c r="R30" s="15"/>
      <c r="S30" s="15"/>
      <c r="T30" s="15"/>
      <c r="U30" s="15"/>
      <c r="V30" s="15"/>
      <c r="W30" s="15"/>
      <c r="X30" s="15"/>
      <c r="Y30" s="15"/>
      <c r="Z30" s="16"/>
    </row>
    <row r="31">
      <c r="A31" s="12" t="s">
        <v>118</v>
      </c>
      <c r="B31" s="13" t="s">
        <v>119</v>
      </c>
      <c r="C31" s="13" t="s">
        <v>28</v>
      </c>
      <c r="D31" s="13" t="s">
        <v>28</v>
      </c>
      <c r="E31" s="14">
        <v>136.0</v>
      </c>
      <c r="F31" s="13" t="s">
        <v>29</v>
      </c>
      <c r="G31" s="13" t="s">
        <v>47</v>
      </c>
      <c r="H31" s="14">
        <v>950.0</v>
      </c>
      <c r="I31" s="14">
        <v>1675.0</v>
      </c>
      <c r="J31" s="14">
        <v>1585.0</v>
      </c>
      <c r="K31" s="13" t="s">
        <v>120</v>
      </c>
      <c r="L31" s="15"/>
      <c r="M31" s="15"/>
      <c r="N31" s="15"/>
      <c r="O31" s="15"/>
      <c r="P31" s="15"/>
      <c r="Q31" s="15"/>
      <c r="R31" s="15"/>
      <c r="S31" s="15"/>
      <c r="T31" s="15"/>
      <c r="U31" s="15"/>
      <c r="V31" s="15"/>
      <c r="W31" s="15"/>
      <c r="X31" s="15"/>
      <c r="Y31" s="15"/>
      <c r="Z31" s="16"/>
    </row>
    <row r="32">
      <c r="A32" s="12" t="s">
        <v>121</v>
      </c>
      <c r="B32" s="13" t="s">
        <v>122</v>
      </c>
      <c r="C32" s="13" t="s">
        <v>28</v>
      </c>
      <c r="D32" s="13" t="s">
        <v>28</v>
      </c>
      <c r="E32" s="14">
        <v>176.0</v>
      </c>
      <c r="F32" s="13" t="s">
        <v>29</v>
      </c>
      <c r="G32" s="13" t="s">
        <v>47</v>
      </c>
      <c r="H32" s="14">
        <v>950.0</v>
      </c>
      <c r="I32" s="14">
        <v>1675.0</v>
      </c>
      <c r="J32" s="14">
        <v>1585.0</v>
      </c>
      <c r="K32" s="13" t="s">
        <v>123</v>
      </c>
      <c r="L32" s="15"/>
      <c r="M32" s="15"/>
      <c r="N32" s="15"/>
      <c r="O32" s="15"/>
      <c r="P32" s="15"/>
      <c r="Q32" s="15"/>
      <c r="R32" s="15"/>
      <c r="S32" s="15"/>
      <c r="T32" s="15"/>
      <c r="U32" s="15"/>
      <c r="V32" s="15"/>
      <c r="W32" s="15"/>
      <c r="X32" s="15"/>
      <c r="Y32" s="15"/>
      <c r="Z32" s="16"/>
    </row>
    <row r="33">
      <c r="A33" s="12" t="s">
        <v>124</v>
      </c>
      <c r="B33" s="13" t="s">
        <v>125</v>
      </c>
      <c r="C33" s="13" t="s">
        <v>28</v>
      </c>
      <c r="D33" s="13" t="s">
        <v>28</v>
      </c>
      <c r="E33" s="14">
        <v>545.0</v>
      </c>
      <c r="F33" s="13" t="s">
        <v>29</v>
      </c>
      <c r="G33" s="13" t="s">
        <v>47</v>
      </c>
      <c r="H33" s="14">
        <v>950.0</v>
      </c>
      <c r="I33" s="14">
        <v>1675.0</v>
      </c>
      <c r="J33" s="14">
        <v>1585.0</v>
      </c>
      <c r="K33" s="13" t="s">
        <v>126</v>
      </c>
      <c r="L33" s="15"/>
      <c r="M33" s="15"/>
      <c r="N33" s="15"/>
      <c r="O33" s="15"/>
      <c r="P33" s="15"/>
      <c r="Q33" s="15"/>
      <c r="R33" s="15"/>
      <c r="S33" s="15"/>
      <c r="T33" s="15"/>
      <c r="U33" s="15"/>
      <c r="V33" s="15"/>
      <c r="W33" s="15"/>
      <c r="X33" s="15"/>
      <c r="Y33" s="15"/>
      <c r="Z33" s="16"/>
    </row>
    <row r="34">
      <c r="A34" s="12" t="s">
        <v>127</v>
      </c>
      <c r="B34" s="13" t="s">
        <v>128</v>
      </c>
      <c r="C34" s="13" t="s">
        <v>28</v>
      </c>
      <c r="D34" s="13" t="s">
        <v>28</v>
      </c>
      <c r="E34" s="14">
        <v>684.0</v>
      </c>
      <c r="F34" s="13" t="s">
        <v>29</v>
      </c>
      <c r="G34" s="13" t="s">
        <v>47</v>
      </c>
      <c r="H34" s="14">
        <v>950.0</v>
      </c>
      <c r="I34" s="14">
        <v>1675.0</v>
      </c>
      <c r="J34" s="14">
        <v>1585.0</v>
      </c>
      <c r="K34" s="13" t="s">
        <v>129</v>
      </c>
      <c r="L34" s="15"/>
      <c r="M34" s="15"/>
      <c r="N34" s="15"/>
      <c r="O34" s="15"/>
      <c r="P34" s="15"/>
      <c r="Q34" s="15"/>
      <c r="R34" s="15"/>
      <c r="S34" s="15"/>
      <c r="T34" s="15"/>
      <c r="U34" s="15"/>
      <c r="V34" s="15"/>
      <c r="W34" s="15"/>
      <c r="X34" s="15"/>
      <c r="Y34" s="15"/>
      <c r="Z34" s="16"/>
    </row>
    <row r="35">
      <c r="A35" s="12" t="s">
        <v>130</v>
      </c>
      <c r="B35" s="13" t="s">
        <v>131</v>
      </c>
      <c r="C35" s="13" t="s">
        <v>28</v>
      </c>
      <c r="D35" s="13" t="s">
        <v>28</v>
      </c>
      <c r="E35" s="14">
        <v>713.0</v>
      </c>
      <c r="F35" s="13" t="s">
        <v>29</v>
      </c>
      <c r="G35" s="13" t="s">
        <v>47</v>
      </c>
      <c r="H35" s="14">
        <v>950.0</v>
      </c>
      <c r="I35" s="14">
        <v>1675.0</v>
      </c>
      <c r="J35" s="14">
        <v>1585.0</v>
      </c>
      <c r="K35" s="13" t="s">
        <v>132</v>
      </c>
      <c r="L35" s="15"/>
      <c r="M35" s="15"/>
      <c r="N35" s="15"/>
      <c r="O35" s="15"/>
      <c r="P35" s="15"/>
      <c r="Q35" s="15"/>
      <c r="R35" s="15"/>
      <c r="S35" s="15"/>
      <c r="T35" s="15"/>
      <c r="U35" s="15"/>
      <c r="V35" s="15"/>
      <c r="W35" s="15"/>
      <c r="X35" s="15"/>
      <c r="Y35" s="15"/>
      <c r="Z35" s="16"/>
    </row>
    <row r="36">
      <c r="A36" s="12" t="s">
        <v>133</v>
      </c>
      <c r="B36" s="13" t="s">
        <v>134</v>
      </c>
      <c r="C36" s="13" t="s">
        <v>28</v>
      </c>
      <c r="D36" s="13" t="s">
        <v>28</v>
      </c>
      <c r="E36" s="14">
        <v>598.0</v>
      </c>
      <c r="F36" s="13" t="s">
        <v>29</v>
      </c>
      <c r="G36" s="13" t="s">
        <v>47</v>
      </c>
      <c r="H36" s="14">
        <v>950.0</v>
      </c>
      <c r="I36" s="14">
        <v>1675.0</v>
      </c>
      <c r="J36" s="14">
        <v>1585.0</v>
      </c>
      <c r="K36" s="13" t="s">
        <v>135</v>
      </c>
      <c r="L36" s="15"/>
      <c r="M36" s="15"/>
      <c r="N36" s="15"/>
      <c r="O36" s="15"/>
      <c r="P36" s="15"/>
      <c r="Q36" s="15"/>
      <c r="R36" s="15"/>
      <c r="S36" s="15"/>
      <c r="T36" s="15"/>
      <c r="U36" s="15"/>
      <c r="V36" s="15"/>
      <c r="W36" s="15"/>
      <c r="X36" s="15"/>
      <c r="Y36" s="15"/>
      <c r="Z36" s="16"/>
    </row>
    <row r="37">
      <c r="A37" s="12" t="s">
        <v>136</v>
      </c>
      <c r="B37" s="13" t="s">
        <v>137</v>
      </c>
      <c r="C37" s="13" t="s">
        <v>28</v>
      </c>
      <c r="D37" s="13" t="s">
        <v>28</v>
      </c>
      <c r="E37" s="14">
        <v>1336.0</v>
      </c>
      <c r="F37" s="13" t="s">
        <v>29</v>
      </c>
      <c r="G37" s="13" t="s">
        <v>47</v>
      </c>
      <c r="H37" s="14">
        <v>950.0</v>
      </c>
      <c r="I37" s="14">
        <v>1675.0</v>
      </c>
      <c r="J37" s="14">
        <v>1585.0</v>
      </c>
      <c r="K37" s="13" t="s">
        <v>138</v>
      </c>
      <c r="L37" s="15"/>
      <c r="M37" s="15"/>
      <c r="N37" s="15"/>
      <c r="O37" s="15"/>
      <c r="P37" s="15"/>
      <c r="Q37" s="15"/>
      <c r="R37" s="15"/>
      <c r="S37" s="15"/>
      <c r="T37" s="15"/>
      <c r="U37" s="15"/>
      <c r="V37" s="15"/>
      <c r="W37" s="15"/>
      <c r="X37" s="15"/>
      <c r="Y37" s="15"/>
      <c r="Z37" s="16"/>
    </row>
    <row r="38">
      <c r="A38" s="12" t="s">
        <v>139</v>
      </c>
      <c r="B38" s="13" t="s">
        <v>140</v>
      </c>
      <c r="C38" s="13" t="s">
        <v>28</v>
      </c>
      <c r="D38" s="13" t="s">
        <v>28</v>
      </c>
      <c r="E38" s="14">
        <v>219.0</v>
      </c>
      <c r="F38" s="13" t="s">
        <v>29</v>
      </c>
      <c r="G38" s="13" t="s">
        <v>47</v>
      </c>
      <c r="H38" s="14">
        <v>950.0</v>
      </c>
      <c r="I38" s="14">
        <v>1675.0</v>
      </c>
      <c r="J38" s="14">
        <v>1585.0</v>
      </c>
      <c r="K38" s="13" t="s">
        <v>141</v>
      </c>
      <c r="L38" s="15"/>
      <c r="M38" s="15"/>
      <c r="N38" s="15"/>
      <c r="O38" s="15"/>
      <c r="P38" s="15"/>
      <c r="Q38" s="15"/>
      <c r="R38" s="15"/>
      <c r="S38" s="15"/>
      <c r="T38" s="15"/>
      <c r="U38" s="15"/>
      <c r="V38" s="15"/>
      <c r="W38" s="15"/>
      <c r="X38" s="15"/>
      <c r="Y38" s="15"/>
      <c r="Z38" s="16"/>
    </row>
    <row r="39">
      <c r="A39" s="12" t="s">
        <v>142</v>
      </c>
      <c r="B39" s="13" t="s">
        <v>143</v>
      </c>
      <c r="C39" s="13" t="s">
        <v>28</v>
      </c>
      <c r="D39" s="13" t="s">
        <v>28</v>
      </c>
      <c r="E39" s="14">
        <v>937.0</v>
      </c>
      <c r="F39" s="13" t="s">
        <v>29</v>
      </c>
      <c r="G39" s="13" t="s">
        <v>47</v>
      </c>
      <c r="H39" s="14">
        <v>950.0</v>
      </c>
      <c r="I39" s="14">
        <v>1675.0</v>
      </c>
      <c r="J39" s="14">
        <v>1585.0</v>
      </c>
      <c r="K39" s="13" t="s">
        <v>144</v>
      </c>
      <c r="L39" s="15"/>
      <c r="M39" s="15"/>
      <c r="N39" s="15"/>
      <c r="O39" s="15"/>
      <c r="P39" s="15"/>
      <c r="Q39" s="15"/>
      <c r="R39" s="15"/>
      <c r="S39" s="15"/>
      <c r="T39" s="15"/>
      <c r="U39" s="15"/>
      <c r="V39" s="15"/>
      <c r="W39" s="15"/>
      <c r="X39" s="15"/>
      <c r="Y39" s="15"/>
      <c r="Z39" s="16"/>
    </row>
    <row r="40">
      <c r="A40" s="12" t="s">
        <v>145</v>
      </c>
      <c r="B40" s="13" t="s">
        <v>146</v>
      </c>
      <c r="C40" s="13" t="s">
        <v>28</v>
      </c>
      <c r="D40" s="13" t="s">
        <v>28</v>
      </c>
      <c r="E40" s="14">
        <v>442.0</v>
      </c>
      <c r="F40" s="13" t="s">
        <v>29</v>
      </c>
      <c r="G40" s="13" t="s">
        <v>47</v>
      </c>
      <c r="H40" s="14">
        <v>950.0</v>
      </c>
      <c r="I40" s="14">
        <v>1675.0</v>
      </c>
      <c r="J40" s="14">
        <v>1585.0</v>
      </c>
      <c r="K40" s="13" t="s">
        <v>147</v>
      </c>
      <c r="L40" s="15"/>
      <c r="M40" s="15"/>
      <c r="N40" s="15"/>
      <c r="O40" s="15"/>
      <c r="P40" s="15"/>
      <c r="Q40" s="15"/>
      <c r="R40" s="15"/>
      <c r="S40" s="15"/>
      <c r="T40" s="15"/>
      <c r="U40" s="15"/>
      <c r="V40" s="15"/>
      <c r="W40" s="15"/>
      <c r="X40" s="15"/>
      <c r="Y40" s="15"/>
      <c r="Z40" s="16"/>
    </row>
    <row r="41">
      <c r="A41" s="12" t="s">
        <v>148</v>
      </c>
      <c r="B41" s="13" t="s">
        <v>149</v>
      </c>
      <c r="C41" s="13" t="s">
        <v>28</v>
      </c>
      <c r="D41" s="13" t="s">
        <v>28</v>
      </c>
      <c r="E41" s="14">
        <v>997.0</v>
      </c>
      <c r="F41" s="13" t="s">
        <v>29</v>
      </c>
      <c r="G41" s="13" t="s">
        <v>47</v>
      </c>
      <c r="H41" s="14">
        <v>950.0</v>
      </c>
      <c r="I41" s="14">
        <v>1675.0</v>
      </c>
      <c r="J41" s="14">
        <v>1585.0</v>
      </c>
      <c r="K41" s="13" t="s">
        <v>150</v>
      </c>
      <c r="L41" s="15"/>
      <c r="M41" s="15"/>
      <c r="N41" s="15"/>
      <c r="O41" s="15"/>
      <c r="P41" s="15"/>
      <c r="Q41" s="15"/>
      <c r="R41" s="15"/>
      <c r="S41" s="15"/>
      <c r="T41" s="15"/>
      <c r="U41" s="15"/>
      <c r="V41" s="15"/>
      <c r="W41" s="15"/>
      <c r="X41" s="15"/>
      <c r="Y41" s="15"/>
      <c r="Z41" s="16"/>
    </row>
    <row r="42">
      <c r="A42" s="12" t="s">
        <v>151</v>
      </c>
      <c r="B42" s="13" t="s">
        <v>152</v>
      </c>
      <c r="C42" s="13" t="s">
        <v>28</v>
      </c>
      <c r="D42" s="13" t="s">
        <v>28</v>
      </c>
      <c r="E42" s="14">
        <v>992.0</v>
      </c>
      <c r="F42" s="13" t="s">
        <v>29</v>
      </c>
      <c r="G42" s="13" t="s">
        <v>47</v>
      </c>
      <c r="H42" s="14">
        <v>950.0</v>
      </c>
      <c r="I42" s="14">
        <v>1675.0</v>
      </c>
      <c r="J42" s="14">
        <v>1585.0</v>
      </c>
      <c r="K42" s="13" t="s">
        <v>153</v>
      </c>
      <c r="L42" s="15"/>
      <c r="M42" s="15"/>
      <c r="N42" s="15"/>
      <c r="O42" s="15"/>
      <c r="P42" s="15"/>
      <c r="Q42" s="15"/>
      <c r="R42" s="15"/>
      <c r="S42" s="15"/>
      <c r="T42" s="15"/>
      <c r="U42" s="15"/>
      <c r="V42" s="15"/>
      <c r="W42" s="15"/>
      <c r="X42" s="15"/>
      <c r="Y42" s="15"/>
      <c r="Z42" s="16"/>
    </row>
    <row r="43">
      <c r="A43" s="12" t="s">
        <v>154</v>
      </c>
      <c r="B43" s="13" t="s">
        <v>155</v>
      </c>
      <c r="C43" s="13" t="s">
        <v>28</v>
      </c>
      <c r="D43" s="13" t="s">
        <v>28</v>
      </c>
      <c r="E43" s="14">
        <v>998.0</v>
      </c>
      <c r="F43" s="13" t="s">
        <v>29</v>
      </c>
      <c r="G43" s="13" t="s">
        <v>47</v>
      </c>
      <c r="H43" s="14">
        <v>950.0</v>
      </c>
      <c r="I43" s="14">
        <v>1675.0</v>
      </c>
      <c r="J43" s="14">
        <v>1585.0</v>
      </c>
      <c r="K43" s="13" t="s">
        <v>156</v>
      </c>
      <c r="L43" s="15"/>
      <c r="M43" s="15"/>
      <c r="N43" s="15"/>
      <c r="O43" s="15"/>
      <c r="P43" s="15"/>
      <c r="Q43" s="15"/>
      <c r="R43" s="15"/>
      <c r="S43" s="15"/>
      <c r="T43" s="15"/>
      <c r="U43" s="15"/>
      <c r="V43" s="15"/>
      <c r="W43" s="15"/>
      <c r="X43" s="15"/>
      <c r="Y43" s="15"/>
      <c r="Z43" s="16"/>
    </row>
    <row r="44">
      <c r="A44" s="12" t="s">
        <v>157</v>
      </c>
      <c r="B44" s="13" t="s">
        <v>158</v>
      </c>
      <c r="C44" s="13" t="s">
        <v>28</v>
      </c>
      <c r="D44" s="13" t="s">
        <v>28</v>
      </c>
      <c r="E44" s="14">
        <v>999.0</v>
      </c>
      <c r="F44" s="13" t="s">
        <v>29</v>
      </c>
      <c r="G44" s="13" t="s">
        <v>47</v>
      </c>
      <c r="H44" s="14">
        <v>950.0</v>
      </c>
      <c r="I44" s="14">
        <v>1675.0</v>
      </c>
      <c r="J44" s="14">
        <v>1585.0</v>
      </c>
      <c r="K44" s="13" t="s">
        <v>159</v>
      </c>
      <c r="L44" s="15"/>
      <c r="M44" s="15"/>
      <c r="N44" s="15"/>
      <c r="O44" s="15"/>
      <c r="P44" s="15"/>
      <c r="Q44" s="15"/>
      <c r="R44" s="15"/>
      <c r="S44" s="15"/>
      <c r="T44" s="15"/>
      <c r="U44" s="15"/>
      <c r="V44" s="15"/>
      <c r="W44" s="15"/>
      <c r="X44" s="15"/>
      <c r="Y44" s="15"/>
      <c r="Z44" s="16"/>
    </row>
    <row r="45">
      <c r="A45" s="12" t="s">
        <v>160</v>
      </c>
      <c r="B45" s="13" t="s">
        <v>161</v>
      </c>
      <c r="C45" s="13" t="s">
        <v>28</v>
      </c>
      <c r="D45" s="13" t="s">
        <v>28</v>
      </c>
      <c r="E45" s="14">
        <v>997.0</v>
      </c>
      <c r="F45" s="13" t="s">
        <v>29</v>
      </c>
      <c r="G45" s="13" t="s">
        <v>47</v>
      </c>
      <c r="H45" s="14">
        <v>950.0</v>
      </c>
      <c r="I45" s="14">
        <v>1675.0</v>
      </c>
      <c r="J45" s="14">
        <v>1585.0</v>
      </c>
      <c r="K45" s="13" t="s">
        <v>162</v>
      </c>
      <c r="L45" s="15"/>
      <c r="M45" s="15"/>
      <c r="N45" s="15"/>
      <c r="O45" s="15"/>
      <c r="P45" s="15"/>
      <c r="Q45" s="15"/>
      <c r="R45" s="15"/>
      <c r="S45" s="15"/>
      <c r="T45" s="15"/>
      <c r="U45" s="15"/>
      <c r="V45" s="15"/>
      <c r="W45" s="15"/>
      <c r="X45" s="15"/>
      <c r="Y45" s="15"/>
      <c r="Z45" s="16"/>
    </row>
    <row r="46">
      <c r="A46" s="12" t="s">
        <v>163</v>
      </c>
      <c r="B46" s="13" t="s">
        <v>164</v>
      </c>
      <c r="C46" s="13" t="s">
        <v>28</v>
      </c>
      <c r="D46" s="13" t="s">
        <v>28</v>
      </c>
      <c r="E46" s="14">
        <v>994.0</v>
      </c>
      <c r="F46" s="13" t="s">
        <v>29</v>
      </c>
      <c r="G46" s="13" t="s">
        <v>47</v>
      </c>
      <c r="H46" s="14">
        <v>950.0</v>
      </c>
      <c r="I46" s="14">
        <v>1675.0</v>
      </c>
      <c r="J46" s="14">
        <v>1585.0</v>
      </c>
      <c r="K46" s="13" t="s">
        <v>165</v>
      </c>
      <c r="L46" s="15"/>
      <c r="M46" s="15"/>
      <c r="N46" s="15"/>
      <c r="O46" s="15"/>
      <c r="P46" s="15"/>
      <c r="Q46" s="15"/>
      <c r="R46" s="15"/>
      <c r="S46" s="15"/>
      <c r="T46" s="15"/>
      <c r="U46" s="15"/>
      <c r="V46" s="15"/>
      <c r="W46" s="15"/>
      <c r="X46" s="15"/>
      <c r="Y46" s="15"/>
      <c r="Z46" s="16"/>
    </row>
    <row r="47">
      <c r="A47" s="12" t="s">
        <v>166</v>
      </c>
      <c r="B47" s="13" t="s">
        <v>167</v>
      </c>
      <c r="C47" s="13" t="s">
        <v>28</v>
      </c>
      <c r="D47" s="13" t="s">
        <v>28</v>
      </c>
      <c r="E47" s="14">
        <v>938.0</v>
      </c>
      <c r="F47" s="13" t="s">
        <v>29</v>
      </c>
      <c r="G47" s="13" t="s">
        <v>47</v>
      </c>
      <c r="H47" s="14">
        <v>950.0</v>
      </c>
      <c r="I47" s="14">
        <v>1675.0</v>
      </c>
      <c r="J47" s="14">
        <v>1585.0</v>
      </c>
      <c r="K47" s="13" t="s">
        <v>168</v>
      </c>
      <c r="L47" s="15"/>
      <c r="M47" s="15"/>
      <c r="N47" s="15"/>
      <c r="O47" s="15"/>
      <c r="P47" s="15"/>
      <c r="Q47" s="15"/>
      <c r="R47" s="15"/>
      <c r="S47" s="15"/>
      <c r="T47" s="15"/>
      <c r="U47" s="15"/>
      <c r="V47" s="15"/>
      <c r="W47" s="15"/>
      <c r="X47" s="15"/>
      <c r="Y47" s="15"/>
      <c r="Z47" s="16"/>
    </row>
    <row r="48">
      <c r="A48" s="12" t="s">
        <v>169</v>
      </c>
      <c r="B48" s="13" t="s">
        <v>170</v>
      </c>
      <c r="C48" s="13" t="s">
        <v>28</v>
      </c>
      <c r="D48" s="13" t="s">
        <v>28</v>
      </c>
      <c r="E48" s="14">
        <v>1078.0</v>
      </c>
      <c r="F48" s="13" t="s">
        <v>29</v>
      </c>
      <c r="G48" s="13" t="s">
        <v>47</v>
      </c>
      <c r="H48" s="14">
        <v>950.0</v>
      </c>
      <c r="I48" s="14">
        <v>1675.0</v>
      </c>
      <c r="J48" s="14">
        <v>1585.0</v>
      </c>
      <c r="K48" s="13" t="s">
        <v>171</v>
      </c>
      <c r="L48" s="15"/>
      <c r="M48" s="15"/>
      <c r="N48" s="15"/>
      <c r="O48" s="15"/>
      <c r="P48" s="15"/>
      <c r="Q48" s="15"/>
      <c r="R48" s="15"/>
      <c r="S48" s="15"/>
      <c r="T48" s="15"/>
      <c r="U48" s="15"/>
      <c r="V48" s="15"/>
      <c r="W48" s="15"/>
      <c r="X48" s="15"/>
      <c r="Y48" s="15"/>
      <c r="Z48" s="16"/>
    </row>
    <row r="49">
      <c r="A49" s="12" t="s">
        <v>172</v>
      </c>
      <c r="B49" s="13" t="s">
        <v>173</v>
      </c>
      <c r="C49" s="13" t="s">
        <v>28</v>
      </c>
      <c r="D49" s="13" t="s">
        <v>28</v>
      </c>
      <c r="E49" s="14">
        <v>1000.0</v>
      </c>
      <c r="F49" s="13" t="s">
        <v>29</v>
      </c>
      <c r="G49" s="13" t="s">
        <v>47</v>
      </c>
      <c r="H49" s="14">
        <v>950.0</v>
      </c>
      <c r="I49" s="14">
        <v>1675.0</v>
      </c>
      <c r="J49" s="14">
        <v>1585.0</v>
      </c>
      <c r="K49" s="13" t="s">
        <v>174</v>
      </c>
      <c r="L49" s="15"/>
      <c r="M49" s="15"/>
      <c r="N49" s="15"/>
      <c r="O49" s="15"/>
      <c r="P49" s="15"/>
      <c r="Q49" s="15"/>
      <c r="R49" s="15"/>
      <c r="S49" s="15"/>
      <c r="T49" s="15"/>
      <c r="U49" s="15"/>
      <c r="V49" s="15"/>
      <c r="W49" s="15"/>
      <c r="X49" s="15"/>
      <c r="Y49" s="15"/>
      <c r="Z49" s="16"/>
    </row>
    <row r="50">
      <c r="A50" s="12" t="s">
        <v>175</v>
      </c>
      <c r="B50" s="13" t="s">
        <v>176</v>
      </c>
      <c r="C50" s="13" t="s">
        <v>28</v>
      </c>
      <c r="D50" s="13" t="s">
        <v>28</v>
      </c>
      <c r="E50" s="14">
        <v>1065.0</v>
      </c>
      <c r="F50" s="13" t="s">
        <v>29</v>
      </c>
      <c r="G50" s="13" t="s">
        <v>47</v>
      </c>
      <c r="H50" s="14">
        <v>950.0</v>
      </c>
      <c r="I50" s="14">
        <v>1675.0</v>
      </c>
      <c r="J50" s="14">
        <v>1585.0</v>
      </c>
      <c r="K50" s="13" t="s">
        <v>177</v>
      </c>
      <c r="L50" s="15"/>
      <c r="M50" s="15"/>
      <c r="N50" s="15"/>
      <c r="O50" s="15"/>
      <c r="P50" s="15"/>
      <c r="Q50" s="15"/>
      <c r="R50" s="15"/>
      <c r="S50" s="15"/>
      <c r="T50" s="15"/>
      <c r="U50" s="15"/>
      <c r="V50" s="15"/>
      <c r="W50" s="15"/>
      <c r="X50" s="15"/>
      <c r="Y50" s="15"/>
      <c r="Z50" s="16"/>
    </row>
    <row r="51">
      <c r="A51" s="12" t="s">
        <v>178</v>
      </c>
      <c r="B51" s="13" t="s">
        <v>179</v>
      </c>
      <c r="C51" s="13" t="s">
        <v>28</v>
      </c>
      <c r="D51" s="13" t="s">
        <v>28</v>
      </c>
      <c r="E51" s="14">
        <v>1050.0</v>
      </c>
      <c r="F51" s="13" t="s">
        <v>29</v>
      </c>
      <c r="G51" s="13" t="s">
        <v>47</v>
      </c>
      <c r="H51" s="14">
        <v>950.0</v>
      </c>
      <c r="I51" s="14">
        <v>1675.0</v>
      </c>
      <c r="J51" s="14">
        <v>1585.0</v>
      </c>
      <c r="K51" s="13" t="s">
        <v>180</v>
      </c>
      <c r="L51" s="15"/>
      <c r="M51" s="15"/>
      <c r="N51" s="15"/>
      <c r="O51" s="15"/>
      <c r="P51" s="15"/>
      <c r="Q51" s="15"/>
      <c r="R51" s="15"/>
      <c r="S51" s="15"/>
      <c r="T51" s="15"/>
      <c r="U51" s="15"/>
      <c r="V51" s="15"/>
      <c r="W51" s="15"/>
      <c r="X51" s="15"/>
      <c r="Y51" s="15"/>
      <c r="Z51" s="16"/>
    </row>
    <row r="52">
      <c r="A52" s="12" t="s">
        <v>181</v>
      </c>
      <c r="B52" s="13" t="s">
        <v>182</v>
      </c>
      <c r="C52" s="13" t="s">
        <v>28</v>
      </c>
      <c r="D52" s="13" t="s">
        <v>28</v>
      </c>
      <c r="E52" s="14">
        <v>917.0</v>
      </c>
      <c r="F52" s="13" t="s">
        <v>29</v>
      </c>
      <c r="G52" s="13" t="s">
        <v>47</v>
      </c>
      <c r="H52" s="14">
        <v>950.0</v>
      </c>
      <c r="I52" s="14">
        <v>1675.0</v>
      </c>
      <c r="J52" s="14">
        <v>1585.0</v>
      </c>
      <c r="K52" s="13" t="s">
        <v>183</v>
      </c>
      <c r="L52" s="15"/>
      <c r="M52" s="15"/>
      <c r="N52" s="15"/>
      <c r="O52" s="15"/>
      <c r="P52" s="15"/>
      <c r="Q52" s="15"/>
      <c r="R52" s="15"/>
      <c r="S52" s="15"/>
      <c r="T52" s="15"/>
      <c r="U52" s="15"/>
      <c r="V52" s="15"/>
      <c r="W52" s="15"/>
      <c r="X52" s="15"/>
      <c r="Y52" s="15"/>
      <c r="Z52" s="16"/>
    </row>
    <row r="53">
      <c r="A53" s="12" t="s">
        <v>184</v>
      </c>
      <c r="B53" s="13" t="s">
        <v>185</v>
      </c>
      <c r="C53" s="13" t="s">
        <v>28</v>
      </c>
      <c r="D53" s="13" t="s">
        <v>28</v>
      </c>
      <c r="E53" s="14">
        <v>1003.0</v>
      </c>
      <c r="F53" s="13" t="s">
        <v>29</v>
      </c>
      <c r="G53" s="13" t="s">
        <v>47</v>
      </c>
      <c r="H53" s="14">
        <v>950.0</v>
      </c>
      <c r="I53" s="14">
        <v>1675.0</v>
      </c>
      <c r="J53" s="14">
        <v>1585.0</v>
      </c>
      <c r="K53" s="13" t="s">
        <v>186</v>
      </c>
      <c r="L53" s="15"/>
      <c r="M53" s="15"/>
      <c r="N53" s="15"/>
      <c r="O53" s="15"/>
      <c r="P53" s="15"/>
      <c r="Q53" s="15"/>
      <c r="R53" s="15"/>
      <c r="S53" s="15"/>
      <c r="T53" s="15"/>
      <c r="U53" s="15"/>
      <c r="V53" s="15"/>
      <c r="W53" s="15"/>
      <c r="X53" s="15"/>
      <c r="Y53" s="15"/>
      <c r="Z53" s="16"/>
    </row>
    <row r="54">
      <c r="A54" s="12" t="s">
        <v>187</v>
      </c>
      <c r="B54" s="13" t="s">
        <v>188</v>
      </c>
      <c r="C54" s="13" t="s">
        <v>28</v>
      </c>
      <c r="D54" s="13" t="s">
        <v>28</v>
      </c>
      <c r="E54" s="14">
        <v>672.0</v>
      </c>
      <c r="F54" s="13" t="s">
        <v>29</v>
      </c>
      <c r="G54" s="13" t="s">
        <v>47</v>
      </c>
      <c r="H54" s="14">
        <v>950.0</v>
      </c>
      <c r="I54" s="14">
        <v>1675.0</v>
      </c>
      <c r="J54" s="14">
        <v>1585.0</v>
      </c>
      <c r="K54" s="13" t="s">
        <v>189</v>
      </c>
      <c r="L54" s="15"/>
      <c r="M54" s="15"/>
      <c r="N54" s="15"/>
      <c r="O54" s="15"/>
      <c r="P54" s="15"/>
      <c r="Q54" s="15"/>
      <c r="R54" s="15"/>
      <c r="S54" s="15"/>
      <c r="T54" s="15"/>
      <c r="U54" s="15"/>
      <c r="V54" s="15"/>
      <c r="W54" s="15"/>
      <c r="X54" s="15"/>
      <c r="Y54" s="15"/>
      <c r="Z54" s="16"/>
    </row>
    <row r="55">
      <c r="A55" s="12" t="s">
        <v>190</v>
      </c>
      <c r="B55" s="13" t="s">
        <v>191</v>
      </c>
      <c r="C55" s="13" t="s">
        <v>28</v>
      </c>
      <c r="D55" s="13" t="s">
        <v>28</v>
      </c>
      <c r="E55" s="14">
        <v>2129.0</v>
      </c>
      <c r="F55" s="13" t="s">
        <v>29</v>
      </c>
      <c r="G55" s="13" t="s">
        <v>47</v>
      </c>
      <c r="H55" s="14">
        <v>950.0</v>
      </c>
      <c r="I55" s="14">
        <v>1675.0</v>
      </c>
      <c r="J55" s="14">
        <v>1585.0</v>
      </c>
      <c r="K55" s="13" t="s">
        <v>192</v>
      </c>
      <c r="L55" s="15"/>
      <c r="M55" s="15"/>
      <c r="N55" s="15"/>
      <c r="O55" s="15"/>
      <c r="P55" s="15"/>
      <c r="Q55" s="15"/>
      <c r="R55" s="15"/>
      <c r="S55" s="15"/>
      <c r="T55" s="15"/>
      <c r="U55" s="15"/>
      <c r="V55" s="15"/>
      <c r="W55" s="15"/>
      <c r="X55" s="15"/>
      <c r="Y55" s="15"/>
      <c r="Z55" s="16"/>
    </row>
    <row r="56">
      <c r="A56" s="12" t="s">
        <v>193</v>
      </c>
      <c r="B56" s="13" t="s">
        <v>194</v>
      </c>
      <c r="C56" s="13" t="s">
        <v>28</v>
      </c>
      <c r="D56" s="13" t="s">
        <v>28</v>
      </c>
      <c r="E56" s="14">
        <v>245.0</v>
      </c>
      <c r="F56" s="13" t="s">
        <v>29</v>
      </c>
      <c r="G56" s="13" t="s">
        <v>47</v>
      </c>
      <c r="H56" s="14">
        <v>950.0</v>
      </c>
      <c r="I56" s="14">
        <v>1675.0</v>
      </c>
      <c r="J56" s="14">
        <v>1585.0</v>
      </c>
      <c r="K56" s="13" t="s">
        <v>195</v>
      </c>
      <c r="L56" s="15"/>
      <c r="M56" s="15"/>
      <c r="N56" s="15"/>
      <c r="O56" s="15"/>
      <c r="P56" s="15"/>
      <c r="Q56" s="15"/>
      <c r="R56" s="15"/>
      <c r="S56" s="15"/>
      <c r="T56" s="15"/>
      <c r="U56" s="15"/>
      <c r="V56" s="15"/>
      <c r="W56" s="15"/>
      <c r="X56" s="15"/>
      <c r="Y56" s="15"/>
      <c r="Z56" s="16"/>
    </row>
    <row r="57">
      <c r="A57" s="12" t="s">
        <v>196</v>
      </c>
      <c r="B57" s="13" t="s">
        <v>197</v>
      </c>
      <c r="C57" s="13" t="s">
        <v>28</v>
      </c>
      <c r="D57" s="13" t="s">
        <v>28</v>
      </c>
      <c r="E57" s="14">
        <v>1170.0</v>
      </c>
      <c r="F57" s="13" t="s">
        <v>29</v>
      </c>
      <c r="G57" s="13" t="s">
        <v>47</v>
      </c>
      <c r="H57" s="14">
        <v>950.0</v>
      </c>
      <c r="I57" s="14">
        <v>1675.0</v>
      </c>
      <c r="J57" s="14">
        <v>1585.0</v>
      </c>
      <c r="K57" s="13" t="s">
        <v>198</v>
      </c>
      <c r="L57" s="15"/>
      <c r="M57" s="15"/>
      <c r="N57" s="15"/>
      <c r="O57" s="15"/>
      <c r="P57" s="15"/>
      <c r="Q57" s="15"/>
      <c r="R57" s="15"/>
      <c r="S57" s="15"/>
      <c r="T57" s="15"/>
      <c r="U57" s="15"/>
      <c r="V57" s="15"/>
      <c r="W57" s="15"/>
      <c r="X57" s="15"/>
      <c r="Y57" s="15"/>
      <c r="Z57" s="16"/>
    </row>
    <row r="58">
      <c r="A58" s="12" t="s">
        <v>199</v>
      </c>
      <c r="B58" s="13" t="s">
        <v>200</v>
      </c>
      <c r="C58" s="13" t="s">
        <v>28</v>
      </c>
      <c r="D58" s="13" t="s">
        <v>28</v>
      </c>
      <c r="E58" s="14">
        <v>1078.0</v>
      </c>
      <c r="F58" s="13" t="s">
        <v>29</v>
      </c>
      <c r="G58" s="13" t="s">
        <v>47</v>
      </c>
      <c r="H58" s="14">
        <v>950.0</v>
      </c>
      <c r="I58" s="14">
        <v>1675.0</v>
      </c>
      <c r="J58" s="14">
        <v>1585.0</v>
      </c>
      <c r="K58" s="13" t="s">
        <v>201</v>
      </c>
      <c r="L58" s="15"/>
      <c r="M58" s="15"/>
      <c r="N58" s="15"/>
      <c r="O58" s="15"/>
      <c r="P58" s="15"/>
      <c r="Q58" s="15"/>
      <c r="R58" s="15"/>
      <c r="S58" s="15"/>
      <c r="T58" s="15"/>
      <c r="U58" s="15"/>
      <c r="V58" s="15"/>
      <c r="W58" s="15"/>
      <c r="X58" s="15"/>
      <c r="Y58" s="15"/>
      <c r="Z58" s="16"/>
    </row>
    <row r="59">
      <c r="A59" s="12" t="s">
        <v>202</v>
      </c>
      <c r="B59" s="13" t="s">
        <v>203</v>
      </c>
      <c r="C59" s="13" t="s">
        <v>28</v>
      </c>
      <c r="D59" s="13" t="s">
        <v>28</v>
      </c>
      <c r="E59" s="14">
        <v>567.0</v>
      </c>
      <c r="F59" s="13" t="s">
        <v>29</v>
      </c>
      <c r="G59" s="13" t="s">
        <v>47</v>
      </c>
      <c r="H59" s="14">
        <v>950.0</v>
      </c>
      <c r="I59" s="14">
        <v>1675.0</v>
      </c>
      <c r="J59" s="14">
        <v>1585.0</v>
      </c>
      <c r="K59" s="13" t="s">
        <v>204</v>
      </c>
      <c r="L59" s="15"/>
      <c r="M59" s="15"/>
      <c r="N59" s="15"/>
      <c r="O59" s="15"/>
      <c r="P59" s="15"/>
      <c r="Q59" s="15"/>
      <c r="R59" s="15"/>
      <c r="S59" s="15"/>
      <c r="T59" s="15"/>
      <c r="U59" s="15"/>
      <c r="V59" s="15"/>
      <c r="W59" s="15"/>
      <c r="X59" s="15"/>
      <c r="Y59" s="15"/>
      <c r="Z59" s="16"/>
    </row>
    <row r="60">
      <c r="A60" s="12" t="s">
        <v>205</v>
      </c>
      <c r="B60" s="13" t="s">
        <v>206</v>
      </c>
      <c r="C60" s="13" t="s">
        <v>28</v>
      </c>
      <c r="D60" s="13" t="s">
        <v>28</v>
      </c>
      <c r="E60" s="14">
        <v>451.0</v>
      </c>
      <c r="F60" s="13" t="s">
        <v>29</v>
      </c>
      <c r="G60" s="13" t="s">
        <v>47</v>
      </c>
      <c r="H60" s="14">
        <v>950.0</v>
      </c>
      <c r="I60" s="14">
        <v>1675.0</v>
      </c>
      <c r="J60" s="14">
        <v>1585.0</v>
      </c>
      <c r="K60" s="13" t="s">
        <v>207</v>
      </c>
      <c r="L60" s="15"/>
      <c r="M60" s="15"/>
      <c r="N60" s="15"/>
      <c r="O60" s="15"/>
      <c r="P60" s="15"/>
      <c r="Q60" s="15"/>
      <c r="R60" s="15"/>
      <c r="S60" s="15"/>
      <c r="T60" s="15"/>
      <c r="U60" s="15"/>
      <c r="V60" s="15"/>
      <c r="W60" s="15"/>
      <c r="X60" s="15"/>
      <c r="Y60" s="15"/>
      <c r="Z60" s="16"/>
    </row>
    <row r="61">
      <c r="A61" s="12" t="s">
        <v>208</v>
      </c>
      <c r="B61" s="13" t="s">
        <v>209</v>
      </c>
      <c r="C61" s="13" t="s">
        <v>28</v>
      </c>
      <c r="D61" s="13" t="s">
        <v>28</v>
      </c>
      <c r="E61" s="14">
        <v>185.0</v>
      </c>
      <c r="F61" s="13" t="s">
        <v>29</v>
      </c>
      <c r="G61" s="13" t="s">
        <v>47</v>
      </c>
      <c r="H61" s="14">
        <v>950.0</v>
      </c>
      <c r="I61" s="14">
        <v>1675.0</v>
      </c>
      <c r="J61" s="14">
        <v>1585.0</v>
      </c>
      <c r="K61" s="13" t="s">
        <v>210</v>
      </c>
      <c r="L61" s="15"/>
      <c r="M61" s="15"/>
      <c r="N61" s="15"/>
      <c r="O61" s="15"/>
      <c r="P61" s="15"/>
      <c r="Q61" s="15"/>
      <c r="R61" s="15"/>
      <c r="S61" s="15"/>
      <c r="T61" s="15"/>
      <c r="U61" s="15"/>
      <c r="V61" s="15"/>
      <c r="W61" s="15"/>
      <c r="X61" s="15"/>
      <c r="Y61" s="15"/>
      <c r="Z61" s="16"/>
    </row>
    <row r="62">
      <c r="A62" s="12" t="s">
        <v>211</v>
      </c>
      <c r="B62" s="13" t="s">
        <v>212</v>
      </c>
      <c r="C62" s="13" t="s">
        <v>28</v>
      </c>
      <c r="D62" s="13" t="s">
        <v>28</v>
      </c>
      <c r="E62" s="14">
        <v>768.0</v>
      </c>
      <c r="F62" s="13" t="s">
        <v>29</v>
      </c>
      <c r="G62" s="13" t="s">
        <v>47</v>
      </c>
      <c r="H62" s="14">
        <v>950.0</v>
      </c>
      <c r="I62" s="14">
        <v>1675.0</v>
      </c>
      <c r="J62" s="14">
        <v>1585.0</v>
      </c>
      <c r="K62" s="13" t="s">
        <v>213</v>
      </c>
      <c r="L62" s="15"/>
      <c r="M62" s="15"/>
      <c r="N62" s="15"/>
      <c r="O62" s="15"/>
      <c r="P62" s="15"/>
      <c r="Q62" s="15"/>
      <c r="R62" s="15"/>
      <c r="S62" s="15"/>
      <c r="T62" s="15"/>
      <c r="U62" s="15"/>
      <c r="V62" s="15"/>
      <c r="W62" s="15"/>
      <c r="X62" s="15"/>
      <c r="Y62" s="15"/>
      <c r="Z62" s="16"/>
    </row>
    <row r="63">
      <c r="A63" s="12" t="s">
        <v>214</v>
      </c>
      <c r="B63" s="13" t="s">
        <v>215</v>
      </c>
      <c r="C63" s="13" t="s">
        <v>28</v>
      </c>
      <c r="D63" s="13" t="s">
        <v>28</v>
      </c>
      <c r="E63" s="14">
        <v>409.0</v>
      </c>
      <c r="F63" s="13" t="s">
        <v>29</v>
      </c>
      <c r="G63" s="13" t="s">
        <v>47</v>
      </c>
      <c r="H63" s="14">
        <v>950.0</v>
      </c>
      <c r="I63" s="14">
        <v>1675.0</v>
      </c>
      <c r="J63" s="14">
        <v>1585.0</v>
      </c>
      <c r="K63" s="13" t="s">
        <v>216</v>
      </c>
      <c r="L63" s="15"/>
      <c r="M63" s="15"/>
      <c r="N63" s="15"/>
      <c r="O63" s="15"/>
      <c r="P63" s="15"/>
      <c r="Q63" s="15"/>
      <c r="R63" s="15"/>
      <c r="S63" s="15"/>
      <c r="T63" s="15"/>
      <c r="U63" s="15"/>
      <c r="V63" s="15"/>
      <c r="W63" s="15"/>
      <c r="X63" s="15"/>
      <c r="Y63" s="15"/>
      <c r="Z63" s="16"/>
    </row>
    <row r="64">
      <c r="A64" s="12" t="s">
        <v>217</v>
      </c>
      <c r="B64" s="13" t="s">
        <v>218</v>
      </c>
      <c r="C64" s="13" t="s">
        <v>28</v>
      </c>
      <c r="D64" s="13" t="s">
        <v>28</v>
      </c>
      <c r="E64" s="14">
        <v>746.0</v>
      </c>
      <c r="F64" s="13" t="s">
        <v>29</v>
      </c>
      <c r="G64" s="13" t="s">
        <v>47</v>
      </c>
      <c r="H64" s="14">
        <v>950.0</v>
      </c>
      <c r="I64" s="14">
        <v>1675.0</v>
      </c>
      <c r="J64" s="14">
        <v>1585.0</v>
      </c>
      <c r="K64" s="13" t="s">
        <v>219</v>
      </c>
      <c r="L64" s="15"/>
      <c r="M64" s="15"/>
      <c r="N64" s="15"/>
      <c r="O64" s="15"/>
      <c r="P64" s="15"/>
      <c r="Q64" s="15"/>
      <c r="R64" s="15"/>
      <c r="S64" s="15"/>
      <c r="T64" s="15"/>
      <c r="U64" s="15"/>
      <c r="V64" s="15"/>
      <c r="W64" s="15"/>
      <c r="X64" s="15"/>
      <c r="Y64" s="15"/>
      <c r="Z64" s="16"/>
    </row>
    <row r="65">
      <c r="A65" s="12" t="s">
        <v>220</v>
      </c>
      <c r="B65" s="13" t="s">
        <v>221</v>
      </c>
      <c r="C65" s="13" t="s">
        <v>28</v>
      </c>
      <c r="D65" s="13" t="s">
        <v>28</v>
      </c>
      <c r="E65" s="14">
        <v>1838.0</v>
      </c>
      <c r="F65" s="13" t="s">
        <v>29</v>
      </c>
      <c r="G65" s="13" t="s">
        <v>47</v>
      </c>
      <c r="H65" s="14">
        <v>950.0</v>
      </c>
      <c r="I65" s="14">
        <v>1675.0</v>
      </c>
      <c r="J65" s="14">
        <v>1585.0</v>
      </c>
      <c r="K65" s="13" t="s">
        <v>222</v>
      </c>
      <c r="L65" s="15"/>
      <c r="M65" s="15"/>
      <c r="N65" s="15"/>
      <c r="O65" s="15"/>
      <c r="P65" s="15"/>
      <c r="Q65" s="15"/>
      <c r="R65" s="15"/>
      <c r="S65" s="15"/>
      <c r="T65" s="15"/>
      <c r="U65" s="15"/>
      <c r="V65" s="15"/>
      <c r="W65" s="15"/>
      <c r="X65" s="15"/>
      <c r="Y65" s="15"/>
      <c r="Z65" s="16"/>
    </row>
    <row r="66">
      <c r="A66" s="12" t="s">
        <v>223</v>
      </c>
      <c r="B66" s="13" t="s">
        <v>224</v>
      </c>
      <c r="C66" s="13" t="s">
        <v>28</v>
      </c>
      <c r="D66" s="13" t="s">
        <v>28</v>
      </c>
      <c r="E66" s="14">
        <v>829.0</v>
      </c>
      <c r="F66" s="13" t="s">
        <v>29</v>
      </c>
      <c r="G66" s="13" t="s">
        <v>47</v>
      </c>
      <c r="H66" s="14">
        <v>950.0</v>
      </c>
      <c r="I66" s="14">
        <v>1675.0</v>
      </c>
      <c r="J66" s="14">
        <v>1585.0</v>
      </c>
      <c r="K66" s="13" t="s">
        <v>225</v>
      </c>
      <c r="L66" s="15"/>
      <c r="M66" s="15"/>
      <c r="N66" s="15"/>
      <c r="O66" s="15"/>
      <c r="P66" s="15"/>
      <c r="Q66" s="15"/>
      <c r="R66" s="15"/>
      <c r="S66" s="15"/>
      <c r="T66" s="15"/>
      <c r="U66" s="15"/>
      <c r="V66" s="15"/>
      <c r="W66" s="15"/>
      <c r="X66" s="15"/>
      <c r="Y66" s="15"/>
      <c r="Z66" s="16"/>
    </row>
    <row r="67">
      <c r="A67" s="12" t="s">
        <v>226</v>
      </c>
      <c r="B67" s="13" t="s">
        <v>227</v>
      </c>
      <c r="C67" s="13" t="s">
        <v>28</v>
      </c>
      <c r="D67" s="13" t="s">
        <v>28</v>
      </c>
      <c r="E67" s="14">
        <v>277.0</v>
      </c>
      <c r="F67" s="13" t="s">
        <v>29</v>
      </c>
      <c r="G67" s="13" t="s">
        <v>47</v>
      </c>
      <c r="H67" s="14">
        <v>950.0</v>
      </c>
      <c r="I67" s="14">
        <v>1675.0</v>
      </c>
      <c r="J67" s="14">
        <v>1585.0</v>
      </c>
      <c r="K67" s="13" t="s">
        <v>228</v>
      </c>
      <c r="L67" s="15"/>
      <c r="M67" s="15"/>
      <c r="N67" s="15"/>
      <c r="O67" s="15"/>
      <c r="P67" s="15"/>
      <c r="Q67" s="15"/>
      <c r="R67" s="15"/>
      <c r="S67" s="15"/>
      <c r="T67" s="15"/>
      <c r="U67" s="15"/>
      <c r="V67" s="15"/>
      <c r="W67" s="15"/>
      <c r="X67" s="15"/>
      <c r="Y67" s="15"/>
      <c r="Z67" s="16"/>
    </row>
    <row r="68">
      <c r="A68" s="12" t="s">
        <v>229</v>
      </c>
      <c r="B68" s="13" t="s">
        <v>230</v>
      </c>
      <c r="C68" s="13" t="s">
        <v>28</v>
      </c>
      <c r="D68" s="13" t="s">
        <v>28</v>
      </c>
      <c r="E68" s="14">
        <v>593.0</v>
      </c>
      <c r="F68" s="13" t="s">
        <v>29</v>
      </c>
      <c r="G68" s="13" t="s">
        <v>47</v>
      </c>
      <c r="H68" s="14">
        <v>950.0</v>
      </c>
      <c r="I68" s="14">
        <v>1675.0</v>
      </c>
      <c r="J68" s="14">
        <v>1585.0</v>
      </c>
      <c r="K68" s="13" t="s">
        <v>231</v>
      </c>
      <c r="L68" s="15"/>
      <c r="M68" s="15"/>
      <c r="N68" s="15"/>
      <c r="O68" s="15"/>
      <c r="P68" s="15"/>
      <c r="Q68" s="15"/>
      <c r="R68" s="15"/>
      <c r="S68" s="15"/>
      <c r="T68" s="15"/>
      <c r="U68" s="15"/>
      <c r="V68" s="15"/>
      <c r="W68" s="15"/>
      <c r="X68" s="15"/>
      <c r="Y68" s="15"/>
      <c r="Z68" s="16"/>
    </row>
    <row r="69">
      <c r="A69" s="12" t="s">
        <v>232</v>
      </c>
      <c r="B69" s="13" t="s">
        <v>233</v>
      </c>
      <c r="C69" s="13" t="s">
        <v>28</v>
      </c>
      <c r="D69" s="13" t="s">
        <v>28</v>
      </c>
      <c r="E69" s="14">
        <v>720.0</v>
      </c>
      <c r="F69" s="13" t="s">
        <v>29</v>
      </c>
      <c r="G69" s="13" t="s">
        <v>47</v>
      </c>
      <c r="H69" s="14">
        <v>950.0</v>
      </c>
      <c r="I69" s="14">
        <v>1675.0</v>
      </c>
      <c r="J69" s="14">
        <v>1585.0</v>
      </c>
      <c r="K69" s="13" t="s">
        <v>234</v>
      </c>
      <c r="L69" s="15"/>
      <c r="M69" s="15"/>
      <c r="N69" s="15"/>
      <c r="O69" s="15"/>
      <c r="P69" s="15"/>
      <c r="Q69" s="15"/>
      <c r="R69" s="15"/>
      <c r="S69" s="15"/>
      <c r="T69" s="15"/>
      <c r="U69" s="15"/>
      <c r="V69" s="15"/>
      <c r="W69" s="15"/>
      <c r="X69" s="15"/>
      <c r="Y69" s="15"/>
      <c r="Z69" s="16"/>
    </row>
    <row r="70">
      <c r="A70" s="12" t="s">
        <v>235</v>
      </c>
      <c r="B70" s="13" t="s">
        <v>236</v>
      </c>
      <c r="C70" s="13" t="s">
        <v>28</v>
      </c>
      <c r="D70" s="13" t="s">
        <v>28</v>
      </c>
      <c r="E70" s="14">
        <v>318.0</v>
      </c>
      <c r="F70" s="13" t="s">
        <v>29</v>
      </c>
      <c r="G70" s="13" t="s">
        <v>47</v>
      </c>
      <c r="H70" s="14">
        <v>950.0</v>
      </c>
      <c r="I70" s="14">
        <v>1675.0</v>
      </c>
      <c r="J70" s="14">
        <v>1585.0</v>
      </c>
      <c r="K70" s="13" t="s">
        <v>237</v>
      </c>
      <c r="L70" s="15"/>
      <c r="M70" s="15"/>
      <c r="N70" s="15"/>
      <c r="O70" s="15"/>
      <c r="P70" s="15"/>
      <c r="Q70" s="15"/>
      <c r="R70" s="15"/>
      <c r="S70" s="15"/>
      <c r="T70" s="15"/>
      <c r="U70" s="15"/>
      <c r="V70" s="15"/>
      <c r="W70" s="15"/>
      <c r="X70" s="15"/>
      <c r="Y70" s="15"/>
      <c r="Z70" s="16"/>
    </row>
    <row r="71">
      <c r="A71" s="12" t="s">
        <v>238</v>
      </c>
      <c r="B71" s="13" t="s">
        <v>239</v>
      </c>
      <c r="C71" s="13" t="s">
        <v>28</v>
      </c>
      <c r="D71" s="13" t="s">
        <v>28</v>
      </c>
      <c r="E71" s="14">
        <v>383.0</v>
      </c>
      <c r="F71" s="13" t="s">
        <v>29</v>
      </c>
      <c r="G71" s="13" t="s">
        <v>47</v>
      </c>
      <c r="H71" s="14">
        <v>950.0</v>
      </c>
      <c r="I71" s="14">
        <v>1675.0</v>
      </c>
      <c r="J71" s="14">
        <v>1585.0</v>
      </c>
      <c r="K71" s="13" t="s">
        <v>240</v>
      </c>
      <c r="L71" s="15"/>
      <c r="M71" s="15"/>
      <c r="N71" s="15"/>
      <c r="O71" s="15"/>
      <c r="P71" s="15"/>
      <c r="Q71" s="15"/>
      <c r="R71" s="15"/>
      <c r="S71" s="15"/>
      <c r="T71" s="15"/>
      <c r="U71" s="15"/>
      <c r="V71" s="15"/>
      <c r="W71" s="15"/>
      <c r="X71" s="15"/>
      <c r="Y71" s="15"/>
      <c r="Z71" s="16"/>
    </row>
    <row r="72">
      <c r="A72" s="12" t="s">
        <v>241</v>
      </c>
      <c r="B72" s="13" t="s">
        <v>242</v>
      </c>
      <c r="C72" s="13" t="s">
        <v>28</v>
      </c>
      <c r="D72" s="13" t="s">
        <v>28</v>
      </c>
      <c r="E72" s="14">
        <v>57.0</v>
      </c>
      <c r="F72" s="13" t="s">
        <v>29</v>
      </c>
      <c r="G72" s="13" t="s">
        <v>47</v>
      </c>
      <c r="H72" s="14">
        <v>950.0</v>
      </c>
      <c r="I72" s="14">
        <v>1675.0</v>
      </c>
      <c r="J72" s="14">
        <v>1585.0</v>
      </c>
      <c r="K72" s="13" t="s">
        <v>243</v>
      </c>
      <c r="L72" s="15"/>
      <c r="M72" s="15"/>
      <c r="N72" s="15"/>
      <c r="O72" s="15"/>
      <c r="P72" s="15"/>
      <c r="Q72" s="15"/>
      <c r="R72" s="15"/>
      <c r="S72" s="15"/>
      <c r="T72" s="15"/>
      <c r="U72" s="15"/>
      <c r="V72" s="15"/>
      <c r="W72" s="15"/>
      <c r="X72" s="15"/>
      <c r="Y72" s="15"/>
      <c r="Z72" s="16"/>
    </row>
    <row r="73">
      <c r="A73" s="12" t="s">
        <v>244</v>
      </c>
      <c r="B73" s="13" t="s">
        <v>245</v>
      </c>
      <c r="C73" s="13" t="s">
        <v>28</v>
      </c>
      <c r="D73" s="13" t="s">
        <v>28</v>
      </c>
      <c r="E73" s="14">
        <v>262.0</v>
      </c>
      <c r="F73" s="13" t="s">
        <v>29</v>
      </c>
      <c r="G73" s="13" t="s">
        <v>47</v>
      </c>
      <c r="H73" s="14">
        <v>950.0</v>
      </c>
      <c r="I73" s="14">
        <v>1675.0</v>
      </c>
      <c r="J73" s="14">
        <v>1585.0</v>
      </c>
      <c r="K73" s="13" t="s">
        <v>246</v>
      </c>
      <c r="L73" s="15"/>
      <c r="M73" s="15"/>
      <c r="N73" s="15"/>
      <c r="O73" s="15"/>
      <c r="P73" s="15"/>
      <c r="Q73" s="15"/>
      <c r="R73" s="15"/>
      <c r="S73" s="15"/>
      <c r="T73" s="15"/>
      <c r="U73" s="15"/>
      <c r="V73" s="15"/>
      <c r="W73" s="15"/>
      <c r="X73" s="15"/>
      <c r="Y73" s="15"/>
      <c r="Z73" s="16"/>
    </row>
    <row r="74">
      <c r="A74" s="12" t="s">
        <v>247</v>
      </c>
      <c r="B74" s="13" t="s">
        <v>248</v>
      </c>
      <c r="C74" s="13" t="s">
        <v>28</v>
      </c>
      <c r="D74" s="13" t="s">
        <v>28</v>
      </c>
      <c r="E74" s="14">
        <v>378.0</v>
      </c>
      <c r="F74" s="13" t="s">
        <v>29</v>
      </c>
      <c r="G74" s="13" t="s">
        <v>47</v>
      </c>
      <c r="H74" s="14">
        <v>950.0</v>
      </c>
      <c r="I74" s="14">
        <v>1675.0</v>
      </c>
      <c r="J74" s="14">
        <v>1585.0</v>
      </c>
      <c r="K74" s="13" t="s">
        <v>249</v>
      </c>
      <c r="L74" s="15"/>
      <c r="M74" s="15"/>
      <c r="N74" s="15"/>
      <c r="O74" s="15"/>
      <c r="P74" s="15"/>
      <c r="Q74" s="15"/>
      <c r="R74" s="15"/>
      <c r="S74" s="15"/>
      <c r="T74" s="15"/>
      <c r="U74" s="15"/>
      <c r="V74" s="15"/>
      <c r="W74" s="15"/>
      <c r="X74" s="15"/>
      <c r="Y74" s="15"/>
      <c r="Z74" s="16"/>
    </row>
    <row r="75">
      <c r="A75" s="12" t="s">
        <v>250</v>
      </c>
      <c r="B75" s="13" t="s">
        <v>251</v>
      </c>
      <c r="C75" s="13" t="s">
        <v>28</v>
      </c>
      <c r="D75" s="13" t="s">
        <v>28</v>
      </c>
      <c r="E75" s="14">
        <v>1971.0</v>
      </c>
      <c r="F75" s="13" t="s">
        <v>29</v>
      </c>
      <c r="G75" s="13" t="s">
        <v>47</v>
      </c>
      <c r="H75" s="14">
        <v>950.0</v>
      </c>
      <c r="I75" s="14">
        <v>1675.0</v>
      </c>
      <c r="J75" s="14">
        <v>1585.0</v>
      </c>
      <c r="K75" s="13" t="s">
        <v>252</v>
      </c>
      <c r="L75" s="15"/>
      <c r="M75" s="15"/>
      <c r="N75" s="15"/>
      <c r="O75" s="15"/>
      <c r="P75" s="15"/>
      <c r="Q75" s="15"/>
      <c r="R75" s="15"/>
      <c r="S75" s="15"/>
      <c r="T75" s="15"/>
      <c r="U75" s="15"/>
      <c r="V75" s="15"/>
      <c r="W75" s="15"/>
      <c r="X75" s="15"/>
      <c r="Y75" s="15"/>
      <c r="Z75" s="16"/>
    </row>
    <row r="76">
      <c r="A76" s="12" t="s">
        <v>253</v>
      </c>
      <c r="B76" s="13" t="s">
        <v>254</v>
      </c>
      <c r="C76" s="13" t="s">
        <v>28</v>
      </c>
      <c r="D76" s="13" t="s">
        <v>28</v>
      </c>
      <c r="E76" s="14">
        <v>1116.0</v>
      </c>
      <c r="F76" s="13" t="s">
        <v>29</v>
      </c>
      <c r="G76" s="13" t="s">
        <v>47</v>
      </c>
      <c r="H76" s="14">
        <v>950.0</v>
      </c>
      <c r="I76" s="14">
        <v>1675.0</v>
      </c>
      <c r="J76" s="14">
        <v>1585.0</v>
      </c>
      <c r="K76" s="13" t="s">
        <v>255</v>
      </c>
      <c r="L76" s="15"/>
      <c r="M76" s="15"/>
      <c r="N76" s="15"/>
      <c r="O76" s="15"/>
      <c r="P76" s="15"/>
      <c r="Q76" s="15"/>
      <c r="R76" s="15"/>
      <c r="S76" s="15"/>
      <c r="T76" s="15"/>
      <c r="U76" s="15"/>
      <c r="V76" s="15"/>
      <c r="W76" s="15"/>
      <c r="X76" s="15"/>
      <c r="Y76" s="15"/>
      <c r="Z76" s="16"/>
    </row>
    <row r="77">
      <c r="A77" s="12" t="s">
        <v>256</v>
      </c>
      <c r="B77" s="13" t="s">
        <v>257</v>
      </c>
      <c r="C77" s="13" t="s">
        <v>28</v>
      </c>
      <c r="D77" s="13" t="s">
        <v>28</v>
      </c>
      <c r="E77" s="14">
        <v>737.0</v>
      </c>
      <c r="F77" s="13" t="s">
        <v>29</v>
      </c>
      <c r="G77" s="13" t="s">
        <v>47</v>
      </c>
      <c r="H77" s="14">
        <v>950.0</v>
      </c>
      <c r="I77" s="14">
        <v>1675.0</v>
      </c>
      <c r="J77" s="14">
        <v>1585.0</v>
      </c>
      <c r="K77" s="13" t="s">
        <v>258</v>
      </c>
      <c r="L77" s="15"/>
      <c r="M77" s="15"/>
      <c r="N77" s="15"/>
      <c r="O77" s="15"/>
      <c r="P77" s="15"/>
      <c r="Q77" s="15"/>
      <c r="R77" s="15"/>
      <c r="S77" s="15"/>
      <c r="T77" s="15"/>
      <c r="U77" s="15"/>
      <c r="V77" s="15"/>
      <c r="W77" s="15"/>
      <c r="X77" s="15"/>
      <c r="Y77" s="15"/>
      <c r="Z77" s="16"/>
    </row>
    <row r="78">
      <c r="A78" s="12" t="s">
        <v>259</v>
      </c>
      <c r="B78" s="13" t="s">
        <v>260</v>
      </c>
      <c r="C78" s="13" t="s">
        <v>28</v>
      </c>
      <c r="D78" s="13" t="s">
        <v>28</v>
      </c>
      <c r="E78" s="14">
        <v>947.0</v>
      </c>
      <c r="F78" s="13" t="s">
        <v>29</v>
      </c>
      <c r="G78" s="13" t="s">
        <v>47</v>
      </c>
      <c r="H78" s="14">
        <v>950.0</v>
      </c>
      <c r="I78" s="14">
        <v>1675.0</v>
      </c>
      <c r="J78" s="14">
        <v>1585.0</v>
      </c>
      <c r="K78" s="13" t="s">
        <v>261</v>
      </c>
      <c r="L78" s="15"/>
      <c r="M78" s="15"/>
      <c r="N78" s="15"/>
      <c r="O78" s="15"/>
      <c r="P78" s="15"/>
      <c r="Q78" s="15"/>
      <c r="R78" s="15"/>
      <c r="S78" s="15"/>
      <c r="T78" s="15"/>
      <c r="U78" s="15"/>
      <c r="V78" s="15"/>
      <c r="W78" s="15"/>
      <c r="X78" s="15"/>
      <c r="Y78" s="15"/>
      <c r="Z78" s="16"/>
    </row>
    <row r="79">
      <c r="A79" s="12" t="s">
        <v>262</v>
      </c>
      <c r="B79" s="13" t="s">
        <v>263</v>
      </c>
      <c r="C79" s="13" t="s">
        <v>28</v>
      </c>
      <c r="D79" s="13" t="s">
        <v>28</v>
      </c>
      <c r="E79" s="14">
        <v>2130.0</v>
      </c>
      <c r="F79" s="13" t="s">
        <v>29</v>
      </c>
      <c r="G79" s="13" t="s">
        <v>47</v>
      </c>
      <c r="H79" s="14">
        <v>950.0</v>
      </c>
      <c r="I79" s="14">
        <v>1675.0</v>
      </c>
      <c r="J79" s="14">
        <v>1585.0</v>
      </c>
      <c r="K79" s="13" t="s">
        <v>264</v>
      </c>
      <c r="L79" s="15"/>
      <c r="M79" s="15"/>
      <c r="N79" s="15"/>
      <c r="O79" s="15"/>
      <c r="P79" s="15"/>
      <c r="Q79" s="15"/>
      <c r="R79" s="15"/>
      <c r="S79" s="15"/>
      <c r="T79" s="15"/>
      <c r="U79" s="15"/>
      <c r="V79" s="15"/>
      <c r="W79" s="15"/>
      <c r="X79" s="15"/>
      <c r="Y79" s="15"/>
      <c r="Z79" s="16"/>
    </row>
    <row r="80">
      <c r="A80" s="12" t="s">
        <v>265</v>
      </c>
      <c r="B80" s="13" t="s">
        <v>266</v>
      </c>
      <c r="C80" s="13" t="s">
        <v>28</v>
      </c>
      <c r="D80" s="13" t="s">
        <v>28</v>
      </c>
      <c r="E80" s="14">
        <v>1801.0</v>
      </c>
      <c r="F80" s="13" t="s">
        <v>29</v>
      </c>
      <c r="G80" s="13" t="s">
        <v>47</v>
      </c>
      <c r="H80" s="14">
        <v>950.0</v>
      </c>
      <c r="I80" s="14">
        <v>1675.0</v>
      </c>
      <c r="J80" s="14">
        <v>1585.0</v>
      </c>
      <c r="K80" s="13" t="s">
        <v>267</v>
      </c>
      <c r="L80" s="15"/>
      <c r="M80" s="15"/>
      <c r="N80" s="15"/>
      <c r="O80" s="15"/>
      <c r="P80" s="15"/>
      <c r="Q80" s="15"/>
      <c r="R80" s="15"/>
      <c r="S80" s="15"/>
      <c r="T80" s="15"/>
      <c r="U80" s="15"/>
      <c r="V80" s="15"/>
      <c r="W80" s="15"/>
      <c r="X80" s="15"/>
      <c r="Y80" s="15"/>
      <c r="Z80" s="16"/>
    </row>
    <row r="81">
      <c r="A81" s="12" t="s">
        <v>268</v>
      </c>
      <c r="B81" s="13" t="s">
        <v>269</v>
      </c>
      <c r="C81" s="13" t="s">
        <v>28</v>
      </c>
      <c r="D81" s="13" t="s">
        <v>28</v>
      </c>
      <c r="E81" s="14">
        <v>1300.0</v>
      </c>
      <c r="F81" s="13" t="s">
        <v>29</v>
      </c>
      <c r="G81" s="13" t="s">
        <v>47</v>
      </c>
      <c r="H81" s="14">
        <v>950.0</v>
      </c>
      <c r="I81" s="14">
        <v>1675.0</v>
      </c>
      <c r="J81" s="14">
        <v>1585.0</v>
      </c>
      <c r="K81" s="13" t="s">
        <v>270</v>
      </c>
      <c r="L81" s="15"/>
      <c r="M81" s="15"/>
      <c r="N81" s="15"/>
      <c r="O81" s="15"/>
      <c r="P81" s="15"/>
      <c r="Q81" s="15"/>
      <c r="R81" s="15"/>
      <c r="S81" s="15"/>
      <c r="T81" s="15"/>
      <c r="U81" s="15"/>
      <c r="V81" s="15"/>
      <c r="W81" s="15"/>
      <c r="X81" s="15"/>
      <c r="Y81" s="15"/>
      <c r="Z81" s="16"/>
    </row>
    <row r="82">
      <c r="A82" s="12" t="s">
        <v>271</v>
      </c>
      <c r="B82" s="13" t="s">
        <v>272</v>
      </c>
      <c r="C82" s="13" t="s">
        <v>28</v>
      </c>
      <c r="D82" s="13" t="s">
        <v>28</v>
      </c>
      <c r="E82" s="14">
        <v>1003.0</v>
      </c>
      <c r="F82" s="13" t="s">
        <v>29</v>
      </c>
      <c r="G82" s="13" t="s">
        <v>47</v>
      </c>
      <c r="H82" s="14">
        <v>950.0</v>
      </c>
      <c r="I82" s="14">
        <v>1675.0</v>
      </c>
      <c r="J82" s="14">
        <v>1585.0</v>
      </c>
      <c r="K82" s="13" t="s">
        <v>273</v>
      </c>
      <c r="L82" s="15"/>
      <c r="M82" s="15"/>
      <c r="N82" s="15"/>
      <c r="O82" s="15"/>
      <c r="P82" s="15"/>
      <c r="Q82" s="15"/>
      <c r="R82" s="15"/>
      <c r="S82" s="15"/>
      <c r="T82" s="15"/>
      <c r="U82" s="15"/>
      <c r="V82" s="15"/>
      <c r="W82" s="15"/>
      <c r="X82" s="15"/>
      <c r="Y82" s="15"/>
      <c r="Z82" s="16"/>
    </row>
    <row r="83">
      <c r="A83" s="12" t="s">
        <v>274</v>
      </c>
      <c r="B83" s="13" t="s">
        <v>275</v>
      </c>
      <c r="C83" s="13" t="s">
        <v>28</v>
      </c>
      <c r="D83" s="13" t="s">
        <v>28</v>
      </c>
      <c r="E83" s="14">
        <v>3950.0</v>
      </c>
      <c r="F83" s="13" t="s">
        <v>29</v>
      </c>
      <c r="G83" s="13" t="s">
        <v>47</v>
      </c>
      <c r="H83" s="14">
        <v>950.0</v>
      </c>
      <c r="I83" s="14">
        <v>1675.0</v>
      </c>
      <c r="J83" s="14">
        <v>1585.0</v>
      </c>
      <c r="K83" s="13" t="s">
        <v>276</v>
      </c>
      <c r="L83" s="15"/>
      <c r="M83" s="15"/>
      <c r="N83" s="15"/>
      <c r="O83" s="15"/>
      <c r="P83" s="15"/>
      <c r="Q83" s="15"/>
      <c r="R83" s="15"/>
      <c r="S83" s="15"/>
      <c r="T83" s="15"/>
      <c r="U83" s="15"/>
      <c r="V83" s="15"/>
      <c r="W83" s="15"/>
      <c r="X83" s="15"/>
      <c r="Y83" s="15"/>
      <c r="Z83" s="16"/>
    </row>
    <row r="84">
      <c r="A84" s="12" t="s">
        <v>277</v>
      </c>
      <c r="B84" s="13" t="s">
        <v>278</v>
      </c>
      <c r="C84" s="13" t="s">
        <v>28</v>
      </c>
      <c r="D84" s="13" t="s">
        <v>28</v>
      </c>
      <c r="E84" s="14">
        <v>2014.0</v>
      </c>
      <c r="F84" s="13" t="s">
        <v>29</v>
      </c>
      <c r="G84" s="13" t="s">
        <v>47</v>
      </c>
      <c r="H84" s="14">
        <v>950.0</v>
      </c>
      <c r="I84" s="14">
        <v>1675.0</v>
      </c>
      <c r="J84" s="14">
        <v>1585.0</v>
      </c>
      <c r="K84" s="13" t="s">
        <v>279</v>
      </c>
      <c r="L84" s="15"/>
      <c r="M84" s="15"/>
      <c r="N84" s="15"/>
      <c r="O84" s="15"/>
      <c r="P84" s="15"/>
      <c r="Q84" s="15"/>
      <c r="R84" s="15"/>
      <c r="S84" s="15"/>
      <c r="T84" s="15"/>
      <c r="U84" s="15"/>
      <c r="V84" s="15"/>
      <c r="W84" s="15"/>
      <c r="X84" s="15"/>
      <c r="Y84" s="15"/>
      <c r="Z84" s="16"/>
    </row>
    <row r="85">
      <c r="A85" s="12" t="s">
        <v>280</v>
      </c>
      <c r="B85" s="13" t="s">
        <v>281</v>
      </c>
      <c r="C85" s="13" t="s">
        <v>28</v>
      </c>
      <c r="D85" s="13" t="s">
        <v>28</v>
      </c>
      <c r="E85" s="14">
        <v>1025.0</v>
      </c>
      <c r="F85" s="13" t="s">
        <v>29</v>
      </c>
      <c r="G85" s="13" t="s">
        <v>47</v>
      </c>
      <c r="H85" s="14">
        <v>950.0</v>
      </c>
      <c r="I85" s="14">
        <v>1675.0</v>
      </c>
      <c r="J85" s="14">
        <v>1585.0</v>
      </c>
      <c r="K85" s="13" t="s">
        <v>282</v>
      </c>
      <c r="L85" s="15"/>
      <c r="M85" s="15"/>
      <c r="N85" s="15"/>
      <c r="O85" s="15"/>
      <c r="P85" s="15"/>
      <c r="Q85" s="15"/>
      <c r="R85" s="15"/>
      <c r="S85" s="15"/>
      <c r="T85" s="15"/>
      <c r="U85" s="15"/>
      <c r="V85" s="15"/>
      <c r="W85" s="15"/>
      <c r="X85" s="15"/>
      <c r="Y85" s="15"/>
      <c r="Z85" s="16"/>
    </row>
    <row r="86">
      <c r="A86" s="12" t="s">
        <v>283</v>
      </c>
      <c r="B86" s="13" t="s">
        <v>284</v>
      </c>
      <c r="C86" s="13" t="s">
        <v>28</v>
      </c>
      <c r="D86" s="13" t="s">
        <v>28</v>
      </c>
      <c r="E86" s="14">
        <v>2260.0</v>
      </c>
      <c r="F86" s="13" t="s">
        <v>29</v>
      </c>
      <c r="G86" s="13" t="s">
        <v>47</v>
      </c>
      <c r="H86" s="14">
        <v>950.0</v>
      </c>
      <c r="I86" s="14">
        <v>1675.0</v>
      </c>
      <c r="J86" s="14">
        <v>1585.0</v>
      </c>
      <c r="K86" s="13" t="s">
        <v>285</v>
      </c>
      <c r="L86" s="15"/>
      <c r="M86" s="15"/>
      <c r="N86" s="15"/>
      <c r="O86" s="15"/>
      <c r="P86" s="15"/>
      <c r="Q86" s="15"/>
      <c r="R86" s="15"/>
      <c r="S86" s="15"/>
      <c r="T86" s="15"/>
      <c r="U86" s="15"/>
      <c r="V86" s="15"/>
      <c r="W86" s="15"/>
      <c r="X86" s="15"/>
      <c r="Y86" s="15"/>
      <c r="Z86" s="16"/>
    </row>
    <row r="87">
      <c r="A87" s="12" t="s">
        <v>286</v>
      </c>
      <c r="B87" s="13" t="s">
        <v>287</v>
      </c>
      <c r="C87" s="13" t="s">
        <v>28</v>
      </c>
      <c r="D87" s="13" t="s">
        <v>28</v>
      </c>
      <c r="E87" s="14">
        <v>2220.0</v>
      </c>
      <c r="F87" s="13" t="s">
        <v>29</v>
      </c>
      <c r="G87" s="13" t="s">
        <v>47</v>
      </c>
      <c r="H87" s="14">
        <v>950.0</v>
      </c>
      <c r="I87" s="14">
        <v>1675.0</v>
      </c>
      <c r="J87" s="14">
        <v>1585.0</v>
      </c>
      <c r="K87" s="13" t="s">
        <v>288</v>
      </c>
      <c r="L87" s="15"/>
      <c r="M87" s="15"/>
      <c r="N87" s="15"/>
      <c r="O87" s="15"/>
      <c r="P87" s="15"/>
      <c r="Q87" s="15"/>
      <c r="R87" s="15"/>
      <c r="S87" s="15"/>
      <c r="T87" s="15"/>
      <c r="U87" s="15"/>
      <c r="V87" s="15"/>
      <c r="W87" s="15"/>
      <c r="X87" s="15"/>
      <c r="Y87" s="15"/>
      <c r="Z87" s="16"/>
    </row>
    <row r="88">
      <c r="A88" s="12" t="s">
        <v>289</v>
      </c>
      <c r="B88" s="13" t="s">
        <v>290</v>
      </c>
      <c r="C88" s="13" t="s">
        <v>28</v>
      </c>
      <c r="D88" s="13" t="s">
        <v>28</v>
      </c>
      <c r="E88" s="14">
        <v>40.0</v>
      </c>
      <c r="F88" s="13" t="s">
        <v>29</v>
      </c>
      <c r="G88" s="13" t="s">
        <v>47</v>
      </c>
      <c r="H88" s="14">
        <v>950.0</v>
      </c>
      <c r="I88" s="14">
        <v>1675.0</v>
      </c>
      <c r="J88" s="14">
        <v>1585.0</v>
      </c>
      <c r="K88" s="13" t="s">
        <v>291</v>
      </c>
      <c r="L88" s="15"/>
      <c r="M88" s="15"/>
      <c r="N88" s="15"/>
      <c r="O88" s="15"/>
      <c r="P88" s="15"/>
      <c r="Q88" s="15"/>
      <c r="R88" s="15"/>
      <c r="S88" s="15"/>
      <c r="T88" s="15"/>
      <c r="U88" s="15"/>
      <c r="V88" s="15"/>
      <c r="W88" s="15"/>
      <c r="X88" s="15"/>
      <c r="Y88" s="15"/>
      <c r="Z88" s="16"/>
    </row>
    <row r="89">
      <c r="A89" s="12" t="s">
        <v>292</v>
      </c>
      <c r="B89" s="13" t="s">
        <v>293</v>
      </c>
      <c r="C89" s="13" t="s">
        <v>28</v>
      </c>
      <c r="D89" s="13" t="s">
        <v>28</v>
      </c>
      <c r="E89" s="14">
        <v>104.0</v>
      </c>
      <c r="F89" s="13" t="s">
        <v>29</v>
      </c>
      <c r="G89" s="13" t="s">
        <v>47</v>
      </c>
      <c r="H89" s="14">
        <v>950.0</v>
      </c>
      <c r="I89" s="14">
        <v>1675.0</v>
      </c>
      <c r="J89" s="14">
        <v>1585.0</v>
      </c>
      <c r="K89" s="13" t="s">
        <v>294</v>
      </c>
      <c r="L89" s="15"/>
      <c r="M89" s="15"/>
      <c r="N89" s="15"/>
      <c r="O89" s="15"/>
      <c r="P89" s="15"/>
      <c r="Q89" s="15"/>
      <c r="R89" s="15"/>
      <c r="S89" s="15"/>
      <c r="T89" s="15"/>
      <c r="U89" s="15"/>
      <c r="V89" s="15"/>
      <c r="W89" s="15"/>
      <c r="X89" s="15"/>
      <c r="Y89" s="15"/>
      <c r="Z89" s="16"/>
    </row>
    <row r="90">
      <c r="A90" s="12" t="s">
        <v>295</v>
      </c>
      <c r="B90" s="13" t="s">
        <v>296</v>
      </c>
      <c r="C90" s="13" t="s">
        <v>28</v>
      </c>
      <c r="D90" s="13" t="s">
        <v>28</v>
      </c>
      <c r="E90" s="14">
        <v>92.0</v>
      </c>
      <c r="F90" s="13" t="s">
        <v>29</v>
      </c>
      <c r="G90" s="13" t="s">
        <v>47</v>
      </c>
      <c r="H90" s="14">
        <v>950.0</v>
      </c>
      <c r="I90" s="14">
        <v>1675.0</v>
      </c>
      <c r="J90" s="14">
        <v>1585.0</v>
      </c>
      <c r="K90" s="13" t="s">
        <v>297</v>
      </c>
      <c r="L90" s="15"/>
      <c r="M90" s="15"/>
      <c r="N90" s="15"/>
      <c r="O90" s="15"/>
      <c r="P90" s="15"/>
      <c r="Q90" s="15"/>
      <c r="R90" s="15"/>
      <c r="S90" s="15"/>
      <c r="T90" s="15"/>
      <c r="U90" s="15"/>
      <c r="V90" s="15"/>
      <c r="W90" s="15"/>
      <c r="X90" s="15"/>
      <c r="Y90" s="15"/>
      <c r="Z90" s="16"/>
    </row>
    <row r="91">
      <c r="A91" s="12" t="s">
        <v>298</v>
      </c>
      <c r="B91" s="13" t="s">
        <v>299</v>
      </c>
      <c r="C91" s="13" t="s">
        <v>28</v>
      </c>
      <c r="D91" s="13" t="s">
        <v>28</v>
      </c>
      <c r="E91" s="14">
        <v>1766.0</v>
      </c>
      <c r="F91" s="13" t="s">
        <v>29</v>
      </c>
      <c r="G91" s="13" t="s">
        <v>47</v>
      </c>
      <c r="H91" s="14">
        <v>950.0</v>
      </c>
      <c r="I91" s="14">
        <v>1675.0</v>
      </c>
      <c r="J91" s="14">
        <v>1585.0</v>
      </c>
      <c r="K91" s="13" t="s">
        <v>300</v>
      </c>
      <c r="L91" s="15"/>
      <c r="M91" s="15"/>
      <c r="N91" s="15"/>
      <c r="O91" s="15"/>
      <c r="P91" s="15"/>
      <c r="Q91" s="15"/>
      <c r="R91" s="15"/>
      <c r="S91" s="15"/>
      <c r="T91" s="15"/>
      <c r="U91" s="15"/>
      <c r="V91" s="15"/>
      <c r="W91" s="15"/>
      <c r="X91" s="15"/>
      <c r="Y91" s="15"/>
      <c r="Z91" s="16"/>
    </row>
    <row r="92">
      <c r="A92" s="12" t="s">
        <v>301</v>
      </c>
      <c r="B92" s="13" t="s">
        <v>302</v>
      </c>
      <c r="C92" s="13" t="s">
        <v>28</v>
      </c>
      <c r="D92" s="13" t="s">
        <v>28</v>
      </c>
      <c r="E92" s="14">
        <v>117.0</v>
      </c>
      <c r="F92" s="13" t="s">
        <v>29</v>
      </c>
      <c r="G92" s="13" t="s">
        <v>47</v>
      </c>
      <c r="H92" s="14">
        <v>950.0</v>
      </c>
      <c r="I92" s="14">
        <v>1675.0</v>
      </c>
      <c r="J92" s="14">
        <v>1585.0</v>
      </c>
      <c r="K92" s="13" t="s">
        <v>303</v>
      </c>
      <c r="L92" s="15"/>
      <c r="M92" s="15"/>
      <c r="N92" s="15"/>
      <c r="O92" s="15"/>
      <c r="P92" s="15"/>
      <c r="Q92" s="15"/>
      <c r="R92" s="15"/>
      <c r="S92" s="15"/>
      <c r="T92" s="15"/>
      <c r="U92" s="15"/>
      <c r="V92" s="15"/>
      <c r="W92" s="15"/>
      <c r="X92" s="15"/>
      <c r="Y92" s="15"/>
      <c r="Z92" s="16"/>
    </row>
    <row r="93">
      <c r="A93" s="12" t="s">
        <v>304</v>
      </c>
      <c r="B93" s="13" t="s">
        <v>305</v>
      </c>
      <c r="C93" s="13" t="s">
        <v>28</v>
      </c>
      <c r="D93" s="13" t="s">
        <v>28</v>
      </c>
      <c r="E93" s="14">
        <v>340.0</v>
      </c>
      <c r="F93" s="13" t="s">
        <v>29</v>
      </c>
      <c r="G93" s="13" t="s">
        <v>47</v>
      </c>
      <c r="H93" s="14">
        <v>950.0</v>
      </c>
      <c r="I93" s="14">
        <v>1675.0</v>
      </c>
      <c r="J93" s="14">
        <v>1585.0</v>
      </c>
      <c r="K93" s="13" t="s">
        <v>306</v>
      </c>
      <c r="L93" s="15"/>
      <c r="M93" s="15"/>
      <c r="N93" s="15"/>
      <c r="O93" s="15"/>
      <c r="P93" s="15"/>
      <c r="Q93" s="15"/>
      <c r="R93" s="15"/>
      <c r="S93" s="15"/>
      <c r="T93" s="15"/>
      <c r="U93" s="15"/>
      <c r="V93" s="15"/>
      <c r="W93" s="15"/>
      <c r="X93" s="15"/>
      <c r="Y93" s="15"/>
      <c r="Z93" s="16"/>
    </row>
    <row r="94">
      <c r="A94" s="12" t="s">
        <v>307</v>
      </c>
      <c r="B94" s="13" t="s">
        <v>308</v>
      </c>
      <c r="C94" s="13" t="s">
        <v>28</v>
      </c>
      <c r="D94" s="13" t="s">
        <v>28</v>
      </c>
      <c r="E94" s="14">
        <v>345.0</v>
      </c>
      <c r="F94" s="13" t="s">
        <v>29</v>
      </c>
      <c r="G94" s="13" t="s">
        <v>47</v>
      </c>
      <c r="H94" s="14">
        <v>950.0</v>
      </c>
      <c r="I94" s="14">
        <v>1675.0</v>
      </c>
      <c r="J94" s="14">
        <v>1585.0</v>
      </c>
      <c r="K94" s="13" t="s">
        <v>309</v>
      </c>
      <c r="L94" s="15"/>
      <c r="M94" s="15"/>
      <c r="N94" s="15"/>
      <c r="O94" s="15"/>
      <c r="P94" s="15"/>
      <c r="Q94" s="15"/>
      <c r="R94" s="15"/>
      <c r="S94" s="15"/>
      <c r="T94" s="15"/>
      <c r="U94" s="15"/>
      <c r="V94" s="15"/>
      <c r="W94" s="15"/>
      <c r="X94" s="15"/>
      <c r="Y94" s="15"/>
      <c r="Z94" s="16"/>
    </row>
    <row r="95">
      <c r="A95" s="12" t="s">
        <v>310</v>
      </c>
      <c r="B95" s="13" t="s">
        <v>311</v>
      </c>
      <c r="C95" s="13" t="s">
        <v>28</v>
      </c>
      <c r="D95" s="13" t="s">
        <v>28</v>
      </c>
      <c r="E95" s="14">
        <v>1236.0</v>
      </c>
      <c r="F95" s="13" t="s">
        <v>29</v>
      </c>
      <c r="G95" s="13" t="s">
        <v>47</v>
      </c>
      <c r="H95" s="14">
        <v>950.0</v>
      </c>
      <c r="I95" s="14">
        <v>1675.0</v>
      </c>
      <c r="J95" s="14">
        <v>1585.0</v>
      </c>
      <c r="K95" s="13" t="s">
        <v>312</v>
      </c>
      <c r="L95" s="15"/>
      <c r="M95" s="15"/>
      <c r="N95" s="15"/>
      <c r="O95" s="15"/>
      <c r="P95" s="15"/>
      <c r="Q95" s="15"/>
      <c r="R95" s="15"/>
      <c r="S95" s="15"/>
      <c r="T95" s="15"/>
      <c r="U95" s="15"/>
      <c r="V95" s="15"/>
      <c r="W95" s="15"/>
      <c r="X95" s="15"/>
      <c r="Y95" s="15"/>
      <c r="Z95" s="16"/>
    </row>
    <row r="96">
      <c r="A96" s="12" t="s">
        <v>313</v>
      </c>
      <c r="B96" s="13" t="s">
        <v>314</v>
      </c>
      <c r="C96" s="13" t="s">
        <v>28</v>
      </c>
      <c r="D96" s="13" t="s">
        <v>28</v>
      </c>
      <c r="E96" s="14">
        <v>5725.0</v>
      </c>
      <c r="F96" s="13" t="s">
        <v>29</v>
      </c>
      <c r="G96" s="13" t="s">
        <v>47</v>
      </c>
      <c r="H96" s="14">
        <v>950.0</v>
      </c>
      <c r="I96" s="14">
        <v>1675.0</v>
      </c>
      <c r="J96" s="14">
        <v>1585.0</v>
      </c>
      <c r="K96" s="13" t="s">
        <v>315</v>
      </c>
      <c r="L96" s="15"/>
      <c r="M96" s="15"/>
      <c r="N96" s="15"/>
      <c r="O96" s="15"/>
      <c r="P96" s="15"/>
      <c r="Q96" s="15"/>
      <c r="R96" s="15"/>
      <c r="S96" s="15"/>
      <c r="T96" s="15"/>
      <c r="U96" s="15"/>
      <c r="V96" s="15"/>
      <c r="W96" s="15"/>
      <c r="X96" s="15"/>
      <c r="Y96" s="15"/>
      <c r="Z96" s="16"/>
    </row>
    <row r="97">
      <c r="A97" s="12" t="s">
        <v>316</v>
      </c>
      <c r="B97" s="13" t="s">
        <v>317</v>
      </c>
      <c r="C97" s="13" t="s">
        <v>28</v>
      </c>
      <c r="D97" s="13" t="s">
        <v>28</v>
      </c>
      <c r="E97" s="14">
        <v>30.0</v>
      </c>
      <c r="F97" s="13" t="s">
        <v>29</v>
      </c>
      <c r="G97" s="13" t="s">
        <v>47</v>
      </c>
      <c r="H97" s="14">
        <v>950.0</v>
      </c>
      <c r="I97" s="14">
        <v>1675.0</v>
      </c>
      <c r="J97" s="14">
        <v>1585.0</v>
      </c>
      <c r="K97" s="13" t="s">
        <v>318</v>
      </c>
      <c r="L97" s="15"/>
      <c r="M97" s="15"/>
      <c r="N97" s="15"/>
      <c r="O97" s="15"/>
      <c r="P97" s="15"/>
      <c r="Q97" s="15"/>
      <c r="R97" s="15"/>
      <c r="S97" s="15"/>
      <c r="T97" s="15"/>
      <c r="U97" s="15"/>
      <c r="V97" s="15"/>
      <c r="W97" s="15"/>
      <c r="X97" s="15"/>
      <c r="Y97" s="15"/>
      <c r="Z97" s="16"/>
    </row>
    <row r="98">
      <c r="A98" s="12" t="s">
        <v>319</v>
      </c>
      <c r="B98" s="13" t="s">
        <v>320</v>
      </c>
      <c r="C98" s="13" t="s">
        <v>28</v>
      </c>
      <c r="D98" s="13" t="s">
        <v>28</v>
      </c>
      <c r="E98" s="14">
        <v>143.0</v>
      </c>
      <c r="F98" s="13" t="s">
        <v>29</v>
      </c>
      <c r="G98" s="13" t="s">
        <v>47</v>
      </c>
      <c r="H98" s="14">
        <v>950.0</v>
      </c>
      <c r="I98" s="14">
        <v>1675.0</v>
      </c>
      <c r="J98" s="14">
        <v>1585.0</v>
      </c>
      <c r="K98" s="13" t="s">
        <v>321</v>
      </c>
      <c r="L98" s="15"/>
      <c r="M98" s="15"/>
      <c r="N98" s="15"/>
      <c r="O98" s="15"/>
      <c r="P98" s="15"/>
      <c r="Q98" s="15"/>
      <c r="R98" s="15"/>
      <c r="S98" s="15"/>
      <c r="T98" s="15"/>
      <c r="U98" s="15"/>
      <c r="V98" s="15"/>
      <c r="W98" s="15"/>
      <c r="X98" s="15"/>
      <c r="Y98" s="15"/>
      <c r="Z98" s="16"/>
    </row>
    <row r="99">
      <c r="A99" s="12" t="s">
        <v>322</v>
      </c>
      <c r="B99" s="13" t="s">
        <v>323</v>
      </c>
      <c r="C99" s="13" t="s">
        <v>28</v>
      </c>
      <c r="D99" s="13" t="s">
        <v>28</v>
      </c>
      <c r="E99" s="14">
        <v>315.0</v>
      </c>
      <c r="F99" s="13" t="s">
        <v>29</v>
      </c>
      <c r="G99" s="13" t="s">
        <v>47</v>
      </c>
      <c r="H99" s="14">
        <v>950.0</v>
      </c>
      <c r="I99" s="14">
        <v>1675.0</v>
      </c>
      <c r="J99" s="14">
        <v>1585.0</v>
      </c>
      <c r="K99" s="13" t="s">
        <v>324</v>
      </c>
      <c r="L99" s="15"/>
      <c r="M99" s="15"/>
      <c r="N99" s="15"/>
      <c r="O99" s="15"/>
      <c r="P99" s="15"/>
      <c r="Q99" s="15"/>
      <c r="R99" s="15"/>
      <c r="S99" s="15"/>
      <c r="T99" s="15"/>
      <c r="U99" s="15"/>
      <c r="V99" s="15"/>
      <c r="W99" s="15"/>
      <c r="X99" s="15"/>
      <c r="Y99" s="15"/>
      <c r="Z99" s="16"/>
    </row>
    <row r="100">
      <c r="A100" s="12" t="s">
        <v>325</v>
      </c>
      <c r="B100" s="13" t="s">
        <v>326</v>
      </c>
      <c r="C100" s="13" t="s">
        <v>28</v>
      </c>
      <c r="D100" s="13" t="s">
        <v>28</v>
      </c>
      <c r="E100" s="14">
        <v>344.0</v>
      </c>
      <c r="F100" s="13" t="s">
        <v>29</v>
      </c>
      <c r="G100" s="13" t="s">
        <v>47</v>
      </c>
      <c r="H100" s="14">
        <v>950.0</v>
      </c>
      <c r="I100" s="14">
        <v>1675.0</v>
      </c>
      <c r="J100" s="14">
        <v>1585.0</v>
      </c>
      <c r="K100" s="13" t="s">
        <v>327</v>
      </c>
      <c r="L100" s="15"/>
      <c r="M100" s="15"/>
      <c r="N100" s="15"/>
      <c r="O100" s="15"/>
      <c r="P100" s="15"/>
      <c r="Q100" s="15"/>
      <c r="R100" s="15"/>
      <c r="S100" s="15"/>
      <c r="T100" s="15"/>
      <c r="U100" s="15"/>
      <c r="V100" s="15"/>
      <c r="W100" s="15"/>
      <c r="X100" s="15"/>
      <c r="Y100" s="15"/>
      <c r="Z100" s="16"/>
    </row>
    <row r="101">
      <c r="A101" s="12" t="s">
        <v>328</v>
      </c>
      <c r="B101" s="13" t="s">
        <v>329</v>
      </c>
      <c r="C101" s="13" t="s">
        <v>28</v>
      </c>
      <c r="D101" s="13" t="s">
        <v>28</v>
      </c>
      <c r="E101" s="14">
        <v>503.0</v>
      </c>
      <c r="F101" s="13" t="s">
        <v>29</v>
      </c>
      <c r="G101" s="13" t="s">
        <v>47</v>
      </c>
      <c r="H101" s="14">
        <v>950.0</v>
      </c>
      <c r="I101" s="14">
        <v>1675.0</v>
      </c>
      <c r="J101" s="14">
        <v>1585.0</v>
      </c>
      <c r="K101" s="13" t="s">
        <v>330</v>
      </c>
      <c r="L101" s="15"/>
      <c r="M101" s="15"/>
      <c r="N101" s="15"/>
      <c r="O101" s="15"/>
      <c r="P101" s="15"/>
      <c r="Q101" s="15"/>
      <c r="R101" s="15"/>
      <c r="S101" s="15"/>
      <c r="T101" s="15"/>
      <c r="U101" s="15"/>
      <c r="V101" s="15"/>
      <c r="W101" s="15"/>
      <c r="X101" s="15"/>
      <c r="Y101" s="15"/>
      <c r="Z101" s="16"/>
    </row>
    <row r="102">
      <c r="A102" s="12" t="s">
        <v>331</v>
      </c>
      <c r="B102" s="13" t="s">
        <v>332</v>
      </c>
      <c r="C102" s="13" t="s">
        <v>28</v>
      </c>
      <c r="D102" s="13" t="s">
        <v>28</v>
      </c>
      <c r="E102" s="14">
        <v>2336.0</v>
      </c>
      <c r="F102" s="13" t="s">
        <v>29</v>
      </c>
      <c r="G102" s="13" t="s">
        <v>47</v>
      </c>
      <c r="H102" s="14">
        <v>950.0</v>
      </c>
      <c r="I102" s="14">
        <v>1675.0</v>
      </c>
      <c r="J102" s="14">
        <v>1585.0</v>
      </c>
      <c r="K102" s="13" t="s">
        <v>333</v>
      </c>
      <c r="L102" s="15"/>
      <c r="M102" s="15"/>
      <c r="N102" s="15"/>
      <c r="O102" s="15"/>
      <c r="P102" s="15"/>
      <c r="Q102" s="15"/>
      <c r="R102" s="15"/>
      <c r="S102" s="15"/>
      <c r="T102" s="15"/>
      <c r="U102" s="15"/>
      <c r="V102" s="15"/>
      <c r="W102" s="15"/>
      <c r="X102" s="15"/>
      <c r="Y102" s="15"/>
      <c r="Z102" s="16"/>
    </row>
    <row r="103">
      <c r="A103" s="12" t="s">
        <v>334</v>
      </c>
      <c r="B103" s="13" t="s">
        <v>335</v>
      </c>
      <c r="C103" s="13" t="s">
        <v>28</v>
      </c>
      <c r="D103" s="13" t="s">
        <v>28</v>
      </c>
      <c r="E103" s="14">
        <v>131.0</v>
      </c>
      <c r="F103" s="13" t="s">
        <v>29</v>
      </c>
      <c r="G103" s="13" t="s">
        <v>47</v>
      </c>
      <c r="H103" s="14">
        <v>950.0</v>
      </c>
      <c r="I103" s="14">
        <v>1675.0</v>
      </c>
      <c r="J103" s="14">
        <v>1585.0</v>
      </c>
      <c r="K103" s="13" t="s">
        <v>336</v>
      </c>
      <c r="L103" s="15"/>
      <c r="M103" s="15"/>
      <c r="N103" s="15"/>
      <c r="O103" s="15"/>
      <c r="P103" s="15"/>
      <c r="Q103" s="15"/>
      <c r="R103" s="15"/>
      <c r="S103" s="15"/>
      <c r="T103" s="15"/>
      <c r="U103" s="15"/>
      <c r="V103" s="15"/>
      <c r="W103" s="15"/>
      <c r="X103" s="15"/>
      <c r="Y103" s="15"/>
      <c r="Z103" s="16"/>
    </row>
    <row r="104">
      <c r="A104" s="12" t="s">
        <v>337</v>
      </c>
      <c r="B104" s="13" t="s">
        <v>338</v>
      </c>
      <c r="C104" s="13" t="s">
        <v>28</v>
      </c>
      <c r="D104" s="13" t="s">
        <v>28</v>
      </c>
      <c r="E104" s="14">
        <v>59.0</v>
      </c>
      <c r="F104" s="13" t="s">
        <v>29</v>
      </c>
      <c r="G104" s="13" t="s">
        <v>47</v>
      </c>
      <c r="H104" s="14">
        <v>950.0</v>
      </c>
      <c r="I104" s="14">
        <v>1675.0</v>
      </c>
      <c r="J104" s="14">
        <v>1585.0</v>
      </c>
      <c r="K104" s="13" t="s">
        <v>339</v>
      </c>
      <c r="L104" s="15"/>
      <c r="M104" s="15"/>
      <c r="N104" s="15"/>
      <c r="O104" s="15"/>
      <c r="P104" s="15"/>
      <c r="Q104" s="15"/>
      <c r="R104" s="15"/>
      <c r="S104" s="15"/>
      <c r="T104" s="15"/>
      <c r="U104" s="15"/>
      <c r="V104" s="15"/>
      <c r="W104" s="15"/>
      <c r="X104" s="15"/>
      <c r="Y104" s="15"/>
      <c r="Z104" s="16"/>
    </row>
    <row r="105">
      <c r="A105" s="12" t="s">
        <v>340</v>
      </c>
      <c r="B105" s="13" t="s">
        <v>341</v>
      </c>
      <c r="C105" s="13" t="s">
        <v>28</v>
      </c>
      <c r="D105" s="13" t="s">
        <v>28</v>
      </c>
      <c r="E105" s="14">
        <v>145.0</v>
      </c>
      <c r="F105" s="13" t="s">
        <v>29</v>
      </c>
      <c r="G105" s="13" t="s">
        <v>47</v>
      </c>
      <c r="H105" s="14">
        <v>950.0</v>
      </c>
      <c r="I105" s="14">
        <v>1675.0</v>
      </c>
      <c r="J105" s="14">
        <v>1585.0</v>
      </c>
      <c r="K105" s="13" t="s">
        <v>342</v>
      </c>
      <c r="L105" s="15"/>
      <c r="M105" s="15"/>
      <c r="N105" s="15"/>
      <c r="O105" s="15"/>
      <c r="P105" s="15"/>
      <c r="Q105" s="15"/>
      <c r="R105" s="15"/>
      <c r="S105" s="15"/>
      <c r="T105" s="15"/>
      <c r="U105" s="15"/>
      <c r="V105" s="15"/>
      <c r="W105" s="15"/>
      <c r="X105" s="15"/>
      <c r="Y105" s="15"/>
      <c r="Z105" s="16"/>
    </row>
    <row r="106">
      <c r="A106" s="12" t="s">
        <v>343</v>
      </c>
      <c r="B106" s="13" t="s">
        <v>344</v>
      </c>
      <c r="C106" s="13" t="s">
        <v>28</v>
      </c>
      <c r="D106" s="13" t="s">
        <v>28</v>
      </c>
      <c r="E106" s="14">
        <v>179.0</v>
      </c>
      <c r="F106" s="13" t="s">
        <v>29</v>
      </c>
      <c r="G106" s="13" t="s">
        <v>47</v>
      </c>
      <c r="H106" s="14">
        <v>950.0</v>
      </c>
      <c r="I106" s="14">
        <v>1675.0</v>
      </c>
      <c r="J106" s="14">
        <v>1585.0</v>
      </c>
      <c r="K106" s="13" t="s">
        <v>345</v>
      </c>
      <c r="L106" s="15"/>
      <c r="M106" s="15"/>
      <c r="N106" s="15"/>
      <c r="O106" s="15"/>
      <c r="P106" s="15"/>
      <c r="Q106" s="15"/>
      <c r="R106" s="15"/>
      <c r="S106" s="15"/>
      <c r="T106" s="15"/>
      <c r="U106" s="15"/>
      <c r="V106" s="15"/>
      <c r="W106" s="15"/>
      <c r="X106" s="15"/>
      <c r="Y106" s="15"/>
      <c r="Z106" s="16"/>
    </row>
    <row r="107">
      <c r="A107" s="12" t="s">
        <v>346</v>
      </c>
      <c r="B107" s="13" t="s">
        <v>347</v>
      </c>
      <c r="C107" s="13" t="s">
        <v>28</v>
      </c>
      <c r="D107" s="13" t="s">
        <v>28</v>
      </c>
      <c r="E107" s="14">
        <v>2668.0</v>
      </c>
      <c r="F107" s="13" t="s">
        <v>29</v>
      </c>
      <c r="G107" s="13" t="s">
        <v>47</v>
      </c>
      <c r="H107" s="14">
        <v>950.0</v>
      </c>
      <c r="I107" s="14">
        <v>1675.0</v>
      </c>
      <c r="J107" s="14">
        <v>1585.0</v>
      </c>
      <c r="K107" s="13" t="s">
        <v>348</v>
      </c>
      <c r="L107" s="15"/>
      <c r="M107" s="15"/>
      <c r="N107" s="15"/>
      <c r="O107" s="15"/>
      <c r="P107" s="15"/>
      <c r="Q107" s="15"/>
      <c r="R107" s="15"/>
      <c r="S107" s="15"/>
      <c r="T107" s="15"/>
      <c r="U107" s="15"/>
      <c r="V107" s="15"/>
      <c r="W107" s="15"/>
      <c r="X107" s="15"/>
      <c r="Y107" s="15"/>
      <c r="Z107" s="16"/>
    </row>
    <row r="108">
      <c r="A108" s="12" t="s">
        <v>349</v>
      </c>
      <c r="B108" s="13" t="s">
        <v>350</v>
      </c>
      <c r="C108" s="13" t="s">
        <v>28</v>
      </c>
      <c r="D108" s="13" t="s">
        <v>28</v>
      </c>
      <c r="E108" s="14">
        <v>374.0</v>
      </c>
      <c r="F108" s="13" t="s">
        <v>29</v>
      </c>
      <c r="G108" s="13" t="s">
        <v>47</v>
      </c>
      <c r="H108" s="14">
        <v>950.0</v>
      </c>
      <c r="I108" s="14">
        <v>1675.0</v>
      </c>
      <c r="J108" s="14">
        <v>1585.0</v>
      </c>
      <c r="K108" s="13" t="s">
        <v>351</v>
      </c>
      <c r="L108" s="15"/>
      <c r="M108" s="15"/>
      <c r="N108" s="15"/>
      <c r="O108" s="15"/>
      <c r="P108" s="15"/>
      <c r="Q108" s="15"/>
      <c r="R108" s="15"/>
      <c r="S108" s="15"/>
      <c r="T108" s="15"/>
      <c r="U108" s="15"/>
      <c r="V108" s="15"/>
      <c r="W108" s="15"/>
      <c r="X108" s="15"/>
      <c r="Y108" s="15"/>
      <c r="Z108" s="16"/>
    </row>
    <row r="109">
      <c r="A109" s="12" t="s">
        <v>352</v>
      </c>
      <c r="B109" s="13" t="s">
        <v>353</v>
      </c>
      <c r="C109" s="13" t="s">
        <v>28</v>
      </c>
      <c r="D109" s="13" t="s">
        <v>28</v>
      </c>
      <c r="E109" s="14">
        <v>586.0</v>
      </c>
      <c r="F109" s="13" t="s">
        <v>29</v>
      </c>
      <c r="G109" s="13" t="s">
        <v>47</v>
      </c>
      <c r="H109" s="14">
        <v>950.0</v>
      </c>
      <c r="I109" s="14">
        <v>1675.0</v>
      </c>
      <c r="J109" s="14">
        <v>1585.0</v>
      </c>
      <c r="K109" s="13" t="s">
        <v>354</v>
      </c>
      <c r="L109" s="15"/>
      <c r="M109" s="15"/>
      <c r="N109" s="15"/>
      <c r="O109" s="15"/>
      <c r="P109" s="15"/>
      <c r="Q109" s="15"/>
      <c r="R109" s="15"/>
      <c r="S109" s="15"/>
      <c r="T109" s="15"/>
      <c r="U109" s="15"/>
      <c r="V109" s="15"/>
      <c r="W109" s="15"/>
      <c r="X109" s="15"/>
      <c r="Y109" s="15"/>
      <c r="Z109" s="16"/>
    </row>
    <row r="110">
      <c r="A110" s="12" t="s">
        <v>355</v>
      </c>
      <c r="B110" s="13" t="s">
        <v>356</v>
      </c>
      <c r="C110" s="13" t="s">
        <v>28</v>
      </c>
      <c r="D110" s="13" t="s">
        <v>28</v>
      </c>
      <c r="E110" s="14">
        <v>68.0</v>
      </c>
      <c r="F110" s="13" t="s">
        <v>29</v>
      </c>
      <c r="G110" s="13" t="s">
        <v>47</v>
      </c>
      <c r="H110" s="14">
        <v>950.0</v>
      </c>
      <c r="I110" s="14">
        <v>1675.0</v>
      </c>
      <c r="J110" s="14">
        <v>1585.0</v>
      </c>
      <c r="K110" s="13" t="s">
        <v>357</v>
      </c>
      <c r="L110" s="15"/>
      <c r="M110" s="15"/>
      <c r="N110" s="15"/>
      <c r="O110" s="15"/>
      <c r="P110" s="15"/>
      <c r="Q110" s="15"/>
      <c r="R110" s="15"/>
      <c r="S110" s="15"/>
      <c r="T110" s="15"/>
      <c r="U110" s="15"/>
      <c r="V110" s="15"/>
      <c r="W110" s="15"/>
      <c r="X110" s="15"/>
      <c r="Y110" s="15"/>
      <c r="Z110" s="16"/>
    </row>
    <row r="111">
      <c r="A111" s="12" t="s">
        <v>358</v>
      </c>
      <c r="B111" s="13" t="s">
        <v>359</v>
      </c>
      <c r="C111" s="13" t="s">
        <v>28</v>
      </c>
      <c r="D111" s="13" t="s">
        <v>28</v>
      </c>
      <c r="E111" s="14">
        <v>193.0</v>
      </c>
      <c r="F111" s="13" t="s">
        <v>29</v>
      </c>
      <c r="G111" s="13" t="s">
        <v>47</v>
      </c>
      <c r="H111" s="14">
        <v>950.0</v>
      </c>
      <c r="I111" s="14">
        <v>1675.0</v>
      </c>
      <c r="J111" s="14">
        <v>1585.0</v>
      </c>
      <c r="K111" s="13" t="s">
        <v>360</v>
      </c>
      <c r="L111" s="15"/>
      <c r="M111" s="15"/>
      <c r="N111" s="15"/>
      <c r="O111" s="15"/>
      <c r="P111" s="15"/>
      <c r="Q111" s="15"/>
      <c r="R111" s="15"/>
      <c r="S111" s="15"/>
      <c r="T111" s="15"/>
      <c r="U111" s="15"/>
      <c r="V111" s="15"/>
      <c r="W111" s="15"/>
      <c r="X111" s="15"/>
      <c r="Y111" s="15"/>
      <c r="Z111" s="16"/>
    </row>
    <row r="112">
      <c r="A112" s="12" t="s">
        <v>361</v>
      </c>
      <c r="B112" s="13" t="s">
        <v>362</v>
      </c>
      <c r="C112" s="13" t="s">
        <v>28</v>
      </c>
      <c r="D112" s="13" t="s">
        <v>28</v>
      </c>
      <c r="E112" s="14">
        <v>364.0</v>
      </c>
      <c r="F112" s="13" t="s">
        <v>29</v>
      </c>
      <c r="G112" s="13" t="s">
        <v>47</v>
      </c>
      <c r="H112" s="14">
        <v>950.0</v>
      </c>
      <c r="I112" s="14">
        <v>1675.0</v>
      </c>
      <c r="J112" s="14">
        <v>1585.0</v>
      </c>
      <c r="K112" s="13" t="s">
        <v>363</v>
      </c>
      <c r="L112" s="15"/>
      <c r="M112" s="15"/>
      <c r="N112" s="15"/>
      <c r="O112" s="15"/>
      <c r="P112" s="15"/>
      <c r="Q112" s="15"/>
      <c r="R112" s="15"/>
      <c r="S112" s="15"/>
      <c r="T112" s="15"/>
      <c r="U112" s="15"/>
      <c r="V112" s="15"/>
      <c r="W112" s="15"/>
      <c r="X112" s="15"/>
      <c r="Y112" s="15"/>
      <c r="Z112" s="16"/>
    </row>
    <row r="113">
      <c r="A113" s="12" t="s">
        <v>364</v>
      </c>
      <c r="B113" s="13" t="s">
        <v>365</v>
      </c>
      <c r="C113" s="13" t="s">
        <v>28</v>
      </c>
      <c r="D113" s="13" t="s">
        <v>28</v>
      </c>
      <c r="E113" s="14">
        <v>2248.0</v>
      </c>
      <c r="F113" s="13" t="s">
        <v>29</v>
      </c>
      <c r="G113" s="13" t="s">
        <v>47</v>
      </c>
      <c r="H113" s="14">
        <v>950.0</v>
      </c>
      <c r="I113" s="14">
        <v>1675.0</v>
      </c>
      <c r="J113" s="14">
        <v>1585.0</v>
      </c>
      <c r="K113" s="13" t="s">
        <v>366</v>
      </c>
      <c r="L113" s="15"/>
      <c r="M113" s="15"/>
      <c r="N113" s="15"/>
      <c r="O113" s="15"/>
      <c r="P113" s="15"/>
      <c r="Q113" s="15"/>
      <c r="R113" s="15"/>
      <c r="S113" s="15"/>
      <c r="T113" s="15"/>
      <c r="U113" s="15"/>
      <c r="V113" s="15"/>
      <c r="W113" s="15"/>
      <c r="X113" s="15"/>
      <c r="Y113" s="15"/>
      <c r="Z113" s="16"/>
    </row>
    <row r="114">
      <c r="A114" s="12" t="s">
        <v>367</v>
      </c>
      <c r="B114" s="13" t="s">
        <v>368</v>
      </c>
      <c r="C114" s="13" t="s">
        <v>28</v>
      </c>
      <c r="D114" s="13" t="s">
        <v>28</v>
      </c>
      <c r="E114" s="14">
        <v>2048.0</v>
      </c>
      <c r="F114" s="13" t="s">
        <v>29</v>
      </c>
      <c r="G114" s="13" t="s">
        <v>47</v>
      </c>
      <c r="H114" s="14">
        <v>950.0</v>
      </c>
      <c r="I114" s="14">
        <v>1675.0</v>
      </c>
      <c r="J114" s="14">
        <v>1585.0</v>
      </c>
      <c r="K114" s="13" t="s">
        <v>369</v>
      </c>
      <c r="L114" s="15"/>
      <c r="M114" s="15"/>
      <c r="N114" s="15"/>
      <c r="O114" s="15"/>
      <c r="P114" s="15"/>
      <c r="Q114" s="15"/>
      <c r="R114" s="15"/>
      <c r="S114" s="15"/>
      <c r="T114" s="15"/>
      <c r="U114" s="15"/>
      <c r="V114" s="15"/>
      <c r="W114" s="15"/>
      <c r="X114" s="15"/>
      <c r="Y114" s="15"/>
      <c r="Z114" s="16"/>
    </row>
    <row r="115">
      <c r="A115" s="12" t="s">
        <v>370</v>
      </c>
      <c r="B115" s="13" t="s">
        <v>371</v>
      </c>
      <c r="C115" s="13" t="s">
        <v>28</v>
      </c>
      <c r="D115" s="13" t="s">
        <v>28</v>
      </c>
      <c r="E115" s="14">
        <v>456.0</v>
      </c>
      <c r="F115" s="13" t="s">
        <v>29</v>
      </c>
      <c r="G115" s="13" t="s">
        <v>47</v>
      </c>
      <c r="H115" s="14">
        <v>950.0</v>
      </c>
      <c r="I115" s="14">
        <v>1675.0</v>
      </c>
      <c r="J115" s="14">
        <v>1585.0</v>
      </c>
      <c r="K115" s="13" t="s">
        <v>372</v>
      </c>
      <c r="L115" s="15"/>
      <c r="M115" s="15"/>
      <c r="N115" s="15"/>
      <c r="O115" s="15"/>
      <c r="P115" s="15"/>
      <c r="Q115" s="15"/>
      <c r="R115" s="15"/>
      <c r="S115" s="15"/>
      <c r="T115" s="15"/>
      <c r="U115" s="15"/>
      <c r="V115" s="15"/>
      <c r="W115" s="15"/>
      <c r="X115" s="15"/>
      <c r="Y115" s="15"/>
      <c r="Z115" s="16"/>
    </row>
    <row r="116">
      <c r="A116" s="12" t="s">
        <v>373</v>
      </c>
      <c r="B116" s="13" t="s">
        <v>374</v>
      </c>
      <c r="C116" s="13" t="s">
        <v>28</v>
      </c>
      <c r="D116" s="13" t="s">
        <v>28</v>
      </c>
      <c r="E116" s="14">
        <v>279.0</v>
      </c>
      <c r="F116" s="13" t="s">
        <v>29</v>
      </c>
      <c r="G116" s="13" t="s">
        <v>47</v>
      </c>
      <c r="H116" s="14">
        <v>950.0</v>
      </c>
      <c r="I116" s="14">
        <v>1675.0</v>
      </c>
      <c r="J116" s="14">
        <v>1585.0</v>
      </c>
      <c r="K116" s="13" t="s">
        <v>375</v>
      </c>
      <c r="L116" s="15"/>
      <c r="M116" s="15"/>
      <c r="N116" s="15"/>
      <c r="O116" s="15"/>
      <c r="P116" s="15"/>
      <c r="Q116" s="15"/>
      <c r="R116" s="15"/>
      <c r="S116" s="15"/>
      <c r="T116" s="15"/>
      <c r="U116" s="15"/>
      <c r="V116" s="15"/>
      <c r="W116" s="15"/>
      <c r="X116" s="15"/>
      <c r="Y116" s="15"/>
      <c r="Z116" s="16"/>
    </row>
    <row r="117">
      <c r="A117" s="12" t="s">
        <v>376</v>
      </c>
      <c r="B117" s="13" t="s">
        <v>377</v>
      </c>
      <c r="C117" s="13" t="s">
        <v>28</v>
      </c>
      <c r="D117" s="13" t="s">
        <v>28</v>
      </c>
      <c r="E117" s="14">
        <v>340.0</v>
      </c>
      <c r="F117" s="13" t="s">
        <v>29</v>
      </c>
      <c r="G117" s="13" t="s">
        <v>47</v>
      </c>
      <c r="H117" s="14">
        <v>950.0</v>
      </c>
      <c r="I117" s="14">
        <v>1675.0</v>
      </c>
      <c r="J117" s="14">
        <v>1585.0</v>
      </c>
      <c r="K117" s="13" t="s">
        <v>378</v>
      </c>
      <c r="L117" s="15"/>
      <c r="M117" s="15"/>
      <c r="N117" s="15"/>
      <c r="O117" s="15"/>
      <c r="P117" s="15"/>
      <c r="Q117" s="15"/>
      <c r="R117" s="15"/>
      <c r="S117" s="15"/>
      <c r="T117" s="15"/>
      <c r="U117" s="15"/>
      <c r="V117" s="15"/>
      <c r="W117" s="15"/>
      <c r="X117" s="15"/>
      <c r="Y117" s="15"/>
      <c r="Z117" s="16"/>
    </row>
    <row r="118">
      <c r="A118" s="12" t="s">
        <v>379</v>
      </c>
      <c r="B118" s="13" t="s">
        <v>380</v>
      </c>
      <c r="C118" s="13" t="s">
        <v>28</v>
      </c>
      <c r="D118" s="13" t="s">
        <v>28</v>
      </c>
      <c r="E118" s="14">
        <v>110.0</v>
      </c>
      <c r="F118" s="13" t="s">
        <v>29</v>
      </c>
      <c r="G118" s="13" t="s">
        <v>47</v>
      </c>
      <c r="H118" s="14">
        <v>950.0</v>
      </c>
      <c r="I118" s="14">
        <v>1675.0</v>
      </c>
      <c r="J118" s="14">
        <v>1585.0</v>
      </c>
      <c r="K118" s="13" t="s">
        <v>381</v>
      </c>
      <c r="L118" s="15"/>
      <c r="M118" s="15"/>
      <c r="N118" s="15"/>
      <c r="O118" s="15"/>
      <c r="P118" s="15"/>
      <c r="Q118" s="15"/>
      <c r="R118" s="15"/>
      <c r="S118" s="15"/>
      <c r="T118" s="15"/>
      <c r="U118" s="15"/>
      <c r="V118" s="15"/>
      <c r="W118" s="15"/>
      <c r="X118" s="15"/>
      <c r="Y118" s="15"/>
      <c r="Z118" s="16"/>
    </row>
    <row r="119">
      <c r="A119" s="12" t="s">
        <v>382</v>
      </c>
      <c r="B119" s="13" t="s">
        <v>383</v>
      </c>
      <c r="C119" s="13" t="s">
        <v>28</v>
      </c>
      <c r="D119" s="13" t="s">
        <v>28</v>
      </c>
      <c r="E119" s="14">
        <v>119.0</v>
      </c>
      <c r="F119" s="13" t="s">
        <v>29</v>
      </c>
      <c r="G119" s="13" t="s">
        <v>47</v>
      </c>
      <c r="H119" s="14">
        <v>950.0</v>
      </c>
      <c r="I119" s="14">
        <v>1675.0</v>
      </c>
      <c r="J119" s="14">
        <v>1585.0</v>
      </c>
      <c r="K119" s="13" t="s">
        <v>384</v>
      </c>
      <c r="L119" s="15"/>
      <c r="M119" s="15"/>
      <c r="N119" s="15"/>
      <c r="O119" s="15"/>
      <c r="P119" s="15"/>
      <c r="Q119" s="15"/>
      <c r="R119" s="15"/>
      <c r="S119" s="15"/>
      <c r="T119" s="15"/>
      <c r="U119" s="15"/>
      <c r="V119" s="15"/>
      <c r="W119" s="15"/>
      <c r="X119" s="15"/>
      <c r="Y119" s="15"/>
      <c r="Z119" s="16"/>
    </row>
    <row r="120">
      <c r="A120" s="12" t="s">
        <v>385</v>
      </c>
      <c r="B120" s="13" t="s">
        <v>386</v>
      </c>
      <c r="C120" s="13" t="s">
        <v>28</v>
      </c>
      <c r="D120" s="13" t="s">
        <v>28</v>
      </c>
      <c r="E120" s="14">
        <v>2573.0</v>
      </c>
      <c r="F120" s="13" t="s">
        <v>29</v>
      </c>
      <c r="G120" s="13" t="s">
        <v>47</v>
      </c>
      <c r="H120" s="14">
        <v>950.0</v>
      </c>
      <c r="I120" s="14">
        <v>1675.0</v>
      </c>
      <c r="J120" s="14">
        <v>1585.0</v>
      </c>
      <c r="K120" s="13" t="s">
        <v>387</v>
      </c>
      <c r="L120" s="15"/>
      <c r="M120" s="15"/>
      <c r="N120" s="15"/>
      <c r="O120" s="15"/>
      <c r="P120" s="15"/>
      <c r="Q120" s="15"/>
      <c r="R120" s="15"/>
      <c r="S120" s="15"/>
      <c r="T120" s="15"/>
      <c r="U120" s="15"/>
      <c r="V120" s="15"/>
      <c r="W120" s="15"/>
      <c r="X120" s="15"/>
      <c r="Y120" s="15"/>
      <c r="Z120" s="16"/>
    </row>
    <row r="121">
      <c r="A121" s="12" t="s">
        <v>388</v>
      </c>
      <c r="B121" s="13" t="s">
        <v>389</v>
      </c>
      <c r="C121" s="13" t="s">
        <v>28</v>
      </c>
      <c r="D121" s="13" t="s">
        <v>28</v>
      </c>
      <c r="E121" s="14">
        <v>2213.0</v>
      </c>
      <c r="F121" s="13" t="s">
        <v>29</v>
      </c>
      <c r="G121" s="13" t="s">
        <v>47</v>
      </c>
      <c r="H121" s="14">
        <v>950.0</v>
      </c>
      <c r="I121" s="14">
        <v>1675.0</v>
      </c>
      <c r="J121" s="14">
        <v>1585.0</v>
      </c>
      <c r="K121" s="13" t="s">
        <v>390</v>
      </c>
      <c r="L121" s="15"/>
      <c r="M121" s="15"/>
      <c r="N121" s="15"/>
      <c r="O121" s="15"/>
      <c r="P121" s="15"/>
      <c r="Q121" s="15"/>
      <c r="R121" s="15"/>
      <c r="S121" s="15"/>
      <c r="T121" s="15"/>
      <c r="U121" s="15"/>
      <c r="V121" s="15"/>
      <c r="W121" s="15"/>
      <c r="X121" s="15"/>
      <c r="Y121" s="15"/>
      <c r="Z121" s="16"/>
    </row>
    <row r="122">
      <c r="A122" s="12" t="s">
        <v>391</v>
      </c>
      <c r="B122" s="13" t="s">
        <v>392</v>
      </c>
      <c r="C122" s="13" t="s">
        <v>28</v>
      </c>
      <c r="D122" s="13" t="s">
        <v>28</v>
      </c>
      <c r="E122" s="14">
        <v>1177.0</v>
      </c>
      <c r="F122" s="13" t="s">
        <v>29</v>
      </c>
      <c r="G122" s="13" t="s">
        <v>47</v>
      </c>
      <c r="H122" s="14">
        <v>950.0</v>
      </c>
      <c r="I122" s="14">
        <v>1675.0</v>
      </c>
      <c r="J122" s="14">
        <v>1585.0</v>
      </c>
      <c r="K122" s="13" t="s">
        <v>393</v>
      </c>
      <c r="L122" s="15"/>
      <c r="M122" s="15"/>
      <c r="N122" s="15"/>
      <c r="O122" s="15"/>
      <c r="P122" s="15"/>
      <c r="Q122" s="15"/>
      <c r="R122" s="15"/>
      <c r="S122" s="15"/>
      <c r="T122" s="15"/>
      <c r="U122" s="15"/>
      <c r="V122" s="15"/>
      <c r="W122" s="15"/>
      <c r="X122" s="15"/>
      <c r="Y122" s="15"/>
      <c r="Z122" s="16"/>
    </row>
    <row r="123">
      <c r="A123" s="12" t="s">
        <v>394</v>
      </c>
      <c r="B123" s="13" t="s">
        <v>395</v>
      </c>
      <c r="C123" s="13" t="s">
        <v>28</v>
      </c>
      <c r="D123" s="13" t="s">
        <v>28</v>
      </c>
      <c r="E123" s="14">
        <v>1117.0</v>
      </c>
      <c r="F123" s="13" t="s">
        <v>29</v>
      </c>
      <c r="G123" s="13" t="s">
        <v>47</v>
      </c>
      <c r="H123" s="14">
        <v>950.0</v>
      </c>
      <c r="I123" s="14">
        <v>1675.0</v>
      </c>
      <c r="J123" s="14">
        <v>1585.0</v>
      </c>
      <c r="K123" s="13" t="s">
        <v>396</v>
      </c>
      <c r="L123" s="15"/>
      <c r="M123" s="15"/>
      <c r="N123" s="15"/>
      <c r="O123" s="15"/>
      <c r="P123" s="15"/>
      <c r="Q123" s="15"/>
      <c r="R123" s="15"/>
      <c r="S123" s="15"/>
      <c r="T123" s="15"/>
      <c r="U123" s="15"/>
      <c r="V123" s="15"/>
      <c r="W123" s="15"/>
      <c r="X123" s="15"/>
      <c r="Y123" s="15"/>
      <c r="Z123" s="16"/>
    </row>
    <row r="124">
      <c r="A124" s="12" t="s">
        <v>397</v>
      </c>
      <c r="B124" s="13" t="s">
        <v>398</v>
      </c>
      <c r="C124" s="13" t="s">
        <v>28</v>
      </c>
      <c r="D124" s="13" t="s">
        <v>28</v>
      </c>
      <c r="E124" s="14">
        <v>52.0</v>
      </c>
      <c r="F124" s="13" t="s">
        <v>29</v>
      </c>
      <c r="G124" s="13" t="s">
        <v>47</v>
      </c>
      <c r="H124" s="14">
        <v>950.0</v>
      </c>
      <c r="I124" s="14">
        <v>1675.0</v>
      </c>
      <c r="J124" s="14">
        <v>1585.0</v>
      </c>
      <c r="K124" s="13" t="s">
        <v>399</v>
      </c>
      <c r="L124" s="15"/>
      <c r="M124" s="15"/>
      <c r="N124" s="15"/>
      <c r="O124" s="15"/>
      <c r="P124" s="15"/>
      <c r="Q124" s="15"/>
      <c r="R124" s="15"/>
      <c r="S124" s="15"/>
      <c r="T124" s="15"/>
      <c r="U124" s="15"/>
      <c r="V124" s="15"/>
      <c r="W124" s="15"/>
      <c r="X124" s="15"/>
      <c r="Y124" s="15"/>
      <c r="Z124" s="16"/>
    </row>
    <row r="125">
      <c r="A125" s="12" t="s">
        <v>400</v>
      </c>
      <c r="B125" s="13" t="s">
        <v>401</v>
      </c>
      <c r="C125" s="13" t="s">
        <v>28</v>
      </c>
      <c r="D125" s="13" t="s">
        <v>28</v>
      </c>
      <c r="E125" s="14">
        <v>363.0</v>
      </c>
      <c r="F125" s="13" t="s">
        <v>29</v>
      </c>
      <c r="G125" s="13" t="s">
        <v>47</v>
      </c>
      <c r="H125" s="14">
        <v>950.0</v>
      </c>
      <c r="I125" s="14">
        <v>1675.0</v>
      </c>
      <c r="J125" s="14">
        <v>1585.0</v>
      </c>
      <c r="K125" s="13" t="s">
        <v>402</v>
      </c>
      <c r="L125" s="15"/>
      <c r="M125" s="15"/>
      <c r="N125" s="15"/>
      <c r="O125" s="15"/>
      <c r="P125" s="15"/>
      <c r="Q125" s="15"/>
      <c r="R125" s="15"/>
      <c r="S125" s="15"/>
      <c r="T125" s="15"/>
      <c r="U125" s="15"/>
      <c r="V125" s="15"/>
      <c r="W125" s="15"/>
      <c r="X125" s="15"/>
      <c r="Y125" s="15"/>
      <c r="Z125" s="16"/>
    </row>
    <row r="126">
      <c r="A126" s="12" t="s">
        <v>403</v>
      </c>
      <c r="B126" s="13" t="s">
        <v>404</v>
      </c>
      <c r="C126" s="13" t="s">
        <v>28</v>
      </c>
      <c r="D126" s="13" t="s">
        <v>28</v>
      </c>
      <c r="E126" s="14">
        <v>454.0</v>
      </c>
      <c r="F126" s="13" t="s">
        <v>29</v>
      </c>
      <c r="G126" s="13" t="s">
        <v>47</v>
      </c>
      <c r="H126" s="14">
        <v>950.0</v>
      </c>
      <c r="I126" s="14">
        <v>1675.0</v>
      </c>
      <c r="J126" s="14">
        <v>1585.0</v>
      </c>
      <c r="K126" s="13" t="s">
        <v>405</v>
      </c>
      <c r="L126" s="15"/>
      <c r="M126" s="15"/>
      <c r="N126" s="15"/>
      <c r="O126" s="15"/>
      <c r="P126" s="15"/>
      <c r="Q126" s="15"/>
      <c r="R126" s="15"/>
      <c r="S126" s="15"/>
      <c r="T126" s="15"/>
      <c r="U126" s="15"/>
      <c r="V126" s="15"/>
      <c r="W126" s="15"/>
      <c r="X126" s="15"/>
      <c r="Y126" s="15"/>
      <c r="Z126" s="16"/>
    </row>
    <row r="127">
      <c r="A127" s="12" t="s">
        <v>406</v>
      </c>
      <c r="B127" s="13" t="s">
        <v>407</v>
      </c>
      <c r="C127" s="13" t="s">
        <v>28</v>
      </c>
      <c r="D127" s="13" t="s">
        <v>28</v>
      </c>
      <c r="E127" s="14">
        <v>439.0</v>
      </c>
      <c r="F127" s="13" t="s">
        <v>29</v>
      </c>
      <c r="G127" s="13" t="s">
        <v>47</v>
      </c>
      <c r="H127" s="14">
        <v>950.0</v>
      </c>
      <c r="I127" s="14">
        <v>1675.0</v>
      </c>
      <c r="J127" s="14">
        <v>1585.0</v>
      </c>
      <c r="K127" s="13" t="s">
        <v>408</v>
      </c>
      <c r="L127" s="15"/>
      <c r="M127" s="15"/>
      <c r="N127" s="15"/>
      <c r="O127" s="15"/>
      <c r="P127" s="15"/>
      <c r="Q127" s="15"/>
      <c r="R127" s="15"/>
      <c r="S127" s="15"/>
      <c r="T127" s="15"/>
      <c r="U127" s="15"/>
      <c r="V127" s="15"/>
      <c r="W127" s="15"/>
      <c r="X127" s="15"/>
      <c r="Y127" s="15"/>
      <c r="Z127" s="16"/>
    </row>
    <row r="128">
      <c r="A128" s="12" t="s">
        <v>409</v>
      </c>
      <c r="B128" s="13" t="s">
        <v>410</v>
      </c>
      <c r="C128" s="13" t="s">
        <v>28</v>
      </c>
      <c r="D128" s="13" t="s">
        <v>28</v>
      </c>
      <c r="E128" s="14">
        <v>105.0</v>
      </c>
      <c r="F128" s="13" t="s">
        <v>29</v>
      </c>
      <c r="G128" s="13" t="s">
        <v>47</v>
      </c>
      <c r="H128" s="14">
        <v>950.0</v>
      </c>
      <c r="I128" s="14">
        <v>1675.0</v>
      </c>
      <c r="J128" s="14">
        <v>1585.0</v>
      </c>
      <c r="K128" s="13" t="s">
        <v>411</v>
      </c>
      <c r="L128" s="15"/>
      <c r="M128" s="15"/>
      <c r="N128" s="15"/>
      <c r="O128" s="15"/>
      <c r="P128" s="15"/>
      <c r="Q128" s="15"/>
      <c r="R128" s="15"/>
      <c r="S128" s="15"/>
      <c r="T128" s="15"/>
      <c r="U128" s="15"/>
      <c r="V128" s="15"/>
      <c r="W128" s="15"/>
      <c r="X128" s="15"/>
      <c r="Y128" s="15"/>
      <c r="Z128" s="16"/>
    </row>
    <row r="129">
      <c r="A129" s="12" t="s">
        <v>412</v>
      </c>
      <c r="B129" s="13" t="s">
        <v>413</v>
      </c>
      <c r="C129" s="13" t="s">
        <v>28</v>
      </c>
      <c r="D129" s="13" t="s">
        <v>28</v>
      </c>
      <c r="E129" s="14">
        <v>458.0</v>
      </c>
      <c r="F129" s="13" t="s">
        <v>29</v>
      </c>
      <c r="G129" s="13" t="s">
        <v>47</v>
      </c>
      <c r="H129" s="14">
        <v>950.0</v>
      </c>
      <c r="I129" s="14">
        <v>1675.0</v>
      </c>
      <c r="J129" s="14">
        <v>1585.0</v>
      </c>
      <c r="K129" s="13" t="s">
        <v>414</v>
      </c>
      <c r="L129" s="15"/>
      <c r="M129" s="15"/>
      <c r="N129" s="15"/>
      <c r="O129" s="15"/>
      <c r="P129" s="15"/>
      <c r="Q129" s="15"/>
      <c r="R129" s="15"/>
      <c r="S129" s="15"/>
      <c r="T129" s="15"/>
      <c r="U129" s="15"/>
      <c r="V129" s="15"/>
      <c r="W129" s="15"/>
      <c r="X129" s="15"/>
      <c r="Y129" s="15"/>
      <c r="Z129" s="16"/>
    </row>
    <row r="130">
      <c r="A130" s="12" t="s">
        <v>415</v>
      </c>
      <c r="B130" s="13" t="s">
        <v>416</v>
      </c>
      <c r="C130" s="13" t="s">
        <v>28</v>
      </c>
      <c r="D130" s="13" t="s">
        <v>28</v>
      </c>
      <c r="E130" s="14">
        <v>223.0</v>
      </c>
      <c r="F130" s="13" t="s">
        <v>29</v>
      </c>
      <c r="G130" s="13" t="s">
        <v>47</v>
      </c>
      <c r="H130" s="14">
        <v>950.0</v>
      </c>
      <c r="I130" s="14">
        <v>1675.0</v>
      </c>
      <c r="J130" s="14">
        <v>1585.0</v>
      </c>
      <c r="K130" s="13" t="s">
        <v>417</v>
      </c>
      <c r="L130" s="15"/>
      <c r="M130" s="15"/>
      <c r="N130" s="15"/>
      <c r="O130" s="15"/>
      <c r="P130" s="15"/>
      <c r="Q130" s="15"/>
      <c r="R130" s="15"/>
      <c r="S130" s="15"/>
      <c r="T130" s="15"/>
      <c r="U130" s="15"/>
      <c r="V130" s="15"/>
      <c r="W130" s="15"/>
      <c r="X130" s="15"/>
      <c r="Y130" s="15"/>
      <c r="Z130" s="16"/>
    </row>
    <row r="131">
      <c r="A131" s="12" t="s">
        <v>418</v>
      </c>
      <c r="B131" s="13" t="s">
        <v>419</v>
      </c>
      <c r="C131" s="13" t="s">
        <v>28</v>
      </c>
      <c r="D131" s="13" t="s">
        <v>28</v>
      </c>
      <c r="E131" s="14">
        <v>419.0</v>
      </c>
      <c r="F131" s="13" t="s">
        <v>29</v>
      </c>
      <c r="G131" s="13" t="s">
        <v>47</v>
      </c>
      <c r="H131" s="14">
        <v>950.0</v>
      </c>
      <c r="I131" s="14">
        <v>1675.0</v>
      </c>
      <c r="J131" s="14">
        <v>1585.0</v>
      </c>
      <c r="K131" s="13" t="s">
        <v>420</v>
      </c>
      <c r="L131" s="15"/>
      <c r="M131" s="15"/>
      <c r="N131" s="15"/>
      <c r="O131" s="15"/>
      <c r="P131" s="15"/>
      <c r="Q131" s="15"/>
      <c r="R131" s="15"/>
      <c r="S131" s="15"/>
      <c r="T131" s="15"/>
      <c r="U131" s="15"/>
      <c r="V131" s="15"/>
      <c r="W131" s="15"/>
      <c r="X131" s="15"/>
      <c r="Y131" s="15"/>
      <c r="Z131" s="16"/>
    </row>
    <row r="132">
      <c r="A132" s="12" t="s">
        <v>421</v>
      </c>
      <c r="B132" s="13" t="s">
        <v>422</v>
      </c>
      <c r="C132" s="13" t="s">
        <v>28</v>
      </c>
      <c r="D132" s="13" t="s">
        <v>28</v>
      </c>
      <c r="E132" s="14">
        <v>612.0</v>
      </c>
      <c r="F132" s="13" t="s">
        <v>29</v>
      </c>
      <c r="G132" s="13" t="s">
        <v>47</v>
      </c>
      <c r="H132" s="14">
        <v>950.0</v>
      </c>
      <c r="I132" s="14">
        <v>1675.0</v>
      </c>
      <c r="J132" s="14">
        <v>1585.0</v>
      </c>
      <c r="K132" s="13" t="s">
        <v>423</v>
      </c>
      <c r="L132" s="15"/>
      <c r="M132" s="15"/>
      <c r="N132" s="15"/>
      <c r="O132" s="15"/>
      <c r="P132" s="15"/>
      <c r="Q132" s="15"/>
      <c r="R132" s="15"/>
      <c r="S132" s="15"/>
      <c r="T132" s="15"/>
      <c r="U132" s="15"/>
      <c r="V132" s="15"/>
      <c r="W132" s="15"/>
      <c r="X132" s="15"/>
      <c r="Y132" s="15"/>
      <c r="Z132" s="16"/>
    </row>
    <row r="133">
      <c r="A133" s="12" t="s">
        <v>424</v>
      </c>
      <c r="B133" s="13" t="s">
        <v>425</v>
      </c>
      <c r="C133" s="13" t="s">
        <v>28</v>
      </c>
      <c r="D133" s="13" t="s">
        <v>28</v>
      </c>
      <c r="E133" s="14">
        <v>627.0</v>
      </c>
      <c r="F133" s="13" t="s">
        <v>29</v>
      </c>
      <c r="G133" s="13" t="s">
        <v>47</v>
      </c>
      <c r="H133" s="14">
        <v>950.0</v>
      </c>
      <c r="I133" s="14">
        <v>1675.0</v>
      </c>
      <c r="J133" s="14">
        <v>1585.0</v>
      </c>
      <c r="K133" s="13" t="s">
        <v>426</v>
      </c>
      <c r="L133" s="15"/>
      <c r="M133" s="15"/>
      <c r="N133" s="15"/>
      <c r="O133" s="15"/>
      <c r="P133" s="15"/>
      <c r="Q133" s="15"/>
      <c r="R133" s="15"/>
      <c r="S133" s="15"/>
      <c r="T133" s="15"/>
      <c r="U133" s="15"/>
      <c r="V133" s="15"/>
      <c r="W133" s="15"/>
      <c r="X133" s="15"/>
      <c r="Y133" s="15"/>
      <c r="Z133" s="16"/>
    </row>
    <row r="134">
      <c r="A134" s="12" t="s">
        <v>427</v>
      </c>
      <c r="B134" s="13" t="s">
        <v>428</v>
      </c>
      <c r="C134" s="13" t="s">
        <v>28</v>
      </c>
      <c r="D134" s="13" t="s">
        <v>28</v>
      </c>
      <c r="E134" s="14">
        <v>81.0</v>
      </c>
      <c r="F134" s="13" t="s">
        <v>29</v>
      </c>
      <c r="G134" s="13" t="s">
        <v>47</v>
      </c>
      <c r="H134" s="14">
        <v>950.0</v>
      </c>
      <c r="I134" s="14">
        <v>1675.0</v>
      </c>
      <c r="J134" s="14">
        <v>1585.0</v>
      </c>
      <c r="K134" s="13" t="s">
        <v>429</v>
      </c>
      <c r="L134" s="15"/>
      <c r="M134" s="15"/>
      <c r="N134" s="15"/>
      <c r="O134" s="15"/>
      <c r="P134" s="15"/>
      <c r="Q134" s="15"/>
      <c r="R134" s="15"/>
      <c r="S134" s="15"/>
      <c r="T134" s="15"/>
      <c r="U134" s="15"/>
      <c r="V134" s="15"/>
      <c r="W134" s="15"/>
      <c r="X134" s="15"/>
      <c r="Y134" s="15"/>
      <c r="Z134" s="16"/>
    </row>
    <row r="135">
      <c r="A135" s="12" t="s">
        <v>430</v>
      </c>
      <c r="B135" s="13" t="s">
        <v>431</v>
      </c>
      <c r="C135" s="13" t="s">
        <v>28</v>
      </c>
      <c r="D135" s="13" t="s">
        <v>28</v>
      </c>
      <c r="E135" s="14">
        <v>55.0</v>
      </c>
      <c r="F135" s="13" t="s">
        <v>29</v>
      </c>
      <c r="G135" s="13" t="s">
        <v>47</v>
      </c>
      <c r="H135" s="14">
        <v>950.0</v>
      </c>
      <c r="I135" s="14">
        <v>1675.0</v>
      </c>
      <c r="J135" s="14">
        <v>1585.0</v>
      </c>
      <c r="K135" s="13" t="s">
        <v>432</v>
      </c>
      <c r="L135" s="15"/>
      <c r="M135" s="15"/>
      <c r="N135" s="15"/>
      <c r="O135" s="15"/>
      <c r="P135" s="15"/>
      <c r="Q135" s="15"/>
      <c r="R135" s="15"/>
      <c r="S135" s="15"/>
      <c r="T135" s="15"/>
      <c r="U135" s="15"/>
      <c r="V135" s="15"/>
      <c r="W135" s="15"/>
      <c r="X135" s="15"/>
      <c r="Y135" s="15"/>
      <c r="Z135" s="16"/>
    </row>
    <row r="136">
      <c r="A136" s="12" t="s">
        <v>433</v>
      </c>
      <c r="B136" s="13" t="s">
        <v>434</v>
      </c>
      <c r="C136" s="13" t="s">
        <v>28</v>
      </c>
      <c r="D136" s="13" t="s">
        <v>28</v>
      </c>
      <c r="E136" s="14">
        <v>153.0</v>
      </c>
      <c r="F136" s="13" t="s">
        <v>29</v>
      </c>
      <c r="G136" s="13" t="s">
        <v>47</v>
      </c>
      <c r="H136" s="14">
        <v>950.0</v>
      </c>
      <c r="I136" s="14">
        <v>1675.0</v>
      </c>
      <c r="J136" s="14">
        <v>1585.0</v>
      </c>
      <c r="K136" s="13" t="s">
        <v>435</v>
      </c>
      <c r="L136" s="15"/>
      <c r="M136" s="15"/>
      <c r="N136" s="15"/>
      <c r="O136" s="15"/>
      <c r="P136" s="15"/>
      <c r="Q136" s="15"/>
      <c r="R136" s="15"/>
      <c r="S136" s="15"/>
      <c r="T136" s="15"/>
      <c r="U136" s="15"/>
      <c r="V136" s="15"/>
      <c r="W136" s="15"/>
      <c r="X136" s="15"/>
      <c r="Y136" s="15"/>
      <c r="Z136" s="16"/>
    </row>
    <row r="137">
      <c r="A137" s="12" t="s">
        <v>436</v>
      </c>
      <c r="B137" s="13" t="s">
        <v>437</v>
      </c>
      <c r="C137" s="13" t="s">
        <v>28</v>
      </c>
      <c r="D137" s="13" t="s">
        <v>28</v>
      </c>
      <c r="E137" s="14">
        <v>416.0</v>
      </c>
      <c r="F137" s="13" t="s">
        <v>29</v>
      </c>
      <c r="G137" s="13" t="s">
        <v>47</v>
      </c>
      <c r="H137" s="14">
        <v>950.0</v>
      </c>
      <c r="I137" s="14">
        <v>1675.0</v>
      </c>
      <c r="J137" s="14">
        <v>1585.0</v>
      </c>
      <c r="K137" s="13" t="s">
        <v>438</v>
      </c>
      <c r="L137" s="15"/>
      <c r="M137" s="15"/>
      <c r="N137" s="15"/>
      <c r="O137" s="15"/>
      <c r="P137" s="15"/>
      <c r="Q137" s="15"/>
      <c r="R137" s="15"/>
      <c r="S137" s="15"/>
      <c r="T137" s="15"/>
      <c r="U137" s="15"/>
      <c r="V137" s="15"/>
      <c r="W137" s="15"/>
      <c r="X137" s="15"/>
      <c r="Y137" s="15"/>
      <c r="Z137" s="16"/>
    </row>
    <row r="138">
      <c r="A138" s="12" t="s">
        <v>439</v>
      </c>
      <c r="B138" s="13" t="s">
        <v>440</v>
      </c>
      <c r="C138" s="13" t="s">
        <v>28</v>
      </c>
      <c r="D138" s="13" t="s">
        <v>28</v>
      </c>
      <c r="E138" s="14">
        <v>478.0</v>
      </c>
      <c r="F138" s="13" t="s">
        <v>29</v>
      </c>
      <c r="G138" s="13" t="s">
        <v>47</v>
      </c>
      <c r="H138" s="14">
        <v>950.0</v>
      </c>
      <c r="I138" s="14">
        <v>1675.0</v>
      </c>
      <c r="J138" s="14">
        <v>1585.0</v>
      </c>
      <c r="K138" s="13" t="s">
        <v>441</v>
      </c>
      <c r="L138" s="15"/>
      <c r="M138" s="15"/>
      <c r="N138" s="15"/>
      <c r="O138" s="15"/>
      <c r="P138" s="15"/>
      <c r="Q138" s="15"/>
      <c r="R138" s="15"/>
      <c r="S138" s="15"/>
      <c r="T138" s="15"/>
      <c r="U138" s="15"/>
      <c r="V138" s="15"/>
      <c r="W138" s="15"/>
      <c r="X138" s="15"/>
      <c r="Y138" s="15"/>
      <c r="Z138" s="16"/>
    </row>
    <row r="139">
      <c r="A139" s="12" t="s">
        <v>442</v>
      </c>
      <c r="B139" s="13" t="s">
        <v>443</v>
      </c>
      <c r="C139" s="13" t="s">
        <v>28</v>
      </c>
      <c r="D139" s="13" t="s">
        <v>28</v>
      </c>
      <c r="E139" s="14">
        <v>337.0</v>
      </c>
      <c r="F139" s="13" t="s">
        <v>29</v>
      </c>
      <c r="G139" s="13" t="s">
        <v>47</v>
      </c>
      <c r="H139" s="14">
        <v>950.0</v>
      </c>
      <c r="I139" s="14">
        <v>1675.0</v>
      </c>
      <c r="J139" s="14">
        <v>1585.0</v>
      </c>
      <c r="K139" s="13" t="s">
        <v>444</v>
      </c>
      <c r="L139" s="15"/>
      <c r="M139" s="15"/>
      <c r="N139" s="15"/>
      <c r="O139" s="15"/>
      <c r="P139" s="15"/>
      <c r="Q139" s="15"/>
      <c r="R139" s="15"/>
      <c r="S139" s="15"/>
      <c r="T139" s="15"/>
      <c r="U139" s="15"/>
      <c r="V139" s="15"/>
      <c r="W139" s="15"/>
      <c r="X139" s="15"/>
      <c r="Y139" s="15"/>
      <c r="Z139" s="16"/>
    </row>
    <row r="140">
      <c r="A140" s="12" t="s">
        <v>445</v>
      </c>
      <c r="B140" s="13" t="s">
        <v>446</v>
      </c>
      <c r="C140" s="13" t="s">
        <v>28</v>
      </c>
      <c r="D140" s="13" t="s">
        <v>28</v>
      </c>
      <c r="E140" s="14">
        <v>3977.0</v>
      </c>
      <c r="F140" s="13" t="s">
        <v>29</v>
      </c>
      <c r="G140" s="13" t="s">
        <v>47</v>
      </c>
      <c r="H140" s="14">
        <v>950.0</v>
      </c>
      <c r="I140" s="14">
        <v>1675.0</v>
      </c>
      <c r="J140" s="14">
        <v>1585.0</v>
      </c>
      <c r="K140" s="13" t="s">
        <v>447</v>
      </c>
      <c r="L140" s="15"/>
      <c r="M140" s="15"/>
      <c r="N140" s="15"/>
      <c r="O140" s="15"/>
      <c r="P140" s="15"/>
      <c r="Q140" s="15"/>
      <c r="R140" s="15"/>
      <c r="S140" s="15"/>
      <c r="T140" s="15"/>
      <c r="U140" s="15"/>
      <c r="V140" s="15"/>
      <c r="W140" s="15"/>
      <c r="X140" s="15"/>
      <c r="Y140" s="15"/>
      <c r="Z140" s="16"/>
    </row>
    <row r="141">
      <c r="A141" s="12" t="s">
        <v>448</v>
      </c>
      <c r="B141" s="13" t="s">
        <v>449</v>
      </c>
      <c r="C141" s="13" t="s">
        <v>28</v>
      </c>
      <c r="D141" s="13" t="s">
        <v>28</v>
      </c>
      <c r="E141" s="14">
        <v>162.0</v>
      </c>
      <c r="F141" s="13" t="s">
        <v>29</v>
      </c>
      <c r="G141" s="13" t="s">
        <v>47</v>
      </c>
      <c r="H141" s="14">
        <v>950.0</v>
      </c>
      <c r="I141" s="14">
        <v>1675.0</v>
      </c>
      <c r="J141" s="14">
        <v>1585.0</v>
      </c>
      <c r="K141" s="13" t="s">
        <v>450</v>
      </c>
      <c r="L141" s="15"/>
      <c r="M141" s="15"/>
      <c r="N141" s="15"/>
      <c r="O141" s="15"/>
      <c r="P141" s="15"/>
      <c r="Q141" s="15"/>
      <c r="R141" s="15"/>
      <c r="S141" s="15"/>
      <c r="T141" s="15"/>
      <c r="U141" s="15"/>
      <c r="V141" s="15"/>
      <c r="W141" s="15"/>
      <c r="X141" s="15"/>
      <c r="Y141" s="15"/>
      <c r="Z141" s="16"/>
    </row>
    <row r="142">
      <c r="A142" s="12" t="s">
        <v>451</v>
      </c>
      <c r="B142" s="13" t="s">
        <v>452</v>
      </c>
      <c r="C142" s="13" t="s">
        <v>28</v>
      </c>
      <c r="D142" s="13" t="s">
        <v>28</v>
      </c>
      <c r="E142" s="14">
        <v>480.0</v>
      </c>
      <c r="F142" s="13" t="s">
        <v>29</v>
      </c>
      <c r="G142" s="13" t="s">
        <v>47</v>
      </c>
      <c r="H142" s="14">
        <v>950.0</v>
      </c>
      <c r="I142" s="14">
        <v>1675.0</v>
      </c>
      <c r="J142" s="14">
        <v>1585.0</v>
      </c>
      <c r="K142" s="13" t="s">
        <v>453</v>
      </c>
      <c r="L142" s="15"/>
      <c r="M142" s="15"/>
      <c r="N142" s="15"/>
      <c r="O142" s="15"/>
      <c r="P142" s="15"/>
      <c r="Q142" s="15"/>
      <c r="R142" s="15"/>
      <c r="S142" s="15"/>
      <c r="T142" s="15"/>
      <c r="U142" s="15"/>
      <c r="V142" s="15"/>
      <c r="W142" s="15"/>
      <c r="X142" s="15"/>
      <c r="Y142" s="15"/>
      <c r="Z142" s="16"/>
    </row>
    <row r="143">
      <c r="A143" s="12" t="s">
        <v>454</v>
      </c>
      <c r="B143" s="13" t="s">
        <v>455</v>
      </c>
      <c r="C143" s="13" t="s">
        <v>28</v>
      </c>
      <c r="D143" s="13" t="s">
        <v>28</v>
      </c>
      <c r="E143" s="14">
        <v>4312.0</v>
      </c>
      <c r="F143" s="13" t="s">
        <v>29</v>
      </c>
      <c r="G143" s="13" t="s">
        <v>47</v>
      </c>
      <c r="H143" s="14">
        <v>950.0</v>
      </c>
      <c r="I143" s="14">
        <v>1675.0</v>
      </c>
      <c r="J143" s="14">
        <v>1585.0</v>
      </c>
      <c r="K143" s="13" t="s">
        <v>456</v>
      </c>
      <c r="L143" s="15"/>
      <c r="M143" s="15"/>
      <c r="N143" s="15"/>
      <c r="O143" s="15"/>
      <c r="P143" s="15"/>
      <c r="Q143" s="15"/>
      <c r="R143" s="15"/>
      <c r="S143" s="15"/>
      <c r="T143" s="15"/>
      <c r="U143" s="15"/>
      <c r="V143" s="15"/>
      <c r="W143" s="15"/>
      <c r="X143" s="15"/>
      <c r="Y143" s="15"/>
      <c r="Z143" s="16"/>
    </row>
    <row r="144">
      <c r="A144" s="12" t="s">
        <v>457</v>
      </c>
      <c r="B144" s="13" t="s">
        <v>458</v>
      </c>
      <c r="C144" s="13" t="s">
        <v>28</v>
      </c>
      <c r="D144" s="13" t="s">
        <v>28</v>
      </c>
      <c r="E144" s="14">
        <v>120.0</v>
      </c>
      <c r="F144" s="13" t="s">
        <v>29</v>
      </c>
      <c r="G144" s="13" t="s">
        <v>47</v>
      </c>
      <c r="H144" s="14">
        <v>950.0</v>
      </c>
      <c r="I144" s="14">
        <v>1675.0</v>
      </c>
      <c r="J144" s="14">
        <v>1585.0</v>
      </c>
      <c r="K144" s="13" t="s">
        <v>459</v>
      </c>
      <c r="L144" s="15"/>
      <c r="M144" s="15"/>
      <c r="N144" s="15"/>
      <c r="O144" s="15"/>
      <c r="P144" s="15"/>
      <c r="Q144" s="15"/>
      <c r="R144" s="15"/>
      <c r="S144" s="15"/>
      <c r="T144" s="15"/>
      <c r="U144" s="15"/>
      <c r="V144" s="15"/>
      <c r="W144" s="15"/>
      <c r="X144" s="15"/>
      <c r="Y144" s="15"/>
      <c r="Z144" s="16"/>
    </row>
    <row r="145">
      <c r="A145" s="12" t="s">
        <v>460</v>
      </c>
      <c r="B145" s="13" t="s">
        <v>461</v>
      </c>
      <c r="C145" s="13" t="s">
        <v>28</v>
      </c>
      <c r="D145" s="13" t="s">
        <v>28</v>
      </c>
      <c r="E145" s="14">
        <v>480.0</v>
      </c>
      <c r="F145" s="13" t="s">
        <v>29</v>
      </c>
      <c r="G145" s="13" t="s">
        <v>47</v>
      </c>
      <c r="H145" s="14">
        <v>950.0</v>
      </c>
      <c r="I145" s="14">
        <v>1675.0</v>
      </c>
      <c r="J145" s="14">
        <v>1585.0</v>
      </c>
      <c r="K145" s="13" t="s">
        <v>462</v>
      </c>
      <c r="L145" s="15"/>
      <c r="M145" s="15"/>
      <c r="N145" s="15"/>
      <c r="O145" s="15"/>
      <c r="P145" s="15"/>
      <c r="Q145" s="15"/>
      <c r="R145" s="15"/>
      <c r="S145" s="15"/>
      <c r="T145" s="15"/>
      <c r="U145" s="15"/>
      <c r="V145" s="15"/>
      <c r="W145" s="15"/>
      <c r="X145" s="15"/>
      <c r="Y145" s="15"/>
      <c r="Z145" s="16"/>
    </row>
    <row r="146">
      <c r="A146" s="12" t="s">
        <v>463</v>
      </c>
      <c r="B146" s="13" t="s">
        <v>464</v>
      </c>
      <c r="C146" s="13" t="s">
        <v>28</v>
      </c>
      <c r="D146" s="13" t="s">
        <v>28</v>
      </c>
      <c r="E146" s="14">
        <v>103.0</v>
      </c>
      <c r="F146" s="13" t="s">
        <v>29</v>
      </c>
      <c r="G146" s="13" t="s">
        <v>47</v>
      </c>
      <c r="H146" s="14">
        <v>950.0</v>
      </c>
      <c r="I146" s="14">
        <v>1675.0</v>
      </c>
      <c r="J146" s="14">
        <v>1585.0</v>
      </c>
      <c r="K146" s="13" t="s">
        <v>465</v>
      </c>
      <c r="L146" s="15"/>
      <c r="M146" s="15"/>
      <c r="N146" s="15"/>
      <c r="O146" s="15"/>
      <c r="P146" s="15"/>
      <c r="Q146" s="15"/>
      <c r="R146" s="15"/>
      <c r="S146" s="15"/>
      <c r="T146" s="15"/>
      <c r="U146" s="15"/>
      <c r="V146" s="15"/>
      <c r="W146" s="15"/>
      <c r="X146" s="15"/>
      <c r="Y146" s="15"/>
      <c r="Z146" s="16"/>
    </row>
    <row r="147">
      <c r="A147" s="12" t="s">
        <v>466</v>
      </c>
      <c r="B147" s="13" t="s">
        <v>467</v>
      </c>
      <c r="C147" s="13" t="s">
        <v>28</v>
      </c>
      <c r="D147" s="13" t="s">
        <v>28</v>
      </c>
      <c r="E147" s="14">
        <v>581.0</v>
      </c>
      <c r="F147" s="13" t="s">
        <v>29</v>
      </c>
      <c r="G147" s="13" t="s">
        <v>47</v>
      </c>
      <c r="H147" s="14">
        <v>950.0</v>
      </c>
      <c r="I147" s="14">
        <v>1675.0</v>
      </c>
      <c r="J147" s="14">
        <v>1585.0</v>
      </c>
      <c r="K147" s="13" t="s">
        <v>468</v>
      </c>
      <c r="L147" s="15"/>
      <c r="M147" s="15"/>
      <c r="N147" s="15"/>
      <c r="O147" s="15"/>
      <c r="P147" s="15"/>
      <c r="Q147" s="15"/>
      <c r="R147" s="15"/>
      <c r="S147" s="15"/>
      <c r="T147" s="15"/>
      <c r="U147" s="15"/>
      <c r="V147" s="15"/>
      <c r="W147" s="15"/>
      <c r="X147" s="15"/>
      <c r="Y147" s="15"/>
      <c r="Z147" s="16"/>
    </row>
    <row r="148">
      <c r="A148" s="12" t="s">
        <v>469</v>
      </c>
      <c r="B148" s="13" t="s">
        <v>470</v>
      </c>
      <c r="C148" s="13" t="s">
        <v>28</v>
      </c>
      <c r="D148" s="13" t="s">
        <v>28</v>
      </c>
      <c r="E148" s="14">
        <v>177.0</v>
      </c>
      <c r="F148" s="13" t="s">
        <v>29</v>
      </c>
      <c r="G148" s="13" t="s">
        <v>47</v>
      </c>
      <c r="H148" s="14">
        <v>950.0</v>
      </c>
      <c r="I148" s="14">
        <v>1675.0</v>
      </c>
      <c r="J148" s="14">
        <v>1585.0</v>
      </c>
      <c r="K148" s="13" t="s">
        <v>471</v>
      </c>
      <c r="L148" s="15"/>
      <c r="M148" s="15"/>
      <c r="N148" s="15"/>
      <c r="O148" s="15"/>
      <c r="P148" s="15"/>
      <c r="Q148" s="15"/>
      <c r="R148" s="15"/>
      <c r="S148" s="15"/>
      <c r="T148" s="15"/>
      <c r="U148" s="15"/>
      <c r="V148" s="15"/>
      <c r="W148" s="15"/>
      <c r="X148" s="15"/>
      <c r="Y148" s="15"/>
      <c r="Z148" s="16"/>
    </row>
    <row r="149">
      <c r="A149" s="12" t="s">
        <v>472</v>
      </c>
      <c r="B149" s="13" t="s">
        <v>473</v>
      </c>
      <c r="C149" s="13" t="s">
        <v>28</v>
      </c>
      <c r="D149" s="13" t="s">
        <v>28</v>
      </c>
      <c r="E149" s="14">
        <v>463.0</v>
      </c>
      <c r="F149" s="13" t="s">
        <v>29</v>
      </c>
      <c r="G149" s="13" t="s">
        <v>47</v>
      </c>
      <c r="H149" s="14">
        <v>950.0</v>
      </c>
      <c r="I149" s="14">
        <v>1675.0</v>
      </c>
      <c r="J149" s="14">
        <v>1585.0</v>
      </c>
      <c r="K149" s="13" t="s">
        <v>474</v>
      </c>
      <c r="L149" s="15"/>
      <c r="M149" s="15"/>
      <c r="N149" s="15"/>
      <c r="O149" s="15"/>
      <c r="P149" s="15"/>
      <c r="Q149" s="15"/>
      <c r="R149" s="15"/>
      <c r="S149" s="15"/>
      <c r="T149" s="15"/>
      <c r="U149" s="15"/>
      <c r="V149" s="15"/>
      <c r="W149" s="15"/>
      <c r="X149" s="15"/>
      <c r="Y149" s="15"/>
      <c r="Z149" s="16"/>
    </row>
    <row r="150">
      <c r="A150" s="12" t="s">
        <v>475</v>
      </c>
      <c r="B150" s="13" t="s">
        <v>476</v>
      </c>
      <c r="C150" s="13" t="s">
        <v>28</v>
      </c>
      <c r="D150" s="13" t="s">
        <v>28</v>
      </c>
      <c r="E150" s="14">
        <v>598.0</v>
      </c>
      <c r="F150" s="13" t="s">
        <v>29</v>
      </c>
      <c r="G150" s="13" t="s">
        <v>47</v>
      </c>
      <c r="H150" s="14">
        <v>950.0</v>
      </c>
      <c r="I150" s="14">
        <v>1675.0</v>
      </c>
      <c r="J150" s="14">
        <v>1585.0</v>
      </c>
      <c r="K150" s="13" t="s">
        <v>477</v>
      </c>
      <c r="L150" s="15"/>
      <c r="M150" s="15"/>
      <c r="N150" s="15"/>
      <c r="O150" s="15"/>
      <c r="P150" s="15"/>
      <c r="Q150" s="15"/>
      <c r="R150" s="15"/>
      <c r="S150" s="15"/>
      <c r="T150" s="15"/>
      <c r="U150" s="15"/>
      <c r="V150" s="15"/>
      <c r="W150" s="15"/>
      <c r="X150" s="15"/>
      <c r="Y150" s="15"/>
      <c r="Z150" s="16"/>
    </row>
    <row r="151">
      <c r="A151" s="12" t="s">
        <v>478</v>
      </c>
      <c r="B151" s="13" t="s">
        <v>479</v>
      </c>
      <c r="C151" s="13" t="s">
        <v>28</v>
      </c>
      <c r="D151" s="13" t="s">
        <v>28</v>
      </c>
      <c r="E151" s="14">
        <v>508.0</v>
      </c>
      <c r="F151" s="13" t="s">
        <v>29</v>
      </c>
      <c r="G151" s="13" t="s">
        <v>47</v>
      </c>
      <c r="H151" s="14">
        <v>950.0</v>
      </c>
      <c r="I151" s="14">
        <v>1675.0</v>
      </c>
      <c r="J151" s="14">
        <v>1585.0</v>
      </c>
      <c r="K151" s="13" t="s">
        <v>480</v>
      </c>
      <c r="L151" s="15"/>
      <c r="M151" s="15"/>
      <c r="N151" s="15"/>
      <c r="O151" s="15"/>
      <c r="P151" s="15"/>
      <c r="Q151" s="15"/>
      <c r="R151" s="15"/>
      <c r="S151" s="15"/>
      <c r="T151" s="15"/>
      <c r="U151" s="15"/>
      <c r="V151" s="15"/>
      <c r="W151" s="15"/>
      <c r="X151" s="15"/>
      <c r="Y151" s="15"/>
      <c r="Z151" s="16"/>
    </row>
    <row r="152">
      <c r="A152" s="12" t="s">
        <v>481</v>
      </c>
      <c r="B152" s="13" t="s">
        <v>482</v>
      </c>
      <c r="C152" s="13" t="s">
        <v>28</v>
      </c>
      <c r="D152" s="13" t="s">
        <v>28</v>
      </c>
      <c r="E152" s="14">
        <v>203.0</v>
      </c>
      <c r="F152" s="13" t="s">
        <v>29</v>
      </c>
      <c r="G152" s="13" t="s">
        <v>47</v>
      </c>
      <c r="H152" s="14">
        <v>950.0</v>
      </c>
      <c r="I152" s="14">
        <v>1675.0</v>
      </c>
      <c r="J152" s="14">
        <v>1585.0</v>
      </c>
      <c r="K152" s="13" t="s">
        <v>483</v>
      </c>
      <c r="L152" s="15"/>
      <c r="M152" s="15"/>
      <c r="N152" s="15"/>
      <c r="O152" s="15"/>
      <c r="P152" s="15"/>
      <c r="Q152" s="15"/>
      <c r="R152" s="15"/>
      <c r="S152" s="15"/>
      <c r="T152" s="15"/>
      <c r="U152" s="15"/>
      <c r="V152" s="15"/>
      <c r="W152" s="15"/>
      <c r="X152" s="15"/>
      <c r="Y152" s="15"/>
      <c r="Z152" s="16"/>
    </row>
    <row r="153">
      <c r="A153" s="12" t="s">
        <v>484</v>
      </c>
      <c r="B153" s="13" t="s">
        <v>485</v>
      </c>
      <c r="C153" s="13" t="s">
        <v>28</v>
      </c>
      <c r="D153" s="13" t="s">
        <v>28</v>
      </c>
      <c r="E153" s="14">
        <v>1038.0</v>
      </c>
      <c r="F153" s="13" t="s">
        <v>29</v>
      </c>
      <c r="G153" s="13" t="s">
        <v>47</v>
      </c>
      <c r="H153" s="14">
        <v>950.0</v>
      </c>
      <c r="I153" s="14">
        <v>1675.0</v>
      </c>
      <c r="J153" s="14">
        <v>1585.0</v>
      </c>
      <c r="K153" s="13" t="s">
        <v>486</v>
      </c>
      <c r="L153" s="15"/>
      <c r="M153" s="15"/>
      <c r="N153" s="15"/>
      <c r="O153" s="15"/>
      <c r="P153" s="15"/>
      <c r="Q153" s="15"/>
      <c r="R153" s="15"/>
      <c r="S153" s="15"/>
      <c r="T153" s="15"/>
      <c r="U153" s="15"/>
      <c r="V153" s="15"/>
      <c r="W153" s="15"/>
      <c r="X153" s="15"/>
      <c r="Y153" s="15"/>
      <c r="Z153" s="16"/>
    </row>
    <row r="154">
      <c r="A154" s="12" t="s">
        <v>487</v>
      </c>
      <c r="B154" s="13" t="s">
        <v>488</v>
      </c>
      <c r="C154" s="13" t="s">
        <v>28</v>
      </c>
      <c r="D154" s="13" t="s">
        <v>28</v>
      </c>
      <c r="E154" s="14">
        <v>1137.0</v>
      </c>
      <c r="F154" s="13" t="s">
        <v>29</v>
      </c>
      <c r="G154" s="13" t="s">
        <v>47</v>
      </c>
      <c r="H154" s="14">
        <v>950.0</v>
      </c>
      <c r="I154" s="14">
        <v>1675.0</v>
      </c>
      <c r="J154" s="14">
        <v>1585.0</v>
      </c>
      <c r="K154" s="13" t="s">
        <v>489</v>
      </c>
      <c r="L154" s="15"/>
      <c r="M154" s="15"/>
      <c r="N154" s="15"/>
      <c r="O154" s="15"/>
      <c r="P154" s="15"/>
      <c r="Q154" s="15"/>
      <c r="R154" s="15"/>
      <c r="S154" s="15"/>
      <c r="T154" s="15"/>
      <c r="U154" s="15"/>
      <c r="V154" s="15"/>
      <c r="W154" s="15"/>
      <c r="X154" s="15"/>
      <c r="Y154" s="15"/>
      <c r="Z154" s="16"/>
    </row>
    <row r="155">
      <c r="A155" s="12" t="s">
        <v>490</v>
      </c>
      <c r="B155" s="13" t="s">
        <v>491</v>
      </c>
      <c r="C155" s="13" t="s">
        <v>28</v>
      </c>
      <c r="D155" s="13" t="s">
        <v>28</v>
      </c>
      <c r="E155" s="14">
        <v>149.0</v>
      </c>
      <c r="F155" s="13" t="s">
        <v>29</v>
      </c>
      <c r="G155" s="13" t="s">
        <v>47</v>
      </c>
      <c r="H155" s="14">
        <v>950.0</v>
      </c>
      <c r="I155" s="14">
        <v>1675.0</v>
      </c>
      <c r="J155" s="14">
        <v>1585.0</v>
      </c>
      <c r="K155" s="13" t="s">
        <v>492</v>
      </c>
      <c r="L155" s="15"/>
      <c r="M155" s="15"/>
      <c r="N155" s="15"/>
      <c r="O155" s="15"/>
      <c r="P155" s="15"/>
      <c r="Q155" s="15"/>
      <c r="R155" s="15"/>
      <c r="S155" s="15"/>
      <c r="T155" s="15"/>
      <c r="U155" s="15"/>
      <c r="V155" s="15"/>
      <c r="W155" s="15"/>
      <c r="X155" s="15"/>
      <c r="Y155" s="15"/>
      <c r="Z155" s="16"/>
    </row>
    <row r="156">
      <c r="A156" s="12" t="s">
        <v>493</v>
      </c>
      <c r="B156" s="13" t="s">
        <v>494</v>
      </c>
      <c r="C156" s="13" t="s">
        <v>28</v>
      </c>
      <c r="D156" s="13" t="s">
        <v>28</v>
      </c>
      <c r="E156" s="14">
        <v>39.0</v>
      </c>
      <c r="F156" s="13" t="s">
        <v>29</v>
      </c>
      <c r="G156" s="13" t="s">
        <v>47</v>
      </c>
      <c r="H156" s="14">
        <v>950.0</v>
      </c>
      <c r="I156" s="14">
        <v>1675.0</v>
      </c>
      <c r="J156" s="14">
        <v>1585.0</v>
      </c>
      <c r="K156" s="13" t="s">
        <v>495</v>
      </c>
      <c r="L156" s="15"/>
      <c r="M156" s="15"/>
      <c r="N156" s="15"/>
      <c r="O156" s="15"/>
      <c r="P156" s="15"/>
      <c r="Q156" s="15"/>
      <c r="R156" s="15"/>
      <c r="S156" s="15"/>
      <c r="T156" s="15"/>
      <c r="U156" s="15"/>
      <c r="V156" s="15"/>
      <c r="W156" s="15"/>
      <c r="X156" s="15"/>
      <c r="Y156" s="15"/>
      <c r="Z156" s="16"/>
    </row>
    <row r="157">
      <c r="A157" s="12" t="s">
        <v>496</v>
      </c>
      <c r="B157" s="13" t="s">
        <v>497</v>
      </c>
      <c r="C157" s="13" t="s">
        <v>28</v>
      </c>
      <c r="D157" s="13" t="s">
        <v>28</v>
      </c>
      <c r="E157" s="14">
        <v>203.0</v>
      </c>
      <c r="F157" s="13" t="s">
        <v>29</v>
      </c>
      <c r="G157" s="13" t="s">
        <v>47</v>
      </c>
      <c r="H157" s="14">
        <v>950.0</v>
      </c>
      <c r="I157" s="14">
        <v>1675.0</v>
      </c>
      <c r="J157" s="14">
        <v>1585.0</v>
      </c>
      <c r="K157" s="13" t="s">
        <v>498</v>
      </c>
      <c r="L157" s="15"/>
      <c r="M157" s="15"/>
      <c r="N157" s="15"/>
      <c r="O157" s="15"/>
      <c r="P157" s="15"/>
      <c r="Q157" s="15"/>
      <c r="R157" s="15"/>
      <c r="S157" s="15"/>
      <c r="T157" s="15"/>
      <c r="U157" s="15"/>
      <c r="V157" s="15"/>
      <c r="W157" s="15"/>
      <c r="X157" s="15"/>
      <c r="Y157" s="15"/>
      <c r="Z157" s="16"/>
    </row>
    <row r="158">
      <c r="A158" s="12" t="s">
        <v>499</v>
      </c>
      <c r="B158" s="13" t="s">
        <v>500</v>
      </c>
      <c r="C158" s="13" t="s">
        <v>28</v>
      </c>
      <c r="D158" s="13" t="s">
        <v>28</v>
      </c>
      <c r="E158" s="14">
        <v>1005.0</v>
      </c>
      <c r="F158" s="13" t="s">
        <v>29</v>
      </c>
      <c r="G158" s="13" t="s">
        <v>47</v>
      </c>
      <c r="H158" s="14">
        <v>950.0</v>
      </c>
      <c r="I158" s="14">
        <v>1675.0</v>
      </c>
      <c r="J158" s="14">
        <v>1585.0</v>
      </c>
      <c r="K158" s="13" t="s">
        <v>501</v>
      </c>
      <c r="L158" s="15"/>
      <c r="M158" s="15"/>
      <c r="N158" s="15"/>
      <c r="O158" s="15"/>
      <c r="P158" s="15"/>
      <c r="Q158" s="15"/>
      <c r="R158" s="15"/>
      <c r="S158" s="15"/>
      <c r="T158" s="15"/>
      <c r="U158" s="15"/>
      <c r="V158" s="15"/>
      <c r="W158" s="15"/>
      <c r="X158" s="15"/>
      <c r="Y158" s="15"/>
      <c r="Z158" s="16"/>
    </row>
    <row r="159">
      <c r="A159" s="12" t="s">
        <v>502</v>
      </c>
      <c r="B159" s="13" t="s">
        <v>503</v>
      </c>
      <c r="C159" s="13" t="s">
        <v>28</v>
      </c>
      <c r="D159" s="13" t="s">
        <v>28</v>
      </c>
      <c r="E159" s="14">
        <v>1.0</v>
      </c>
      <c r="F159" s="13" t="s">
        <v>29</v>
      </c>
      <c r="G159" s="13" t="s">
        <v>47</v>
      </c>
      <c r="H159" s="14">
        <v>950.0</v>
      </c>
      <c r="I159" s="14">
        <v>1675.0</v>
      </c>
      <c r="J159" s="14">
        <v>1585.0</v>
      </c>
      <c r="K159" s="13" t="s">
        <v>504</v>
      </c>
      <c r="L159" s="15"/>
      <c r="M159" s="15"/>
      <c r="N159" s="15"/>
      <c r="O159" s="15"/>
      <c r="P159" s="15"/>
      <c r="Q159" s="15"/>
      <c r="R159" s="15"/>
      <c r="S159" s="15"/>
      <c r="T159" s="15"/>
      <c r="U159" s="15"/>
      <c r="V159" s="15"/>
      <c r="W159" s="15"/>
      <c r="X159" s="15"/>
      <c r="Y159" s="15"/>
      <c r="Z159" s="16"/>
    </row>
    <row r="160">
      <c r="A160" s="12" t="s">
        <v>505</v>
      </c>
      <c r="B160" s="13" t="s">
        <v>506</v>
      </c>
      <c r="C160" s="13" t="s">
        <v>28</v>
      </c>
      <c r="D160" s="13" t="s">
        <v>28</v>
      </c>
      <c r="E160" s="14">
        <v>1941.0</v>
      </c>
      <c r="F160" s="13" t="s">
        <v>29</v>
      </c>
      <c r="G160" s="13" t="s">
        <v>47</v>
      </c>
      <c r="H160" s="14">
        <v>950.0</v>
      </c>
      <c r="I160" s="14">
        <v>1675.0</v>
      </c>
      <c r="J160" s="14">
        <v>1585.0</v>
      </c>
      <c r="K160" s="13" t="s">
        <v>507</v>
      </c>
      <c r="L160" s="15"/>
      <c r="M160" s="15"/>
      <c r="N160" s="15"/>
      <c r="O160" s="15"/>
      <c r="P160" s="15"/>
      <c r="Q160" s="15"/>
      <c r="R160" s="15"/>
      <c r="S160" s="15"/>
      <c r="T160" s="15"/>
      <c r="U160" s="15"/>
      <c r="V160" s="15"/>
      <c r="W160" s="15"/>
      <c r="X160" s="15"/>
      <c r="Y160" s="15"/>
      <c r="Z160" s="16"/>
    </row>
    <row r="161">
      <c r="A161" s="12" t="s">
        <v>508</v>
      </c>
      <c r="B161" s="13" t="s">
        <v>509</v>
      </c>
      <c r="C161" s="13" t="s">
        <v>28</v>
      </c>
      <c r="D161" s="13" t="s">
        <v>28</v>
      </c>
      <c r="E161" s="14">
        <v>608.0</v>
      </c>
      <c r="F161" s="13" t="s">
        <v>29</v>
      </c>
      <c r="G161" s="13" t="s">
        <v>47</v>
      </c>
      <c r="H161" s="14">
        <v>950.0</v>
      </c>
      <c r="I161" s="14">
        <v>1675.0</v>
      </c>
      <c r="J161" s="14">
        <v>1585.0</v>
      </c>
      <c r="K161" s="13" t="s">
        <v>510</v>
      </c>
      <c r="L161" s="15"/>
      <c r="M161" s="15"/>
      <c r="N161" s="15"/>
      <c r="O161" s="15"/>
      <c r="P161" s="15"/>
      <c r="Q161" s="15"/>
      <c r="R161" s="15"/>
      <c r="S161" s="15"/>
      <c r="T161" s="15"/>
      <c r="U161" s="15"/>
      <c r="V161" s="15"/>
      <c r="W161" s="15"/>
      <c r="X161" s="15"/>
      <c r="Y161" s="15"/>
      <c r="Z161" s="16"/>
    </row>
    <row r="162">
      <c r="A162" s="12" t="s">
        <v>511</v>
      </c>
      <c r="B162" s="13" t="s">
        <v>512</v>
      </c>
      <c r="C162" s="13" t="s">
        <v>28</v>
      </c>
      <c r="D162" s="13" t="s">
        <v>28</v>
      </c>
      <c r="E162" s="14">
        <v>345.0</v>
      </c>
      <c r="F162" s="13" t="s">
        <v>29</v>
      </c>
      <c r="G162" s="13" t="s">
        <v>47</v>
      </c>
      <c r="H162" s="14">
        <v>950.0</v>
      </c>
      <c r="I162" s="14">
        <v>1675.0</v>
      </c>
      <c r="J162" s="14">
        <v>1585.0</v>
      </c>
      <c r="K162" s="13" t="s">
        <v>513</v>
      </c>
      <c r="L162" s="15"/>
      <c r="M162" s="15"/>
      <c r="N162" s="15"/>
      <c r="O162" s="15"/>
      <c r="P162" s="15"/>
      <c r="Q162" s="15"/>
      <c r="R162" s="15"/>
      <c r="S162" s="15"/>
      <c r="T162" s="15"/>
      <c r="U162" s="15"/>
      <c r="V162" s="15"/>
      <c r="W162" s="15"/>
      <c r="X162" s="15"/>
      <c r="Y162" s="15"/>
      <c r="Z162" s="16"/>
    </row>
    <row r="163">
      <c r="A163" s="12" t="s">
        <v>514</v>
      </c>
      <c r="B163" s="13" t="s">
        <v>515</v>
      </c>
      <c r="C163" s="13" t="s">
        <v>28</v>
      </c>
      <c r="D163" s="13" t="s">
        <v>28</v>
      </c>
      <c r="E163" s="14">
        <v>7240.0</v>
      </c>
      <c r="F163" s="13" t="s">
        <v>29</v>
      </c>
      <c r="G163" s="13" t="s">
        <v>47</v>
      </c>
      <c r="H163" s="14">
        <v>950.0</v>
      </c>
      <c r="I163" s="14">
        <v>1675.0</v>
      </c>
      <c r="J163" s="14">
        <v>1585.0</v>
      </c>
      <c r="K163" s="13" t="s">
        <v>516</v>
      </c>
      <c r="L163" s="15"/>
      <c r="M163" s="15"/>
      <c r="N163" s="15"/>
      <c r="O163" s="15"/>
      <c r="P163" s="15"/>
      <c r="Q163" s="15"/>
      <c r="R163" s="15"/>
      <c r="S163" s="15"/>
      <c r="T163" s="15"/>
      <c r="U163" s="15"/>
      <c r="V163" s="15"/>
      <c r="W163" s="15"/>
      <c r="X163" s="15"/>
      <c r="Y163" s="15"/>
      <c r="Z163" s="16"/>
    </row>
    <row r="164">
      <c r="A164" s="12" t="s">
        <v>517</v>
      </c>
      <c r="B164" s="13" t="s">
        <v>518</v>
      </c>
      <c r="C164" s="13" t="s">
        <v>28</v>
      </c>
      <c r="D164" s="13" t="s">
        <v>28</v>
      </c>
      <c r="E164" s="14">
        <v>41.0</v>
      </c>
      <c r="F164" s="13" t="s">
        <v>29</v>
      </c>
      <c r="G164" s="13" t="s">
        <v>47</v>
      </c>
      <c r="H164" s="14">
        <v>950.0</v>
      </c>
      <c r="I164" s="14">
        <v>1675.0</v>
      </c>
      <c r="J164" s="14">
        <v>1585.0</v>
      </c>
      <c r="K164" s="13" t="s">
        <v>519</v>
      </c>
      <c r="L164" s="15"/>
      <c r="M164" s="15"/>
      <c r="N164" s="15"/>
      <c r="O164" s="15"/>
      <c r="P164" s="15"/>
      <c r="Q164" s="15"/>
      <c r="R164" s="15"/>
      <c r="S164" s="15"/>
      <c r="T164" s="15"/>
      <c r="U164" s="15"/>
      <c r="V164" s="15"/>
      <c r="W164" s="15"/>
      <c r="X164" s="15"/>
      <c r="Y164" s="15"/>
      <c r="Z164" s="16"/>
    </row>
    <row r="165">
      <c r="A165" s="12" t="s">
        <v>520</v>
      </c>
      <c r="B165" s="13" t="s">
        <v>521</v>
      </c>
      <c r="C165" s="13" t="s">
        <v>28</v>
      </c>
      <c r="D165" s="13" t="s">
        <v>28</v>
      </c>
      <c r="E165" s="14">
        <v>553.0</v>
      </c>
      <c r="F165" s="13" t="s">
        <v>29</v>
      </c>
      <c r="G165" s="13" t="s">
        <v>47</v>
      </c>
      <c r="H165" s="14">
        <v>950.0</v>
      </c>
      <c r="I165" s="14">
        <v>1675.0</v>
      </c>
      <c r="J165" s="14">
        <v>1585.0</v>
      </c>
      <c r="K165" s="13" t="s">
        <v>522</v>
      </c>
      <c r="L165" s="15"/>
      <c r="M165" s="15"/>
      <c r="N165" s="15"/>
      <c r="O165" s="15"/>
      <c r="P165" s="15"/>
      <c r="Q165" s="15"/>
      <c r="R165" s="15"/>
      <c r="S165" s="15"/>
      <c r="T165" s="15"/>
      <c r="U165" s="15"/>
      <c r="V165" s="15"/>
      <c r="W165" s="15"/>
      <c r="X165" s="15"/>
      <c r="Y165" s="15"/>
      <c r="Z165" s="16"/>
    </row>
    <row r="166">
      <c r="A166" s="12" t="s">
        <v>523</v>
      </c>
      <c r="B166" s="13" t="s">
        <v>524</v>
      </c>
      <c r="C166" s="13" t="s">
        <v>28</v>
      </c>
      <c r="D166" s="13" t="s">
        <v>28</v>
      </c>
      <c r="E166" s="14">
        <v>352.0</v>
      </c>
      <c r="F166" s="13" t="s">
        <v>29</v>
      </c>
      <c r="G166" s="13" t="s">
        <v>47</v>
      </c>
      <c r="H166" s="14">
        <v>950.0</v>
      </c>
      <c r="I166" s="14">
        <v>1675.0</v>
      </c>
      <c r="J166" s="14">
        <v>1585.0</v>
      </c>
      <c r="K166" s="13" t="s">
        <v>525</v>
      </c>
      <c r="L166" s="15"/>
      <c r="M166" s="15"/>
      <c r="N166" s="15"/>
      <c r="O166" s="15"/>
      <c r="P166" s="15"/>
      <c r="Q166" s="15"/>
      <c r="R166" s="15"/>
      <c r="S166" s="15"/>
      <c r="T166" s="15"/>
      <c r="U166" s="15"/>
      <c r="V166" s="15"/>
      <c r="W166" s="15"/>
      <c r="X166" s="15"/>
      <c r="Y166" s="15"/>
      <c r="Z166" s="16"/>
    </row>
    <row r="167">
      <c r="A167" s="12" t="s">
        <v>526</v>
      </c>
      <c r="B167" s="13" t="s">
        <v>527</v>
      </c>
      <c r="C167" s="13" t="s">
        <v>28</v>
      </c>
      <c r="D167" s="13" t="s">
        <v>28</v>
      </c>
      <c r="E167" s="14">
        <v>120.0</v>
      </c>
      <c r="F167" s="13" t="s">
        <v>29</v>
      </c>
      <c r="G167" s="13" t="s">
        <v>47</v>
      </c>
      <c r="H167" s="14">
        <v>950.0</v>
      </c>
      <c r="I167" s="14">
        <v>1675.0</v>
      </c>
      <c r="J167" s="14">
        <v>1585.0</v>
      </c>
      <c r="K167" s="13" t="s">
        <v>528</v>
      </c>
      <c r="L167" s="15"/>
      <c r="M167" s="15"/>
      <c r="N167" s="15"/>
      <c r="O167" s="15"/>
      <c r="P167" s="15"/>
      <c r="Q167" s="15"/>
      <c r="R167" s="15"/>
      <c r="S167" s="15"/>
      <c r="T167" s="15"/>
      <c r="U167" s="15"/>
      <c r="V167" s="15"/>
      <c r="W167" s="15"/>
      <c r="X167" s="15"/>
      <c r="Y167" s="15"/>
      <c r="Z167" s="16"/>
    </row>
    <row r="168">
      <c r="A168" s="12" t="s">
        <v>529</v>
      </c>
      <c r="B168" s="13" t="s">
        <v>530</v>
      </c>
      <c r="C168" s="13" t="s">
        <v>28</v>
      </c>
      <c r="D168" s="13" t="s">
        <v>28</v>
      </c>
      <c r="E168" s="14">
        <v>198.0</v>
      </c>
      <c r="F168" s="13" t="s">
        <v>29</v>
      </c>
      <c r="G168" s="13" t="s">
        <v>47</v>
      </c>
      <c r="H168" s="14">
        <v>950.0</v>
      </c>
      <c r="I168" s="14">
        <v>1675.0</v>
      </c>
      <c r="J168" s="14">
        <v>1585.0</v>
      </c>
      <c r="K168" s="13" t="s">
        <v>531</v>
      </c>
      <c r="L168" s="15"/>
      <c r="M168" s="15"/>
      <c r="N168" s="15"/>
      <c r="O168" s="15"/>
      <c r="P168" s="15"/>
      <c r="Q168" s="15"/>
      <c r="R168" s="15"/>
      <c r="S168" s="15"/>
      <c r="T168" s="15"/>
      <c r="U168" s="15"/>
      <c r="V168" s="15"/>
      <c r="W168" s="15"/>
      <c r="X168" s="15"/>
      <c r="Y168" s="15"/>
      <c r="Z168" s="16"/>
    </row>
    <row r="169">
      <c r="A169" s="12" t="s">
        <v>532</v>
      </c>
      <c r="B169" s="13" t="s">
        <v>533</v>
      </c>
      <c r="C169" s="13" t="s">
        <v>28</v>
      </c>
      <c r="D169" s="13" t="s">
        <v>28</v>
      </c>
      <c r="E169" s="14">
        <v>3264.0</v>
      </c>
      <c r="F169" s="13" t="s">
        <v>29</v>
      </c>
      <c r="G169" s="13" t="s">
        <v>47</v>
      </c>
      <c r="H169" s="14">
        <v>950.0</v>
      </c>
      <c r="I169" s="14">
        <v>1675.0</v>
      </c>
      <c r="J169" s="14">
        <v>1585.0</v>
      </c>
      <c r="K169" s="13" t="s">
        <v>534</v>
      </c>
      <c r="L169" s="15"/>
      <c r="M169" s="15"/>
      <c r="N169" s="15"/>
      <c r="O169" s="15"/>
      <c r="P169" s="15"/>
      <c r="Q169" s="15"/>
      <c r="R169" s="15"/>
      <c r="S169" s="15"/>
      <c r="T169" s="15"/>
      <c r="U169" s="15"/>
      <c r="V169" s="15"/>
      <c r="W169" s="15"/>
      <c r="X169" s="15"/>
      <c r="Y169" s="15"/>
      <c r="Z169" s="16"/>
    </row>
    <row r="170">
      <c r="A170" s="12" t="s">
        <v>535</v>
      </c>
      <c r="B170" s="13" t="s">
        <v>536</v>
      </c>
      <c r="C170" s="13" t="s">
        <v>28</v>
      </c>
      <c r="D170" s="13" t="s">
        <v>28</v>
      </c>
      <c r="E170" s="14">
        <v>127.0</v>
      </c>
      <c r="F170" s="13" t="s">
        <v>537</v>
      </c>
      <c r="G170" s="13" t="s">
        <v>47</v>
      </c>
      <c r="H170" s="14">
        <v>950.0</v>
      </c>
      <c r="I170" s="14">
        <v>1675.0</v>
      </c>
      <c r="J170" s="14">
        <v>1585.0</v>
      </c>
      <c r="K170" s="13" t="s">
        <v>538</v>
      </c>
      <c r="L170" s="15"/>
      <c r="M170" s="15"/>
      <c r="N170" s="15"/>
      <c r="O170" s="15"/>
      <c r="P170" s="15"/>
      <c r="Q170" s="15"/>
      <c r="R170" s="15"/>
      <c r="S170" s="15"/>
      <c r="T170" s="15"/>
      <c r="U170" s="15"/>
      <c r="V170" s="15"/>
      <c r="W170" s="15"/>
      <c r="X170" s="15"/>
      <c r="Y170" s="15"/>
      <c r="Z170" s="16"/>
    </row>
    <row r="171">
      <c r="A171" s="12" t="s">
        <v>539</v>
      </c>
      <c r="B171" s="13" t="s">
        <v>540</v>
      </c>
      <c r="C171" s="13" t="s">
        <v>28</v>
      </c>
      <c r="D171" s="13" t="s">
        <v>28</v>
      </c>
      <c r="E171" s="14">
        <v>920.0</v>
      </c>
      <c r="F171" s="13" t="s">
        <v>537</v>
      </c>
      <c r="G171" s="13" t="s">
        <v>47</v>
      </c>
      <c r="H171" s="14">
        <v>950.0</v>
      </c>
      <c r="I171" s="14">
        <v>1675.0</v>
      </c>
      <c r="J171" s="14">
        <v>1585.0</v>
      </c>
      <c r="K171" s="13" t="s">
        <v>541</v>
      </c>
      <c r="L171" s="15"/>
      <c r="M171" s="15"/>
      <c r="N171" s="15"/>
      <c r="O171" s="15"/>
      <c r="P171" s="15"/>
      <c r="Q171" s="15"/>
      <c r="R171" s="15"/>
      <c r="S171" s="15"/>
      <c r="T171" s="15"/>
      <c r="U171" s="15"/>
      <c r="V171" s="15"/>
      <c r="W171" s="15"/>
      <c r="X171" s="15"/>
      <c r="Y171" s="15"/>
      <c r="Z171" s="16"/>
    </row>
    <row r="172">
      <c r="A172" s="12" t="s">
        <v>542</v>
      </c>
      <c r="B172" s="13" t="s">
        <v>543</v>
      </c>
      <c r="C172" s="13" t="s">
        <v>28</v>
      </c>
      <c r="D172" s="13" t="s">
        <v>28</v>
      </c>
      <c r="E172" s="14">
        <v>959.0</v>
      </c>
      <c r="F172" s="13" t="s">
        <v>537</v>
      </c>
      <c r="G172" s="13" t="s">
        <v>47</v>
      </c>
      <c r="H172" s="14">
        <v>950.0</v>
      </c>
      <c r="I172" s="14">
        <v>1675.0</v>
      </c>
      <c r="J172" s="14">
        <v>1585.0</v>
      </c>
      <c r="K172" s="13" t="s">
        <v>544</v>
      </c>
      <c r="L172" s="15"/>
      <c r="M172" s="15"/>
      <c r="N172" s="15"/>
      <c r="O172" s="15"/>
      <c r="P172" s="15"/>
      <c r="Q172" s="15"/>
      <c r="R172" s="15"/>
      <c r="S172" s="15"/>
      <c r="T172" s="15"/>
      <c r="U172" s="15"/>
      <c r="V172" s="15"/>
      <c r="W172" s="15"/>
      <c r="X172" s="15"/>
      <c r="Y172" s="15"/>
      <c r="Z172" s="16"/>
    </row>
    <row r="173">
      <c r="A173" s="12" t="s">
        <v>545</v>
      </c>
      <c r="B173" s="13" t="s">
        <v>546</v>
      </c>
      <c r="C173" s="13" t="s">
        <v>28</v>
      </c>
      <c r="D173" s="13" t="s">
        <v>28</v>
      </c>
      <c r="E173" s="14">
        <v>465.0</v>
      </c>
      <c r="F173" s="13" t="s">
        <v>537</v>
      </c>
      <c r="G173" s="13" t="s">
        <v>47</v>
      </c>
      <c r="H173" s="14">
        <v>950.0</v>
      </c>
      <c r="I173" s="14">
        <v>1675.0</v>
      </c>
      <c r="J173" s="14">
        <v>1585.0</v>
      </c>
      <c r="K173" s="13" t="s">
        <v>547</v>
      </c>
      <c r="L173" s="15"/>
      <c r="M173" s="15"/>
      <c r="N173" s="15"/>
      <c r="O173" s="15"/>
      <c r="P173" s="15"/>
      <c r="Q173" s="15"/>
      <c r="R173" s="15"/>
      <c r="S173" s="15"/>
      <c r="T173" s="15"/>
      <c r="U173" s="15"/>
      <c r="V173" s="15"/>
      <c r="W173" s="15"/>
      <c r="X173" s="15"/>
      <c r="Y173" s="15"/>
      <c r="Z173" s="16"/>
    </row>
    <row r="174">
      <c r="A174" s="12" t="s">
        <v>548</v>
      </c>
      <c r="B174" s="13" t="s">
        <v>549</v>
      </c>
      <c r="C174" s="13" t="s">
        <v>28</v>
      </c>
      <c r="D174" s="13" t="s">
        <v>28</v>
      </c>
      <c r="E174" s="14">
        <v>2307.0</v>
      </c>
      <c r="F174" s="13" t="s">
        <v>537</v>
      </c>
      <c r="G174" s="13" t="s">
        <v>47</v>
      </c>
      <c r="H174" s="14">
        <v>950.0</v>
      </c>
      <c r="I174" s="14">
        <v>1675.0</v>
      </c>
      <c r="J174" s="14">
        <v>1585.0</v>
      </c>
      <c r="K174" s="13" t="s">
        <v>550</v>
      </c>
      <c r="L174" s="15"/>
      <c r="M174" s="15"/>
      <c r="N174" s="15"/>
      <c r="O174" s="15"/>
      <c r="P174" s="15"/>
      <c r="Q174" s="15"/>
      <c r="R174" s="15"/>
      <c r="S174" s="15"/>
      <c r="T174" s="15"/>
      <c r="U174" s="15"/>
      <c r="V174" s="15"/>
      <c r="W174" s="15"/>
      <c r="X174" s="15"/>
      <c r="Y174" s="15"/>
      <c r="Z174" s="16"/>
    </row>
    <row r="175">
      <c r="A175" s="12" t="s">
        <v>551</v>
      </c>
      <c r="B175" s="13" t="s">
        <v>552</v>
      </c>
      <c r="C175" s="13" t="s">
        <v>28</v>
      </c>
      <c r="D175" s="13" t="s">
        <v>28</v>
      </c>
      <c r="E175" s="14">
        <v>1713.0</v>
      </c>
      <c r="F175" s="13" t="s">
        <v>537</v>
      </c>
      <c r="G175" s="13" t="s">
        <v>47</v>
      </c>
      <c r="H175" s="14">
        <v>950.0</v>
      </c>
      <c r="I175" s="14">
        <v>1675.0</v>
      </c>
      <c r="J175" s="14">
        <v>1585.0</v>
      </c>
      <c r="K175" s="13" t="s">
        <v>553</v>
      </c>
      <c r="L175" s="15"/>
      <c r="M175" s="15"/>
      <c r="N175" s="15"/>
      <c r="O175" s="15"/>
      <c r="P175" s="15"/>
      <c r="Q175" s="15"/>
      <c r="R175" s="15"/>
      <c r="S175" s="15"/>
      <c r="T175" s="15"/>
      <c r="U175" s="15"/>
      <c r="V175" s="15"/>
      <c r="W175" s="15"/>
      <c r="X175" s="15"/>
      <c r="Y175" s="15"/>
      <c r="Z175" s="16"/>
    </row>
    <row r="176">
      <c r="A176" s="12" t="s">
        <v>554</v>
      </c>
      <c r="B176" s="13" t="s">
        <v>555</v>
      </c>
      <c r="C176" s="13" t="s">
        <v>28</v>
      </c>
      <c r="D176" s="13" t="s">
        <v>28</v>
      </c>
      <c r="E176" s="14">
        <v>240.0</v>
      </c>
      <c r="F176" s="13" t="s">
        <v>537</v>
      </c>
      <c r="G176" s="13" t="s">
        <v>47</v>
      </c>
      <c r="H176" s="14">
        <v>950.0</v>
      </c>
      <c r="I176" s="14">
        <v>1675.0</v>
      </c>
      <c r="J176" s="14">
        <v>1585.0</v>
      </c>
      <c r="K176" s="13" t="s">
        <v>556</v>
      </c>
      <c r="L176" s="15"/>
      <c r="M176" s="15"/>
      <c r="N176" s="15"/>
      <c r="O176" s="15"/>
      <c r="P176" s="15"/>
      <c r="Q176" s="15"/>
      <c r="R176" s="15"/>
      <c r="S176" s="15"/>
      <c r="T176" s="15"/>
      <c r="U176" s="15"/>
      <c r="V176" s="15"/>
      <c r="W176" s="15"/>
      <c r="X176" s="15"/>
      <c r="Y176" s="15"/>
      <c r="Z176" s="16"/>
    </row>
    <row r="177">
      <c r="A177" s="12" t="s">
        <v>557</v>
      </c>
      <c r="B177" s="13" t="s">
        <v>558</v>
      </c>
      <c r="C177" s="13" t="s">
        <v>28</v>
      </c>
      <c r="D177" s="13" t="s">
        <v>28</v>
      </c>
      <c r="E177" s="14">
        <v>1818.0</v>
      </c>
      <c r="F177" s="13" t="s">
        <v>537</v>
      </c>
      <c r="G177" s="13" t="s">
        <v>47</v>
      </c>
      <c r="H177" s="14">
        <v>950.0</v>
      </c>
      <c r="I177" s="14">
        <v>1675.0</v>
      </c>
      <c r="J177" s="14">
        <v>1585.0</v>
      </c>
      <c r="K177" s="13" t="s">
        <v>559</v>
      </c>
      <c r="L177" s="15"/>
      <c r="M177" s="15"/>
      <c r="N177" s="15"/>
      <c r="O177" s="15"/>
      <c r="P177" s="15"/>
      <c r="Q177" s="15"/>
      <c r="R177" s="15"/>
      <c r="S177" s="15"/>
      <c r="T177" s="15"/>
      <c r="U177" s="15"/>
      <c r="V177" s="15"/>
      <c r="W177" s="15"/>
      <c r="X177" s="15"/>
      <c r="Y177" s="15"/>
      <c r="Z177" s="16"/>
    </row>
    <row r="178">
      <c r="A178" s="12" t="s">
        <v>560</v>
      </c>
      <c r="B178" s="13" t="s">
        <v>561</v>
      </c>
      <c r="C178" s="13" t="s">
        <v>28</v>
      </c>
      <c r="D178" s="13" t="s">
        <v>28</v>
      </c>
      <c r="E178" s="14">
        <v>781.0</v>
      </c>
      <c r="F178" s="13" t="s">
        <v>537</v>
      </c>
      <c r="G178" s="13" t="s">
        <v>47</v>
      </c>
      <c r="H178" s="14">
        <v>950.0</v>
      </c>
      <c r="I178" s="14">
        <v>1675.0</v>
      </c>
      <c r="J178" s="14">
        <v>1585.0</v>
      </c>
      <c r="K178" s="13" t="s">
        <v>562</v>
      </c>
      <c r="L178" s="15"/>
      <c r="M178" s="15"/>
      <c r="N178" s="15"/>
      <c r="O178" s="15"/>
      <c r="P178" s="15"/>
      <c r="Q178" s="15"/>
      <c r="R178" s="15"/>
      <c r="S178" s="15"/>
      <c r="T178" s="15"/>
      <c r="U178" s="15"/>
      <c r="V178" s="15"/>
      <c r="W178" s="15"/>
      <c r="X178" s="15"/>
      <c r="Y178" s="15"/>
      <c r="Z178" s="16"/>
    </row>
    <row r="179">
      <c r="A179" s="12" t="s">
        <v>563</v>
      </c>
      <c r="B179" s="13" t="s">
        <v>564</v>
      </c>
      <c r="C179" s="13" t="s">
        <v>28</v>
      </c>
      <c r="D179" s="13" t="s">
        <v>28</v>
      </c>
      <c r="E179" s="14">
        <v>1008.0</v>
      </c>
      <c r="F179" s="13" t="s">
        <v>537</v>
      </c>
      <c r="G179" s="13" t="s">
        <v>47</v>
      </c>
      <c r="H179" s="14">
        <v>950.0</v>
      </c>
      <c r="I179" s="14">
        <v>1675.0</v>
      </c>
      <c r="J179" s="14">
        <v>1585.0</v>
      </c>
      <c r="K179" s="13" t="s">
        <v>565</v>
      </c>
      <c r="L179" s="15"/>
      <c r="M179" s="15"/>
      <c r="N179" s="15"/>
      <c r="O179" s="15"/>
      <c r="P179" s="15"/>
      <c r="Q179" s="15"/>
      <c r="R179" s="15"/>
      <c r="S179" s="15"/>
      <c r="T179" s="15"/>
      <c r="U179" s="15"/>
      <c r="V179" s="15"/>
      <c r="W179" s="15"/>
      <c r="X179" s="15"/>
      <c r="Y179" s="15"/>
      <c r="Z179" s="16"/>
    </row>
    <row r="180">
      <c r="A180" s="12" t="s">
        <v>566</v>
      </c>
      <c r="B180" s="13" t="s">
        <v>567</v>
      </c>
      <c r="C180" s="13" t="s">
        <v>28</v>
      </c>
      <c r="D180" s="13" t="s">
        <v>28</v>
      </c>
      <c r="E180" s="14">
        <v>1278.0</v>
      </c>
      <c r="F180" s="13" t="s">
        <v>537</v>
      </c>
      <c r="G180" s="13" t="s">
        <v>47</v>
      </c>
      <c r="H180" s="14">
        <v>950.0</v>
      </c>
      <c r="I180" s="14">
        <v>1675.0</v>
      </c>
      <c r="J180" s="14">
        <v>1585.0</v>
      </c>
      <c r="K180" s="13" t="s">
        <v>568</v>
      </c>
      <c r="L180" s="15"/>
      <c r="M180" s="15"/>
      <c r="N180" s="15"/>
      <c r="O180" s="15"/>
      <c r="P180" s="15"/>
      <c r="Q180" s="15"/>
      <c r="R180" s="15"/>
      <c r="S180" s="15"/>
      <c r="T180" s="15"/>
      <c r="U180" s="15"/>
      <c r="V180" s="15"/>
      <c r="W180" s="15"/>
      <c r="X180" s="15"/>
      <c r="Y180" s="15"/>
      <c r="Z180" s="16"/>
    </row>
    <row r="181">
      <c r="A181" s="12" t="s">
        <v>569</v>
      </c>
      <c r="B181" s="13" t="s">
        <v>570</v>
      </c>
      <c r="C181" s="13" t="s">
        <v>28</v>
      </c>
      <c r="D181" s="13" t="s">
        <v>28</v>
      </c>
      <c r="E181" s="14">
        <v>1141.0</v>
      </c>
      <c r="F181" s="13" t="s">
        <v>537</v>
      </c>
      <c r="G181" s="13" t="s">
        <v>47</v>
      </c>
      <c r="H181" s="14">
        <v>950.0</v>
      </c>
      <c r="I181" s="14">
        <v>1675.0</v>
      </c>
      <c r="J181" s="14">
        <v>1585.0</v>
      </c>
      <c r="K181" s="13" t="s">
        <v>571</v>
      </c>
      <c r="L181" s="15"/>
      <c r="M181" s="15"/>
      <c r="N181" s="15"/>
      <c r="O181" s="15"/>
      <c r="P181" s="15"/>
      <c r="Q181" s="15"/>
      <c r="R181" s="15"/>
      <c r="S181" s="15"/>
      <c r="T181" s="15"/>
      <c r="U181" s="15"/>
      <c r="V181" s="15"/>
      <c r="W181" s="15"/>
      <c r="X181" s="15"/>
      <c r="Y181" s="15"/>
      <c r="Z181" s="16"/>
    </row>
    <row r="182">
      <c r="A182" s="12" t="s">
        <v>572</v>
      </c>
      <c r="B182" s="13" t="s">
        <v>573</v>
      </c>
      <c r="C182" s="13" t="s">
        <v>28</v>
      </c>
      <c r="D182" s="13" t="s">
        <v>28</v>
      </c>
      <c r="E182" s="14">
        <v>2823.0</v>
      </c>
      <c r="F182" s="13" t="s">
        <v>29</v>
      </c>
      <c r="G182" s="13" t="s">
        <v>574</v>
      </c>
      <c r="H182" s="14">
        <v>950.0</v>
      </c>
      <c r="I182" s="14">
        <v>1675.0</v>
      </c>
      <c r="J182" s="14">
        <v>1585.0</v>
      </c>
      <c r="K182" s="13" t="s">
        <v>575</v>
      </c>
      <c r="L182" s="15"/>
      <c r="M182" s="15"/>
      <c r="N182" s="15"/>
      <c r="O182" s="15"/>
      <c r="P182" s="15"/>
      <c r="Q182" s="15"/>
      <c r="R182" s="15"/>
      <c r="S182" s="15"/>
      <c r="T182" s="15"/>
      <c r="U182" s="15"/>
      <c r="V182" s="15"/>
      <c r="W182" s="15"/>
      <c r="X182" s="15"/>
      <c r="Y182" s="15"/>
      <c r="Z182" s="16"/>
    </row>
    <row r="183">
      <c r="A183" s="12" t="s">
        <v>576</v>
      </c>
      <c r="B183" s="13" t="s">
        <v>577</v>
      </c>
      <c r="C183" s="13" t="s">
        <v>28</v>
      </c>
      <c r="D183" s="13" t="s">
        <v>28</v>
      </c>
      <c r="E183" s="14">
        <v>157.0</v>
      </c>
      <c r="F183" s="13" t="s">
        <v>29</v>
      </c>
      <c r="G183" s="13" t="s">
        <v>574</v>
      </c>
      <c r="H183" s="14">
        <v>950.0</v>
      </c>
      <c r="I183" s="14">
        <v>1675.0</v>
      </c>
      <c r="J183" s="14">
        <v>1585.0</v>
      </c>
      <c r="K183" s="13" t="s">
        <v>575</v>
      </c>
      <c r="L183" s="15"/>
      <c r="M183" s="15"/>
      <c r="N183" s="15"/>
      <c r="O183" s="15"/>
      <c r="P183" s="15"/>
      <c r="Q183" s="15"/>
      <c r="R183" s="15"/>
      <c r="S183" s="15"/>
      <c r="T183" s="15"/>
      <c r="U183" s="15"/>
      <c r="V183" s="15"/>
      <c r="W183" s="15"/>
      <c r="X183" s="15"/>
      <c r="Y183" s="15"/>
      <c r="Z183" s="16"/>
    </row>
    <row r="184">
      <c r="A184" s="12" t="s">
        <v>578</v>
      </c>
      <c r="B184" s="13" t="s">
        <v>579</v>
      </c>
      <c r="C184" s="13" t="s">
        <v>28</v>
      </c>
      <c r="D184" s="13" t="s">
        <v>28</v>
      </c>
      <c r="E184" s="14">
        <v>1798.0</v>
      </c>
      <c r="F184" s="13" t="s">
        <v>29</v>
      </c>
      <c r="G184" s="13" t="s">
        <v>574</v>
      </c>
      <c r="H184" s="14">
        <v>950.0</v>
      </c>
      <c r="I184" s="14">
        <v>1675.0</v>
      </c>
      <c r="J184" s="14">
        <v>1585.0</v>
      </c>
      <c r="K184" s="13" t="s">
        <v>575</v>
      </c>
      <c r="L184" s="15"/>
      <c r="M184" s="15"/>
      <c r="N184" s="15"/>
      <c r="O184" s="15"/>
      <c r="P184" s="15"/>
      <c r="Q184" s="15"/>
      <c r="R184" s="15"/>
      <c r="S184" s="15"/>
      <c r="T184" s="15"/>
      <c r="U184" s="15"/>
      <c r="V184" s="15"/>
      <c r="W184" s="15"/>
      <c r="X184" s="15"/>
      <c r="Y184" s="15"/>
      <c r="Z184" s="16"/>
    </row>
    <row r="185">
      <c r="A185" s="12" t="s">
        <v>580</v>
      </c>
      <c r="B185" s="13" t="s">
        <v>581</v>
      </c>
      <c r="C185" s="13" t="s">
        <v>28</v>
      </c>
      <c r="D185" s="13" t="s">
        <v>28</v>
      </c>
      <c r="E185" s="14">
        <v>1067.0</v>
      </c>
      <c r="F185" s="13" t="s">
        <v>29</v>
      </c>
      <c r="G185" s="13" t="s">
        <v>574</v>
      </c>
      <c r="H185" s="14">
        <v>950.0</v>
      </c>
      <c r="I185" s="14">
        <v>1675.0</v>
      </c>
      <c r="J185" s="14">
        <v>1585.0</v>
      </c>
      <c r="K185" s="13" t="s">
        <v>575</v>
      </c>
      <c r="L185" s="15"/>
      <c r="M185" s="15"/>
      <c r="N185" s="15"/>
      <c r="O185" s="15"/>
      <c r="P185" s="15"/>
      <c r="Q185" s="15"/>
      <c r="R185" s="15"/>
      <c r="S185" s="15"/>
      <c r="T185" s="15"/>
      <c r="U185" s="15"/>
      <c r="V185" s="15"/>
      <c r="W185" s="15"/>
      <c r="X185" s="15"/>
      <c r="Y185" s="15"/>
      <c r="Z185" s="16"/>
    </row>
    <row r="186">
      <c r="A186" s="12" t="s">
        <v>582</v>
      </c>
      <c r="B186" s="13" t="s">
        <v>583</v>
      </c>
      <c r="C186" s="13" t="s">
        <v>28</v>
      </c>
      <c r="D186" s="13" t="s">
        <v>28</v>
      </c>
      <c r="E186" s="14">
        <v>200.0</v>
      </c>
      <c r="F186" s="13" t="s">
        <v>584</v>
      </c>
      <c r="G186" s="13" t="s">
        <v>585</v>
      </c>
      <c r="H186" s="14">
        <v>950.0</v>
      </c>
      <c r="I186" s="14">
        <v>1675.0</v>
      </c>
      <c r="J186" s="14">
        <v>1585.0</v>
      </c>
      <c r="K186" s="17">
        <v>45148.806238425925</v>
      </c>
      <c r="L186" s="15"/>
      <c r="M186" s="15"/>
      <c r="N186" s="15"/>
      <c r="O186" s="15"/>
      <c r="P186" s="15"/>
      <c r="Q186" s="15"/>
      <c r="R186" s="15"/>
      <c r="S186" s="15"/>
      <c r="T186" s="15"/>
      <c r="U186" s="15"/>
      <c r="V186" s="15"/>
      <c r="W186" s="15"/>
      <c r="X186" s="15"/>
      <c r="Y186" s="15"/>
      <c r="Z186" s="16"/>
    </row>
    <row r="187">
      <c r="A187" s="12" t="s">
        <v>586</v>
      </c>
      <c r="B187" s="13" t="s">
        <v>587</v>
      </c>
      <c r="C187" s="13" t="s">
        <v>28</v>
      </c>
      <c r="D187" s="13" t="s">
        <v>28</v>
      </c>
      <c r="E187" s="14">
        <v>115.0</v>
      </c>
      <c r="F187" s="13" t="s">
        <v>584</v>
      </c>
      <c r="G187" s="13" t="s">
        <v>588</v>
      </c>
      <c r="H187" s="14">
        <v>950.0</v>
      </c>
      <c r="I187" s="14">
        <v>1675.0</v>
      </c>
      <c r="J187" s="14">
        <v>1585.0</v>
      </c>
      <c r="K187" s="17">
        <v>45148.80979166667</v>
      </c>
      <c r="L187" s="15"/>
      <c r="M187" s="15"/>
      <c r="N187" s="15"/>
      <c r="O187" s="15"/>
      <c r="P187" s="15"/>
      <c r="Q187" s="15"/>
      <c r="R187" s="15"/>
      <c r="S187" s="15"/>
      <c r="T187" s="15"/>
      <c r="U187" s="15"/>
      <c r="V187" s="15"/>
      <c r="W187" s="15"/>
      <c r="X187" s="15"/>
      <c r="Y187" s="15"/>
      <c r="Z187" s="16"/>
    </row>
    <row r="188">
      <c r="A188" s="12" t="s">
        <v>589</v>
      </c>
      <c r="B188" s="13" t="s">
        <v>590</v>
      </c>
      <c r="C188" s="13" t="s">
        <v>28</v>
      </c>
      <c r="D188" s="13" t="s">
        <v>28</v>
      </c>
      <c r="E188" s="14">
        <v>115.0</v>
      </c>
      <c r="F188" s="13" t="s">
        <v>584</v>
      </c>
      <c r="G188" s="13" t="s">
        <v>588</v>
      </c>
      <c r="H188" s="14">
        <v>950.0</v>
      </c>
      <c r="I188" s="14">
        <v>1675.0</v>
      </c>
      <c r="J188" s="14">
        <v>1585.0</v>
      </c>
      <c r="K188" s="17">
        <v>45148.81019675926</v>
      </c>
      <c r="L188" s="15"/>
      <c r="M188" s="15"/>
      <c r="N188" s="15"/>
      <c r="O188" s="15"/>
      <c r="P188" s="15"/>
      <c r="Q188" s="15"/>
      <c r="R188" s="15"/>
      <c r="S188" s="15"/>
      <c r="T188" s="15"/>
      <c r="U188" s="15"/>
      <c r="V188" s="15"/>
      <c r="W188" s="15"/>
      <c r="X188" s="15"/>
      <c r="Y188" s="15"/>
      <c r="Z188" s="16"/>
    </row>
    <row r="189">
      <c r="A189" s="12" t="s">
        <v>591</v>
      </c>
      <c r="B189" s="13" t="s">
        <v>592</v>
      </c>
      <c r="C189" s="13" t="s">
        <v>28</v>
      </c>
      <c r="D189" s="13" t="s">
        <v>28</v>
      </c>
      <c r="E189" s="14">
        <v>116.0</v>
      </c>
      <c r="F189" s="13" t="s">
        <v>584</v>
      </c>
      <c r="G189" s="13" t="s">
        <v>588</v>
      </c>
      <c r="H189" s="14">
        <v>950.0</v>
      </c>
      <c r="I189" s="14">
        <v>1675.0</v>
      </c>
      <c r="J189" s="14">
        <v>1585.0</v>
      </c>
      <c r="K189" s="17">
        <v>45148.81055555555</v>
      </c>
      <c r="L189" s="15"/>
      <c r="M189" s="15"/>
      <c r="N189" s="15"/>
      <c r="O189" s="15"/>
      <c r="P189" s="15"/>
      <c r="Q189" s="15"/>
      <c r="R189" s="15"/>
      <c r="S189" s="15"/>
      <c r="T189" s="15"/>
      <c r="U189" s="15"/>
      <c r="V189" s="15"/>
      <c r="W189" s="15"/>
      <c r="X189" s="15"/>
      <c r="Y189" s="15"/>
      <c r="Z189" s="16"/>
    </row>
    <row r="190">
      <c r="A190" s="12" t="s">
        <v>593</v>
      </c>
      <c r="B190" s="13" t="s">
        <v>594</v>
      </c>
      <c r="C190" s="13" t="s">
        <v>28</v>
      </c>
      <c r="D190" s="13" t="s">
        <v>28</v>
      </c>
      <c r="E190" s="14">
        <v>83.0</v>
      </c>
      <c r="F190" s="13" t="s">
        <v>584</v>
      </c>
      <c r="G190" s="13" t="s">
        <v>595</v>
      </c>
      <c r="H190" s="14">
        <v>-1.0</v>
      </c>
      <c r="I190" s="14">
        <v>-1.0</v>
      </c>
      <c r="J190" s="14">
        <v>-1.0</v>
      </c>
      <c r="K190" s="17">
        <v>45240.70079861111</v>
      </c>
      <c r="L190" s="15"/>
      <c r="M190" s="15"/>
      <c r="N190" s="15"/>
      <c r="O190" s="15"/>
      <c r="P190" s="15"/>
      <c r="Q190" s="15"/>
      <c r="R190" s="15"/>
      <c r="S190" s="15"/>
      <c r="T190" s="15"/>
      <c r="U190" s="15"/>
      <c r="V190" s="15"/>
      <c r="W190" s="15"/>
      <c r="X190" s="15"/>
      <c r="Y190" s="15"/>
      <c r="Z190" s="16"/>
    </row>
    <row r="191">
      <c r="A191" s="12" t="s">
        <v>596</v>
      </c>
      <c r="B191" s="13" t="s">
        <v>597</v>
      </c>
      <c r="C191" s="13" t="s">
        <v>28</v>
      </c>
      <c r="D191" s="13" t="s">
        <v>28</v>
      </c>
      <c r="E191" s="14">
        <v>189.0</v>
      </c>
      <c r="F191" s="13" t="s">
        <v>584</v>
      </c>
      <c r="G191" s="13" t="s">
        <v>595</v>
      </c>
      <c r="H191" s="14">
        <v>-1.0</v>
      </c>
      <c r="I191" s="14">
        <v>-1.0</v>
      </c>
      <c r="J191" s="14">
        <v>-1.0</v>
      </c>
      <c r="K191" s="17">
        <v>45240.7091550926</v>
      </c>
      <c r="L191" s="15"/>
      <c r="M191" s="15"/>
      <c r="N191" s="15"/>
      <c r="O191" s="15"/>
      <c r="P191" s="15"/>
      <c r="Q191" s="15"/>
      <c r="R191" s="15"/>
      <c r="S191" s="15"/>
      <c r="T191" s="15"/>
      <c r="U191" s="15"/>
      <c r="V191" s="15"/>
      <c r="W191" s="15"/>
      <c r="X191" s="15"/>
      <c r="Y191" s="15"/>
      <c r="Z191" s="16"/>
    </row>
    <row r="192">
      <c r="A192" s="12" t="s">
        <v>598</v>
      </c>
      <c r="B192" s="13" t="s">
        <v>599</v>
      </c>
      <c r="C192" s="13" t="s">
        <v>28</v>
      </c>
      <c r="D192" s="13" t="s">
        <v>28</v>
      </c>
      <c r="E192" s="14">
        <v>60.0</v>
      </c>
      <c r="F192" s="13" t="s">
        <v>584</v>
      </c>
      <c r="G192" s="13" t="s">
        <v>595</v>
      </c>
      <c r="H192" s="14">
        <v>-1.0</v>
      </c>
      <c r="I192" s="14">
        <v>-1.0</v>
      </c>
      <c r="J192" s="14">
        <v>-1.0</v>
      </c>
      <c r="K192" s="17">
        <v>45240.71671296297</v>
      </c>
      <c r="L192" s="15"/>
      <c r="M192" s="15"/>
      <c r="N192" s="15"/>
      <c r="O192" s="15"/>
      <c r="P192" s="15"/>
      <c r="Q192" s="15"/>
      <c r="R192" s="15"/>
      <c r="S192" s="15"/>
      <c r="T192" s="15"/>
      <c r="U192" s="15"/>
      <c r="V192" s="15"/>
      <c r="W192" s="15"/>
      <c r="X192" s="15"/>
      <c r="Y192" s="15"/>
      <c r="Z192" s="16"/>
    </row>
    <row r="193">
      <c r="A193" s="12" t="s">
        <v>600</v>
      </c>
      <c r="B193" s="13" t="s">
        <v>601</v>
      </c>
      <c r="C193" s="13" t="s">
        <v>28</v>
      </c>
      <c r="D193" s="13" t="s">
        <v>28</v>
      </c>
      <c r="E193" s="14">
        <v>200.0</v>
      </c>
      <c r="F193" s="13" t="s">
        <v>584</v>
      </c>
      <c r="G193" s="13" t="s">
        <v>585</v>
      </c>
      <c r="H193" s="14">
        <v>-1.0</v>
      </c>
      <c r="I193" s="14">
        <v>-1.0</v>
      </c>
      <c r="J193" s="14">
        <v>-1.0</v>
      </c>
      <c r="K193" s="17">
        <v>45240.74701388889</v>
      </c>
      <c r="L193" s="15"/>
      <c r="M193" s="15"/>
      <c r="N193" s="15"/>
      <c r="O193" s="15"/>
      <c r="P193" s="15"/>
      <c r="Q193" s="15"/>
      <c r="R193" s="15"/>
      <c r="S193" s="15"/>
      <c r="T193" s="15"/>
      <c r="U193" s="15"/>
      <c r="V193" s="15"/>
      <c r="W193" s="15"/>
      <c r="X193" s="15"/>
      <c r="Y193" s="15"/>
      <c r="Z193" s="16"/>
    </row>
    <row r="194">
      <c r="A194" s="12" t="s">
        <v>602</v>
      </c>
      <c r="B194" s="13" t="s">
        <v>603</v>
      </c>
      <c r="C194" s="13" t="s">
        <v>28</v>
      </c>
      <c r="D194" s="13" t="s">
        <v>28</v>
      </c>
      <c r="E194" s="14">
        <v>200.0</v>
      </c>
      <c r="F194" s="13" t="s">
        <v>584</v>
      </c>
      <c r="G194" s="13" t="s">
        <v>585</v>
      </c>
      <c r="H194" s="14">
        <v>-1.0</v>
      </c>
      <c r="I194" s="14">
        <v>-1.0</v>
      </c>
      <c r="J194" s="14">
        <v>-1.0</v>
      </c>
      <c r="K194" s="17">
        <v>45240.74994212963</v>
      </c>
      <c r="L194" s="15"/>
      <c r="M194" s="15"/>
      <c r="N194" s="15"/>
      <c r="O194" s="15"/>
      <c r="P194" s="15"/>
      <c r="Q194" s="15"/>
      <c r="R194" s="15"/>
      <c r="S194" s="15"/>
      <c r="T194" s="15"/>
      <c r="U194" s="15"/>
      <c r="V194" s="15"/>
      <c r="W194" s="15"/>
      <c r="X194" s="15"/>
      <c r="Y194" s="15"/>
      <c r="Z194" s="16"/>
    </row>
    <row r="195">
      <c r="A195" s="12" t="s">
        <v>604</v>
      </c>
      <c r="B195" s="13" t="s">
        <v>605</v>
      </c>
      <c r="C195" s="13" t="s">
        <v>28</v>
      </c>
      <c r="D195" s="13" t="s">
        <v>28</v>
      </c>
      <c r="E195" s="14">
        <v>100.0</v>
      </c>
      <c r="F195" s="13" t="s">
        <v>584</v>
      </c>
      <c r="G195" s="13" t="s">
        <v>606</v>
      </c>
      <c r="H195" s="14">
        <v>-1.0</v>
      </c>
      <c r="I195" s="14">
        <v>-1.0</v>
      </c>
      <c r="J195" s="14">
        <v>-1.0</v>
      </c>
      <c r="K195" s="17">
        <v>45270.54592592592</v>
      </c>
      <c r="L195" s="15"/>
      <c r="M195" s="15"/>
      <c r="N195" s="15"/>
      <c r="O195" s="15"/>
      <c r="P195" s="15"/>
      <c r="Q195" s="15"/>
      <c r="R195" s="15"/>
      <c r="S195" s="15"/>
      <c r="T195" s="15"/>
      <c r="U195" s="15"/>
      <c r="V195" s="15"/>
      <c r="W195" s="15"/>
      <c r="X195" s="15"/>
      <c r="Y195" s="15"/>
      <c r="Z195" s="16"/>
    </row>
    <row r="196">
      <c r="A196" s="12" t="s">
        <v>607</v>
      </c>
      <c r="B196" s="13" t="s">
        <v>608</v>
      </c>
      <c r="C196" s="13" t="s">
        <v>28</v>
      </c>
      <c r="D196" s="13" t="s">
        <v>28</v>
      </c>
      <c r="E196" s="14">
        <v>84.0</v>
      </c>
      <c r="F196" s="13" t="s">
        <v>584</v>
      </c>
      <c r="G196" s="13" t="s">
        <v>606</v>
      </c>
      <c r="H196" s="14">
        <v>-1.0</v>
      </c>
      <c r="I196" s="14">
        <v>-1.0</v>
      </c>
      <c r="J196" s="14">
        <v>-1.0</v>
      </c>
      <c r="K196" s="17">
        <v>45270.54908564815</v>
      </c>
      <c r="L196" s="15"/>
      <c r="M196" s="15"/>
      <c r="N196" s="15"/>
      <c r="O196" s="15"/>
      <c r="P196" s="15"/>
      <c r="Q196" s="15"/>
      <c r="R196" s="15"/>
      <c r="S196" s="15"/>
      <c r="T196" s="15"/>
      <c r="U196" s="15"/>
      <c r="V196" s="15"/>
      <c r="W196" s="15"/>
      <c r="X196" s="15"/>
      <c r="Y196" s="15"/>
      <c r="Z196" s="16"/>
    </row>
    <row r="197">
      <c r="A197" s="12" t="s">
        <v>609</v>
      </c>
      <c r="B197" s="13" t="s">
        <v>610</v>
      </c>
      <c r="C197" s="13" t="s">
        <v>28</v>
      </c>
      <c r="D197" s="13" t="s">
        <v>28</v>
      </c>
      <c r="E197" s="14">
        <v>100.0</v>
      </c>
      <c r="F197" s="13" t="s">
        <v>584</v>
      </c>
      <c r="G197" s="13" t="s">
        <v>606</v>
      </c>
      <c r="H197" s="14">
        <v>-1.0</v>
      </c>
      <c r="I197" s="14">
        <v>-1.0</v>
      </c>
      <c r="J197" s="14">
        <v>-1.0</v>
      </c>
      <c r="K197" s="17">
        <v>45270.549525462964</v>
      </c>
      <c r="L197" s="15"/>
      <c r="M197" s="15"/>
      <c r="N197" s="15"/>
      <c r="O197" s="15"/>
      <c r="P197" s="15"/>
      <c r="Q197" s="15"/>
      <c r="R197" s="15"/>
      <c r="S197" s="15"/>
      <c r="T197" s="15"/>
      <c r="U197" s="15"/>
      <c r="V197" s="15"/>
      <c r="W197" s="15"/>
      <c r="X197" s="15"/>
      <c r="Y197" s="15"/>
      <c r="Z197" s="16"/>
    </row>
    <row r="198">
      <c r="A198" s="12" t="s">
        <v>611</v>
      </c>
      <c r="B198" s="13" t="s">
        <v>612</v>
      </c>
      <c r="C198" s="13" t="s">
        <v>28</v>
      </c>
      <c r="D198" s="13" t="s">
        <v>28</v>
      </c>
      <c r="E198" s="14">
        <v>100.0</v>
      </c>
      <c r="F198" s="13" t="s">
        <v>584</v>
      </c>
      <c r="G198" s="13" t="s">
        <v>606</v>
      </c>
      <c r="H198" s="14">
        <v>-1.0</v>
      </c>
      <c r="I198" s="14">
        <v>-1.0</v>
      </c>
      <c r="J198" s="14">
        <v>-1.0</v>
      </c>
      <c r="K198" s="17">
        <v>45270.55</v>
      </c>
      <c r="L198" s="15"/>
      <c r="M198" s="15"/>
      <c r="N198" s="15"/>
      <c r="O198" s="15"/>
      <c r="P198" s="15"/>
      <c r="Q198" s="15"/>
      <c r="R198" s="15"/>
      <c r="S198" s="15"/>
      <c r="T198" s="15"/>
      <c r="U198" s="15"/>
      <c r="V198" s="15"/>
      <c r="W198" s="15"/>
      <c r="X198" s="15"/>
      <c r="Y198" s="15"/>
      <c r="Z198" s="16"/>
    </row>
    <row r="199">
      <c r="A199" s="12" t="s">
        <v>613</v>
      </c>
      <c r="B199" s="13" t="s">
        <v>614</v>
      </c>
      <c r="C199" s="13" t="s">
        <v>28</v>
      </c>
      <c r="D199" s="13" t="s">
        <v>28</v>
      </c>
      <c r="E199" s="14">
        <v>100.0</v>
      </c>
      <c r="F199" s="13" t="s">
        <v>584</v>
      </c>
      <c r="G199" s="13" t="s">
        <v>606</v>
      </c>
      <c r="H199" s="14">
        <v>-1.0</v>
      </c>
      <c r="I199" s="14">
        <v>-1.0</v>
      </c>
      <c r="J199" s="14">
        <v>-1.0</v>
      </c>
      <c r="K199" s="17">
        <v>45270.55045138889</v>
      </c>
      <c r="L199" s="15"/>
      <c r="M199" s="15"/>
      <c r="N199" s="15"/>
      <c r="O199" s="15"/>
      <c r="P199" s="15"/>
      <c r="Q199" s="15"/>
      <c r="R199" s="15"/>
      <c r="S199" s="15"/>
      <c r="T199" s="15"/>
      <c r="U199" s="15"/>
      <c r="V199" s="15"/>
      <c r="W199" s="15"/>
      <c r="X199" s="15"/>
      <c r="Y199" s="15"/>
      <c r="Z199" s="16"/>
    </row>
    <row r="200">
      <c r="A200" s="12" t="s">
        <v>615</v>
      </c>
      <c r="B200" s="13" t="s">
        <v>616</v>
      </c>
      <c r="C200" s="13" t="s">
        <v>28</v>
      </c>
      <c r="D200" s="13" t="s">
        <v>28</v>
      </c>
      <c r="E200" s="14">
        <v>1772.0</v>
      </c>
      <c r="F200" s="13" t="s">
        <v>29</v>
      </c>
      <c r="G200" s="13" t="s">
        <v>617</v>
      </c>
      <c r="H200" s="14">
        <v>-1.0</v>
      </c>
      <c r="I200" s="14">
        <v>-1.0</v>
      </c>
      <c r="J200" s="14">
        <v>-1.0</v>
      </c>
      <c r="K200" s="13" t="s">
        <v>618</v>
      </c>
      <c r="L200" s="15"/>
      <c r="M200" s="15"/>
      <c r="N200" s="15"/>
      <c r="O200" s="15"/>
      <c r="P200" s="15"/>
      <c r="Q200" s="15"/>
      <c r="R200" s="15"/>
      <c r="S200" s="15"/>
      <c r="T200" s="15"/>
      <c r="U200" s="15"/>
      <c r="V200" s="15"/>
      <c r="W200" s="15"/>
      <c r="X200" s="15"/>
      <c r="Y200" s="15"/>
      <c r="Z200" s="16"/>
    </row>
    <row r="201">
      <c r="A201" s="12" t="s">
        <v>619</v>
      </c>
      <c r="B201" s="13" t="s">
        <v>620</v>
      </c>
      <c r="C201" s="13" t="s">
        <v>28</v>
      </c>
      <c r="D201" s="13" t="s">
        <v>28</v>
      </c>
      <c r="E201" s="14">
        <v>829.0</v>
      </c>
      <c r="F201" s="13" t="s">
        <v>29</v>
      </c>
      <c r="G201" s="13" t="s">
        <v>617</v>
      </c>
      <c r="H201" s="14">
        <v>-1.0</v>
      </c>
      <c r="I201" s="14">
        <v>-1.0</v>
      </c>
      <c r="J201" s="14">
        <v>-1.0</v>
      </c>
      <c r="K201" s="13" t="s">
        <v>621</v>
      </c>
      <c r="L201" s="15"/>
      <c r="M201" s="15"/>
      <c r="N201" s="15"/>
      <c r="O201" s="15"/>
      <c r="P201" s="15"/>
      <c r="Q201" s="15"/>
      <c r="R201" s="15"/>
      <c r="S201" s="15"/>
      <c r="T201" s="15"/>
      <c r="U201" s="15"/>
      <c r="V201" s="15"/>
      <c r="W201" s="15"/>
      <c r="X201" s="15"/>
      <c r="Y201" s="15"/>
      <c r="Z201" s="16"/>
    </row>
    <row r="202">
      <c r="A202" s="12" t="s">
        <v>622</v>
      </c>
      <c r="B202" s="13" t="s">
        <v>623</v>
      </c>
      <c r="C202" s="13" t="s">
        <v>28</v>
      </c>
      <c r="D202" s="13" t="s">
        <v>28</v>
      </c>
      <c r="E202" s="14">
        <v>719.0</v>
      </c>
      <c r="F202" s="13" t="s">
        <v>29</v>
      </c>
      <c r="G202" s="13" t="s">
        <v>617</v>
      </c>
      <c r="H202" s="14">
        <v>-1.0</v>
      </c>
      <c r="I202" s="14">
        <v>-1.0</v>
      </c>
      <c r="J202" s="14">
        <v>-1.0</v>
      </c>
      <c r="K202" s="13" t="s">
        <v>624</v>
      </c>
      <c r="L202" s="15"/>
      <c r="M202" s="15"/>
      <c r="N202" s="15"/>
      <c r="O202" s="15"/>
      <c r="P202" s="15"/>
      <c r="Q202" s="15"/>
      <c r="R202" s="15"/>
      <c r="S202" s="15"/>
      <c r="T202" s="15"/>
      <c r="U202" s="15"/>
      <c r="V202" s="15"/>
      <c r="W202" s="15"/>
      <c r="X202" s="15"/>
      <c r="Y202" s="15"/>
      <c r="Z202" s="16"/>
    </row>
    <row r="203">
      <c r="A203" s="12" t="s">
        <v>625</v>
      </c>
      <c r="B203" s="13" t="s">
        <v>626</v>
      </c>
      <c r="C203" s="13" t="s">
        <v>28</v>
      </c>
      <c r="D203" s="13" t="s">
        <v>28</v>
      </c>
      <c r="E203" s="14">
        <v>1208.0</v>
      </c>
      <c r="F203" s="13" t="s">
        <v>29</v>
      </c>
      <c r="G203" s="13" t="s">
        <v>617</v>
      </c>
      <c r="H203" s="14">
        <v>-1.0</v>
      </c>
      <c r="I203" s="14">
        <v>-1.0</v>
      </c>
      <c r="J203" s="14">
        <v>-1.0</v>
      </c>
      <c r="K203" s="13" t="s">
        <v>627</v>
      </c>
      <c r="L203" s="15"/>
      <c r="M203" s="15"/>
      <c r="N203" s="15"/>
      <c r="O203" s="15"/>
      <c r="P203" s="15"/>
      <c r="Q203" s="15"/>
      <c r="R203" s="15"/>
      <c r="S203" s="15"/>
      <c r="T203" s="15"/>
      <c r="U203" s="15"/>
      <c r="V203" s="15"/>
      <c r="W203" s="15"/>
      <c r="X203" s="15"/>
      <c r="Y203" s="15"/>
      <c r="Z203" s="16"/>
    </row>
    <row r="204">
      <c r="A204" s="12" t="s">
        <v>628</v>
      </c>
      <c r="B204" s="13" t="s">
        <v>629</v>
      </c>
      <c r="C204" s="13" t="s">
        <v>28</v>
      </c>
      <c r="D204" s="13" t="s">
        <v>28</v>
      </c>
      <c r="E204" s="14">
        <v>191.0</v>
      </c>
      <c r="F204" s="13" t="s">
        <v>584</v>
      </c>
      <c r="G204" s="13" t="s">
        <v>595</v>
      </c>
      <c r="H204" s="14">
        <v>-1.0</v>
      </c>
      <c r="I204" s="14">
        <v>-1.0</v>
      </c>
      <c r="J204" s="14">
        <v>-1.0</v>
      </c>
      <c r="K204" s="13" t="s">
        <v>630</v>
      </c>
      <c r="L204" s="15"/>
      <c r="M204" s="15"/>
      <c r="N204" s="15"/>
      <c r="O204" s="15"/>
      <c r="P204" s="15"/>
      <c r="Q204" s="15"/>
      <c r="R204" s="15"/>
      <c r="S204" s="15"/>
      <c r="T204" s="15"/>
      <c r="U204" s="15"/>
      <c r="V204" s="15"/>
      <c r="W204" s="15"/>
      <c r="X204" s="15"/>
      <c r="Y204" s="15"/>
      <c r="Z204" s="16"/>
    </row>
    <row r="205">
      <c r="A205" s="12" t="s">
        <v>631</v>
      </c>
      <c r="B205" s="13" t="s">
        <v>632</v>
      </c>
      <c r="C205" s="13" t="s">
        <v>28</v>
      </c>
      <c r="D205" s="13" t="s">
        <v>28</v>
      </c>
      <c r="E205" s="14">
        <v>147.0</v>
      </c>
      <c r="F205" s="13" t="s">
        <v>584</v>
      </c>
      <c r="G205" s="13" t="s">
        <v>595</v>
      </c>
      <c r="H205" s="14">
        <v>-1.0</v>
      </c>
      <c r="I205" s="14">
        <v>-1.0</v>
      </c>
      <c r="J205" s="14">
        <v>-1.0</v>
      </c>
      <c r="K205" s="13" t="s">
        <v>633</v>
      </c>
      <c r="L205" s="15"/>
      <c r="M205" s="15"/>
      <c r="N205" s="15"/>
      <c r="O205" s="15"/>
      <c r="P205" s="15"/>
      <c r="Q205" s="15"/>
      <c r="R205" s="15"/>
      <c r="S205" s="15"/>
      <c r="T205" s="15"/>
      <c r="U205" s="15"/>
      <c r="V205" s="15"/>
      <c r="W205" s="15"/>
      <c r="X205" s="15"/>
      <c r="Y205" s="15"/>
      <c r="Z205" s="16"/>
    </row>
    <row r="206">
      <c r="A206" s="12" t="s">
        <v>634</v>
      </c>
      <c r="B206" s="13" t="s">
        <v>635</v>
      </c>
      <c r="C206" s="13" t="s">
        <v>28</v>
      </c>
      <c r="D206" s="13" t="s">
        <v>28</v>
      </c>
      <c r="E206" s="14">
        <v>60.0</v>
      </c>
      <c r="F206" s="13" t="s">
        <v>584</v>
      </c>
      <c r="G206" s="13" t="s">
        <v>636</v>
      </c>
      <c r="H206" s="14">
        <v>-1.0</v>
      </c>
      <c r="I206" s="14">
        <v>-1.0</v>
      </c>
      <c r="J206" s="14">
        <v>-1.0</v>
      </c>
      <c r="K206" s="13" t="s">
        <v>637</v>
      </c>
      <c r="L206" s="15"/>
      <c r="M206" s="15"/>
      <c r="N206" s="15"/>
      <c r="O206" s="15"/>
      <c r="P206" s="15"/>
      <c r="Q206" s="15"/>
      <c r="R206" s="15"/>
      <c r="S206" s="15"/>
      <c r="T206" s="15"/>
      <c r="U206" s="15"/>
      <c r="V206" s="15"/>
      <c r="W206" s="15"/>
      <c r="X206" s="15"/>
      <c r="Y206" s="15"/>
      <c r="Z206" s="16"/>
    </row>
    <row r="207">
      <c r="A207" s="12" t="s">
        <v>638</v>
      </c>
      <c r="B207" s="13" t="s">
        <v>639</v>
      </c>
      <c r="C207" s="13" t="s">
        <v>28</v>
      </c>
      <c r="D207" s="13" t="s">
        <v>28</v>
      </c>
      <c r="E207" s="14">
        <v>44.0</v>
      </c>
      <c r="F207" s="13" t="s">
        <v>584</v>
      </c>
      <c r="G207" s="13" t="s">
        <v>606</v>
      </c>
      <c r="H207" s="14">
        <v>-1.0</v>
      </c>
      <c r="I207" s="14">
        <v>-1.0</v>
      </c>
      <c r="J207" s="14">
        <v>-1.0</v>
      </c>
      <c r="K207" s="13" t="s">
        <v>640</v>
      </c>
      <c r="L207" s="15"/>
      <c r="M207" s="15"/>
      <c r="N207" s="15"/>
      <c r="O207" s="15"/>
      <c r="P207" s="15"/>
      <c r="Q207" s="15"/>
      <c r="R207" s="15"/>
      <c r="S207" s="15"/>
      <c r="T207" s="15"/>
      <c r="U207" s="15"/>
      <c r="V207" s="15"/>
      <c r="W207" s="15"/>
      <c r="X207" s="15"/>
      <c r="Y207" s="15"/>
      <c r="Z207" s="16"/>
    </row>
    <row r="208">
      <c r="A208" s="12" t="s">
        <v>641</v>
      </c>
      <c r="B208" s="13" t="s">
        <v>642</v>
      </c>
      <c r="C208" s="13" t="s">
        <v>28</v>
      </c>
      <c r="D208" s="13" t="s">
        <v>28</v>
      </c>
      <c r="E208" s="14">
        <v>45.0</v>
      </c>
      <c r="F208" s="13" t="s">
        <v>584</v>
      </c>
      <c r="G208" s="13" t="s">
        <v>606</v>
      </c>
      <c r="H208" s="14">
        <v>-1.0</v>
      </c>
      <c r="I208" s="14">
        <v>-1.0</v>
      </c>
      <c r="J208" s="14">
        <v>-1.0</v>
      </c>
      <c r="K208" s="13" t="s">
        <v>643</v>
      </c>
      <c r="L208" s="15"/>
      <c r="M208" s="15"/>
      <c r="N208" s="15"/>
      <c r="O208" s="15"/>
      <c r="P208" s="15"/>
      <c r="Q208" s="15"/>
      <c r="R208" s="15"/>
      <c r="S208" s="15"/>
      <c r="T208" s="15"/>
      <c r="U208" s="15"/>
      <c r="V208" s="15"/>
      <c r="W208" s="15"/>
      <c r="X208" s="15"/>
      <c r="Y208" s="15"/>
      <c r="Z208" s="16"/>
    </row>
    <row r="209">
      <c r="A209" s="12" t="s">
        <v>644</v>
      </c>
      <c r="B209" s="13" t="s">
        <v>645</v>
      </c>
      <c r="C209" s="13" t="s">
        <v>28</v>
      </c>
      <c r="D209" s="13" t="s">
        <v>28</v>
      </c>
      <c r="E209" s="14">
        <v>1066.0</v>
      </c>
      <c r="F209" s="13" t="s">
        <v>584</v>
      </c>
      <c r="G209" s="13" t="s">
        <v>636</v>
      </c>
      <c r="H209" s="14">
        <v>-1.0</v>
      </c>
      <c r="I209" s="14">
        <v>-1.0</v>
      </c>
      <c r="J209" s="14">
        <v>-1.0</v>
      </c>
      <c r="K209" s="13" t="s">
        <v>646</v>
      </c>
      <c r="L209" s="15"/>
      <c r="M209" s="15"/>
      <c r="N209" s="15"/>
      <c r="O209" s="15"/>
      <c r="P209" s="15"/>
      <c r="Q209" s="15"/>
      <c r="R209" s="15"/>
      <c r="S209" s="15"/>
      <c r="T209" s="15"/>
      <c r="U209" s="15"/>
      <c r="V209" s="15"/>
      <c r="W209" s="15"/>
      <c r="X209" s="15"/>
      <c r="Y209" s="15"/>
      <c r="Z209" s="16"/>
    </row>
    <row r="210">
      <c r="A210" s="12" t="s">
        <v>647</v>
      </c>
      <c r="B210" s="13" t="s">
        <v>648</v>
      </c>
      <c r="C210" s="13" t="s">
        <v>28</v>
      </c>
      <c r="D210" s="13" t="s">
        <v>28</v>
      </c>
      <c r="E210" s="14">
        <v>764.0</v>
      </c>
      <c r="F210" s="13" t="s">
        <v>29</v>
      </c>
      <c r="G210" s="13" t="s">
        <v>649</v>
      </c>
      <c r="H210" s="14">
        <v>-1.0</v>
      </c>
      <c r="I210" s="14">
        <v>-1.0</v>
      </c>
      <c r="J210" s="14">
        <v>-1.0</v>
      </c>
      <c r="K210" s="13" t="s">
        <v>650</v>
      </c>
      <c r="L210" s="15"/>
      <c r="M210" s="15"/>
      <c r="N210" s="15"/>
      <c r="O210" s="15"/>
      <c r="P210" s="15"/>
      <c r="Q210" s="15"/>
      <c r="R210" s="15"/>
      <c r="S210" s="15"/>
      <c r="T210" s="15"/>
      <c r="U210" s="15"/>
      <c r="V210" s="15"/>
      <c r="W210" s="15"/>
      <c r="X210" s="15"/>
      <c r="Y210" s="15"/>
      <c r="Z210" s="16"/>
    </row>
    <row r="211">
      <c r="A211" s="12" t="s">
        <v>651</v>
      </c>
      <c r="B211" s="13" t="s">
        <v>652</v>
      </c>
      <c r="C211" s="13" t="s">
        <v>28</v>
      </c>
      <c r="D211" s="13" t="s">
        <v>28</v>
      </c>
      <c r="E211" s="14">
        <v>1347.0</v>
      </c>
      <c r="F211" s="13" t="s">
        <v>29</v>
      </c>
      <c r="G211" s="13" t="s">
        <v>649</v>
      </c>
      <c r="H211" s="14">
        <v>-1.0</v>
      </c>
      <c r="I211" s="14">
        <v>-1.0</v>
      </c>
      <c r="J211" s="14">
        <v>-1.0</v>
      </c>
      <c r="K211" s="13" t="s">
        <v>653</v>
      </c>
      <c r="L211" s="15"/>
      <c r="M211" s="15"/>
      <c r="N211" s="15"/>
      <c r="O211" s="15"/>
      <c r="P211" s="15"/>
      <c r="Q211" s="15"/>
      <c r="R211" s="15"/>
      <c r="S211" s="15"/>
      <c r="T211" s="15"/>
      <c r="U211" s="15"/>
      <c r="V211" s="15"/>
      <c r="W211" s="15"/>
      <c r="X211" s="15"/>
      <c r="Y211" s="15"/>
      <c r="Z211" s="16"/>
    </row>
    <row r="212">
      <c r="A212" s="12" t="s">
        <v>654</v>
      </c>
      <c r="B212" s="13" t="s">
        <v>655</v>
      </c>
      <c r="C212" s="13" t="s">
        <v>28</v>
      </c>
      <c r="D212" s="13" t="s">
        <v>28</v>
      </c>
      <c r="E212" s="14">
        <v>1603.0</v>
      </c>
      <c r="F212" s="13" t="s">
        <v>29</v>
      </c>
      <c r="G212" s="13" t="s">
        <v>649</v>
      </c>
      <c r="H212" s="14">
        <v>-1.0</v>
      </c>
      <c r="I212" s="14">
        <v>-1.0</v>
      </c>
      <c r="J212" s="14">
        <v>-1.0</v>
      </c>
      <c r="K212" s="13" t="s">
        <v>656</v>
      </c>
      <c r="L212" s="15"/>
      <c r="M212" s="15"/>
      <c r="N212" s="15"/>
      <c r="O212" s="15"/>
      <c r="P212" s="15"/>
      <c r="Q212" s="15"/>
      <c r="R212" s="15"/>
      <c r="S212" s="15"/>
      <c r="T212" s="15"/>
      <c r="U212" s="15"/>
      <c r="V212" s="15"/>
      <c r="W212" s="15"/>
      <c r="X212" s="15"/>
      <c r="Y212" s="15"/>
      <c r="Z212" s="16"/>
    </row>
    <row r="213">
      <c r="A213" s="12" t="s">
        <v>657</v>
      </c>
      <c r="B213" s="13" t="s">
        <v>658</v>
      </c>
      <c r="C213" s="13" t="s">
        <v>28</v>
      </c>
      <c r="D213" s="13" t="s">
        <v>28</v>
      </c>
      <c r="E213" s="14">
        <v>831.0</v>
      </c>
      <c r="F213" s="13" t="s">
        <v>29</v>
      </c>
      <c r="G213" s="13" t="s">
        <v>649</v>
      </c>
      <c r="H213" s="14">
        <v>-1.0</v>
      </c>
      <c r="I213" s="14">
        <v>-1.0</v>
      </c>
      <c r="J213" s="14">
        <v>-1.0</v>
      </c>
      <c r="K213" s="13" t="s">
        <v>659</v>
      </c>
      <c r="L213" s="15"/>
      <c r="M213" s="15"/>
      <c r="N213" s="15"/>
      <c r="O213" s="15"/>
      <c r="P213" s="15"/>
      <c r="Q213" s="15"/>
      <c r="R213" s="15"/>
      <c r="S213" s="15"/>
      <c r="T213" s="15"/>
      <c r="U213" s="15"/>
      <c r="V213" s="15"/>
      <c r="W213" s="15"/>
      <c r="X213" s="15"/>
      <c r="Y213" s="15"/>
      <c r="Z213" s="16"/>
    </row>
    <row r="214">
      <c r="A214" s="12" t="s">
        <v>660</v>
      </c>
      <c r="B214" s="13" t="s">
        <v>661</v>
      </c>
      <c r="C214" s="13" t="s">
        <v>28</v>
      </c>
      <c r="D214" s="13" t="s">
        <v>28</v>
      </c>
      <c r="E214" s="14">
        <v>15760.0</v>
      </c>
      <c r="F214" s="13" t="s">
        <v>29</v>
      </c>
      <c r="G214" s="13" t="s">
        <v>662</v>
      </c>
      <c r="H214" s="14">
        <v>-1.0</v>
      </c>
      <c r="I214" s="14">
        <v>-1.0</v>
      </c>
      <c r="J214" s="14">
        <v>-1.0</v>
      </c>
      <c r="K214" s="13" t="s">
        <v>663</v>
      </c>
      <c r="L214" s="15"/>
      <c r="M214" s="15"/>
      <c r="N214" s="15"/>
      <c r="O214" s="15"/>
      <c r="P214" s="15"/>
      <c r="Q214" s="15"/>
      <c r="R214" s="15"/>
      <c r="S214" s="15"/>
      <c r="T214" s="15"/>
      <c r="U214" s="15"/>
      <c r="V214" s="15"/>
      <c r="W214" s="15"/>
      <c r="X214" s="15"/>
      <c r="Y214" s="15"/>
      <c r="Z214" s="16"/>
    </row>
    <row r="215">
      <c r="A215" s="12" t="s">
        <v>664</v>
      </c>
      <c r="B215" s="13" t="s">
        <v>665</v>
      </c>
      <c r="C215" s="13" t="s">
        <v>28</v>
      </c>
      <c r="D215" s="13" t="s">
        <v>28</v>
      </c>
      <c r="E215" s="14">
        <v>4888.0</v>
      </c>
      <c r="F215" s="13" t="s">
        <v>29</v>
      </c>
      <c r="G215" s="13" t="s">
        <v>662</v>
      </c>
      <c r="H215" s="14">
        <v>-1.0</v>
      </c>
      <c r="I215" s="14">
        <v>-1.0</v>
      </c>
      <c r="J215" s="14">
        <v>-1.0</v>
      </c>
      <c r="K215" s="13" t="s">
        <v>666</v>
      </c>
      <c r="L215" s="15"/>
      <c r="M215" s="15"/>
      <c r="N215" s="15"/>
      <c r="O215" s="15"/>
      <c r="P215" s="15"/>
      <c r="Q215" s="15"/>
      <c r="R215" s="15"/>
      <c r="S215" s="15"/>
      <c r="T215" s="15"/>
      <c r="U215" s="15"/>
      <c r="V215" s="15"/>
      <c r="W215" s="15"/>
      <c r="X215" s="15"/>
      <c r="Y215" s="15"/>
      <c r="Z215" s="16"/>
    </row>
    <row r="216">
      <c r="A216" s="12" t="s">
        <v>667</v>
      </c>
      <c r="B216" s="13" t="s">
        <v>668</v>
      </c>
      <c r="C216" s="13" t="s">
        <v>28</v>
      </c>
      <c r="D216" s="13" t="s">
        <v>28</v>
      </c>
      <c r="E216" s="14">
        <v>3878.0</v>
      </c>
      <c r="F216" s="13" t="s">
        <v>29</v>
      </c>
      <c r="G216" s="13" t="s">
        <v>649</v>
      </c>
      <c r="H216" s="14">
        <v>-1.0</v>
      </c>
      <c r="I216" s="14">
        <v>-1.0</v>
      </c>
      <c r="J216" s="14">
        <v>-1.0</v>
      </c>
      <c r="K216" s="17">
        <v>45568.70694444445</v>
      </c>
      <c r="L216" s="15"/>
      <c r="M216" s="15"/>
      <c r="N216" s="15"/>
      <c r="O216" s="15"/>
      <c r="P216" s="15"/>
      <c r="Q216" s="15"/>
      <c r="R216" s="15"/>
      <c r="S216" s="15"/>
      <c r="T216" s="15"/>
      <c r="U216" s="15"/>
      <c r="V216" s="15"/>
      <c r="W216" s="15"/>
      <c r="X216" s="15"/>
      <c r="Y216" s="15"/>
      <c r="Z216" s="16"/>
    </row>
    <row r="217">
      <c r="A217" s="12" t="s">
        <v>669</v>
      </c>
      <c r="B217" s="13" t="s">
        <v>670</v>
      </c>
      <c r="C217" s="13" t="s">
        <v>28</v>
      </c>
      <c r="D217" s="13" t="s">
        <v>28</v>
      </c>
      <c r="E217" s="14">
        <v>1147.0</v>
      </c>
      <c r="F217" s="13" t="s">
        <v>29</v>
      </c>
      <c r="G217" s="13" t="s">
        <v>649</v>
      </c>
      <c r="H217" s="14">
        <v>-1.0</v>
      </c>
      <c r="I217" s="14">
        <v>-1.0</v>
      </c>
      <c r="J217" s="14">
        <v>-1.0</v>
      </c>
      <c r="K217" s="17">
        <v>45568.70935185185</v>
      </c>
      <c r="L217" s="15"/>
      <c r="M217" s="15"/>
      <c r="N217" s="15"/>
      <c r="O217" s="15"/>
      <c r="P217" s="15"/>
      <c r="Q217" s="15"/>
      <c r="R217" s="15"/>
      <c r="S217" s="15"/>
      <c r="T217" s="15"/>
      <c r="U217" s="15"/>
      <c r="V217" s="15"/>
      <c r="W217" s="15"/>
      <c r="X217" s="15"/>
      <c r="Y217" s="15"/>
      <c r="Z217" s="16"/>
    </row>
    <row r="218">
      <c r="A218" s="12" t="s">
        <v>671</v>
      </c>
      <c r="B218" s="13" t="s">
        <v>672</v>
      </c>
      <c r="C218" s="13" t="s">
        <v>28</v>
      </c>
      <c r="D218" s="13" t="s">
        <v>28</v>
      </c>
      <c r="E218" s="14">
        <v>200.0</v>
      </c>
      <c r="F218" s="13" t="s">
        <v>584</v>
      </c>
      <c r="G218" s="13" t="s">
        <v>673</v>
      </c>
      <c r="H218" s="14">
        <v>-1.0</v>
      </c>
      <c r="I218" s="14">
        <v>-1.0</v>
      </c>
      <c r="J218" s="14">
        <v>-1.0</v>
      </c>
      <c r="K218" s="17">
        <v>45568.72657407407</v>
      </c>
      <c r="L218" s="15"/>
      <c r="M218" s="15"/>
      <c r="N218" s="15"/>
      <c r="O218" s="15"/>
      <c r="P218" s="15"/>
      <c r="Q218" s="15"/>
      <c r="R218" s="15"/>
      <c r="S218" s="15"/>
      <c r="T218" s="15"/>
      <c r="U218" s="15"/>
      <c r="V218" s="15"/>
      <c r="W218" s="15"/>
      <c r="X218" s="15"/>
      <c r="Y218" s="15"/>
      <c r="Z218" s="16"/>
    </row>
    <row r="219">
      <c r="A219" s="12" t="s">
        <v>674</v>
      </c>
      <c r="B219" s="13" t="s">
        <v>675</v>
      </c>
      <c r="C219" s="13" t="s">
        <v>28</v>
      </c>
      <c r="D219" s="13" t="s">
        <v>28</v>
      </c>
      <c r="E219" s="14">
        <v>53.0</v>
      </c>
      <c r="F219" s="13" t="s">
        <v>584</v>
      </c>
      <c r="G219" s="13" t="s">
        <v>676</v>
      </c>
      <c r="H219" s="14">
        <v>-1.0</v>
      </c>
      <c r="I219" s="14">
        <v>-1.0</v>
      </c>
      <c r="J219" s="14">
        <v>-1.0</v>
      </c>
      <c r="K219" s="13" t="s">
        <v>677</v>
      </c>
      <c r="L219" s="15"/>
      <c r="M219" s="15"/>
      <c r="N219" s="15"/>
      <c r="O219" s="15"/>
      <c r="P219" s="15"/>
      <c r="Q219" s="15"/>
      <c r="R219" s="15"/>
      <c r="S219" s="15"/>
      <c r="T219" s="15"/>
      <c r="U219" s="15"/>
      <c r="V219" s="15"/>
      <c r="W219" s="15"/>
      <c r="X219" s="15"/>
      <c r="Y219" s="15"/>
      <c r="Z219" s="16"/>
    </row>
    <row r="220">
      <c r="A220" s="12" t="s">
        <v>678</v>
      </c>
      <c r="B220" s="13" t="s">
        <v>679</v>
      </c>
      <c r="C220" s="13" t="s">
        <v>28</v>
      </c>
      <c r="D220" s="13" t="s">
        <v>28</v>
      </c>
      <c r="E220" s="14">
        <v>120.0</v>
      </c>
      <c r="F220" s="13" t="s">
        <v>584</v>
      </c>
      <c r="G220" s="13" t="s">
        <v>680</v>
      </c>
      <c r="H220" s="14">
        <v>-1.0</v>
      </c>
      <c r="I220" s="14">
        <v>-1.0</v>
      </c>
      <c r="J220" s="14">
        <v>-1.0</v>
      </c>
      <c r="K220" s="17">
        <v>45388.55490740741</v>
      </c>
      <c r="L220" s="15"/>
      <c r="M220" s="15"/>
      <c r="N220" s="15"/>
      <c r="O220" s="15"/>
      <c r="P220" s="15"/>
      <c r="Q220" s="15"/>
      <c r="R220" s="15"/>
      <c r="S220" s="15"/>
      <c r="T220" s="15"/>
      <c r="U220" s="15"/>
      <c r="V220" s="15"/>
      <c r="W220" s="15"/>
      <c r="X220" s="15"/>
      <c r="Y220" s="15"/>
      <c r="Z220" s="16"/>
    </row>
    <row r="221">
      <c r="A221" s="12" t="s">
        <v>681</v>
      </c>
      <c r="B221" s="13" t="s">
        <v>682</v>
      </c>
      <c r="C221" s="13" t="s">
        <v>28</v>
      </c>
      <c r="D221" s="13" t="s">
        <v>28</v>
      </c>
      <c r="E221" s="14">
        <v>120.0</v>
      </c>
      <c r="F221" s="13" t="s">
        <v>584</v>
      </c>
      <c r="G221" s="13" t="s">
        <v>683</v>
      </c>
      <c r="H221" s="14">
        <v>-1.0</v>
      </c>
      <c r="I221" s="14">
        <v>-1.0</v>
      </c>
      <c r="J221" s="14">
        <v>-1.0</v>
      </c>
      <c r="K221" s="17">
        <v>45388.5550462963</v>
      </c>
      <c r="L221" s="15"/>
      <c r="M221" s="15"/>
      <c r="N221" s="15"/>
      <c r="O221" s="15"/>
      <c r="P221" s="15"/>
      <c r="Q221" s="15"/>
      <c r="R221" s="15"/>
      <c r="S221" s="15"/>
      <c r="T221" s="15"/>
      <c r="U221" s="15"/>
      <c r="V221" s="15"/>
      <c r="W221" s="15"/>
      <c r="X221" s="15"/>
      <c r="Y221" s="15"/>
      <c r="Z221" s="16"/>
    </row>
    <row r="222">
      <c r="A222" s="12" t="s">
        <v>684</v>
      </c>
      <c r="B222" s="13" t="s">
        <v>685</v>
      </c>
      <c r="C222" s="13" t="s">
        <v>28</v>
      </c>
      <c r="D222" s="13" t="s">
        <v>28</v>
      </c>
      <c r="E222" s="14">
        <v>120.0</v>
      </c>
      <c r="F222" s="13" t="s">
        <v>584</v>
      </c>
      <c r="G222" s="13" t="s">
        <v>686</v>
      </c>
      <c r="H222" s="14">
        <v>-1.0</v>
      </c>
      <c r="I222" s="14">
        <v>-1.0</v>
      </c>
      <c r="J222" s="14">
        <v>-1.0</v>
      </c>
      <c r="K222" s="17">
        <v>45388.55517361111</v>
      </c>
      <c r="L222" s="15"/>
      <c r="M222" s="15"/>
      <c r="N222" s="15"/>
      <c r="O222" s="15"/>
      <c r="P222" s="15"/>
      <c r="Q222" s="15"/>
      <c r="R222" s="15"/>
      <c r="S222" s="15"/>
      <c r="T222" s="15"/>
      <c r="U222" s="15"/>
      <c r="V222" s="15"/>
      <c r="W222" s="15"/>
      <c r="X222" s="15"/>
      <c r="Y222" s="15"/>
      <c r="Z222" s="16"/>
    </row>
    <row r="223">
      <c r="A223" s="12" t="s">
        <v>687</v>
      </c>
      <c r="B223" s="13" t="s">
        <v>688</v>
      </c>
      <c r="C223" s="13" t="s">
        <v>28</v>
      </c>
      <c r="D223" s="13" t="s">
        <v>28</v>
      </c>
      <c r="E223" s="14">
        <v>49.0</v>
      </c>
      <c r="F223" s="13" t="s">
        <v>584</v>
      </c>
      <c r="G223" s="13" t="s">
        <v>686</v>
      </c>
      <c r="H223" s="14">
        <v>-1.0</v>
      </c>
      <c r="I223" s="14">
        <v>-1.0</v>
      </c>
      <c r="J223" s="14">
        <v>-1.0</v>
      </c>
      <c r="K223" s="17">
        <v>45388.55528935185</v>
      </c>
      <c r="L223" s="15"/>
      <c r="M223" s="15"/>
      <c r="N223" s="15"/>
      <c r="O223" s="15"/>
      <c r="P223" s="15"/>
      <c r="Q223" s="15"/>
      <c r="R223" s="15"/>
      <c r="S223" s="15"/>
      <c r="T223" s="15"/>
      <c r="U223" s="15"/>
      <c r="V223" s="15"/>
      <c r="W223" s="15"/>
      <c r="X223" s="15"/>
      <c r="Y223" s="15"/>
      <c r="Z223" s="16"/>
    </row>
    <row r="224">
      <c r="A224" s="12" t="s">
        <v>689</v>
      </c>
      <c r="B224" s="13" t="s">
        <v>690</v>
      </c>
      <c r="C224" s="13" t="s">
        <v>28</v>
      </c>
      <c r="D224" s="13" t="s">
        <v>28</v>
      </c>
      <c r="E224" s="14">
        <v>180.0</v>
      </c>
      <c r="F224" s="13" t="s">
        <v>584</v>
      </c>
      <c r="G224" s="13" t="s">
        <v>680</v>
      </c>
      <c r="H224" s="14">
        <v>-1.0</v>
      </c>
      <c r="I224" s="14">
        <v>-1.0</v>
      </c>
      <c r="J224" s="14">
        <v>-1.0</v>
      </c>
      <c r="K224" s="17">
        <v>45388.555439814816</v>
      </c>
      <c r="L224" s="15"/>
      <c r="M224" s="15"/>
      <c r="N224" s="15"/>
      <c r="O224" s="15"/>
      <c r="P224" s="15"/>
      <c r="Q224" s="15"/>
      <c r="R224" s="15"/>
      <c r="S224" s="15"/>
      <c r="T224" s="15"/>
      <c r="U224" s="15"/>
      <c r="V224" s="15"/>
      <c r="W224" s="15"/>
      <c r="X224" s="15"/>
      <c r="Y224" s="15"/>
      <c r="Z224" s="16"/>
    </row>
    <row r="225">
      <c r="A225" s="12" t="s">
        <v>691</v>
      </c>
      <c r="B225" s="13" t="s">
        <v>692</v>
      </c>
      <c r="C225" s="13" t="s">
        <v>28</v>
      </c>
      <c r="D225" s="13" t="s">
        <v>28</v>
      </c>
      <c r="E225" s="14">
        <v>58.0</v>
      </c>
      <c r="F225" s="13" t="s">
        <v>584</v>
      </c>
      <c r="G225" s="13" t="s">
        <v>686</v>
      </c>
      <c r="H225" s="14">
        <v>-1.0</v>
      </c>
      <c r="I225" s="14">
        <v>-1.0</v>
      </c>
      <c r="J225" s="14">
        <v>-1.0</v>
      </c>
      <c r="K225" s="17">
        <v>45388.555555555555</v>
      </c>
      <c r="L225" s="15"/>
      <c r="M225" s="15"/>
      <c r="N225" s="15"/>
      <c r="O225" s="15"/>
      <c r="P225" s="15"/>
      <c r="Q225" s="15"/>
      <c r="R225" s="15"/>
      <c r="S225" s="15"/>
      <c r="T225" s="15"/>
      <c r="U225" s="15"/>
      <c r="V225" s="15"/>
      <c r="W225" s="15"/>
      <c r="X225" s="15"/>
      <c r="Y225" s="15"/>
      <c r="Z225" s="16"/>
    </row>
    <row r="226">
      <c r="A226" s="12" t="s">
        <v>693</v>
      </c>
      <c r="B226" s="13" t="s">
        <v>694</v>
      </c>
      <c r="C226" s="13" t="s">
        <v>28</v>
      </c>
      <c r="D226" s="13" t="s">
        <v>28</v>
      </c>
      <c r="E226" s="14">
        <v>240.0</v>
      </c>
      <c r="F226" s="13" t="s">
        <v>584</v>
      </c>
      <c r="G226" s="13" t="s">
        <v>680</v>
      </c>
      <c r="H226" s="14">
        <v>-1.0</v>
      </c>
      <c r="I226" s="14">
        <v>-1.0</v>
      </c>
      <c r="J226" s="14">
        <v>-1.0</v>
      </c>
      <c r="K226" s="17">
        <v>45388.55571759259</v>
      </c>
      <c r="L226" s="15"/>
      <c r="M226" s="15"/>
      <c r="N226" s="15"/>
      <c r="O226" s="15"/>
      <c r="P226" s="15"/>
      <c r="Q226" s="15"/>
      <c r="R226" s="15"/>
      <c r="S226" s="15"/>
      <c r="T226" s="15"/>
      <c r="U226" s="15"/>
      <c r="V226" s="15"/>
      <c r="W226" s="15"/>
      <c r="X226" s="15"/>
      <c r="Y226" s="15"/>
      <c r="Z226" s="16"/>
    </row>
    <row r="227">
      <c r="A227" s="12" t="s">
        <v>695</v>
      </c>
      <c r="B227" s="13" t="s">
        <v>696</v>
      </c>
      <c r="C227" s="13" t="s">
        <v>28</v>
      </c>
      <c r="D227" s="13" t="s">
        <v>28</v>
      </c>
      <c r="E227" s="14">
        <v>180.0</v>
      </c>
      <c r="F227" s="13" t="s">
        <v>584</v>
      </c>
      <c r="G227" s="13" t="s">
        <v>680</v>
      </c>
      <c r="H227" s="14">
        <v>-1.0</v>
      </c>
      <c r="I227" s="14">
        <v>-1.0</v>
      </c>
      <c r="J227" s="14">
        <v>-1.0</v>
      </c>
      <c r="K227" s="17">
        <v>45388.555868055555</v>
      </c>
      <c r="L227" s="15"/>
      <c r="M227" s="15"/>
      <c r="N227" s="15"/>
      <c r="O227" s="15"/>
      <c r="P227" s="15"/>
      <c r="Q227" s="15"/>
      <c r="R227" s="15"/>
      <c r="S227" s="15"/>
      <c r="T227" s="15"/>
      <c r="U227" s="15"/>
      <c r="V227" s="15"/>
      <c r="W227" s="15"/>
      <c r="X227" s="15"/>
      <c r="Y227" s="15"/>
      <c r="Z227" s="16"/>
    </row>
    <row r="228">
      <c r="A228" s="12" t="s">
        <v>697</v>
      </c>
      <c r="B228" s="13" t="s">
        <v>698</v>
      </c>
      <c r="C228" s="13" t="s">
        <v>28</v>
      </c>
      <c r="D228" s="13" t="s">
        <v>28</v>
      </c>
      <c r="E228" s="14">
        <v>120.0</v>
      </c>
      <c r="F228" s="13" t="s">
        <v>584</v>
      </c>
      <c r="G228" s="13" t="s">
        <v>686</v>
      </c>
      <c r="H228" s="14">
        <v>-1.0</v>
      </c>
      <c r="I228" s="14">
        <v>-1.0</v>
      </c>
      <c r="J228" s="14">
        <v>-1.0</v>
      </c>
      <c r="K228" s="17">
        <v>45388.55615740741</v>
      </c>
      <c r="L228" s="15"/>
      <c r="M228" s="15"/>
      <c r="N228" s="15"/>
      <c r="O228" s="15"/>
      <c r="P228" s="15"/>
      <c r="Q228" s="15"/>
      <c r="R228" s="15"/>
      <c r="S228" s="15"/>
      <c r="T228" s="15"/>
      <c r="U228" s="15"/>
      <c r="V228" s="15"/>
      <c r="W228" s="15"/>
      <c r="X228" s="15"/>
      <c r="Y228" s="15"/>
      <c r="Z228" s="16"/>
    </row>
    <row r="229">
      <c r="A229" s="12" t="s">
        <v>699</v>
      </c>
      <c r="B229" s="13" t="s">
        <v>700</v>
      </c>
      <c r="C229" s="13" t="s">
        <v>28</v>
      </c>
      <c r="D229" s="13" t="s">
        <v>28</v>
      </c>
      <c r="E229" s="14">
        <v>180.0</v>
      </c>
      <c r="F229" s="13" t="s">
        <v>584</v>
      </c>
      <c r="G229" s="13" t="s">
        <v>686</v>
      </c>
      <c r="H229" s="14">
        <v>-1.0</v>
      </c>
      <c r="I229" s="14">
        <v>-1.0</v>
      </c>
      <c r="J229" s="14">
        <v>-1.0</v>
      </c>
      <c r="K229" s="17">
        <v>45388.55628472222</v>
      </c>
      <c r="L229" s="15"/>
      <c r="M229" s="15"/>
      <c r="N229" s="15"/>
      <c r="O229" s="15"/>
      <c r="P229" s="15"/>
      <c r="Q229" s="15"/>
      <c r="R229" s="15"/>
      <c r="S229" s="15"/>
      <c r="T229" s="15"/>
      <c r="U229" s="15"/>
      <c r="V229" s="15"/>
      <c r="W229" s="15"/>
      <c r="X229" s="15"/>
      <c r="Y229" s="15"/>
      <c r="Z229" s="16"/>
    </row>
    <row r="230">
      <c r="A230" s="12" t="s">
        <v>701</v>
      </c>
      <c r="B230" s="13" t="s">
        <v>702</v>
      </c>
      <c r="C230" s="13" t="s">
        <v>28</v>
      </c>
      <c r="D230" s="13" t="s">
        <v>28</v>
      </c>
      <c r="E230" s="14">
        <v>180.0</v>
      </c>
      <c r="F230" s="13" t="s">
        <v>584</v>
      </c>
      <c r="G230" s="13" t="s">
        <v>680</v>
      </c>
      <c r="H230" s="14">
        <v>-1.0</v>
      </c>
      <c r="I230" s="14">
        <v>-1.0</v>
      </c>
      <c r="J230" s="14">
        <v>-1.0</v>
      </c>
      <c r="K230" s="17">
        <v>45388.55642361111</v>
      </c>
      <c r="L230" s="15"/>
      <c r="M230" s="15"/>
      <c r="N230" s="15"/>
      <c r="O230" s="15"/>
      <c r="P230" s="15"/>
      <c r="Q230" s="15"/>
      <c r="R230" s="15"/>
      <c r="S230" s="15"/>
      <c r="T230" s="15"/>
      <c r="U230" s="15"/>
      <c r="V230" s="15"/>
      <c r="W230" s="15"/>
      <c r="X230" s="15"/>
      <c r="Y230" s="15"/>
      <c r="Z230" s="16"/>
    </row>
    <row r="231">
      <c r="A231" s="12" t="s">
        <v>703</v>
      </c>
      <c r="B231" s="13" t="s">
        <v>704</v>
      </c>
      <c r="C231" s="13" t="s">
        <v>28</v>
      </c>
      <c r="D231" s="13" t="s">
        <v>28</v>
      </c>
      <c r="E231" s="14">
        <v>120.0</v>
      </c>
      <c r="F231" s="13" t="s">
        <v>584</v>
      </c>
      <c r="G231" s="13" t="s">
        <v>686</v>
      </c>
      <c r="H231" s="14">
        <v>-1.0</v>
      </c>
      <c r="I231" s="14">
        <v>-1.0</v>
      </c>
      <c r="J231" s="14">
        <v>-1.0</v>
      </c>
      <c r="K231" s="17">
        <v>45388.55652777778</v>
      </c>
      <c r="L231" s="15"/>
      <c r="M231" s="15"/>
      <c r="N231" s="15"/>
      <c r="O231" s="15"/>
      <c r="P231" s="15"/>
      <c r="Q231" s="15"/>
      <c r="R231" s="15"/>
      <c r="S231" s="15"/>
      <c r="T231" s="15"/>
      <c r="U231" s="15"/>
      <c r="V231" s="15"/>
      <c r="W231" s="15"/>
      <c r="X231" s="15"/>
      <c r="Y231" s="15"/>
      <c r="Z231" s="16"/>
    </row>
    <row r="232">
      <c r="A232" s="12" t="s">
        <v>705</v>
      </c>
      <c r="B232" s="13" t="s">
        <v>706</v>
      </c>
      <c r="C232" s="13" t="s">
        <v>28</v>
      </c>
      <c r="D232" s="13" t="s">
        <v>28</v>
      </c>
      <c r="E232" s="14">
        <v>21.0</v>
      </c>
      <c r="F232" s="13" t="s">
        <v>584</v>
      </c>
      <c r="G232" s="13" t="s">
        <v>707</v>
      </c>
      <c r="H232" s="14">
        <v>-1.0</v>
      </c>
      <c r="I232" s="14">
        <v>-1.0</v>
      </c>
      <c r="J232" s="14">
        <v>-1.0</v>
      </c>
      <c r="K232" s="17">
        <v>45388.55662037037</v>
      </c>
      <c r="L232" s="15"/>
      <c r="M232" s="15"/>
      <c r="N232" s="15"/>
      <c r="O232" s="15"/>
      <c r="P232" s="15"/>
      <c r="Q232" s="15"/>
      <c r="R232" s="15"/>
      <c r="S232" s="15"/>
      <c r="T232" s="15"/>
      <c r="U232" s="15"/>
      <c r="V232" s="15"/>
      <c r="W232" s="15"/>
      <c r="X232" s="15"/>
      <c r="Y232" s="15"/>
      <c r="Z232" s="16"/>
    </row>
    <row r="233">
      <c r="A233" s="12" t="s">
        <v>708</v>
      </c>
      <c r="B233" s="13" t="s">
        <v>709</v>
      </c>
      <c r="C233" s="13" t="s">
        <v>28</v>
      </c>
      <c r="D233" s="13" t="s">
        <v>28</v>
      </c>
      <c r="E233" s="14">
        <v>120.0</v>
      </c>
      <c r="F233" s="13" t="s">
        <v>584</v>
      </c>
      <c r="G233" s="13" t="s">
        <v>710</v>
      </c>
      <c r="H233" s="14">
        <v>-1.0</v>
      </c>
      <c r="I233" s="14">
        <v>-1.0</v>
      </c>
      <c r="J233" s="14">
        <v>-1.0</v>
      </c>
      <c r="K233" s="17">
        <v>45388.55673611111</v>
      </c>
      <c r="L233" s="15"/>
      <c r="M233" s="15"/>
      <c r="N233" s="15"/>
      <c r="O233" s="15"/>
      <c r="P233" s="15"/>
      <c r="Q233" s="15"/>
      <c r="R233" s="15"/>
      <c r="S233" s="15"/>
      <c r="T233" s="15"/>
      <c r="U233" s="15"/>
      <c r="V233" s="15"/>
      <c r="W233" s="15"/>
      <c r="X233" s="15"/>
      <c r="Y233" s="15"/>
      <c r="Z233" s="16"/>
    </row>
    <row r="234">
      <c r="A234" s="12" t="s">
        <v>711</v>
      </c>
      <c r="B234" s="13" t="s">
        <v>712</v>
      </c>
      <c r="C234" s="13" t="s">
        <v>28</v>
      </c>
      <c r="D234" s="13" t="s">
        <v>28</v>
      </c>
      <c r="E234" s="14">
        <v>20.0</v>
      </c>
      <c r="F234" s="13" t="s">
        <v>584</v>
      </c>
      <c r="G234" s="13" t="s">
        <v>707</v>
      </c>
      <c r="H234" s="14">
        <v>-1.0</v>
      </c>
      <c r="I234" s="14">
        <v>-1.0</v>
      </c>
      <c r="J234" s="14">
        <v>-1.0</v>
      </c>
      <c r="K234" s="17">
        <v>45388.55681712963</v>
      </c>
      <c r="L234" s="15"/>
      <c r="M234" s="15"/>
      <c r="N234" s="15"/>
      <c r="O234" s="15"/>
      <c r="P234" s="15"/>
      <c r="Q234" s="15"/>
      <c r="R234" s="15"/>
      <c r="S234" s="15"/>
      <c r="T234" s="15"/>
      <c r="U234" s="15"/>
      <c r="V234" s="15"/>
      <c r="W234" s="15"/>
      <c r="X234" s="15"/>
      <c r="Y234" s="15"/>
      <c r="Z234" s="16"/>
    </row>
    <row r="235">
      <c r="A235" s="12" t="s">
        <v>713</v>
      </c>
      <c r="B235" s="13" t="s">
        <v>714</v>
      </c>
      <c r="C235" s="13" t="s">
        <v>28</v>
      </c>
      <c r="D235" s="13" t="s">
        <v>28</v>
      </c>
      <c r="E235" s="14">
        <v>20.0</v>
      </c>
      <c r="F235" s="13" t="s">
        <v>584</v>
      </c>
      <c r="G235" s="13" t="s">
        <v>715</v>
      </c>
      <c r="H235" s="14">
        <v>-1.0</v>
      </c>
      <c r="I235" s="14">
        <v>-1.0</v>
      </c>
      <c r="J235" s="14">
        <v>-1.0</v>
      </c>
      <c r="K235" s="17">
        <v>45388.55690972222</v>
      </c>
      <c r="L235" s="15"/>
      <c r="M235" s="15"/>
      <c r="N235" s="15"/>
      <c r="O235" s="15"/>
      <c r="P235" s="15"/>
      <c r="Q235" s="15"/>
      <c r="R235" s="15"/>
      <c r="S235" s="15"/>
      <c r="T235" s="15"/>
      <c r="U235" s="15"/>
      <c r="V235" s="15"/>
      <c r="W235" s="15"/>
      <c r="X235" s="15"/>
      <c r="Y235" s="15"/>
      <c r="Z235" s="16"/>
    </row>
    <row r="236">
      <c r="A236" s="12" t="s">
        <v>716</v>
      </c>
      <c r="B236" s="13" t="s">
        <v>717</v>
      </c>
      <c r="C236" s="13" t="s">
        <v>28</v>
      </c>
      <c r="D236" s="13" t="s">
        <v>28</v>
      </c>
      <c r="E236" s="14">
        <v>20.0</v>
      </c>
      <c r="F236" s="13" t="s">
        <v>584</v>
      </c>
      <c r="G236" s="13" t="s">
        <v>707</v>
      </c>
      <c r="H236" s="14">
        <v>-1.0</v>
      </c>
      <c r="I236" s="14">
        <v>-1.0</v>
      </c>
      <c r="J236" s="14">
        <v>-1.0</v>
      </c>
      <c r="K236" s="17">
        <v>45388.55701388889</v>
      </c>
      <c r="L236" s="15"/>
      <c r="M236" s="15"/>
      <c r="N236" s="15"/>
      <c r="O236" s="15"/>
      <c r="P236" s="15"/>
      <c r="Q236" s="15"/>
      <c r="R236" s="15"/>
      <c r="S236" s="15"/>
      <c r="T236" s="15"/>
      <c r="U236" s="15"/>
      <c r="V236" s="15"/>
      <c r="W236" s="15"/>
      <c r="X236" s="15"/>
      <c r="Y236" s="15"/>
      <c r="Z236" s="16"/>
    </row>
    <row r="237">
      <c r="A237" s="12" t="s">
        <v>718</v>
      </c>
      <c r="B237" s="13" t="s">
        <v>719</v>
      </c>
      <c r="C237" s="13" t="s">
        <v>28</v>
      </c>
      <c r="D237" s="13" t="s">
        <v>28</v>
      </c>
      <c r="E237" s="14">
        <v>60.0</v>
      </c>
      <c r="F237" s="13" t="s">
        <v>584</v>
      </c>
      <c r="G237" s="13" t="s">
        <v>720</v>
      </c>
      <c r="H237" s="14">
        <v>-1.0</v>
      </c>
      <c r="I237" s="14">
        <v>-1.0</v>
      </c>
      <c r="J237" s="14">
        <v>-1.0</v>
      </c>
      <c r="K237" s="17">
        <v>45388.557118055556</v>
      </c>
      <c r="L237" s="15"/>
      <c r="M237" s="15"/>
      <c r="N237" s="15"/>
      <c r="O237" s="15"/>
      <c r="P237" s="15"/>
      <c r="Q237" s="15"/>
      <c r="R237" s="15"/>
      <c r="S237" s="15"/>
      <c r="T237" s="15"/>
      <c r="U237" s="15"/>
      <c r="V237" s="15"/>
      <c r="W237" s="15"/>
      <c r="X237" s="15"/>
      <c r="Y237" s="15"/>
      <c r="Z237" s="16"/>
    </row>
    <row r="238">
      <c r="A238" s="12" t="s">
        <v>721</v>
      </c>
      <c r="B238" s="13" t="s">
        <v>722</v>
      </c>
      <c r="C238" s="13" t="s">
        <v>28</v>
      </c>
      <c r="D238" s="13" t="s">
        <v>28</v>
      </c>
      <c r="E238" s="14">
        <v>51.0</v>
      </c>
      <c r="F238" s="13" t="s">
        <v>584</v>
      </c>
      <c r="G238" s="13" t="s">
        <v>720</v>
      </c>
      <c r="H238" s="14">
        <v>-1.0</v>
      </c>
      <c r="I238" s="14">
        <v>-1.0</v>
      </c>
      <c r="J238" s="14">
        <v>-1.0</v>
      </c>
      <c r="K238" s="17">
        <v>45388.55743055556</v>
      </c>
      <c r="L238" s="15"/>
      <c r="M238" s="15"/>
      <c r="N238" s="15"/>
      <c r="O238" s="15"/>
      <c r="P238" s="15"/>
      <c r="Q238" s="15"/>
      <c r="R238" s="15"/>
      <c r="S238" s="15"/>
      <c r="T238" s="15"/>
      <c r="U238" s="15"/>
      <c r="V238" s="15"/>
      <c r="W238" s="15"/>
      <c r="X238" s="15"/>
      <c r="Y238" s="15"/>
      <c r="Z238" s="16"/>
    </row>
    <row r="239">
      <c r="A239" s="12" t="s">
        <v>723</v>
      </c>
      <c r="B239" s="13" t="s">
        <v>724</v>
      </c>
      <c r="C239" s="13" t="s">
        <v>28</v>
      </c>
      <c r="D239" s="13" t="s">
        <v>28</v>
      </c>
      <c r="E239" s="14">
        <v>60.0</v>
      </c>
      <c r="F239" s="13" t="s">
        <v>584</v>
      </c>
      <c r="G239" s="13" t="s">
        <v>720</v>
      </c>
      <c r="H239" s="14">
        <v>-1.0</v>
      </c>
      <c r="I239" s="14">
        <v>-1.0</v>
      </c>
      <c r="J239" s="14">
        <v>-1.0</v>
      </c>
      <c r="K239" s="17">
        <v>45388.55752314815</v>
      </c>
      <c r="L239" s="15"/>
      <c r="M239" s="15"/>
      <c r="N239" s="15"/>
      <c r="O239" s="15"/>
      <c r="P239" s="15"/>
      <c r="Q239" s="15"/>
      <c r="R239" s="15"/>
      <c r="S239" s="15"/>
      <c r="T239" s="15"/>
      <c r="U239" s="15"/>
      <c r="V239" s="15"/>
      <c r="W239" s="15"/>
      <c r="X239" s="15"/>
      <c r="Y239" s="15"/>
      <c r="Z239" s="16"/>
    </row>
    <row r="240">
      <c r="A240" s="12" t="s">
        <v>725</v>
      </c>
      <c r="B240" s="13" t="s">
        <v>726</v>
      </c>
      <c r="C240" s="13" t="s">
        <v>28</v>
      </c>
      <c r="D240" s="13" t="s">
        <v>28</v>
      </c>
      <c r="E240" s="14">
        <v>60.0</v>
      </c>
      <c r="F240" s="13" t="s">
        <v>584</v>
      </c>
      <c r="G240" s="13" t="s">
        <v>720</v>
      </c>
      <c r="H240" s="14">
        <v>-1.0</v>
      </c>
      <c r="I240" s="14">
        <v>-1.0</v>
      </c>
      <c r="J240" s="14">
        <v>-1.0</v>
      </c>
      <c r="K240" s="17">
        <v>45388.557754629626</v>
      </c>
      <c r="L240" s="15"/>
      <c r="M240" s="15"/>
      <c r="N240" s="15"/>
      <c r="O240" s="15"/>
      <c r="P240" s="15"/>
      <c r="Q240" s="15"/>
      <c r="R240" s="15"/>
      <c r="S240" s="15"/>
      <c r="T240" s="15"/>
      <c r="U240" s="15"/>
      <c r="V240" s="15"/>
      <c r="W240" s="15"/>
      <c r="X240" s="15"/>
      <c r="Y240" s="15"/>
      <c r="Z240" s="16"/>
    </row>
    <row r="241">
      <c r="A241" s="12" t="s">
        <v>727</v>
      </c>
      <c r="B241" s="13" t="s">
        <v>728</v>
      </c>
      <c r="C241" s="13" t="s">
        <v>28</v>
      </c>
      <c r="D241" s="13" t="s">
        <v>28</v>
      </c>
      <c r="E241" s="14">
        <v>290.0</v>
      </c>
      <c r="F241" s="13" t="s">
        <v>584</v>
      </c>
      <c r="G241" s="13" t="s">
        <v>686</v>
      </c>
      <c r="H241" s="14">
        <v>-1.0</v>
      </c>
      <c r="I241" s="14">
        <v>-1.0</v>
      </c>
      <c r="J241" s="14">
        <v>-1.0</v>
      </c>
      <c r="K241" s="17">
        <v>45388.55778935185</v>
      </c>
      <c r="L241" s="15"/>
      <c r="M241" s="15"/>
      <c r="N241" s="15"/>
      <c r="O241" s="15"/>
      <c r="P241" s="15"/>
      <c r="Q241" s="15"/>
      <c r="R241" s="15"/>
      <c r="S241" s="15"/>
      <c r="T241" s="15"/>
      <c r="U241" s="15"/>
      <c r="V241" s="15"/>
      <c r="W241" s="15"/>
      <c r="X241" s="15"/>
      <c r="Y241" s="15"/>
      <c r="Z241" s="16"/>
    </row>
    <row r="242">
      <c r="A242" s="12" t="s">
        <v>729</v>
      </c>
      <c r="B242" s="13" t="s">
        <v>730</v>
      </c>
      <c r="C242" s="13" t="s">
        <v>28</v>
      </c>
      <c r="D242" s="13" t="s">
        <v>28</v>
      </c>
      <c r="E242" s="14">
        <v>240.0</v>
      </c>
      <c r="F242" s="13" t="s">
        <v>584</v>
      </c>
      <c r="G242" s="13" t="s">
        <v>680</v>
      </c>
      <c r="H242" s="14">
        <v>-1.0</v>
      </c>
      <c r="I242" s="14">
        <v>-1.0</v>
      </c>
      <c r="J242" s="14">
        <v>-1.0</v>
      </c>
      <c r="K242" s="17">
        <v>45388.559212962966</v>
      </c>
      <c r="L242" s="15"/>
      <c r="M242" s="15"/>
      <c r="N242" s="15"/>
      <c r="O242" s="15"/>
      <c r="P242" s="15"/>
      <c r="Q242" s="15"/>
      <c r="R242" s="15"/>
      <c r="S242" s="15"/>
      <c r="T242" s="15"/>
      <c r="U242" s="15"/>
      <c r="V242" s="15"/>
      <c r="W242" s="15"/>
      <c r="X242" s="15"/>
      <c r="Y242" s="15"/>
      <c r="Z242" s="16"/>
    </row>
    <row r="243">
      <c r="A243" s="12" t="s">
        <v>731</v>
      </c>
      <c r="B243" s="13" t="s">
        <v>732</v>
      </c>
      <c r="C243" s="13" t="s">
        <v>28</v>
      </c>
      <c r="D243" s="13" t="s">
        <v>28</v>
      </c>
      <c r="E243" s="14">
        <v>199.0</v>
      </c>
      <c r="F243" s="13" t="s">
        <v>584</v>
      </c>
      <c r="G243" s="13" t="s">
        <v>686</v>
      </c>
      <c r="H243" s="14">
        <v>-1.0</v>
      </c>
      <c r="I243" s="14">
        <v>-1.0</v>
      </c>
      <c r="J243" s="14">
        <v>-1.0</v>
      </c>
      <c r="K243" s="17">
        <v>45388.55940972222</v>
      </c>
      <c r="L243" s="15"/>
      <c r="M243" s="15"/>
      <c r="N243" s="15"/>
      <c r="O243" s="15"/>
      <c r="P243" s="15"/>
      <c r="Q243" s="15"/>
      <c r="R243" s="15"/>
      <c r="S243" s="15"/>
      <c r="T243" s="15"/>
      <c r="U243" s="15"/>
      <c r="V243" s="15"/>
      <c r="W243" s="15"/>
      <c r="X243" s="15"/>
      <c r="Y243" s="15"/>
      <c r="Z243" s="16"/>
    </row>
    <row r="244">
      <c r="A244" s="12" t="s">
        <v>733</v>
      </c>
      <c r="B244" s="13" t="s">
        <v>734</v>
      </c>
      <c r="C244" s="13" t="s">
        <v>28</v>
      </c>
      <c r="D244" s="13" t="s">
        <v>28</v>
      </c>
      <c r="E244" s="14">
        <v>21.0</v>
      </c>
      <c r="F244" s="13" t="s">
        <v>584</v>
      </c>
      <c r="G244" s="13" t="s">
        <v>735</v>
      </c>
      <c r="H244" s="14">
        <v>-1.0</v>
      </c>
      <c r="I244" s="14">
        <v>-1.0</v>
      </c>
      <c r="J244" s="14">
        <v>-1.0</v>
      </c>
      <c r="K244" s="17">
        <v>45388.68800925926</v>
      </c>
      <c r="L244" s="15"/>
      <c r="M244" s="15"/>
      <c r="N244" s="15"/>
      <c r="O244" s="15"/>
      <c r="P244" s="15"/>
      <c r="Q244" s="15"/>
      <c r="R244" s="15"/>
      <c r="S244" s="15"/>
      <c r="T244" s="15"/>
      <c r="U244" s="15"/>
      <c r="V244" s="15"/>
      <c r="W244" s="15"/>
      <c r="X244" s="15"/>
      <c r="Y244" s="15"/>
      <c r="Z244" s="16"/>
    </row>
    <row r="245">
      <c r="A245" s="12" t="s">
        <v>736</v>
      </c>
      <c r="B245" s="13" t="s">
        <v>737</v>
      </c>
      <c r="C245" s="13" t="s">
        <v>28</v>
      </c>
      <c r="D245" s="13" t="s">
        <v>28</v>
      </c>
      <c r="E245" s="14">
        <v>21.0</v>
      </c>
      <c r="F245" s="13" t="s">
        <v>584</v>
      </c>
      <c r="G245" s="13" t="s">
        <v>735</v>
      </c>
      <c r="H245" s="14">
        <v>-1.0</v>
      </c>
      <c r="I245" s="14">
        <v>-1.0</v>
      </c>
      <c r="J245" s="14">
        <v>-1.0</v>
      </c>
      <c r="K245" s="17">
        <v>45388.688125</v>
      </c>
      <c r="L245" s="15"/>
      <c r="M245" s="15"/>
      <c r="N245" s="15"/>
      <c r="O245" s="15"/>
      <c r="P245" s="15"/>
      <c r="Q245" s="15"/>
      <c r="R245" s="15"/>
      <c r="S245" s="15"/>
      <c r="T245" s="15"/>
      <c r="U245" s="15"/>
      <c r="V245" s="15"/>
      <c r="W245" s="15"/>
      <c r="X245" s="15"/>
      <c r="Y245" s="15"/>
      <c r="Z245" s="16"/>
    </row>
    <row r="246">
      <c r="A246" s="12" t="s">
        <v>738</v>
      </c>
      <c r="B246" s="13" t="s">
        <v>739</v>
      </c>
      <c r="C246" s="13" t="s">
        <v>28</v>
      </c>
      <c r="D246" s="13" t="s">
        <v>28</v>
      </c>
      <c r="E246" s="14">
        <v>21.0</v>
      </c>
      <c r="F246" s="13" t="s">
        <v>584</v>
      </c>
      <c r="G246" s="13" t="s">
        <v>735</v>
      </c>
      <c r="H246" s="14">
        <v>-1.0</v>
      </c>
      <c r="I246" s="14">
        <v>-1.0</v>
      </c>
      <c r="J246" s="14">
        <v>-1.0</v>
      </c>
      <c r="K246" s="17">
        <v>45388.688206018516</v>
      </c>
      <c r="L246" s="15"/>
      <c r="M246" s="15"/>
      <c r="N246" s="15"/>
      <c r="O246" s="15"/>
      <c r="P246" s="15"/>
      <c r="Q246" s="15"/>
      <c r="R246" s="15"/>
      <c r="S246" s="15"/>
      <c r="T246" s="15"/>
      <c r="U246" s="15"/>
      <c r="V246" s="15"/>
      <c r="W246" s="15"/>
      <c r="X246" s="15"/>
      <c r="Y246" s="15"/>
      <c r="Z246" s="16"/>
    </row>
    <row r="247">
      <c r="A247" s="12" t="s">
        <v>740</v>
      </c>
      <c r="B247" s="13" t="s">
        <v>741</v>
      </c>
      <c r="C247" s="13" t="s">
        <v>28</v>
      </c>
      <c r="D247" s="13" t="s">
        <v>28</v>
      </c>
      <c r="E247" s="14">
        <v>53.0</v>
      </c>
      <c r="F247" s="13" t="s">
        <v>584</v>
      </c>
      <c r="G247" s="13" t="s">
        <v>735</v>
      </c>
      <c r="H247" s="14">
        <v>-1.0</v>
      </c>
      <c r="I247" s="14">
        <v>-1.0</v>
      </c>
      <c r="J247" s="14">
        <v>-1.0</v>
      </c>
      <c r="K247" s="17">
        <v>45388.688298611116</v>
      </c>
      <c r="L247" s="15"/>
      <c r="M247" s="15"/>
      <c r="N247" s="15"/>
      <c r="O247" s="15"/>
      <c r="P247" s="15"/>
      <c r="Q247" s="15"/>
      <c r="R247" s="15"/>
      <c r="S247" s="15"/>
      <c r="T247" s="15"/>
      <c r="U247" s="15"/>
      <c r="V247" s="15"/>
      <c r="W247" s="15"/>
      <c r="X247" s="15"/>
      <c r="Y247" s="15"/>
      <c r="Z247" s="16"/>
    </row>
    <row r="248">
      <c r="A248" s="12" t="s">
        <v>742</v>
      </c>
      <c r="B248" s="13" t="s">
        <v>743</v>
      </c>
      <c r="C248" s="13" t="s">
        <v>28</v>
      </c>
      <c r="D248" s="13" t="s">
        <v>28</v>
      </c>
      <c r="E248" s="14">
        <v>240.0</v>
      </c>
      <c r="F248" s="13" t="s">
        <v>584</v>
      </c>
      <c r="G248" s="13" t="s">
        <v>735</v>
      </c>
      <c r="H248" s="14">
        <v>-1.0</v>
      </c>
      <c r="I248" s="14">
        <v>-1.0</v>
      </c>
      <c r="J248" s="14">
        <v>-1.0</v>
      </c>
      <c r="K248" s="17">
        <v>45418.42581018519</v>
      </c>
      <c r="L248" s="15"/>
      <c r="M248" s="15"/>
      <c r="N248" s="15"/>
      <c r="O248" s="15"/>
      <c r="P248" s="15"/>
      <c r="Q248" s="15"/>
      <c r="R248" s="15"/>
      <c r="S248" s="15"/>
      <c r="T248" s="15"/>
      <c r="U248" s="15"/>
      <c r="V248" s="15"/>
      <c r="W248" s="15"/>
      <c r="X248" s="15"/>
      <c r="Y248" s="15"/>
      <c r="Z248" s="16"/>
    </row>
    <row r="249">
      <c r="A249" s="12" t="s">
        <v>744</v>
      </c>
      <c r="B249" s="13" t="s">
        <v>745</v>
      </c>
      <c r="C249" s="13" t="s">
        <v>28</v>
      </c>
      <c r="D249" s="13" t="s">
        <v>28</v>
      </c>
      <c r="E249" s="14">
        <v>240.0</v>
      </c>
      <c r="F249" s="13" t="s">
        <v>584</v>
      </c>
      <c r="G249" s="13" t="s">
        <v>686</v>
      </c>
      <c r="H249" s="14">
        <v>-1.0</v>
      </c>
      <c r="I249" s="14">
        <v>-1.0</v>
      </c>
      <c r="J249" s="14">
        <v>-1.0</v>
      </c>
      <c r="K249" s="17">
        <v>45418.42585648148</v>
      </c>
      <c r="L249" s="15"/>
      <c r="M249" s="15"/>
      <c r="N249" s="15"/>
      <c r="O249" s="15"/>
      <c r="P249" s="15"/>
      <c r="Q249" s="15"/>
      <c r="R249" s="15"/>
      <c r="S249" s="15"/>
      <c r="T249" s="15"/>
      <c r="U249" s="15"/>
      <c r="V249" s="15"/>
      <c r="W249" s="15"/>
      <c r="X249" s="15"/>
      <c r="Y249" s="15"/>
      <c r="Z249" s="16"/>
    </row>
    <row r="250">
      <c r="A250" s="12" t="s">
        <v>746</v>
      </c>
      <c r="B250" s="13" t="s">
        <v>747</v>
      </c>
      <c r="C250" s="13" t="s">
        <v>28</v>
      </c>
      <c r="D250" s="13" t="s">
        <v>28</v>
      </c>
      <c r="E250" s="14">
        <v>240.0</v>
      </c>
      <c r="F250" s="13" t="s">
        <v>584</v>
      </c>
      <c r="G250" s="13" t="s">
        <v>686</v>
      </c>
      <c r="H250" s="14">
        <v>-1.0</v>
      </c>
      <c r="I250" s="14">
        <v>-1.0</v>
      </c>
      <c r="J250" s="14">
        <v>-1.0</v>
      </c>
      <c r="K250" s="17">
        <v>45418.425891203704</v>
      </c>
      <c r="L250" s="15"/>
      <c r="M250" s="15"/>
      <c r="N250" s="15"/>
      <c r="O250" s="15"/>
      <c r="P250" s="15"/>
      <c r="Q250" s="15"/>
      <c r="R250" s="15"/>
      <c r="S250" s="15"/>
      <c r="T250" s="15"/>
      <c r="U250" s="15"/>
      <c r="V250" s="15"/>
      <c r="W250" s="15"/>
      <c r="X250" s="15"/>
      <c r="Y250" s="15"/>
      <c r="Z250" s="16"/>
    </row>
    <row r="251">
      <c r="A251" s="12" t="s">
        <v>748</v>
      </c>
      <c r="B251" s="13" t="s">
        <v>749</v>
      </c>
      <c r="C251" s="13" t="s">
        <v>28</v>
      </c>
      <c r="D251" s="13" t="s">
        <v>28</v>
      </c>
      <c r="E251" s="14">
        <v>54.0</v>
      </c>
      <c r="F251" s="13" t="s">
        <v>584</v>
      </c>
      <c r="G251" s="13" t="s">
        <v>750</v>
      </c>
      <c r="H251" s="14">
        <v>-1.0</v>
      </c>
      <c r="I251" s="14">
        <v>-1.0</v>
      </c>
      <c r="J251" s="14">
        <v>-1.0</v>
      </c>
      <c r="K251" s="17">
        <v>45418.42591435185</v>
      </c>
      <c r="L251" s="15"/>
      <c r="M251" s="15"/>
      <c r="N251" s="15"/>
      <c r="O251" s="15"/>
      <c r="P251" s="15"/>
      <c r="Q251" s="15"/>
      <c r="R251" s="15"/>
      <c r="S251" s="15"/>
      <c r="T251" s="15"/>
      <c r="U251" s="15"/>
      <c r="V251" s="15"/>
      <c r="W251" s="15"/>
      <c r="X251" s="15"/>
      <c r="Y251" s="15"/>
      <c r="Z251" s="16"/>
    </row>
    <row r="252">
      <c r="A252" s="12" t="s">
        <v>751</v>
      </c>
      <c r="B252" s="13" t="s">
        <v>752</v>
      </c>
      <c r="C252" s="13" t="s">
        <v>28</v>
      </c>
      <c r="D252" s="13" t="s">
        <v>28</v>
      </c>
      <c r="E252" s="14">
        <v>289.0</v>
      </c>
      <c r="F252" s="13" t="s">
        <v>584</v>
      </c>
      <c r="G252" s="13" t="s">
        <v>753</v>
      </c>
      <c r="H252" s="14">
        <v>-1.0</v>
      </c>
      <c r="I252" s="14">
        <v>-1.0</v>
      </c>
      <c r="J252" s="14">
        <v>-1.0</v>
      </c>
      <c r="K252" s="17">
        <v>45418.42594907407</v>
      </c>
      <c r="L252" s="15"/>
      <c r="M252" s="15"/>
      <c r="N252" s="15"/>
      <c r="O252" s="15"/>
      <c r="P252" s="15"/>
      <c r="Q252" s="15"/>
      <c r="R252" s="15"/>
      <c r="S252" s="15"/>
      <c r="T252" s="15"/>
      <c r="U252" s="15"/>
      <c r="V252" s="15"/>
      <c r="W252" s="15"/>
      <c r="X252" s="15"/>
      <c r="Y252" s="15"/>
      <c r="Z252" s="16"/>
    </row>
    <row r="253">
      <c r="A253" s="12" t="s">
        <v>754</v>
      </c>
      <c r="B253" s="13" t="s">
        <v>755</v>
      </c>
      <c r="C253" s="13" t="s">
        <v>28</v>
      </c>
      <c r="D253" s="13" t="s">
        <v>28</v>
      </c>
      <c r="E253" s="14">
        <v>240.0</v>
      </c>
      <c r="F253" s="13" t="s">
        <v>584</v>
      </c>
      <c r="G253" s="13" t="s">
        <v>753</v>
      </c>
      <c r="H253" s="14">
        <v>-1.0</v>
      </c>
      <c r="I253" s="14">
        <v>-1.0</v>
      </c>
      <c r="J253" s="14">
        <v>-1.0</v>
      </c>
      <c r="K253" s="17">
        <v>45418.42597222222</v>
      </c>
      <c r="L253" s="15"/>
      <c r="M253" s="15"/>
      <c r="N253" s="15"/>
      <c r="O253" s="15"/>
      <c r="P253" s="15"/>
      <c r="Q253" s="15"/>
      <c r="R253" s="15"/>
      <c r="S253" s="15"/>
      <c r="T253" s="15"/>
      <c r="U253" s="15"/>
      <c r="V253" s="15"/>
      <c r="W253" s="15"/>
      <c r="X253" s="15"/>
      <c r="Y253" s="15"/>
      <c r="Z253" s="16"/>
    </row>
    <row r="254">
      <c r="A254" s="12" t="s">
        <v>756</v>
      </c>
      <c r="B254" s="13" t="s">
        <v>757</v>
      </c>
      <c r="C254" s="13" t="s">
        <v>28</v>
      </c>
      <c r="D254" s="13" t="s">
        <v>28</v>
      </c>
      <c r="E254" s="14">
        <v>289.0</v>
      </c>
      <c r="F254" s="13" t="s">
        <v>584</v>
      </c>
      <c r="G254" s="13" t="s">
        <v>686</v>
      </c>
      <c r="H254" s="14">
        <v>-1.0</v>
      </c>
      <c r="I254" s="14">
        <v>-1.0</v>
      </c>
      <c r="J254" s="14">
        <v>-1.0</v>
      </c>
      <c r="K254" s="17">
        <v>45418.42599537037</v>
      </c>
      <c r="L254" s="15"/>
      <c r="M254" s="15"/>
      <c r="N254" s="15"/>
      <c r="O254" s="15"/>
      <c r="P254" s="15"/>
      <c r="Q254" s="15"/>
      <c r="R254" s="15"/>
      <c r="S254" s="15"/>
      <c r="T254" s="15"/>
      <c r="U254" s="15"/>
      <c r="V254" s="15"/>
      <c r="W254" s="15"/>
      <c r="X254" s="15"/>
      <c r="Y254" s="15"/>
      <c r="Z254" s="16"/>
    </row>
    <row r="255">
      <c r="A255" s="12" t="s">
        <v>758</v>
      </c>
      <c r="B255" s="13" t="s">
        <v>759</v>
      </c>
      <c r="C255" s="13" t="s">
        <v>28</v>
      </c>
      <c r="D255" s="13" t="s">
        <v>28</v>
      </c>
      <c r="E255" s="14">
        <v>288.0</v>
      </c>
      <c r="F255" s="13" t="s">
        <v>584</v>
      </c>
      <c r="G255" s="13" t="s">
        <v>686</v>
      </c>
      <c r="H255" s="14">
        <v>-1.0</v>
      </c>
      <c r="I255" s="14">
        <v>-1.0</v>
      </c>
      <c r="J255" s="14">
        <v>-1.0</v>
      </c>
      <c r="K255" s="17">
        <v>45418.42601851852</v>
      </c>
      <c r="L255" s="15"/>
      <c r="M255" s="15"/>
      <c r="N255" s="15"/>
      <c r="O255" s="15"/>
      <c r="P255" s="15"/>
      <c r="Q255" s="15"/>
      <c r="R255" s="15"/>
      <c r="S255" s="15"/>
      <c r="T255" s="15"/>
      <c r="U255" s="15"/>
      <c r="V255" s="15"/>
      <c r="W255" s="15"/>
      <c r="X255" s="15"/>
      <c r="Y255" s="15"/>
      <c r="Z255" s="16"/>
    </row>
    <row r="256">
      <c r="A256" s="12" t="s">
        <v>760</v>
      </c>
      <c r="B256" s="13" t="s">
        <v>761</v>
      </c>
      <c r="C256" s="13" t="s">
        <v>28</v>
      </c>
      <c r="D256" s="13" t="s">
        <v>28</v>
      </c>
      <c r="E256" s="14">
        <v>240.0</v>
      </c>
      <c r="F256" s="13" t="s">
        <v>584</v>
      </c>
      <c r="G256" s="13" t="s">
        <v>686</v>
      </c>
      <c r="H256" s="14">
        <v>-1.0</v>
      </c>
      <c r="I256" s="14">
        <v>-1.0</v>
      </c>
      <c r="J256" s="14">
        <v>-1.0</v>
      </c>
      <c r="K256" s="17">
        <v>45418.426030092596</v>
      </c>
      <c r="L256" s="15"/>
      <c r="M256" s="15"/>
      <c r="N256" s="15"/>
      <c r="O256" s="15"/>
      <c r="P256" s="15"/>
      <c r="Q256" s="15"/>
      <c r="R256" s="15"/>
      <c r="S256" s="15"/>
      <c r="T256" s="15"/>
      <c r="U256" s="15"/>
      <c r="V256" s="15"/>
      <c r="W256" s="15"/>
      <c r="X256" s="15"/>
      <c r="Y256" s="15"/>
      <c r="Z256" s="16"/>
    </row>
    <row r="257">
      <c r="A257" s="12" t="s">
        <v>762</v>
      </c>
      <c r="B257" s="13" t="s">
        <v>763</v>
      </c>
      <c r="C257" s="13" t="s">
        <v>28</v>
      </c>
      <c r="D257" s="13" t="s">
        <v>28</v>
      </c>
      <c r="E257" s="14">
        <v>240.0</v>
      </c>
      <c r="F257" s="13" t="s">
        <v>584</v>
      </c>
      <c r="G257" s="13" t="s">
        <v>753</v>
      </c>
      <c r="H257" s="14">
        <v>-1.0</v>
      </c>
      <c r="I257" s="14">
        <v>-1.0</v>
      </c>
      <c r="J257" s="14">
        <v>-1.0</v>
      </c>
      <c r="K257" s="17">
        <v>45418.42605324074</v>
      </c>
      <c r="L257" s="15"/>
      <c r="M257" s="15"/>
      <c r="N257" s="15"/>
      <c r="O257" s="15"/>
      <c r="P257" s="15"/>
      <c r="Q257" s="15"/>
      <c r="R257" s="15"/>
      <c r="S257" s="15"/>
      <c r="T257" s="15"/>
      <c r="U257" s="15"/>
      <c r="V257" s="15"/>
      <c r="W257" s="15"/>
      <c r="X257" s="15"/>
      <c r="Y257" s="15"/>
      <c r="Z257" s="16"/>
    </row>
    <row r="258">
      <c r="A258" s="12" t="s">
        <v>764</v>
      </c>
      <c r="B258" s="13" t="s">
        <v>765</v>
      </c>
      <c r="C258" s="13" t="s">
        <v>28</v>
      </c>
      <c r="D258" s="13" t="s">
        <v>28</v>
      </c>
      <c r="E258" s="14">
        <v>55.0</v>
      </c>
      <c r="F258" s="13" t="s">
        <v>584</v>
      </c>
      <c r="G258" s="13" t="s">
        <v>766</v>
      </c>
      <c r="H258" s="14">
        <v>-1.0</v>
      </c>
      <c r="I258" s="14">
        <v>-1.0</v>
      </c>
      <c r="J258" s="14">
        <v>-1.0</v>
      </c>
      <c r="K258" s="13" t="s">
        <v>767</v>
      </c>
      <c r="L258" s="15"/>
      <c r="M258" s="15"/>
      <c r="N258" s="15"/>
      <c r="O258" s="15"/>
      <c r="P258" s="15"/>
      <c r="Q258" s="15"/>
      <c r="R258" s="15"/>
      <c r="S258" s="15"/>
      <c r="T258" s="15"/>
      <c r="U258" s="15"/>
      <c r="V258" s="15"/>
      <c r="W258" s="15"/>
      <c r="X258" s="15"/>
      <c r="Y258" s="15"/>
      <c r="Z258" s="16"/>
    </row>
    <row r="259">
      <c r="A259" s="12" t="s">
        <v>768</v>
      </c>
      <c r="B259" s="13" t="s">
        <v>769</v>
      </c>
      <c r="C259" s="13" t="s">
        <v>28</v>
      </c>
      <c r="D259" s="13" t="s">
        <v>28</v>
      </c>
      <c r="E259" s="14">
        <v>190.0</v>
      </c>
      <c r="F259" s="13" t="s">
        <v>584</v>
      </c>
      <c r="G259" s="13" t="s">
        <v>766</v>
      </c>
      <c r="H259" s="14">
        <v>-1.0</v>
      </c>
      <c r="I259" s="14">
        <v>-1.0</v>
      </c>
      <c r="J259" s="14">
        <v>-1.0</v>
      </c>
      <c r="K259" s="13" t="s">
        <v>770</v>
      </c>
      <c r="L259" s="15"/>
      <c r="M259" s="15"/>
      <c r="N259" s="15"/>
      <c r="O259" s="15"/>
      <c r="P259" s="15"/>
      <c r="Q259" s="15"/>
      <c r="R259" s="15"/>
      <c r="S259" s="15"/>
      <c r="T259" s="15"/>
      <c r="U259" s="15"/>
      <c r="V259" s="15"/>
      <c r="W259" s="15"/>
      <c r="X259" s="15"/>
      <c r="Y259" s="15"/>
      <c r="Z259" s="16"/>
    </row>
    <row r="260">
      <c r="A260" s="12" t="s">
        <v>771</v>
      </c>
      <c r="B260" s="13" t="s">
        <v>772</v>
      </c>
      <c r="C260" s="13" t="s">
        <v>28</v>
      </c>
      <c r="D260" s="13" t="s">
        <v>28</v>
      </c>
      <c r="E260" s="14">
        <v>37.0</v>
      </c>
      <c r="F260" s="13" t="s">
        <v>584</v>
      </c>
      <c r="G260" s="13" t="s">
        <v>766</v>
      </c>
      <c r="H260" s="14">
        <v>-1.0</v>
      </c>
      <c r="I260" s="14">
        <v>-1.0</v>
      </c>
      <c r="J260" s="14">
        <v>-1.0</v>
      </c>
      <c r="K260" s="13" t="s">
        <v>773</v>
      </c>
      <c r="L260" s="15"/>
      <c r="M260" s="15"/>
      <c r="N260" s="15"/>
      <c r="O260" s="15"/>
      <c r="P260" s="15"/>
      <c r="Q260" s="15"/>
      <c r="R260" s="15"/>
      <c r="S260" s="15"/>
      <c r="T260" s="15"/>
      <c r="U260" s="15"/>
      <c r="V260" s="15"/>
      <c r="W260" s="15"/>
      <c r="X260" s="15"/>
      <c r="Y260" s="15"/>
      <c r="Z260" s="16"/>
    </row>
    <row r="261">
      <c r="A261" s="12" t="s">
        <v>774</v>
      </c>
      <c r="B261" s="13" t="s">
        <v>775</v>
      </c>
      <c r="C261" s="13" t="s">
        <v>28</v>
      </c>
      <c r="D261" s="13" t="s">
        <v>28</v>
      </c>
      <c r="E261" s="14">
        <v>5.0</v>
      </c>
      <c r="F261" s="13" t="s">
        <v>537</v>
      </c>
      <c r="G261" s="13" t="s">
        <v>776</v>
      </c>
      <c r="H261" s="14">
        <v>-1.0</v>
      </c>
      <c r="I261" s="14">
        <v>-1.0</v>
      </c>
      <c r="J261" s="14">
        <v>-1.0</v>
      </c>
      <c r="K261" s="13" t="s">
        <v>777</v>
      </c>
      <c r="L261" s="15"/>
      <c r="M261" s="15"/>
      <c r="N261" s="15"/>
      <c r="O261" s="15"/>
      <c r="P261" s="15"/>
      <c r="Q261" s="15"/>
      <c r="R261" s="15"/>
      <c r="S261" s="15"/>
      <c r="T261" s="15"/>
      <c r="U261" s="15"/>
      <c r="V261" s="15"/>
      <c r="W261" s="15"/>
      <c r="X261" s="15"/>
      <c r="Y261" s="15"/>
      <c r="Z261" s="16"/>
    </row>
    <row r="262">
      <c r="A262" s="12" t="s">
        <v>778</v>
      </c>
      <c r="B262" s="13" t="s">
        <v>779</v>
      </c>
      <c r="C262" s="13" t="s">
        <v>28</v>
      </c>
      <c r="D262" s="13" t="s">
        <v>28</v>
      </c>
      <c r="E262" s="14">
        <v>100.0</v>
      </c>
      <c r="F262" s="13" t="s">
        <v>584</v>
      </c>
      <c r="G262" s="13" t="s">
        <v>780</v>
      </c>
      <c r="H262" s="14">
        <v>-1.0</v>
      </c>
      <c r="I262" s="14">
        <v>-1.0</v>
      </c>
      <c r="J262" s="14">
        <v>-1.0</v>
      </c>
      <c r="K262" s="13" t="s">
        <v>781</v>
      </c>
      <c r="L262" s="15"/>
      <c r="M262" s="15"/>
      <c r="N262" s="15"/>
      <c r="O262" s="15"/>
      <c r="P262" s="15"/>
      <c r="Q262" s="15"/>
      <c r="R262" s="15"/>
      <c r="S262" s="15"/>
      <c r="T262" s="15"/>
      <c r="U262" s="15"/>
      <c r="V262" s="15"/>
      <c r="W262" s="15"/>
      <c r="X262" s="15"/>
      <c r="Y262" s="15"/>
      <c r="Z262" s="16"/>
    </row>
    <row r="263">
      <c r="A263" s="12" t="s">
        <v>782</v>
      </c>
      <c r="B263" s="13" t="s">
        <v>783</v>
      </c>
      <c r="C263" s="13" t="s">
        <v>28</v>
      </c>
      <c r="D263" s="13" t="s">
        <v>28</v>
      </c>
      <c r="E263" s="14">
        <v>96.0</v>
      </c>
      <c r="F263" s="13" t="s">
        <v>584</v>
      </c>
      <c r="G263" s="13" t="s">
        <v>780</v>
      </c>
      <c r="H263" s="14">
        <v>-1.0</v>
      </c>
      <c r="I263" s="14">
        <v>-1.0</v>
      </c>
      <c r="J263" s="14">
        <v>-1.0</v>
      </c>
      <c r="K263" s="13" t="s">
        <v>784</v>
      </c>
      <c r="L263" s="15"/>
      <c r="M263" s="15"/>
      <c r="N263" s="15"/>
      <c r="O263" s="15"/>
      <c r="P263" s="15"/>
      <c r="Q263" s="15"/>
      <c r="R263" s="15"/>
      <c r="S263" s="15"/>
      <c r="T263" s="15"/>
      <c r="U263" s="15"/>
      <c r="V263" s="15"/>
      <c r="W263" s="15"/>
      <c r="X263" s="15"/>
      <c r="Y263" s="15"/>
      <c r="Z263" s="16"/>
    </row>
    <row r="264">
      <c r="A264" s="12" t="s">
        <v>785</v>
      </c>
      <c r="B264" s="13" t="s">
        <v>786</v>
      </c>
      <c r="C264" s="13" t="s">
        <v>28</v>
      </c>
      <c r="D264" s="13" t="s">
        <v>28</v>
      </c>
      <c r="E264" s="14">
        <v>100.0</v>
      </c>
      <c r="F264" s="13" t="s">
        <v>584</v>
      </c>
      <c r="G264" s="13" t="s">
        <v>780</v>
      </c>
      <c r="H264" s="14">
        <v>-1.0</v>
      </c>
      <c r="I264" s="14">
        <v>-1.0</v>
      </c>
      <c r="J264" s="14">
        <v>-1.0</v>
      </c>
      <c r="K264" s="13" t="s">
        <v>787</v>
      </c>
      <c r="L264" s="15"/>
      <c r="M264" s="15"/>
      <c r="N264" s="15"/>
      <c r="O264" s="15"/>
      <c r="P264" s="15"/>
      <c r="Q264" s="15"/>
      <c r="R264" s="15"/>
      <c r="S264" s="15"/>
      <c r="T264" s="15"/>
      <c r="U264" s="15"/>
      <c r="V264" s="15"/>
      <c r="W264" s="15"/>
      <c r="X264" s="15"/>
      <c r="Y264" s="15"/>
      <c r="Z264" s="16"/>
    </row>
    <row r="265">
      <c r="A265" s="12" t="s">
        <v>788</v>
      </c>
      <c r="B265" s="13" t="s">
        <v>789</v>
      </c>
      <c r="C265" s="13" t="s">
        <v>28</v>
      </c>
      <c r="D265" s="13" t="s">
        <v>28</v>
      </c>
      <c r="E265" s="14">
        <v>86.0</v>
      </c>
      <c r="F265" s="13" t="s">
        <v>584</v>
      </c>
      <c r="G265" s="13" t="s">
        <v>780</v>
      </c>
      <c r="H265" s="14">
        <v>-1.0</v>
      </c>
      <c r="I265" s="14">
        <v>-1.0</v>
      </c>
      <c r="J265" s="14">
        <v>-1.0</v>
      </c>
      <c r="K265" s="13" t="s">
        <v>790</v>
      </c>
      <c r="L265" s="15"/>
      <c r="M265" s="15"/>
      <c r="N265" s="15"/>
      <c r="O265" s="15"/>
      <c r="P265" s="15"/>
      <c r="Q265" s="15"/>
      <c r="R265" s="15"/>
      <c r="S265" s="15"/>
      <c r="T265" s="15"/>
      <c r="U265" s="15"/>
      <c r="V265" s="15"/>
      <c r="W265" s="15"/>
      <c r="X265" s="15"/>
      <c r="Y265" s="15"/>
      <c r="Z265" s="16"/>
    </row>
    <row r="266">
      <c r="A266" s="12" t="s">
        <v>791</v>
      </c>
      <c r="B266" s="13" t="s">
        <v>792</v>
      </c>
      <c r="C266" s="13" t="s">
        <v>28</v>
      </c>
      <c r="D266" s="13" t="s">
        <v>28</v>
      </c>
      <c r="E266" s="14">
        <v>43.0</v>
      </c>
      <c r="F266" s="13" t="s">
        <v>584</v>
      </c>
      <c r="G266" s="13" t="s">
        <v>780</v>
      </c>
      <c r="H266" s="14">
        <v>-1.0</v>
      </c>
      <c r="I266" s="14">
        <v>-1.0</v>
      </c>
      <c r="J266" s="14">
        <v>-1.0</v>
      </c>
      <c r="K266" s="13" t="s">
        <v>793</v>
      </c>
      <c r="L266" s="15"/>
      <c r="M266" s="15"/>
      <c r="N266" s="15"/>
      <c r="O266" s="15"/>
      <c r="P266" s="15"/>
      <c r="Q266" s="15"/>
      <c r="R266" s="15"/>
      <c r="S266" s="15"/>
      <c r="T266" s="15"/>
      <c r="U266" s="15"/>
      <c r="V266" s="15"/>
      <c r="W266" s="15"/>
      <c r="X266" s="15"/>
      <c r="Y266" s="15"/>
      <c r="Z266" s="16"/>
    </row>
    <row r="267">
      <c r="A267" s="12" t="s">
        <v>794</v>
      </c>
      <c r="B267" s="13" t="s">
        <v>795</v>
      </c>
      <c r="C267" s="13" t="s">
        <v>28</v>
      </c>
      <c r="D267" s="13" t="s">
        <v>28</v>
      </c>
      <c r="E267" s="14">
        <v>63.0</v>
      </c>
      <c r="F267" s="13" t="s">
        <v>584</v>
      </c>
      <c r="G267" s="13" t="s">
        <v>780</v>
      </c>
      <c r="H267" s="14">
        <v>-1.0</v>
      </c>
      <c r="I267" s="14">
        <v>-1.0</v>
      </c>
      <c r="J267" s="14">
        <v>-1.0</v>
      </c>
      <c r="K267" s="13" t="s">
        <v>796</v>
      </c>
      <c r="L267" s="15"/>
      <c r="M267" s="15"/>
      <c r="N267" s="15"/>
      <c r="O267" s="15"/>
      <c r="P267" s="15"/>
      <c r="Q267" s="15"/>
      <c r="R267" s="15"/>
      <c r="S267" s="15"/>
      <c r="T267" s="15"/>
      <c r="U267" s="15"/>
      <c r="V267" s="15"/>
      <c r="W267" s="15"/>
      <c r="X267" s="15"/>
      <c r="Y267" s="15"/>
      <c r="Z267" s="16"/>
    </row>
    <row r="268">
      <c r="A268" s="12" t="s">
        <v>797</v>
      </c>
      <c r="B268" s="13" t="s">
        <v>798</v>
      </c>
      <c r="C268" s="13" t="s">
        <v>28</v>
      </c>
      <c r="D268" s="13" t="s">
        <v>28</v>
      </c>
      <c r="E268" s="14">
        <v>108.0</v>
      </c>
      <c r="F268" s="13" t="s">
        <v>584</v>
      </c>
      <c r="G268" s="13" t="s">
        <v>780</v>
      </c>
      <c r="H268" s="14">
        <v>-1.0</v>
      </c>
      <c r="I268" s="14">
        <v>-1.0</v>
      </c>
      <c r="J268" s="14">
        <v>-1.0</v>
      </c>
      <c r="K268" s="13" t="s">
        <v>799</v>
      </c>
      <c r="L268" s="15"/>
      <c r="M268" s="15"/>
      <c r="N268" s="15"/>
      <c r="O268" s="15"/>
      <c r="P268" s="15"/>
      <c r="Q268" s="15"/>
      <c r="R268" s="15"/>
      <c r="S268" s="15"/>
      <c r="T268" s="15"/>
      <c r="U268" s="15"/>
      <c r="V268" s="15"/>
      <c r="W268" s="15"/>
      <c r="X268" s="15"/>
      <c r="Y268" s="15"/>
      <c r="Z268" s="16"/>
    </row>
    <row r="269">
      <c r="A269" s="12" t="s">
        <v>800</v>
      </c>
      <c r="B269" s="13" t="s">
        <v>801</v>
      </c>
      <c r="C269" s="13" t="s">
        <v>28</v>
      </c>
      <c r="D269" s="13" t="s">
        <v>28</v>
      </c>
      <c r="E269" s="14">
        <v>64.0</v>
      </c>
      <c r="F269" s="13" t="s">
        <v>584</v>
      </c>
      <c r="G269" s="13" t="s">
        <v>780</v>
      </c>
      <c r="H269" s="14">
        <v>-1.0</v>
      </c>
      <c r="I269" s="14">
        <v>-1.0</v>
      </c>
      <c r="J269" s="14">
        <v>-1.0</v>
      </c>
      <c r="K269" s="13" t="s">
        <v>802</v>
      </c>
      <c r="L269" s="15"/>
      <c r="M269" s="15"/>
      <c r="N269" s="15"/>
      <c r="O269" s="15"/>
      <c r="P269" s="15"/>
      <c r="Q269" s="15"/>
      <c r="R269" s="15"/>
      <c r="S269" s="15"/>
      <c r="T269" s="15"/>
      <c r="U269" s="15"/>
      <c r="V269" s="15"/>
      <c r="W269" s="15"/>
      <c r="X269" s="15"/>
      <c r="Y269" s="15"/>
      <c r="Z269" s="16"/>
    </row>
    <row r="270">
      <c r="A270" s="12" t="s">
        <v>803</v>
      </c>
      <c r="B270" s="13" t="s">
        <v>804</v>
      </c>
      <c r="C270" s="13" t="s">
        <v>28</v>
      </c>
      <c r="D270" s="13" t="s">
        <v>28</v>
      </c>
      <c r="E270" s="14">
        <v>100.0</v>
      </c>
      <c r="F270" s="13" t="s">
        <v>584</v>
      </c>
      <c r="G270" s="13" t="s">
        <v>780</v>
      </c>
      <c r="H270" s="14">
        <v>-1.0</v>
      </c>
      <c r="I270" s="14">
        <v>-1.0</v>
      </c>
      <c r="J270" s="14">
        <v>-1.0</v>
      </c>
      <c r="K270" s="13" t="s">
        <v>805</v>
      </c>
      <c r="L270" s="15"/>
      <c r="M270" s="15"/>
      <c r="N270" s="15"/>
      <c r="O270" s="15"/>
      <c r="P270" s="15"/>
      <c r="Q270" s="15"/>
      <c r="R270" s="15"/>
      <c r="S270" s="15"/>
      <c r="T270" s="15"/>
      <c r="U270" s="15"/>
      <c r="V270" s="15"/>
      <c r="W270" s="15"/>
      <c r="X270" s="15"/>
      <c r="Y270" s="15"/>
      <c r="Z270" s="16"/>
    </row>
    <row r="271">
      <c r="A271" s="12" t="s">
        <v>806</v>
      </c>
      <c r="B271" s="13" t="s">
        <v>807</v>
      </c>
      <c r="C271" s="13" t="s">
        <v>28</v>
      </c>
      <c r="D271" s="13" t="s">
        <v>28</v>
      </c>
      <c r="E271" s="14">
        <v>100.0</v>
      </c>
      <c r="F271" s="13" t="s">
        <v>584</v>
      </c>
      <c r="G271" s="13" t="s">
        <v>780</v>
      </c>
      <c r="H271" s="14">
        <v>-1.0</v>
      </c>
      <c r="I271" s="14">
        <v>-1.0</v>
      </c>
      <c r="J271" s="14">
        <v>-1.0</v>
      </c>
      <c r="K271" s="13" t="s">
        <v>808</v>
      </c>
      <c r="L271" s="15"/>
      <c r="M271" s="15"/>
      <c r="N271" s="15"/>
      <c r="O271" s="15"/>
      <c r="P271" s="15"/>
      <c r="Q271" s="15"/>
      <c r="R271" s="15"/>
      <c r="S271" s="15"/>
      <c r="T271" s="15"/>
      <c r="U271" s="15"/>
      <c r="V271" s="15"/>
      <c r="W271" s="15"/>
      <c r="X271" s="15"/>
      <c r="Y271" s="15"/>
      <c r="Z271" s="16"/>
    </row>
    <row r="272">
      <c r="A272" s="12" t="s">
        <v>809</v>
      </c>
      <c r="B272" s="13" t="s">
        <v>810</v>
      </c>
      <c r="C272" s="13" t="s">
        <v>28</v>
      </c>
      <c r="D272" s="13" t="s">
        <v>28</v>
      </c>
      <c r="E272" s="14">
        <v>98.0</v>
      </c>
      <c r="F272" s="13" t="s">
        <v>584</v>
      </c>
      <c r="G272" s="13" t="s">
        <v>780</v>
      </c>
      <c r="H272" s="14">
        <v>-1.0</v>
      </c>
      <c r="I272" s="14">
        <v>-1.0</v>
      </c>
      <c r="J272" s="14">
        <v>-1.0</v>
      </c>
      <c r="K272" s="13" t="s">
        <v>811</v>
      </c>
      <c r="L272" s="15"/>
      <c r="M272" s="15"/>
      <c r="N272" s="15"/>
      <c r="O272" s="15"/>
      <c r="P272" s="15"/>
      <c r="Q272" s="15"/>
      <c r="R272" s="15"/>
      <c r="S272" s="15"/>
      <c r="T272" s="15"/>
      <c r="U272" s="15"/>
      <c r="V272" s="15"/>
      <c r="W272" s="15"/>
      <c r="X272" s="15"/>
      <c r="Y272" s="15"/>
      <c r="Z272" s="16"/>
    </row>
    <row r="273">
      <c r="A273" s="12" t="s">
        <v>812</v>
      </c>
      <c r="B273" s="13" t="s">
        <v>813</v>
      </c>
      <c r="C273" s="13" t="s">
        <v>28</v>
      </c>
      <c r="D273" s="13" t="s">
        <v>28</v>
      </c>
      <c r="E273" s="14">
        <v>96.0</v>
      </c>
      <c r="F273" s="13" t="s">
        <v>584</v>
      </c>
      <c r="G273" s="13" t="s">
        <v>780</v>
      </c>
      <c r="H273" s="14">
        <v>-1.0</v>
      </c>
      <c r="I273" s="14">
        <v>-1.0</v>
      </c>
      <c r="J273" s="14">
        <v>-1.0</v>
      </c>
      <c r="K273" s="13" t="s">
        <v>814</v>
      </c>
      <c r="L273" s="15"/>
      <c r="M273" s="15"/>
      <c r="N273" s="15"/>
      <c r="O273" s="15"/>
      <c r="P273" s="15"/>
      <c r="Q273" s="15"/>
      <c r="R273" s="15"/>
      <c r="S273" s="15"/>
      <c r="T273" s="15"/>
      <c r="U273" s="15"/>
      <c r="V273" s="15"/>
      <c r="W273" s="15"/>
      <c r="X273" s="15"/>
      <c r="Y273" s="15"/>
      <c r="Z273" s="16"/>
    </row>
    <row r="274">
      <c r="A274" s="12" t="s">
        <v>815</v>
      </c>
      <c r="B274" s="13" t="s">
        <v>816</v>
      </c>
      <c r="C274" s="13" t="s">
        <v>28</v>
      </c>
      <c r="D274" s="13" t="s">
        <v>28</v>
      </c>
      <c r="E274" s="14">
        <v>100.0</v>
      </c>
      <c r="F274" s="13" t="s">
        <v>584</v>
      </c>
      <c r="G274" s="13" t="s">
        <v>780</v>
      </c>
      <c r="H274" s="14">
        <v>-1.0</v>
      </c>
      <c r="I274" s="14">
        <v>-1.0</v>
      </c>
      <c r="J274" s="14">
        <v>-1.0</v>
      </c>
      <c r="K274" s="13" t="s">
        <v>817</v>
      </c>
      <c r="L274" s="15"/>
      <c r="M274" s="15"/>
      <c r="N274" s="15"/>
      <c r="O274" s="15"/>
      <c r="P274" s="15"/>
      <c r="Q274" s="15"/>
      <c r="R274" s="15"/>
      <c r="S274" s="15"/>
      <c r="T274" s="15"/>
      <c r="U274" s="15"/>
      <c r="V274" s="15"/>
      <c r="W274" s="15"/>
      <c r="X274" s="15"/>
      <c r="Y274" s="15"/>
      <c r="Z274" s="16"/>
    </row>
    <row r="275">
      <c r="A275" s="12" t="s">
        <v>818</v>
      </c>
      <c r="B275" s="13" t="s">
        <v>819</v>
      </c>
      <c r="C275" s="13" t="s">
        <v>28</v>
      </c>
      <c r="D275" s="13" t="s">
        <v>28</v>
      </c>
      <c r="E275" s="14">
        <v>200.0</v>
      </c>
      <c r="F275" s="13" t="s">
        <v>584</v>
      </c>
      <c r="G275" s="13" t="s">
        <v>820</v>
      </c>
      <c r="H275" s="14">
        <v>-1.0</v>
      </c>
      <c r="I275" s="14">
        <v>-1.0</v>
      </c>
      <c r="J275" s="14">
        <v>-1.0</v>
      </c>
      <c r="K275" s="13" t="s">
        <v>821</v>
      </c>
      <c r="L275" s="15"/>
      <c r="M275" s="15"/>
      <c r="N275" s="15"/>
      <c r="O275" s="15"/>
      <c r="P275" s="15"/>
      <c r="Q275" s="15"/>
      <c r="R275" s="15"/>
      <c r="S275" s="15"/>
      <c r="T275" s="15"/>
      <c r="U275" s="15"/>
      <c r="V275" s="15"/>
      <c r="W275" s="15"/>
      <c r="X275" s="15"/>
      <c r="Y275" s="15"/>
      <c r="Z275" s="16"/>
    </row>
    <row r="276">
      <c r="A276" s="12" t="s">
        <v>822</v>
      </c>
      <c r="B276" s="13" t="s">
        <v>823</v>
      </c>
      <c r="C276" s="13" t="s">
        <v>28</v>
      </c>
      <c r="D276" s="13" t="s">
        <v>28</v>
      </c>
      <c r="E276" s="14">
        <v>106.0</v>
      </c>
      <c r="F276" s="13" t="s">
        <v>584</v>
      </c>
      <c r="G276" s="13" t="s">
        <v>820</v>
      </c>
      <c r="H276" s="14">
        <v>-1.0</v>
      </c>
      <c r="I276" s="14">
        <v>-1.0</v>
      </c>
      <c r="J276" s="14">
        <v>-1.0</v>
      </c>
      <c r="K276" s="13" t="s">
        <v>824</v>
      </c>
      <c r="L276" s="15"/>
      <c r="M276" s="15"/>
      <c r="N276" s="15"/>
      <c r="O276" s="15"/>
      <c r="P276" s="15"/>
      <c r="Q276" s="15"/>
      <c r="R276" s="15"/>
      <c r="S276" s="15"/>
      <c r="T276" s="15"/>
      <c r="U276" s="15"/>
      <c r="V276" s="15"/>
      <c r="W276" s="15"/>
      <c r="X276" s="15"/>
      <c r="Y276" s="15"/>
      <c r="Z276" s="16"/>
    </row>
    <row r="277">
      <c r="A277" s="12" t="s">
        <v>825</v>
      </c>
      <c r="B277" s="13" t="s">
        <v>826</v>
      </c>
      <c r="C277" s="13" t="s">
        <v>28</v>
      </c>
      <c r="D277" s="13" t="s">
        <v>28</v>
      </c>
      <c r="E277" s="14">
        <v>200.0</v>
      </c>
      <c r="F277" s="13" t="s">
        <v>584</v>
      </c>
      <c r="G277" s="13" t="s">
        <v>820</v>
      </c>
      <c r="H277" s="14">
        <v>-1.0</v>
      </c>
      <c r="I277" s="14">
        <v>-1.0</v>
      </c>
      <c r="J277" s="14">
        <v>-1.0</v>
      </c>
      <c r="K277" s="13" t="s">
        <v>827</v>
      </c>
      <c r="L277" s="15"/>
      <c r="M277" s="15"/>
      <c r="N277" s="15"/>
      <c r="O277" s="15"/>
      <c r="P277" s="15"/>
      <c r="Q277" s="15"/>
      <c r="R277" s="15"/>
      <c r="S277" s="15"/>
      <c r="T277" s="15"/>
      <c r="U277" s="15"/>
      <c r="V277" s="15"/>
      <c r="W277" s="15"/>
      <c r="X277" s="15"/>
      <c r="Y277" s="15"/>
      <c r="Z277" s="16"/>
    </row>
    <row r="278">
      <c r="A278" s="12" t="s">
        <v>828</v>
      </c>
      <c r="B278" s="13" t="s">
        <v>829</v>
      </c>
      <c r="C278" s="13" t="s">
        <v>28</v>
      </c>
      <c r="D278" s="13" t="s">
        <v>28</v>
      </c>
      <c r="E278" s="14">
        <v>200.0</v>
      </c>
      <c r="F278" s="13" t="s">
        <v>584</v>
      </c>
      <c r="G278" s="13" t="s">
        <v>820</v>
      </c>
      <c r="H278" s="14">
        <v>-1.0</v>
      </c>
      <c r="I278" s="14">
        <v>-1.0</v>
      </c>
      <c r="J278" s="14">
        <v>-1.0</v>
      </c>
      <c r="K278" s="13" t="s">
        <v>830</v>
      </c>
      <c r="L278" s="15"/>
      <c r="M278" s="15"/>
      <c r="N278" s="15"/>
      <c r="O278" s="15"/>
      <c r="P278" s="15"/>
      <c r="Q278" s="15"/>
      <c r="R278" s="15"/>
      <c r="S278" s="15"/>
      <c r="T278" s="15"/>
      <c r="U278" s="15"/>
      <c r="V278" s="15"/>
      <c r="W278" s="15"/>
      <c r="X278" s="15"/>
      <c r="Y278" s="15"/>
      <c r="Z278" s="16"/>
    </row>
    <row r="279">
      <c r="A279" s="12" t="s">
        <v>831</v>
      </c>
      <c r="B279" s="13" t="s">
        <v>832</v>
      </c>
      <c r="C279" s="13" t="s">
        <v>28</v>
      </c>
      <c r="D279" s="13" t="s">
        <v>28</v>
      </c>
      <c r="E279" s="14">
        <v>187.0</v>
      </c>
      <c r="F279" s="13" t="s">
        <v>584</v>
      </c>
      <c r="G279" s="13" t="s">
        <v>820</v>
      </c>
      <c r="H279" s="14">
        <v>-1.0</v>
      </c>
      <c r="I279" s="14">
        <v>-1.0</v>
      </c>
      <c r="J279" s="14">
        <v>-1.0</v>
      </c>
      <c r="K279" s="13" t="s">
        <v>833</v>
      </c>
      <c r="L279" s="15"/>
      <c r="M279" s="15"/>
      <c r="N279" s="15"/>
      <c r="O279" s="15"/>
      <c r="P279" s="15"/>
      <c r="Q279" s="15"/>
      <c r="R279" s="15"/>
      <c r="S279" s="15"/>
      <c r="T279" s="15"/>
      <c r="U279" s="15"/>
      <c r="V279" s="15"/>
      <c r="W279" s="15"/>
      <c r="X279" s="15"/>
      <c r="Y279" s="15"/>
      <c r="Z279" s="16"/>
    </row>
    <row r="280">
      <c r="A280" s="12" t="s">
        <v>834</v>
      </c>
      <c r="B280" s="13" t="s">
        <v>835</v>
      </c>
      <c r="C280" s="13" t="s">
        <v>28</v>
      </c>
      <c r="D280" s="13" t="s">
        <v>28</v>
      </c>
      <c r="E280" s="14">
        <v>199.0</v>
      </c>
      <c r="F280" s="13" t="s">
        <v>584</v>
      </c>
      <c r="G280" s="13" t="s">
        <v>836</v>
      </c>
      <c r="H280" s="14">
        <v>-1.0</v>
      </c>
      <c r="I280" s="14">
        <v>-1.0</v>
      </c>
      <c r="J280" s="14">
        <v>-1.0</v>
      </c>
      <c r="K280" s="13" t="s">
        <v>837</v>
      </c>
      <c r="L280" s="15"/>
      <c r="M280" s="15"/>
      <c r="N280" s="15"/>
      <c r="O280" s="15"/>
      <c r="P280" s="15"/>
      <c r="Q280" s="15"/>
      <c r="R280" s="15"/>
      <c r="S280" s="15"/>
      <c r="T280" s="15"/>
      <c r="U280" s="15"/>
      <c r="V280" s="15"/>
      <c r="W280" s="15"/>
      <c r="X280" s="15"/>
      <c r="Y280" s="15"/>
      <c r="Z280" s="16"/>
    </row>
    <row r="281">
      <c r="A281" s="12" t="s">
        <v>838</v>
      </c>
      <c r="B281" s="13" t="s">
        <v>839</v>
      </c>
      <c r="C281" s="13" t="s">
        <v>28</v>
      </c>
      <c r="D281" s="13" t="s">
        <v>28</v>
      </c>
      <c r="E281" s="14">
        <v>141.0</v>
      </c>
      <c r="F281" s="13" t="s">
        <v>584</v>
      </c>
      <c r="G281" s="13" t="s">
        <v>840</v>
      </c>
      <c r="H281" s="14">
        <v>950.0</v>
      </c>
      <c r="I281" s="14">
        <v>1675.0</v>
      </c>
      <c r="J281" s="14">
        <v>1585.0</v>
      </c>
      <c r="K281" s="13" t="s">
        <v>841</v>
      </c>
      <c r="L281" s="15"/>
      <c r="M281" s="15"/>
      <c r="N281" s="15"/>
      <c r="O281" s="15"/>
      <c r="P281" s="15"/>
      <c r="Q281" s="15"/>
      <c r="R281" s="15"/>
      <c r="S281" s="15"/>
      <c r="T281" s="15"/>
      <c r="U281" s="15"/>
      <c r="V281" s="15"/>
      <c r="W281" s="15"/>
      <c r="X281" s="15"/>
      <c r="Y281" s="15"/>
      <c r="Z281" s="16"/>
    </row>
    <row r="282">
      <c r="A282" s="12" t="s">
        <v>842</v>
      </c>
      <c r="B282" s="13" t="s">
        <v>843</v>
      </c>
      <c r="C282" s="13" t="s">
        <v>28</v>
      </c>
      <c r="D282" s="13" t="s">
        <v>28</v>
      </c>
      <c r="E282" s="14">
        <v>118.0</v>
      </c>
      <c r="F282" s="13" t="s">
        <v>584</v>
      </c>
      <c r="G282" s="13" t="s">
        <v>836</v>
      </c>
      <c r="H282" s="14">
        <v>-1.0</v>
      </c>
      <c r="I282" s="14">
        <v>-1.0</v>
      </c>
      <c r="J282" s="14">
        <v>-1.0</v>
      </c>
      <c r="K282" s="13" t="s">
        <v>844</v>
      </c>
      <c r="L282" s="15"/>
      <c r="M282" s="15"/>
      <c r="N282" s="15"/>
      <c r="O282" s="15"/>
      <c r="P282" s="15"/>
      <c r="Q282" s="15"/>
      <c r="R282" s="15"/>
      <c r="S282" s="15"/>
      <c r="T282" s="15"/>
      <c r="U282" s="15"/>
      <c r="V282" s="15"/>
      <c r="W282" s="15"/>
      <c r="X282" s="15"/>
      <c r="Y282" s="15"/>
      <c r="Z282" s="16"/>
    </row>
    <row r="283">
      <c r="A283" s="12" t="s">
        <v>845</v>
      </c>
      <c r="B283" s="13" t="s">
        <v>846</v>
      </c>
      <c r="C283" s="13" t="s">
        <v>28</v>
      </c>
      <c r="D283" s="13" t="s">
        <v>28</v>
      </c>
      <c r="E283" s="14">
        <v>45.0</v>
      </c>
      <c r="F283" s="13" t="s">
        <v>584</v>
      </c>
      <c r="G283" s="13" t="s">
        <v>847</v>
      </c>
      <c r="H283" s="14">
        <v>-1.0</v>
      </c>
      <c r="I283" s="14">
        <v>-1.0</v>
      </c>
      <c r="J283" s="14">
        <v>-1.0</v>
      </c>
      <c r="K283" s="13" t="s">
        <v>848</v>
      </c>
      <c r="L283" s="15"/>
      <c r="M283" s="15"/>
      <c r="N283" s="15"/>
      <c r="O283" s="15"/>
      <c r="P283" s="15"/>
      <c r="Q283" s="15"/>
      <c r="R283" s="15"/>
      <c r="S283" s="15"/>
      <c r="T283" s="15"/>
      <c r="U283" s="15"/>
      <c r="V283" s="15"/>
      <c r="W283" s="15"/>
      <c r="X283" s="15"/>
      <c r="Y283" s="15"/>
      <c r="Z283" s="16"/>
    </row>
    <row r="284">
      <c r="A284" s="12" t="s">
        <v>849</v>
      </c>
      <c r="B284" s="13" t="s">
        <v>850</v>
      </c>
      <c r="C284" s="13" t="s">
        <v>28</v>
      </c>
      <c r="D284" s="13" t="s">
        <v>28</v>
      </c>
      <c r="E284" s="14">
        <v>200.0</v>
      </c>
      <c r="F284" s="13" t="s">
        <v>584</v>
      </c>
      <c r="G284" s="13" t="s">
        <v>851</v>
      </c>
      <c r="H284" s="14">
        <v>-1.0</v>
      </c>
      <c r="I284" s="14">
        <v>-1.0</v>
      </c>
      <c r="J284" s="14">
        <v>-1.0</v>
      </c>
      <c r="K284" s="13" t="s">
        <v>852</v>
      </c>
      <c r="L284" s="15"/>
      <c r="M284" s="15"/>
      <c r="N284" s="15"/>
      <c r="O284" s="15"/>
      <c r="P284" s="15"/>
      <c r="Q284" s="15"/>
      <c r="R284" s="15"/>
      <c r="S284" s="15"/>
      <c r="T284" s="15"/>
      <c r="U284" s="15"/>
      <c r="V284" s="15"/>
      <c r="W284" s="15"/>
      <c r="X284" s="15"/>
      <c r="Y284" s="15"/>
      <c r="Z284" s="16"/>
    </row>
    <row r="285">
      <c r="A285" s="12" t="s">
        <v>853</v>
      </c>
      <c r="B285" s="13" t="s">
        <v>854</v>
      </c>
      <c r="C285" s="13" t="s">
        <v>28</v>
      </c>
      <c r="D285" s="13" t="s">
        <v>28</v>
      </c>
      <c r="E285" s="14">
        <v>200.0</v>
      </c>
      <c r="F285" s="13" t="s">
        <v>584</v>
      </c>
      <c r="G285" s="13" t="s">
        <v>851</v>
      </c>
      <c r="H285" s="14">
        <v>-1.0</v>
      </c>
      <c r="I285" s="14">
        <v>-1.0</v>
      </c>
      <c r="J285" s="14">
        <v>-1.0</v>
      </c>
      <c r="K285" s="13" t="s">
        <v>855</v>
      </c>
      <c r="L285" s="15"/>
      <c r="M285" s="15"/>
      <c r="N285" s="15"/>
      <c r="O285" s="15"/>
      <c r="P285" s="15"/>
      <c r="Q285" s="15"/>
      <c r="R285" s="15"/>
      <c r="S285" s="15"/>
      <c r="T285" s="15"/>
      <c r="U285" s="15"/>
      <c r="V285" s="15"/>
      <c r="W285" s="15"/>
      <c r="X285" s="15"/>
      <c r="Y285" s="15"/>
      <c r="Z285" s="16"/>
    </row>
    <row r="286">
      <c r="A286" s="12" t="s">
        <v>856</v>
      </c>
      <c r="B286" s="13" t="s">
        <v>857</v>
      </c>
      <c r="C286" s="13" t="s">
        <v>28</v>
      </c>
      <c r="D286" s="13" t="s">
        <v>28</v>
      </c>
      <c r="E286" s="14">
        <v>177.0</v>
      </c>
      <c r="F286" s="13" t="s">
        <v>584</v>
      </c>
      <c r="G286" s="13" t="s">
        <v>851</v>
      </c>
      <c r="H286" s="14">
        <v>-1.0</v>
      </c>
      <c r="I286" s="14">
        <v>-1.0</v>
      </c>
      <c r="J286" s="14">
        <v>-1.0</v>
      </c>
      <c r="K286" s="13" t="s">
        <v>858</v>
      </c>
      <c r="L286" s="15"/>
      <c r="M286" s="15"/>
      <c r="N286" s="15"/>
      <c r="O286" s="15"/>
      <c r="P286" s="15"/>
      <c r="Q286" s="15"/>
      <c r="R286" s="15"/>
      <c r="S286" s="15"/>
      <c r="T286" s="15"/>
      <c r="U286" s="15"/>
      <c r="V286" s="15"/>
      <c r="W286" s="15"/>
      <c r="X286" s="15"/>
      <c r="Y286" s="15"/>
      <c r="Z286" s="16"/>
    </row>
    <row r="287">
      <c r="A287" s="12" t="s">
        <v>859</v>
      </c>
      <c r="B287" s="13" t="s">
        <v>860</v>
      </c>
      <c r="C287" s="13" t="s">
        <v>28</v>
      </c>
      <c r="D287" s="13" t="s">
        <v>28</v>
      </c>
      <c r="E287" s="14">
        <v>200.0</v>
      </c>
      <c r="F287" s="13" t="s">
        <v>584</v>
      </c>
      <c r="G287" s="13" t="s">
        <v>851</v>
      </c>
      <c r="H287" s="14">
        <v>-1.0</v>
      </c>
      <c r="I287" s="14">
        <v>-1.0</v>
      </c>
      <c r="J287" s="14">
        <v>-1.0</v>
      </c>
      <c r="K287" s="13" t="s">
        <v>861</v>
      </c>
      <c r="L287" s="15"/>
      <c r="M287" s="15"/>
      <c r="N287" s="15"/>
      <c r="O287" s="15"/>
      <c r="P287" s="15"/>
      <c r="Q287" s="15"/>
      <c r="R287" s="15"/>
      <c r="S287" s="15"/>
      <c r="T287" s="15"/>
      <c r="U287" s="15"/>
      <c r="V287" s="15"/>
      <c r="W287" s="15"/>
      <c r="X287" s="15"/>
      <c r="Y287" s="15"/>
      <c r="Z287" s="16"/>
    </row>
    <row r="288">
      <c r="A288" s="12" t="s">
        <v>862</v>
      </c>
      <c r="B288" s="13" t="s">
        <v>863</v>
      </c>
      <c r="C288" s="13" t="s">
        <v>28</v>
      </c>
      <c r="D288" s="13" t="s">
        <v>28</v>
      </c>
      <c r="E288" s="14">
        <v>200.0</v>
      </c>
      <c r="F288" s="13" t="s">
        <v>584</v>
      </c>
      <c r="G288" s="13" t="s">
        <v>851</v>
      </c>
      <c r="H288" s="14">
        <v>-1.0</v>
      </c>
      <c r="I288" s="14">
        <v>-1.0</v>
      </c>
      <c r="J288" s="14">
        <v>-1.0</v>
      </c>
      <c r="K288" s="13" t="s">
        <v>864</v>
      </c>
      <c r="L288" s="15"/>
      <c r="M288" s="15"/>
      <c r="N288" s="15"/>
      <c r="O288" s="15"/>
      <c r="P288" s="15"/>
      <c r="Q288" s="15"/>
      <c r="R288" s="15"/>
      <c r="S288" s="15"/>
      <c r="T288" s="15"/>
      <c r="U288" s="15"/>
      <c r="V288" s="15"/>
      <c r="W288" s="15"/>
      <c r="X288" s="15"/>
      <c r="Y288" s="15"/>
      <c r="Z288" s="16"/>
    </row>
    <row r="289">
      <c r="A289" s="12" t="s">
        <v>865</v>
      </c>
      <c r="B289" s="13" t="s">
        <v>866</v>
      </c>
      <c r="C289" s="13" t="s">
        <v>28</v>
      </c>
      <c r="D289" s="13" t="s">
        <v>28</v>
      </c>
      <c r="E289" s="14">
        <v>200.0</v>
      </c>
      <c r="F289" s="13" t="s">
        <v>584</v>
      </c>
      <c r="G289" s="13" t="s">
        <v>851</v>
      </c>
      <c r="H289" s="14">
        <v>-1.0</v>
      </c>
      <c r="I289" s="14">
        <v>-1.0</v>
      </c>
      <c r="J289" s="14">
        <v>-1.0</v>
      </c>
      <c r="K289" s="13" t="s">
        <v>867</v>
      </c>
      <c r="L289" s="15"/>
      <c r="M289" s="15"/>
      <c r="N289" s="15"/>
      <c r="O289" s="15"/>
      <c r="P289" s="15"/>
      <c r="Q289" s="15"/>
      <c r="R289" s="15"/>
      <c r="S289" s="15"/>
      <c r="T289" s="15"/>
      <c r="U289" s="15"/>
      <c r="V289" s="15"/>
      <c r="W289" s="15"/>
      <c r="X289" s="15"/>
      <c r="Y289" s="15"/>
      <c r="Z289" s="16"/>
    </row>
    <row r="290">
      <c r="A290" s="12" t="s">
        <v>868</v>
      </c>
      <c r="B290" s="13" t="s">
        <v>869</v>
      </c>
      <c r="C290" s="13" t="s">
        <v>28</v>
      </c>
      <c r="D290" s="13" t="s">
        <v>28</v>
      </c>
      <c r="E290" s="14">
        <v>200.0</v>
      </c>
      <c r="F290" s="13" t="s">
        <v>584</v>
      </c>
      <c r="G290" s="13" t="s">
        <v>851</v>
      </c>
      <c r="H290" s="14">
        <v>-1.0</v>
      </c>
      <c r="I290" s="14">
        <v>-1.0</v>
      </c>
      <c r="J290" s="14">
        <v>-1.0</v>
      </c>
      <c r="K290" s="13" t="s">
        <v>870</v>
      </c>
      <c r="L290" s="15"/>
      <c r="M290" s="15"/>
      <c r="N290" s="15"/>
      <c r="O290" s="15"/>
      <c r="P290" s="15"/>
      <c r="Q290" s="15"/>
      <c r="R290" s="15"/>
      <c r="S290" s="15"/>
      <c r="T290" s="15"/>
      <c r="U290" s="15"/>
      <c r="V290" s="15"/>
      <c r="W290" s="15"/>
      <c r="X290" s="15"/>
      <c r="Y290" s="15"/>
      <c r="Z290" s="16"/>
    </row>
    <row r="291">
      <c r="A291" s="12" t="s">
        <v>871</v>
      </c>
      <c r="B291" s="13" t="s">
        <v>872</v>
      </c>
      <c r="C291" s="13" t="s">
        <v>28</v>
      </c>
      <c r="D291" s="13" t="s">
        <v>28</v>
      </c>
      <c r="E291" s="14">
        <v>171.0</v>
      </c>
      <c r="F291" s="13" t="s">
        <v>584</v>
      </c>
      <c r="G291" s="13" t="s">
        <v>851</v>
      </c>
      <c r="H291" s="14">
        <v>-1.0</v>
      </c>
      <c r="I291" s="14">
        <v>-1.0</v>
      </c>
      <c r="J291" s="14">
        <v>-1.0</v>
      </c>
      <c r="K291" s="13" t="s">
        <v>873</v>
      </c>
      <c r="L291" s="15"/>
      <c r="M291" s="15"/>
      <c r="N291" s="15"/>
      <c r="O291" s="15"/>
      <c r="P291" s="15"/>
      <c r="Q291" s="15"/>
      <c r="R291" s="15"/>
      <c r="S291" s="15"/>
      <c r="T291" s="15"/>
      <c r="U291" s="15"/>
      <c r="V291" s="15"/>
      <c r="W291" s="15"/>
      <c r="X291" s="15"/>
      <c r="Y291" s="15"/>
      <c r="Z291" s="16"/>
    </row>
    <row r="292">
      <c r="A292" s="12" t="s">
        <v>874</v>
      </c>
      <c r="B292" s="13" t="s">
        <v>875</v>
      </c>
      <c r="C292" s="13" t="s">
        <v>28</v>
      </c>
      <c r="D292" s="13" t="s">
        <v>28</v>
      </c>
      <c r="E292" s="14">
        <v>200.0</v>
      </c>
      <c r="F292" s="13" t="s">
        <v>584</v>
      </c>
      <c r="G292" s="13" t="s">
        <v>851</v>
      </c>
      <c r="H292" s="14">
        <v>-1.0</v>
      </c>
      <c r="I292" s="14">
        <v>-1.0</v>
      </c>
      <c r="J292" s="14">
        <v>-1.0</v>
      </c>
      <c r="K292" s="13" t="s">
        <v>876</v>
      </c>
      <c r="L292" s="15"/>
      <c r="M292" s="15"/>
      <c r="N292" s="15"/>
      <c r="O292" s="15"/>
      <c r="P292" s="15"/>
      <c r="Q292" s="15"/>
      <c r="R292" s="15"/>
      <c r="S292" s="15"/>
      <c r="T292" s="15"/>
      <c r="U292" s="15"/>
      <c r="V292" s="15"/>
      <c r="W292" s="15"/>
      <c r="X292" s="15"/>
      <c r="Y292" s="15"/>
      <c r="Z292" s="16"/>
    </row>
    <row r="293">
      <c r="A293" s="12" t="s">
        <v>877</v>
      </c>
      <c r="B293" s="13" t="s">
        <v>878</v>
      </c>
      <c r="C293" s="13" t="s">
        <v>28</v>
      </c>
      <c r="D293" s="13" t="s">
        <v>28</v>
      </c>
      <c r="E293" s="14">
        <v>177.0</v>
      </c>
      <c r="F293" s="13" t="s">
        <v>584</v>
      </c>
      <c r="G293" s="13" t="s">
        <v>851</v>
      </c>
      <c r="H293" s="14">
        <v>-1.0</v>
      </c>
      <c r="I293" s="14">
        <v>-1.0</v>
      </c>
      <c r="J293" s="14">
        <v>-1.0</v>
      </c>
      <c r="K293" s="13" t="s">
        <v>879</v>
      </c>
      <c r="L293" s="15"/>
      <c r="M293" s="15"/>
      <c r="N293" s="15"/>
      <c r="O293" s="15"/>
      <c r="P293" s="15"/>
      <c r="Q293" s="15"/>
      <c r="R293" s="15"/>
      <c r="S293" s="15"/>
      <c r="T293" s="15"/>
      <c r="U293" s="15"/>
      <c r="V293" s="15"/>
      <c r="W293" s="15"/>
      <c r="X293" s="15"/>
      <c r="Y293" s="15"/>
      <c r="Z293" s="16"/>
    </row>
    <row r="294">
      <c r="A294" s="12" t="s">
        <v>880</v>
      </c>
      <c r="B294" s="13" t="s">
        <v>881</v>
      </c>
      <c r="C294" s="13" t="s">
        <v>28</v>
      </c>
      <c r="D294" s="13" t="s">
        <v>28</v>
      </c>
      <c r="E294" s="14">
        <v>200.0</v>
      </c>
      <c r="F294" s="13" t="s">
        <v>584</v>
      </c>
      <c r="G294" s="13" t="s">
        <v>851</v>
      </c>
      <c r="H294" s="14">
        <v>-1.0</v>
      </c>
      <c r="I294" s="14">
        <v>-1.0</v>
      </c>
      <c r="J294" s="14">
        <v>-1.0</v>
      </c>
      <c r="K294" s="13" t="s">
        <v>882</v>
      </c>
      <c r="L294" s="15"/>
      <c r="M294" s="15"/>
      <c r="N294" s="15"/>
      <c r="O294" s="15"/>
      <c r="P294" s="15"/>
      <c r="Q294" s="15"/>
      <c r="R294" s="15"/>
      <c r="S294" s="15"/>
      <c r="T294" s="15"/>
      <c r="U294" s="15"/>
      <c r="V294" s="15"/>
      <c r="W294" s="15"/>
      <c r="X294" s="15"/>
      <c r="Y294" s="15"/>
      <c r="Z294" s="16"/>
    </row>
    <row r="295">
      <c r="A295" s="12" t="s">
        <v>883</v>
      </c>
      <c r="B295" s="13" t="s">
        <v>884</v>
      </c>
      <c r="C295" s="13" t="s">
        <v>28</v>
      </c>
      <c r="D295" s="13" t="s">
        <v>28</v>
      </c>
      <c r="E295" s="14">
        <v>200.0</v>
      </c>
      <c r="F295" s="13" t="s">
        <v>584</v>
      </c>
      <c r="G295" s="13" t="s">
        <v>851</v>
      </c>
      <c r="H295" s="14">
        <v>-1.0</v>
      </c>
      <c r="I295" s="14">
        <v>-1.0</v>
      </c>
      <c r="J295" s="14">
        <v>-1.0</v>
      </c>
      <c r="K295" s="13" t="s">
        <v>885</v>
      </c>
      <c r="L295" s="15"/>
      <c r="M295" s="15"/>
      <c r="N295" s="15"/>
      <c r="O295" s="15"/>
      <c r="P295" s="15"/>
      <c r="Q295" s="15"/>
      <c r="R295" s="15"/>
      <c r="S295" s="15"/>
      <c r="T295" s="15"/>
      <c r="U295" s="15"/>
      <c r="V295" s="15"/>
      <c r="W295" s="15"/>
      <c r="X295" s="15"/>
      <c r="Y295" s="15"/>
      <c r="Z295" s="16"/>
    </row>
    <row r="296">
      <c r="A296" s="12" t="s">
        <v>886</v>
      </c>
      <c r="B296" s="13" t="s">
        <v>887</v>
      </c>
      <c r="C296" s="13" t="s">
        <v>28</v>
      </c>
      <c r="D296" s="13" t="s">
        <v>28</v>
      </c>
      <c r="E296" s="14">
        <v>200.0</v>
      </c>
      <c r="F296" s="13" t="s">
        <v>584</v>
      </c>
      <c r="G296" s="13" t="s">
        <v>851</v>
      </c>
      <c r="H296" s="14">
        <v>-1.0</v>
      </c>
      <c r="I296" s="14">
        <v>-1.0</v>
      </c>
      <c r="J296" s="14">
        <v>-1.0</v>
      </c>
      <c r="K296" s="13" t="s">
        <v>888</v>
      </c>
      <c r="L296" s="15"/>
      <c r="M296" s="15"/>
      <c r="N296" s="15"/>
      <c r="O296" s="15"/>
      <c r="P296" s="15"/>
      <c r="Q296" s="15"/>
      <c r="R296" s="15"/>
      <c r="S296" s="15"/>
      <c r="T296" s="15"/>
      <c r="U296" s="15"/>
      <c r="V296" s="15"/>
      <c r="W296" s="15"/>
      <c r="X296" s="15"/>
      <c r="Y296" s="15"/>
      <c r="Z296" s="16"/>
    </row>
    <row r="297">
      <c r="A297" s="12" t="s">
        <v>889</v>
      </c>
      <c r="B297" s="13" t="s">
        <v>890</v>
      </c>
      <c r="C297" s="13" t="s">
        <v>28</v>
      </c>
      <c r="D297" s="13" t="s">
        <v>28</v>
      </c>
      <c r="E297" s="14">
        <v>128.0</v>
      </c>
      <c r="F297" s="13" t="s">
        <v>584</v>
      </c>
      <c r="G297" s="13" t="s">
        <v>851</v>
      </c>
      <c r="H297" s="14">
        <v>-1.0</v>
      </c>
      <c r="I297" s="14">
        <v>-1.0</v>
      </c>
      <c r="J297" s="14">
        <v>-1.0</v>
      </c>
      <c r="K297" s="13" t="s">
        <v>891</v>
      </c>
      <c r="L297" s="15"/>
      <c r="M297" s="15"/>
      <c r="N297" s="15"/>
      <c r="O297" s="15"/>
      <c r="P297" s="15"/>
      <c r="Q297" s="15"/>
      <c r="R297" s="15"/>
      <c r="S297" s="15"/>
      <c r="T297" s="15"/>
      <c r="U297" s="15"/>
      <c r="V297" s="15"/>
      <c r="W297" s="15"/>
      <c r="X297" s="15"/>
      <c r="Y297" s="15"/>
      <c r="Z297" s="16"/>
    </row>
    <row r="298">
      <c r="A298" s="12" t="s">
        <v>892</v>
      </c>
      <c r="B298" s="13" t="s">
        <v>893</v>
      </c>
      <c r="C298" s="13" t="s">
        <v>28</v>
      </c>
      <c r="D298" s="13" t="s">
        <v>28</v>
      </c>
      <c r="E298" s="14">
        <v>143.0</v>
      </c>
      <c r="F298" s="13" t="s">
        <v>584</v>
      </c>
      <c r="G298" s="13" t="s">
        <v>851</v>
      </c>
      <c r="H298" s="14">
        <v>-1.0</v>
      </c>
      <c r="I298" s="14">
        <v>-1.0</v>
      </c>
      <c r="J298" s="14">
        <v>-1.0</v>
      </c>
      <c r="K298" s="13" t="s">
        <v>894</v>
      </c>
      <c r="L298" s="15"/>
      <c r="M298" s="15"/>
      <c r="N298" s="15"/>
      <c r="O298" s="15"/>
      <c r="P298" s="15"/>
      <c r="Q298" s="15"/>
      <c r="R298" s="15"/>
      <c r="S298" s="15"/>
      <c r="T298" s="15"/>
      <c r="U298" s="15"/>
      <c r="V298" s="15"/>
      <c r="W298" s="15"/>
      <c r="X298" s="15"/>
      <c r="Y298" s="15"/>
      <c r="Z298" s="16"/>
    </row>
    <row r="299">
      <c r="A299" s="12" t="s">
        <v>895</v>
      </c>
      <c r="B299" s="13" t="s">
        <v>896</v>
      </c>
      <c r="C299" s="13" t="s">
        <v>28</v>
      </c>
      <c r="D299" s="13" t="s">
        <v>28</v>
      </c>
      <c r="E299" s="14">
        <v>130.0</v>
      </c>
      <c r="F299" s="13" t="s">
        <v>584</v>
      </c>
      <c r="G299" s="13" t="s">
        <v>851</v>
      </c>
      <c r="H299" s="14">
        <v>-1.0</v>
      </c>
      <c r="I299" s="14">
        <v>-1.0</v>
      </c>
      <c r="J299" s="14">
        <v>-1.0</v>
      </c>
      <c r="K299" s="13" t="s">
        <v>897</v>
      </c>
      <c r="L299" s="15"/>
      <c r="M299" s="15"/>
      <c r="N299" s="15"/>
      <c r="O299" s="15"/>
      <c r="P299" s="15"/>
      <c r="Q299" s="15"/>
      <c r="R299" s="15"/>
      <c r="S299" s="15"/>
      <c r="T299" s="15"/>
      <c r="U299" s="15"/>
      <c r="V299" s="15"/>
      <c r="W299" s="15"/>
      <c r="X299" s="15"/>
      <c r="Y299" s="15"/>
      <c r="Z299" s="16"/>
    </row>
    <row r="300">
      <c r="A300" s="12" t="s">
        <v>898</v>
      </c>
      <c r="B300" s="13" t="s">
        <v>899</v>
      </c>
      <c r="C300" s="13" t="s">
        <v>28</v>
      </c>
      <c r="D300" s="13" t="s">
        <v>28</v>
      </c>
      <c r="E300" s="14">
        <v>200.0</v>
      </c>
      <c r="F300" s="13" t="s">
        <v>584</v>
      </c>
      <c r="G300" s="13" t="s">
        <v>820</v>
      </c>
      <c r="H300" s="14">
        <v>-1.0</v>
      </c>
      <c r="I300" s="14">
        <v>-1.0</v>
      </c>
      <c r="J300" s="14">
        <v>-1.0</v>
      </c>
      <c r="K300" s="13" t="s">
        <v>900</v>
      </c>
      <c r="L300" s="15"/>
      <c r="M300" s="15"/>
      <c r="N300" s="15"/>
      <c r="O300" s="15"/>
      <c r="P300" s="15"/>
      <c r="Q300" s="15"/>
      <c r="R300" s="15"/>
      <c r="S300" s="15"/>
      <c r="T300" s="15"/>
      <c r="U300" s="15"/>
      <c r="V300" s="15"/>
      <c r="W300" s="15"/>
      <c r="X300" s="15"/>
      <c r="Y300" s="15"/>
      <c r="Z300" s="16"/>
    </row>
    <row r="301">
      <c r="A301" s="12" t="s">
        <v>901</v>
      </c>
      <c r="B301" s="13" t="s">
        <v>902</v>
      </c>
      <c r="C301" s="13" t="s">
        <v>28</v>
      </c>
      <c r="D301" s="13" t="s">
        <v>28</v>
      </c>
      <c r="E301" s="14">
        <v>95.0</v>
      </c>
      <c r="F301" s="13" t="s">
        <v>584</v>
      </c>
      <c r="G301" s="13" t="s">
        <v>851</v>
      </c>
      <c r="H301" s="14">
        <v>-1.0</v>
      </c>
      <c r="I301" s="14">
        <v>-1.0</v>
      </c>
      <c r="J301" s="14">
        <v>-1.0</v>
      </c>
      <c r="K301" s="13" t="s">
        <v>903</v>
      </c>
      <c r="L301" s="15"/>
      <c r="M301" s="15"/>
      <c r="N301" s="15"/>
      <c r="O301" s="15"/>
      <c r="P301" s="15"/>
      <c r="Q301" s="15"/>
      <c r="R301" s="15"/>
      <c r="S301" s="15"/>
      <c r="T301" s="15"/>
      <c r="U301" s="15"/>
      <c r="V301" s="15"/>
      <c r="W301" s="15"/>
      <c r="X301" s="15"/>
      <c r="Y301" s="15"/>
      <c r="Z301" s="16"/>
    </row>
    <row r="302">
      <c r="A302" s="12" t="s">
        <v>904</v>
      </c>
      <c r="B302" s="13" t="s">
        <v>905</v>
      </c>
      <c r="C302" s="13" t="s">
        <v>28</v>
      </c>
      <c r="D302" s="13" t="s">
        <v>28</v>
      </c>
      <c r="E302" s="14">
        <v>168.0</v>
      </c>
      <c r="F302" s="13" t="s">
        <v>584</v>
      </c>
      <c r="G302" s="13" t="s">
        <v>851</v>
      </c>
      <c r="H302" s="14">
        <v>-1.0</v>
      </c>
      <c r="I302" s="14">
        <v>-1.0</v>
      </c>
      <c r="J302" s="14">
        <v>-1.0</v>
      </c>
      <c r="K302" s="13" t="s">
        <v>906</v>
      </c>
      <c r="L302" s="15"/>
      <c r="M302" s="15"/>
      <c r="N302" s="15"/>
      <c r="O302" s="15"/>
      <c r="P302" s="15"/>
      <c r="Q302" s="15"/>
      <c r="R302" s="15"/>
      <c r="S302" s="15"/>
      <c r="T302" s="15"/>
      <c r="U302" s="15"/>
      <c r="V302" s="15"/>
      <c r="W302" s="15"/>
      <c r="X302" s="15"/>
      <c r="Y302" s="15"/>
      <c r="Z302" s="16"/>
    </row>
    <row r="303">
      <c r="A303" s="12" t="s">
        <v>907</v>
      </c>
      <c r="B303" s="13" t="s">
        <v>908</v>
      </c>
      <c r="C303" s="13" t="s">
        <v>28</v>
      </c>
      <c r="D303" s="13" t="s">
        <v>28</v>
      </c>
      <c r="E303" s="14">
        <v>200.0</v>
      </c>
      <c r="F303" s="13" t="s">
        <v>584</v>
      </c>
      <c r="G303" s="13" t="s">
        <v>851</v>
      </c>
      <c r="H303" s="14">
        <v>950.0</v>
      </c>
      <c r="I303" s="14">
        <v>1675.0</v>
      </c>
      <c r="J303" s="14">
        <v>1585.0</v>
      </c>
      <c r="K303" s="13" t="s">
        <v>909</v>
      </c>
      <c r="L303" s="15"/>
      <c r="M303" s="15"/>
      <c r="N303" s="15"/>
      <c r="O303" s="15"/>
      <c r="P303" s="15"/>
      <c r="Q303" s="15"/>
      <c r="R303" s="15"/>
      <c r="S303" s="15"/>
      <c r="T303" s="15"/>
      <c r="U303" s="15"/>
      <c r="V303" s="15"/>
      <c r="W303" s="15"/>
      <c r="X303" s="15"/>
      <c r="Y303" s="15"/>
      <c r="Z303" s="16"/>
    </row>
    <row r="304">
      <c r="A304" s="12" t="s">
        <v>910</v>
      </c>
      <c r="B304" s="13" t="s">
        <v>911</v>
      </c>
      <c r="C304" s="13" t="s">
        <v>28</v>
      </c>
      <c r="D304" s="13" t="s">
        <v>28</v>
      </c>
      <c r="E304" s="14">
        <v>200.0</v>
      </c>
      <c r="F304" s="13" t="s">
        <v>584</v>
      </c>
      <c r="G304" s="13" t="s">
        <v>851</v>
      </c>
      <c r="H304" s="14">
        <v>950.0</v>
      </c>
      <c r="I304" s="14">
        <v>1675.0</v>
      </c>
      <c r="J304" s="14">
        <v>1585.0</v>
      </c>
      <c r="K304" s="13" t="s">
        <v>912</v>
      </c>
      <c r="L304" s="15"/>
      <c r="M304" s="15"/>
      <c r="N304" s="15"/>
      <c r="O304" s="15"/>
      <c r="P304" s="15"/>
      <c r="Q304" s="15"/>
      <c r="R304" s="15"/>
      <c r="S304" s="15"/>
      <c r="T304" s="15"/>
      <c r="U304" s="15"/>
      <c r="V304" s="15"/>
      <c r="W304" s="15"/>
      <c r="X304" s="15"/>
      <c r="Y304" s="15"/>
      <c r="Z304" s="16"/>
    </row>
    <row r="305">
      <c r="A305" s="12" t="s">
        <v>913</v>
      </c>
      <c r="B305" s="13" t="s">
        <v>914</v>
      </c>
      <c r="C305" s="13" t="s">
        <v>28</v>
      </c>
      <c r="D305" s="13" t="s">
        <v>28</v>
      </c>
      <c r="E305" s="14">
        <v>740.0</v>
      </c>
      <c r="F305" s="13" t="s">
        <v>584</v>
      </c>
      <c r="G305" s="13" t="s">
        <v>915</v>
      </c>
      <c r="H305" s="14">
        <v>950.0</v>
      </c>
      <c r="I305" s="14">
        <v>-1.0</v>
      </c>
      <c r="J305" s="14">
        <v>-1.0</v>
      </c>
      <c r="K305" s="13" t="s">
        <v>916</v>
      </c>
      <c r="L305" s="15"/>
      <c r="M305" s="15"/>
      <c r="N305" s="15"/>
      <c r="O305" s="15"/>
      <c r="P305" s="15"/>
      <c r="Q305" s="15"/>
      <c r="R305" s="15"/>
      <c r="S305" s="15"/>
      <c r="T305" s="15"/>
      <c r="U305" s="15"/>
      <c r="V305" s="15"/>
      <c r="W305" s="15"/>
      <c r="X305" s="15"/>
      <c r="Y305" s="15"/>
      <c r="Z305" s="16"/>
    </row>
    <row r="306">
      <c r="A306" s="12" t="s">
        <v>917</v>
      </c>
      <c r="B306" s="13" t="s">
        <v>918</v>
      </c>
      <c r="C306" s="13" t="s">
        <v>28</v>
      </c>
      <c r="D306" s="13" t="s">
        <v>28</v>
      </c>
      <c r="E306" s="14">
        <v>500.0</v>
      </c>
      <c r="F306" s="13" t="s">
        <v>584</v>
      </c>
      <c r="G306" s="13" t="s">
        <v>919</v>
      </c>
      <c r="H306" s="14">
        <v>-1.0</v>
      </c>
      <c r="I306" s="14">
        <v>-1.0</v>
      </c>
      <c r="J306" s="14">
        <v>-1.0</v>
      </c>
      <c r="K306" s="13" t="s">
        <v>920</v>
      </c>
      <c r="L306" s="15"/>
      <c r="M306" s="15"/>
      <c r="N306" s="15"/>
      <c r="O306" s="15"/>
      <c r="P306" s="15"/>
      <c r="Q306" s="15"/>
      <c r="R306" s="15"/>
      <c r="S306" s="15"/>
      <c r="T306" s="15"/>
      <c r="U306" s="15"/>
      <c r="V306" s="15"/>
      <c r="W306" s="15"/>
      <c r="X306" s="15"/>
      <c r="Y306" s="15"/>
      <c r="Z306" s="16"/>
    </row>
    <row r="307">
      <c r="A307" s="12" t="s">
        <v>921</v>
      </c>
      <c r="B307" s="13" t="s">
        <v>922</v>
      </c>
      <c r="C307" s="13" t="s">
        <v>28</v>
      </c>
      <c r="D307" s="13" t="s">
        <v>28</v>
      </c>
      <c r="E307" s="14">
        <v>91.0</v>
      </c>
      <c r="F307" s="13" t="s">
        <v>584</v>
      </c>
      <c r="G307" s="13" t="s">
        <v>923</v>
      </c>
      <c r="H307" s="14">
        <v>950.0</v>
      </c>
      <c r="I307" s="14">
        <v>0.0</v>
      </c>
      <c r="J307" s="14">
        <v>0.0</v>
      </c>
      <c r="K307" s="13" t="s">
        <v>924</v>
      </c>
      <c r="L307" s="15"/>
      <c r="M307" s="15"/>
      <c r="N307" s="15"/>
      <c r="O307" s="15"/>
      <c r="P307" s="15"/>
      <c r="Q307" s="15"/>
      <c r="R307" s="15"/>
      <c r="S307" s="15"/>
      <c r="T307" s="15"/>
      <c r="U307" s="15"/>
      <c r="V307" s="15"/>
      <c r="W307" s="15"/>
      <c r="X307" s="15"/>
      <c r="Y307" s="15"/>
      <c r="Z307" s="16"/>
    </row>
    <row r="308">
      <c r="A308" s="12" t="s">
        <v>925</v>
      </c>
      <c r="B308" s="13" t="s">
        <v>926</v>
      </c>
      <c r="C308" s="13" t="s">
        <v>28</v>
      </c>
      <c r="D308" s="13" t="s">
        <v>28</v>
      </c>
      <c r="E308" s="14">
        <v>103.0</v>
      </c>
      <c r="F308" s="13" t="s">
        <v>537</v>
      </c>
      <c r="G308" s="15"/>
      <c r="H308" s="14">
        <v>950.0</v>
      </c>
      <c r="I308" s="14">
        <v>1675.0</v>
      </c>
      <c r="J308" s="14">
        <v>1585.0</v>
      </c>
      <c r="K308" s="13" t="s">
        <v>927</v>
      </c>
      <c r="L308" s="15"/>
      <c r="M308" s="15"/>
      <c r="N308" s="15"/>
      <c r="O308" s="15"/>
      <c r="P308" s="15"/>
      <c r="Q308" s="15"/>
      <c r="R308" s="15"/>
      <c r="S308" s="15"/>
      <c r="T308" s="15"/>
      <c r="U308" s="15"/>
      <c r="V308" s="15"/>
      <c r="W308" s="15"/>
      <c r="X308" s="15"/>
      <c r="Y308" s="15"/>
      <c r="Z308" s="16"/>
    </row>
    <row r="309">
      <c r="A309" s="12" t="s">
        <v>928</v>
      </c>
      <c r="B309" s="13" t="s">
        <v>929</v>
      </c>
      <c r="C309" s="13" t="s">
        <v>28</v>
      </c>
      <c r="D309" s="13" t="s">
        <v>28</v>
      </c>
      <c r="E309" s="14">
        <v>151.0</v>
      </c>
      <c r="F309" s="13" t="s">
        <v>537</v>
      </c>
      <c r="G309" s="15"/>
      <c r="H309" s="14">
        <v>950.0</v>
      </c>
      <c r="I309" s="14">
        <v>1675.0</v>
      </c>
      <c r="J309" s="14">
        <v>1585.0</v>
      </c>
      <c r="K309" s="13" t="s">
        <v>930</v>
      </c>
      <c r="L309" s="15"/>
      <c r="M309" s="15"/>
      <c r="N309" s="15"/>
      <c r="O309" s="15"/>
      <c r="P309" s="15"/>
      <c r="Q309" s="15"/>
      <c r="R309" s="15"/>
      <c r="S309" s="15"/>
      <c r="T309" s="15"/>
      <c r="U309" s="15"/>
      <c r="V309" s="15"/>
      <c r="W309" s="15"/>
      <c r="X309" s="15"/>
      <c r="Y309" s="15"/>
      <c r="Z309" s="16"/>
    </row>
    <row r="310">
      <c r="A310" s="12" t="s">
        <v>931</v>
      </c>
      <c r="B310" s="13" t="s">
        <v>932</v>
      </c>
      <c r="C310" s="13" t="s">
        <v>28</v>
      </c>
      <c r="D310" s="13" t="s">
        <v>28</v>
      </c>
      <c r="E310" s="14">
        <v>1172.0</v>
      </c>
      <c r="F310" s="13" t="s">
        <v>584</v>
      </c>
      <c r="G310" s="13" t="s">
        <v>933</v>
      </c>
      <c r="H310" s="14">
        <v>-1.0</v>
      </c>
      <c r="I310" s="14">
        <v>-1.0</v>
      </c>
      <c r="J310" s="14">
        <v>-1.0</v>
      </c>
      <c r="K310" s="13" t="s">
        <v>934</v>
      </c>
      <c r="L310" s="15"/>
      <c r="M310" s="15"/>
      <c r="N310" s="15"/>
      <c r="O310" s="15"/>
      <c r="P310" s="15"/>
      <c r="Q310" s="15"/>
      <c r="R310" s="15"/>
      <c r="S310" s="15"/>
      <c r="T310" s="15"/>
      <c r="U310" s="15"/>
      <c r="V310" s="15"/>
      <c r="W310" s="15"/>
      <c r="X310" s="15"/>
      <c r="Y310" s="15"/>
      <c r="Z310" s="16"/>
    </row>
    <row r="311">
      <c r="A311" s="12" t="s">
        <v>935</v>
      </c>
      <c r="B311" s="13" t="s">
        <v>936</v>
      </c>
      <c r="C311" s="13" t="s">
        <v>28</v>
      </c>
      <c r="D311" s="13" t="s">
        <v>28</v>
      </c>
      <c r="E311" s="14">
        <v>46.0</v>
      </c>
      <c r="F311" s="13" t="s">
        <v>584</v>
      </c>
      <c r="G311" s="13" t="s">
        <v>847</v>
      </c>
      <c r="H311" s="14">
        <v>-1.0</v>
      </c>
      <c r="I311" s="14">
        <v>-1.0</v>
      </c>
      <c r="J311" s="14">
        <v>-1.0</v>
      </c>
      <c r="K311" s="13" t="s">
        <v>937</v>
      </c>
      <c r="L311" s="15"/>
      <c r="M311" s="15"/>
      <c r="N311" s="15"/>
      <c r="O311" s="15"/>
      <c r="P311" s="15"/>
      <c r="Q311" s="15"/>
      <c r="R311" s="15"/>
      <c r="S311" s="15"/>
      <c r="T311" s="15"/>
      <c r="U311" s="15"/>
      <c r="V311" s="15"/>
      <c r="W311" s="15"/>
      <c r="X311" s="15"/>
      <c r="Y311" s="15"/>
      <c r="Z311" s="16"/>
    </row>
    <row r="312">
      <c r="A312" s="12" t="s">
        <v>938</v>
      </c>
      <c r="B312" s="13" t="s">
        <v>939</v>
      </c>
      <c r="C312" s="13" t="s">
        <v>28</v>
      </c>
      <c r="D312" s="13" t="s">
        <v>28</v>
      </c>
      <c r="E312" s="14">
        <v>90.0</v>
      </c>
      <c r="F312" s="13" t="s">
        <v>584</v>
      </c>
      <c r="G312" s="13" t="s">
        <v>820</v>
      </c>
      <c r="H312" s="14">
        <v>-1.0</v>
      </c>
      <c r="I312" s="14">
        <v>-1.0</v>
      </c>
      <c r="J312" s="14">
        <v>-1.0</v>
      </c>
      <c r="K312" s="13" t="s">
        <v>940</v>
      </c>
      <c r="L312" s="15"/>
      <c r="M312" s="15"/>
      <c r="N312" s="15"/>
      <c r="O312" s="15"/>
      <c r="P312" s="15"/>
      <c r="Q312" s="15"/>
      <c r="R312" s="15"/>
      <c r="S312" s="15"/>
      <c r="T312" s="15"/>
      <c r="U312" s="15"/>
      <c r="V312" s="15"/>
      <c r="W312" s="15"/>
      <c r="X312" s="15"/>
      <c r="Y312" s="15"/>
      <c r="Z312" s="16"/>
    </row>
    <row r="313">
      <c r="A313" s="12" t="s">
        <v>941</v>
      </c>
      <c r="B313" s="13" t="s">
        <v>942</v>
      </c>
      <c r="C313" s="13" t="s">
        <v>28</v>
      </c>
      <c r="D313" s="13" t="s">
        <v>28</v>
      </c>
      <c r="E313" s="14">
        <v>378.0</v>
      </c>
      <c r="F313" s="13" t="s">
        <v>584</v>
      </c>
      <c r="G313" s="13" t="s">
        <v>943</v>
      </c>
      <c r="H313" s="14">
        <v>-1.0</v>
      </c>
      <c r="I313" s="14">
        <v>-1.0</v>
      </c>
      <c r="J313" s="14">
        <v>-1.0</v>
      </c>
      <c r="K313" s="13" t="s">
        <v>944</v>
      </c>
      <c r="L313" s="15"/>
      <c r="M313" s="15"/>
      <c r="N313" s="15"/>
      <c r="O313" s="15"/>
      <c r="P313" s="15"/>
      <c r="Q313" s="15"/>
      <c r="R313" s="15"/>
      <c r="S313" s="15"/>
      <c r="T313" s="15"/>
      <c r="U313" s="15"/>
      <c r="V313" s="15"/>
      <c r="W313" s="15"/>
      <c r="X313" s="15"/>
      <c r="Y313" s="15"/>
      <c r="Z313" s="16"/>
    </row>
    <row r="314">
      <c r="A314" s="12" t="s">
        <v>945</v>
      </c>
      <c r="B314" s="13" t="s">
        <v>946</v>
      </c>
      <c r="C314" s="13" t="s">
        <v>28</v>
      </c>
      <c r="D314" s="13" t="s">
        <v>28</v>
      </c>
      <c r="E314" s="14">
        <v>200.0</v>
      </c>
      <c r="F314" s="13" t="s">
        <v>584</v>
      </c>
      <c r="G314" s="13" t="s">
        <v>851</v>
      </c>
      <c r="H314" s="14">
        <v>-1.0</v>
      </c>
      <c r="I314" s="14">
        <v>-1.0</v>
      </c>
      <c r="J314" s="14">
        <v>-1.0</v>
      </c>
      <c r="K314" s="13" t="s">
        <v>947</v>
      </c>
      <c r="L314" s="15"/>
      <c r="M314" s="15"/>
      <c r="N314" s="15"/>
      <c r="O314" s="15"/>
      <c r="P314" s="15"/>
      <c r="Q314" s="15"/>
      <c r="R314" s="15"/>
      <c r="S314" s="15"/>
      <c r="T314" s="15"/>
      <c r="U314" s="15"/>
      <c r="V314" s="15"/>
      <c r="W314" s="15"/>
      <c r="X314" s="15"/>
      <c r="Y314" s="15"/>
      <c r="Z314" s="16"/>
    </row>
    <row r="315">
      <c r="A315" s="12" t="s">
        <v>948</v>
      </c>
      <c r="B315" s="13" t="s">
        <v>949</v>
      </c>
      <c r="C315" s="13" t="s">
        <v>28</v>
      </c>
      <c r="D315" s="13" t="s">
        <v>28</v>
      </c>
      <c r="E315" s="14">
        <v>172.0</v>
      </c>
      <c r="F315" s="13" t="s">
        <v>584</v>
      </c>
      <c r="G315" s="13" t="s">
        <v>950</v>
      </c>
      <c r="H315" s="14">
        <v>-1.0</v>
      </c>
      <c r="I315" s="14">
        <v>-1.0</v>
      </c>
      <c r="J315" s="14">
        <v>-1.0</v>
      </c>
      <c r="K315" s="13" t="s">
        <v>951</v>
      </c>
      <c r="L315" s="15"/>
      <c r="M315" s="15"/>
      <c r="N315" s="15"/>
      <c r="O315" s="15"/>
      <c r="P315" s="15"/>
      <c r="Q315" s="15"/>
      <c r="R315" s="15"/>
      <c r="S315" s="15"/>
      <c r="T315" s="15"/>
      <c r="U315" s="15"/>
      <c r="V315" s="15"/>
      <c r="W315" s="15"/>
      <c r="X315" s="15"/>
      <c r="Y315" s="15"/>
      <c r="Z315" s="16"/>
    </row>
    <row r="316">
      <c r="A316" s="12" t="s">
        <v>952</v>
      </c>
      <c r="B316" s="13" t="s">
        <v>953</v>
      </c>
      <c r="C316" s="13" t="s">
        <v>28</v>
      </c>
      <c r="D316" s="13" t="s">
        <v>28</v>
      </c>
      <c r="E316" s="14">
        <v>172.0</v>
      </c>
      <c r="F316" s="13" t="s">
        <v>584</v>
      </c>
      <c r="G316" s="13" t="s">
        <v>950</v>
      </c>
      <c r="H316" s="14">
        <v>-1.0</v>
      </c>
      <c r="I316" s="14">
        <v>-1.0</v>
      </c>
      <c r="J316" s="14">
        <v>-1.0</v>
      </c>
      <c r="K316" s="13" t="s">
        <v>954</v>
      </c>
      <c r="L316" s="15"/>
      <c r="M316" s="15"/>
      <c r="N316" s="15"/>
      <c r="O316" s="15"/>
      <c r="P316" s="15"/>
      <c r="Q316" s="15"/>
      <c r="R316" s="15"/>
      <c r="S316" s="15"/>
      <c r="T316" s="15"/>
      <c r="U316" s="15"/>
      <c r="V316" s="15"/>
      <c r="W316" s="15"/>
      <c r="X316" s="15"/>
      <c r="Y316" s="15"/>
      <c r="Z316" s="16"/>
    </row>
    <row r="317">
      <c r="A317" s="12" t="s">
        <v>955</v>
      </c>
      <c r="B317" s="13" t="s">
        <v>956</v>
      </c>
      <c r="C317" s="13" t="s">
        <v>28</v>
      </c>
      <c r="D317" s="13" t="s">
        <v>28</v>
      </c>
      <c r="E317" s="14">
        <v>172.0</v>
      </c>
      <c r="F317" s="13" t="s">
        <v>584</v>
      </c>
      <c r="G317" s="13" t="s">
        <v>950</v>
      </c>
      <c r="H317" s="14">
        <v>-1.0</v>
      </c>
      <c r="I317" s="14">
        <v>-1.0</v>
      </c>
      <c r="J317" s="14">
        <v>-1.0</v>
      </c>
      <c r="K317" s="13" t="s">
        <v>957</v>
      </c>
      <c r="L317" s="15"/>
      <c r="M317" s="15"/>
      <c r="N317" s="15"/>
      <c r="O317" s="15"/>
      <c r="P317" s="15"/>
      <c r="Q317" s="15"/>
      <c r="R317" s="15"/>
      <c r="S317" s="15"/>
      <c r="T317" s="15"/>
      <c r="U317" s="15"/>
      <c r="V317" s="15"/>
      <c r="W317" s="15"/>
      <c r="X317" s="15"/>
      <c r="Y317" s="15"/>
      <c r="Z317" s="16"/>
    </row>
    <row r="318">
      <c r="A318" s="12" t="s">
        <v>958</v>
      </c>
      <c r="B318" s="13" t="s">
        <v>959</v>
      </c>
      <c r="C318" s="13" t="s">
        <v>28</v>
      </c>
      <c r="D318" s="13" t="s">
        <v>28</v>
      </c>
      <c r="E318" s="14">
        <v>172.0</v>
      </c>
      <c r="F318" s="13" t="s">
        <v>584</v>
      </c>
      <c r="G318" s="13" t="s">
        <v>950</v>
      </c>
      <c r="H318" s="14">
        <v>-1.0</v>
      </c>
      <c r="I318" s="14">
        <v>-1.0</v>
      </c>
      <c r="J318" s="14">
        <v>-1.0</v>
      </c>
      <c r="K318" s="13" t="s">
        <v>960</v>
      </c>
      <c r="L318" s="15"/>
      <c r="M318" s="15"/>
      <c r="N318" s="15"/>
      <c r="O318" s="15"/>
      <c r="P318" s="15"/>
      <c r="Q318" s="15"/>
      <c r="R318" s="15"/>
      <c r="S318" s="15"/>
      <c r="T318" s="15"/>
      <c r="U318" s="15"/>
      <c r="V318" s="15"/>
      <c r="W318" s="15"/>
      <c r="X318" s="15"/>
      <c r="Y318" s="15"/>
      <c r="Z318" s="16"/>
    </row>
    <row r="319">
      <c r="A319" s="12" t="s">
        <v>961</v>
      </c>
      <c r="B319" s="13" t="s">
        <v>962</v>
      </c>
      <c r="C319" s="13" t="s">
        <v>28</v>
      </c>
      <c r="D319" s="13" t="s">
        <v>28</v>
      </c>
      <c r="E319" s="14">
        <v>411.0</v>
      </c>
      <c r="F319" s="13" t="s">
        <v>537</v>
      </c>
      <c r="G319" s="13" t="s">
        <v>963</v>
      </c>
      <c r="H319" s="14">
        <v>950.0</v>
      </c>
      <c r="I319" s="14">
        <v>1675.0</v>
      </c>
      <c r="J319" s="14">
        <v>1585.0</v>
      </c>
      <c r="K319" s="13" t="s">
        <v>964</v>
      </c>
      <c r="L319" s="15"/>
      <c r="M319" s="15"/>
      <c r="N319" s="15"/>
      <c r="O319" s="15"/>
      <c r="P319" s="15"/>
      <c r="Q319" s="15"/>
      <c r="R319" s="15"/>
      <c r="S319" s="15"/>
      <c r="T319" s="15"/>
      <c r="U319" s="15"/>
      <c r="V319" s="15"/>
      <c r="W319" s="15"/>
      <c r="X319" s="15"/>
      <c r="Y319" s="15"/>
      <c r="Z319" s="16"/>
    </row>
    <row r="320">
      <c r="A320" s="12" t="s">
        <v>965</v>
      </c>
      <c r="B320" s="13" t="s">
        <v>966</v>
      </c>
      <c r="C320" s="13" t="s">
        <v>28</v>
      </c>
      <c r="D320" s="13" t="s">
        <v>28</v>
      </c>
      <c r="E320" s="14">
        <v>92.0</v>
      </c>
      <c r="F320" s="13" t="s">
        <v>584</v>
      </c>
      <c r="G320" s="13" t="s">
        <v>967</v>
      </c>
      <c r="H320" s="14">
        <v>-1.0</v>
      </c>
      <c r="I320" s="14">
        <v>-1.0</v>
      </c>
      <c r="J320" s="14">
        <v>-1.0</v>
      </c>
      <c r="K320" s="17">
        <v>45329.64844907407</v>
      </c>
      <c r="L320" s="15"/>
      <c r="M320" s="15"/>
      <c r="N320" s="15"/>
      <c r="O320" s="15"/>
      <c r="P320" s="15"/>
      <c r="Q320" s="15"/>
      <c r="R320" s="15"/>
      <c r="S320" s="15"/>
      <c r="T320" s="15"/>
      <c r="U320" s="15"/>
      <c r="V320" s="15"/>
      <c r="W320" s="15"/>
      <c r="X320" s="15"/>
      <c r="Y320" s="15"/>
      <c r="Z320" s="16"/>
    </row>
    <row r="321">
      <c r="A321" s="12" t="s">
        <v>968</v>
      </c>
      <c r="B321" s="13" t="s">
        <v>969</v>
      </c>
      <c r="C321" s="13" t="s">
        <v>28</v>
      </c>
      <c r="D321" s="13" t="s">
        <v>28</v>
      </c>
      <c r="E321" s="14">
        <v>155.0</v>
      </c>
      <c r="F321" s="13" t="s">
        <v>584</v>
      </c>
      <c r="G321" s="13" t="s">
        <v>970</v>
      </c>
      <c r="H321" s="14">
        <v>-1.0</v>
      </c>
      <c r="I321" s="14">
        <v>-1.0</v>
      </c>
      <c r="J321" s="14">
        <v>-1.0</v>
      </c>
      <c r="K321" s="17">
        <v>45329.64849537037</v>
      </c>
      <c r="L321" s="15"/>
      <c r="M321" s="15"/>
      <c r="N321" s="15"/>
      <c r="O321" s="15"/>
      <c r="P321" s="15"/>
      <c r="Q321" s="15"/>
      <c r="R321" s="15"/>
      <c r="S321" s="15"/>
      <c r="T321" s="15"/>
      <c r="U321" s="15"/>
      <c r="V321" s="15"/>
      <c r="W321" s="15"/>
      <c r="X321" s="15"/>
      <c r="Y321" s="15"/>
      <c r="Z321" s="16"/>
    </row>
    <row r="322">
      <c r="A322" s="12" t="s">
        <v>971</v>
      </c>
      <c r="B322" s="13" t="s">
        <v>972</v>
      </c>
      <c r="C322" s="13" t="s">
        <v>28</v>
      </c>
      <c r="D322" s="13" t="s">
        <v>28</v>
      </c>
      <c r="E322" s="14">
        <v>300.0</v>
      </c>
      <c r="F322" s="13" t="s">
        <v>584</v>
      </c>
      <c r="G322" s="13" t="s">
        <v>970</v>
      </c>
      <c r="H322" s="14">
        <v>-1.0</v>
      </c>
      <c r="I322" s="14">
        <v>-1.0</v>
      </c>
      <c r="J322" s="14">
        <v>-1.0</v>
      </c>
      <c r="K322" s="17">
        <v>45329.648518518516</v>
      </c>
      <c r="L322" s="15"/>
      <c r="M322" s="15"/>
      <c r="N322" s="15"/>
      <c r="O322" s="15"/>
      <c r="P322" s="15"/>
      <c r="Q322" s="15"/>
      <c r="R322" s="15"/>
      <c r="S322" s="15"/>
      <c r="T322" s="15"/>
      <c r="U322" s="15"/>
      <c r="V322" s="15"/>
      <c r="W322" s="15"/>
      <c r="X322" s="15"/>
      <c r="Y322" s="15"/>
      <c r="Z322" s="16"/>
    </row>
    <row r="323">
      <c r="A323" s="12" t="s">
        <v>973</v>
      </c>
      <c r="B323" s="13" t="s">
        <v>974</v>
      </c>
      <c r="C323" s="13" t="s">
        <v>28</v>
      </c>
      <c r="D323" s="13" t="s">
        <v>28</v>
      </c>
      <c r="E323" s="14">
        <v>300.0</v>
      </c>
      <c r="F323" s="13" t="s">
        <v>584</v>
      </c>
      <c r="G323" s="13" t="s">
        <v>970</v>
      </c>
      <c r="H323" s="14">
        <v>-1.0</v>
      </c>
      <c r="I323" s="14">
        <v>-1.0</v>
      </c>
      <c r="J323" s="14">
        <v>-1.0</v>
      </c>
      <c r="K323" s="17">
        <v>45329.64859953704</v>
      </c>
      <c r="L323" s="15"/>
      <c r="M323" s="15"/>
      <c r="N323" s="15"/>
      <c r="O323" s="15"/>
      <c r="P323" s="15"/>
      <c r="Q323" s="15"/>
      <c r="R323" s="15"/>
      <c r="S323" s="15"/>
      <c r="T323" s="15"/>
      <c r="U323" s="15"/>
      <c r="V323" s="15"/>
      <c r="W323" s="15"/>
      <c r="X323" s="15"/>
      <c r="Y323" s="15"/>
      <c r="Z323" s="16"/>
    </row>
    <row r="324">
      <c r="A324" s="12" t="s">
        <v>975</v>
      </c>
      <c r="B324" s="13" t="s">
        <v>976</v>
      </c>
      <c r="C324" s="13" t="s">
        <v>28</v>
      </c>
      <c r="D324" s="13" t="s">
        <v>28</v>
      </c>
      <c r="E324" s="14">
        <v>244.0</v>
      </c>
      <c r="F324" s="13" t="s">
        <v>584</v>
      </c>
      <c r="G324" s="13" t="s">
        <v>977</v>
      </c>
      <c r="H324" s="14">
        <v>-1.0</v>
      </c>
      <c r="I324" s="14">
        <v>-1.0</v>
      </c>
      <c r="J324" s="14">
        <v>-1.0</v>
      </c>
      <c r="K324" s="17">
        <v>45329.64864583334</v>
      </c>
      <c r="L324" s="15"/>
      <c r="M324" s="15"/>
      <c r="N324" s="15"/>
      <c r="O324" s="15"/>
      <c r="P324" s="15"/>
      <c r="Q324" s="15"/>
      <c r="R324" s="15"/>
      <c r="S324" s="15"/>
      <c r="T324" s="15"/>
      <c r="U324" s="15"/>
      <c r="V324" s="15"/>
      <c r="W324" s="15"/>
      <c r="X324" s="15"/>
      <c r="Y324" s="15"/>
      <c r="Z324" s="16"/>
    </row>
    <row r="325">
      <c r="A325" s="12" t="s">
        <v>978</v>
      </c>
      <c r="B325" s="13" t="s">
        <v>979</v>
      </c>
      <c r="C325" s="13" t="s">
        <v>28</v>
      </c>
      <c r="D325" s="13" t="s">
        <v>28</v>
      </c>
      <c r="E325" s="14">
        <v>90.0</v>
      </c>
      <c r="F325" s="13" t="s">
        <v>584</v>
      </c>
      <c r="G325" s="13" t="s">
        <v>980</v>
      </c>
      <c r="H325" s="14">
        <v>-1.0</v>
      </c>
      <c r="I325" s="14">
        <v>-1.0</v>
      </c>
      <c r="J325" s="14">
        <v>-1.0</v>
      </c>
      <c r="K325" s="17">
        <v>45329.648680555554</v>
      </c>
      <c r="L325" s="15"/>
      <c r="M325" s="15"/>
      <c r="N325" s="15"/>
      <c r="O325" s="15"/>
      <c r="P325" s="15"/>
      <c r="Q325" s="15"/>
      <c r="R325" s="15"/>
      <c r="S325" s="15"/>
      <c r="T325" s="15"/>
      <c r="U325" s="15"/>
      <c r="V325" s="15"/>
      <c r="W325" s="15"/>
      <c r="X325" s="15"/>
      <c r="Y325" s="15"/>
      <c r="Z325" s="16"/>
    </row>
    <row r="326">
      <c r="A326" s="12" t="s">
        <v>981</v>
      </c>
      <c r="B326" s="13" t="s">
        <v>982</v>
      </c>
      <c r="C326" s="13" t="s">
        <v>28</v>
      </c>
      <c r="D326" s="13" t="s">
        <v>28</v>
      </c>
      <c r="E326" s="14">
        <v>300.0</v>
      </c>
      <c r="F326" s="13" t="s">
        <v>584</v>
      </c>
      <c r="G326" s="13" t="s">
        <v>970</v>
      </c>
      <c r="H326" s="14">
        <v>-1.0</v>
      </c>
      <c r="I326" s="14">
        <v>-1.0</v>
      </c>
      <c r="J326" s="14">
        <v>-1.0</v>
      </c>
      <c r="K326" s="17">
        <v>45329.6487037037</v>
      </c>
      <c r="L326" s="15"/>
      <c r="M326" s="15"/>
      <c r="N326" s="15"/>
      <c r="O326" s="15"/>
      <c r="P326" s="15"/>
      <c r="Q326" s="15"/>
      <c r="R326" s="15"/>
      <c r="S326" s="15"/>
      <c r="T326" s="15"/>
      <c r="U326" s="15"/>
      <c r="V326" s="15"/>
      <c r="W326" s="15"/>
      <c r="X326" s="15"/>
      <c r="Y326" s="15"/>
      <c r="Z326" s="16"/>
    </row>
    <row r="327">
      <c r="A327" s="12" t="s">
        <v>983</v>
      </c>
      <c r="B327" s="13" t="s">
        <v>984</v>
      </c>
      <c r="C327" s="13" t="s">
        <v>28</v>
      </c>
      <c r="D327" s="13" t="s">
        <v>28</v>
      </c>
      <c r="E327" s="14">
        <v>93.0</v>
      </c>
      <c r="F327" s="13" t="s">
        <v>584</v>
      </c>
      <c r="G327" s="13" t="s">
        <v>970</v>
      </c>
      <c r="H327" s="14">
        <v>-1.0</v>
      </c>
      <c r="I327" s="14">
        <v>-1.0</v>
      </c>
      <c r="J327" s="14">
        <v>-1.0</v>
      </c>
      <c r="K327" s="17">
        <v>45329.64873842592</v>
      </c>
      <c r="L327" s="15"/>
      <c r="M327" s="15"/>
      <c r="N327" s="15"/>
      <c r="O327" s="15"/>
      <c r="P327" s="15"/>
      <c r="Q327" s="15"/>
      <c r="R327" s="15"/>
      <c r="S327" s="15"/>
      <c r="T327" s="15"/>
      <c r="U327" s="15"/>
      <c r="V327" s="15"/>
      <c r="W327" s="15"/>
      <c r="X327" s="15"/>
      <c r="Y327" s="15"/>
      <c r="Z327" s="16"/>
    </row>
    <row r="328">
      <c r="A328" s="12" t="s">
        <v>985</v>
      </c>
      <c r="B328" s="13" t="s">
        <v>986</v>
      </c>
      <c r="C328" s="13" t="s">
        <v>28</v>
      </c>
      <c r="D328" s="13" t="s">
        <v>28</v>
      </c>
      <c r="E328" s="14">
        <v>300.0</v>
      </c>
      <c r="F328" s="13" t="s">
        <v>584</v>
      </c>
      <c r="G328" s="13" t="s">
        <v>970</v>
      </c>
      <c r="H328" s="14">
        <v>-1.0</v>
      </c>
      <c r="I328" s="14">
        <v>-1.0</v>
      </c>
      <c r="J328" s="14">
        <v>-1.0</v>
      </c>
      <c r="K328" s="17">
        <v>45329.64878472222</v>
      </c>
      <c r="L328" s="15"/>
      <c r="M328" s="15"/>
      <c r="N328" s="15"/>
      <c r="O328" s="15"/>
      <c r="P328" s="15"/>
      <c r="Q328" s="15"/>
      <c r="R328" s="15"/>
      <c r="S328" s="15"/>
      <c r="T328" s="15"/>
      <c r="U328" s="15"/>
      <c r="V328" s="15"/>
      <c r="W328" s="15"/>
      <c r="X328" s="15"/>
      <c r="Y328" s="15"/>
      <c r="Z328" s="16"/>
    </row>
    <row r="329">
      <c r="A329" s="12" t="s">
        <v>987</v>
      </c>
      <c r="B329" s="13" t="s">
        <v>988</v>
      </c>
      <c r="C329" s="13" t="s">
        <v>28</v>
      </c>
      <c r="D329" s="13" t="s">
        <v>28</v>
      </c>
      <c r="E329" s="14">
        <v>205.0</v>
      </c>
      <c r="F329" s="13" t="s">
        <v>584</v>
      </c>
      <c r="G329" s="13" t="s">
        <v>977</v>
      </c>
      <c r="H329" s="14">
        <v>-1.0</v>
      </c>
      <c r="I329" s="14">
        <v>-1.0</v>
      </c>
      <c r="J329" s="14">
        <v>-1.0</v>
      </c>
      <c r="K329" s="17">
        <v>45329.64880787037</v>
      </c>
      <c r="L329" s="15"/>
      <c r="M329" s="15"/>
      <c r="N329" s="15"/>
      <c r="O329" s="15"/>
      <c r="P329" s="15"/>
      <c r="Q329" s="15"/>
      <c r="R329" s="15"/>
      <c r="S329" s="15"/>
      <c r="T329" s="15"/>
      <c r="U329" s="15"/>
      <c r="V329" s="15"/>
      <c r="W329" s="15"/>
      <c r="X329" s="15"/>
      <c r="Y329" s="15"/>
      <c r="Z329" s="16"/>
    </row>
    <row r="330">
      <c r="A330" s="12" t="s">
        <v>989</v>
      </c>
      <c r="B330" s="13" t="s">
        <v>990</v>
      </c>
      <c r="C330" s="13" t="s">
        <v>28</v>
      </c>
      <c r="D330" s="13" t="s">
        <v>28</v>
      </c>
      <c r="E330" s="14">
        <v>300.0</v>
      </c>
      <c r="F330" s="13" t="s">
        <v>584</v>
      </c>
      <c r="G330" s="13" t="s">
        <v>991</v>
      </c>
      <c r="H330" s="14">
        <v>-1.0</v>
      </c>
      <c r="I330" s="14">
        <v>-1.0</v>
      </c>
      <c r="J330" s="14">
        <v>-1.0</v>
      </c>
      <c r="K330" s="17">
        <v>45329.64885416666</v>
      </c>
      <c r="L330" s="15"/>
      <c r="M330" s="15"/>
      <c r="N330" s="15"/>
      <c r="O330" s="15"/>
      <c r="P330" s="15"/>
      <c r="Q330" s="15"/>
      <c r="R330" s="15"/>
      <c r="S330" s="15"/>
      <c r="T330" s="15"/>
      <c r="U330" s="15"/>
      <c r="V330" s="15"/>
      <c r="W330" s="15"/>
      <c r="X330" s="15"/>
      <c r="Y330" s="15"/>
      <c r="Z330" s="16"/>
    </row>
    <row r="331">
      <c r="A331" s="12" t="s">
        <v>992</v>
      </c>
      <c r="B331" s="13" t="s">
        <v>993</v>
      </c>
      <c r="C331" s="13" t="s">
        <v>28</v>
      </c>
      <c r="D331" s="13" t="s">
        <v>28</v>
      </c>
      <c r="E331" s="14">
        <v>274.0</v>
      </c>
      <c r="F331" s="13" t="s">
        <v>584</v>
      </c>
      <c r="G331" s="13" t="s">
        <v>994</v>
      </c>
      <c r="H331" s="14">
        <v>-1.0</v>
      </c>
      <c r="I331" s="14">
        <v>-1.0</v>
      </c>
      <c r="J331" s="14">
        <v>-1.0</v>
      </c>
      <c r="K331" s="17">
        <v>45329.648877314816</v>
      </c>
      <c r="L331" s="15"/>
      <c r="M331" s="15"/>
      <c r="N331" s="15"/>
      <c r="O331" s="15"/>
      <c r="P331" s="15"/>
      <c r="Q331" s="15"/>
      <c r="R331" s="15"/>
      <c r="S331" s="15"/>
      <c r="T331" s="15"/>
      <c r="U331" s="15"/>
      <c r="V331" s="15"/>
      <c r="W331" s="15"/>
      <c r="X331" s="15"/>
      <c r="Y331" s="15"/>
      <c r="Z331" s="16"/>
    </row>
    <row r="332">
      <c r="A332" s="12" t="s">
        <v>995</v>
      </c>
      <c r="B332" s="13" t="s">
        <v>996</v>
      </c>
      <c r="C332" s="13" t="s">
        <v>28</v>
      </c>
      <c r="D332" s="13" t="s">
        <v>28</v>
      </c>
      <c r="E332" s="14">
        <v>100.0</v>
      </c>
      <c r="F332" s="13" t="s">
        <v>584</v>
      </c>
      <c r="G332" s="13" t="s">
        <v>980</v>
      </c>
      <c r="H332" s="14">
        <v>-1.0</v>
      </c>
      <c r="I332" s="14">
        <v>-1.0</v>
      </c>
      <c r="J332" s="14">
        <v>-1.0</v>
      </c>
      <c r="K332" s="17">
        <v>45329.64890046296</v>
      </c>
      <c r="L332" s="15"/>
      <c r="M332" s="15"/>
      <c r="N332" s="15"/>
      <c r="O332" s="15"/>
      <c r="P332" s="15"/>
      <c r="Q332" s="15"/>
      <c r="R332" s="15"/>
      <c r="S332" s="15"/>
      <c r="T332" s="15"/>
      <c r="U332" s="15"/>
      <c r="V332" s="15"/>
      <c r="W332" s="15"/>
      <c r="X332" s="15"/>
      <c r="Y332" s="15"/>
      <c r="Z332" s="16"/>
    </row>
    <row r="333">
      <c r="A333" s="12" t="s">
        <v>997</v>
      </c>
      <c r="B333" s="13" t="s">
        <v>998</v>
      </c>
      <c r="C333" s="13" t="s">
        <v>28</v>
      </c>
      <c r="D333" s="13" t="s">
        <v>28</v>
      </c>
      <c r="E333" s="14">
        <v>300.0</v>
      </c>
      <c r="F333" s="13" t="s">
        <v>584</v>
      </c>
      <c r="G333" s="13" t="s">
        <v>977</v>
      </c>
      <c r="H333" s="14">
        <v>-1.0</v>
      </c>
      <c r="I333" s="14">
        <v>-1.0</v>
      </c>
      <c r="J333" s="14">
        <v>-1.0</v>
      </c>
      <c r="K333" s="17">
        <v>45329.64892361111</v>
      </c>
      <c r="L333" s="15"/>
      <c r="M333" s="15"/>
      <c r="N333" s="15"/>
      <c r="O333" s="15"/>
      <c r="P333" s="15"/>
      <c r="Q333" s="15"/>
      <c r="R333" s="15"/>
      <c r="S333" s="15"/>
      <c r="T333" s="15"/>
      <c r="U333" s="15"/>
      <c r="V333" s="15"/>
      <c r="W333" s="15"/>
      <c r="X333" s="15"/>
      <c r="Y333" s="15"/>
      <c r="Z333" s="16"/>
    </row>
    <row r="334">
      <c r="A334" s="12" t="s">
        <v>999</v>
      </c>
      <c r="B334" s="13" t="s">
        <v>1000</v>
      </c>
      <c r="C334" s="13" t="s">
        <v>28</v>
      </c>
      <c r="D334" s="13" t="s">
        <v>28</v>
      </c>
      <c r="E334" s="14">
        <v>5.0</v>
      </c>
      <c r="F334" s="13" t="s">
        <v>537</v>
      </c>
      <c r="G334" s="13" t="s">
        <v>1001</v>
      </c>
      <c r="H334" s="14">
        <v>-1.0</v>
      </c>
      <c r="I334" s="14">
        <v>-1.0</v>
      </c>
      <c r="J334" s="14">
        <v>-1.0</v>
      </c>
      <c r="K334" s="17">
        <v>45329.65577546296</v>
      </c>
      <c r="L334" s="15"/>
      <c r="M334" s="15"/>
      <c r="N334" s="15"/>
      <c r="O334" s="15"/>
      <c r="P334" s="15"/>
      <c r="Q334" s="15"/>
      <c r="R334" s="15"/>
      <c r="S334" s="15"/>
      <c r="T334" s="15"/>
      <c r="U334" s="15"/>
      <c r="V334" s="15"/>
      <c r="W334" s="15"/>
      <c r="X334" s="15"/>
      <c r="Y334" s="15"/>
      <c r="Z334" s="16"/>
    </row>
    <row r="335">
      <c r="A335" s="12" t="s">
        <v>1002</v>
      </c>
      <c r="B335" s="13" t="s">
        <v>1003</v>
      </c>
      <c r="C335" s="13" t="s">
        <v>28</v>
      </c>
      <c r="D335" s="13" t="s">
        <v>28</v>
      </c>
      <c r="E335" s="14">
        <v>2.0</v>
      </c>
      <c r="F335" s="13" t="s">
        <v>537</v>
      </c>
      <c r="G335" s="13" t="s">
        <v>1001</v>
      </c>
      <c r="H335" s="14">
        <v>-1.0</v>
      </c>
      <c r="I335" s="14">
        <v>-1.0</v>
      </c>
      <c r="J335" s="14">
        <v>-1.0</v>
      </c>
      <c r="K335" s="17">
        <v>45389.69737268519</v>
      </c>
      <c r="L335" s="15"/>
      <c r="M335" s="15"/>
      <c r="N335" s="15"/>
      <c r="O335" s="15"/>
      <c r="P335" s="15"/>
      <c r="Q335" s="15"/>
      <c r="R335" s="15"/>
      <c r="S335" s="15"/>
      <c r="T335" s="15"/>
      <c r="U335" s="15"/>
      <c r="V335" s="15"/>
      <c r="W335" s="15"/>
      <c r="X335" s="15"/>
      <c r="Y335" s="15"/>
      <c r="Z335" s="16"/>
    </row>
    <row r="336">
      <c r="A336" s="12" t="s">
        <v>1004</v>
      </c>
      <c r="B336" s="13" t="s">
        <v>1005</v>
      </c>
      <c r="C336" s="13" t="s">
        <v>28</v>
      </c>
      <c r="D336" s="13" t="s">
        <v>28</v>
      </c>
      <c r="E336" s="14">
        <v>5.0</v>
      </c>
      <c r="F336" s="13" t="s">
        <v>537</v>
      </c>
      <c r="G336" s="13" t="s">
        <v>1001</v>
      </c>
      <c r="H336" s="14">
        <v>-1.0</v>
      </c>
      <c r="I336" s="14">
        <v>-1.0</v>
      </c>
      <c r="J336" s="14">
        <v>-1.0</v>
      </c>
      <c r="K336" s="17">
        <v>45389.697499999995</v>
      </c>
      <c r="L336" s="15"/>
      <c r="M336" s="15"/>
      <c r="N336" s="15"/>
      <c r="O336" s="15"/>
      <c r="P336" s="15"/>
      <c r="Q336" s="15"/>
      <c r="R336" s="15"/>
      <c r="S336" s="15"/>
      <c r="T336" s="15"/>
      <c r="U336" s="15"/>
      <c r="V336" s="15"/>
      <c r="W336" s="15"/>
      <c r="X336" s="15"/>
      <c r="Y336" s="15"/>
      <c r="Z336" s="16"/>
    </row>
    <row r="337">
      <c r="A337" s="12" t="s">
        <v>1006</v>
      </c>
      <c r="B337" s="13" t="s">
        <v>1007</v>
      </c>
      <c r="C337" s="13" t="s">
        <v>28</v>
      </c>
      <c r="D337" s="13" t="s">
        <v>28</v>
      </c>
      <c r="E337" s="14">
        <v>294.0</v>
      </c>
      <c r="F337" s="13" t="s">
        <v>584</v>
      </c>
      <c r="G337" s="13" t="s">
        <v>1008</v>
      </c>
      <c r="H337" s="14">
        <v>-1.0</v>
      </c>
      <c r="I337" s="14">
        <v>-1.0</v>
      </c>
      <c r="J337" s="14">
        <v>-1.0</v>
      </c>
      <c r="K337" s="17">
        <v>45389.698124999995</v>
      </c>
      <c r="L337" s="15"/>
      <c r="M337" s="15"/>
      <c r="N337" s="15"/>
      <c r="O337" s="15"/>
      <c r="P337" s="15"/>
      <c r="Q337" s="15"/>
      <c r="R337" s="15"/>
      <c r="S337" s="15"/>
      <c r="T337" s="15"/>
      <c r="U337" s="15"/>
      <c r="V337" s="15"/>
      <c r="W337" s="15"/>
      <c r="X337" s="15"/>
      <c r="Y337" s="15"/>
      <c r="Z337" s="16"/>
    </row>
    <row r="338">
      <c r="A338" s="12" t="s">
        <v>1009</v>
      </c>
      <c r="B338" s="13" t="s">
        <v>1010</v>
      </c>
      <c r="C338" s="13" t="s">
        <v>28</v>
      </c>
      <c r="D338" s="13" t="s">
        <v>28</v>
      </c>
      <c r="E338" s="14">
        <v>249.0</v>
      </c>
      <c r="F338" s="13" t="s">
        <v>584</v>
      </c>
      <c r="G338" s="13" t="s">
        <v>1011</v>
      </c>
      <c r="H338" s="14">
        <v>-1.0</v>
      </c>
      <c r="I338" s="14">
        <v>-1.0</v>
      </c>
      <c r="J338" s="14">
        <v>-1.0</v>
      </c>
      <c r="K338" s="17">
        <v>45389.69854166667</v>
      </c>
      <c r="L338" s="15"/>
      <c r="M338" s="15"/>
      <c r="N338" s="15"/>
      <c r="O338" s="15"/>
      <c r="P338" s="15"/>
      <c r="Q338" s="15"/>
      <c r="R338" s="15"/>
      <c r="S338" s="15"/>
      <c r="T338" s="15"/>
      <c r="U338" s="15"/>
      <c r="V338" s="15"/>
      <c r="W338" s="15"/>
      <c r="X338" s="15"/>
      <c r="Y338" s="15"/>
      <c r="Z338" s="16"/>
    </row>
    <row r="339">
      <c r="A339" s="12" t="s">
        <v>1012</v>
      </c>
      <c r="B339" s="13" t="s">
        <v>1013</v>
      </c>
      <c r="C339" s="13" t="s">
        <v>28</v>
      </c>
      <c r="D339" s="13" t="s">
        <v>28</v>
      </c>
      <c r="E339" s="14">
        <v>798.0</v>
      </c>
      <c r="F339" s="13" t="s">
        <v>584</v>
      </c>
      <c r="G339" s="13" t="s">
        <v>1014</v>
      </c>
      <c r="H339" s="14">
        <v>950.0</v>
      </c>
      <c r="I339" s="14">
        <v>-1.0</v>
      </c>
      <c r="J339" s="14">
        <v>-1.0</v>
      </c>
      <c r="K339" s="17">
        <v>45389.720046296294</v>
      </c>
      <c r="L339" s="15"/>
      <c r="M339" s="15"/>
      <c r="N339" s="15"/>
      <c r="O339" s="15"/>
      <c r="P339" s="15"/>
      <c r="Q339" s="15"/>
      <c r="R339" s="15"/>
      <c r="S339" s="15"/>
      <c r="T339" s="15"/>
      <c r="U339" s="15"/>
      <c r="V339" s="15"/>
      <c r="W339" s="15"/>
      <c r="X339" s="15"/>
      <c r="Y339" s="15"/>
      <c r="Z339" s="16"/>
    </row>
    <row r="340">
      <c r="A340" s="12" t="s">
        <v>1015</v>
      </c>
      <c r="B340" s="13" t="s">
        <v>1016</v>
      </c>
      <c r="C340" s="13" t="s">
        <v>28</v>
      </c>
      <c r="D340" s="13" t="s">
        <v>28</v>
      </c>
      <c r="E340" s="14">
        <v>199.0</v>
      </c>
      <c r="F340" s="13" t="s">
        <v>584</v>
      </c>
      <c r="G340" s="13" t="s">
        <v>1017</v>
      </c>
      <c r="H340" s="14">
        <v>-1.0</v>
      </c>
      <c r="I340" s="14">
        <v>-1.0</v>
      </c>
      <c r="J340" s="14">
        <v>-1.0</v>
      </c>
      <c r="K340" s="17">
        <v>45389.72184027778</v>
      </c>
      <c r="L340" s="15"/>
      <c r="M340" s="15"/>
      <c r="N340" s="15"/>
      <c r="O340" s="15"/>
      <c r="P340" s="15"/>
      <c r="Q340" s="15"/>
      <c r="R340" s="15"/>
      <c r="S340" s="15"/>
      <c r="T340" s="15"/>
      <c r="U340" s="15"/>
      <c r="V340" s="15"/>
      <c r="W340" s="15"/>
      <c r="X340" s="15"/>
      <c r="Y340" s="15"/>
      <c r="Z340" s="16"/>
    </row>
    <row r="341">
      <c r="A341" s="12" t="s">
        <v>1018</v>
      </c>
      <c r="B341" s="13" t="s">
        <v>1019</v>
      </c>
      <c r="C341" s="13" t="s">
        <v>28</v>
      </c>
      <c r="D341" s="13" t="s">
        <v>28</v>
      </c>
      <c r="E341" s="14">
        <v>500.0</v>
      </c>
      <c r="F341" s="13" t="s">
        <v>584</v>
      </c>
      <c r="G341" s="13" t="s">
        <v>1017</v>
      </c>
      <c r="H341" s="14">
        <v>950.0</v>
      </c>
      <c r="I341" s="14">
        <v>-1.0</v>
      </c>
      <c r="J341" s="14">
        <v>-1.0</v>
      </c>
      <c r="K341" s="17">
        <v>45480.37261574074</v>
      </c>
      <c r="L341" s="15"/>
      <c r="M341" s="15"/>
      <c r="N341" s="15"/>
      <c r="O341" s="15"/>
      <c r="P341" s="15"/>
      <c r="Q341" s="15"/>
      <c r="R341" s="15"/>
      <c r="S341" s="15"/>
      <c r="T341" s="15"/>
      <c r="U341" s="15"/>
      <c r="V341" s="15"/>
      <c r="W341" s="15"/>
      <c r="X341" s="15"/>
      <c r="Y341" s="15"/>
      <c r="Z341" s="16"/>
    </row>
    <row r="342">
      <c r="A342" s="12" t="s">
        <v>1020</v>
      </c>
      <c r="B342" s="13" t="s">
        <v>1021</v>
      </c>
      <c r="C342" s="13" t="s">
        <v>28</v>
      </c>
      <c r="D342" s="13" t="s">
        <v>28</v>
      </c>
      <c r="E342" s="14">
        <v>499.0</v>
      </c>
      <c r="F342" s="13" t="s">
        <v>584</v>
      </c>
      <c r="G342" s="13" t="s">
        <v>1017</v>
      </c>
      <c r="H342" s="14">
        <v>-1.0</v>
      </c>
      <c r="I342" s="14">
        <v>-1.0</v>
      </c>
      <c r="J342" s="14">
        <v>-1.0</v>
      </c>
      <c r="K342" s="17">
        <v>45480.37293981481</v>
      </c>
      <c r="L342" s="15"/>
      <c r="M342" s="15"/>
      <c r="N342" s="15"/>
      <c r="O342" s="15"/>
      <c r="P342" s="15"/>
      <c r="Q342" s="15"/>
      <c r="R342" s="15"/>
      <c r="S342" s="15"/>
      <c r="T342" s="15"/>
      <c r="U342" s="15"/>
      <c r="V342" s="15"/>
      <c r="W342" s="15"/>
      <c r="X342" s="15"/>
      <c r="Y342" s="15"/>
      <c r="Z342" s="16"/>
    </row>
    <row r="343">
      <c r="A343" s="12" t="s">
        <v>1022</v>
      </c>
      <c r="B343" s="13" t="s">
        <v>1023</v>
      </c>
      <c r="C343" s="13" t="s">
        <v>28</v>
      </c>
      <c r="D343" s="13" t="s">
        <v>28</v>
      </c>
      <c r="E343" s="14">
        <v>409.0</v>
      </c>
      <c r="F343" s="13" t="s">
        <v>584</v>
      </c>
      <c r="G343" s="13" t="s">
        <v>1017</v>
      </c>
      <c r="H343" s="14">
        <v>-1.0</v>
      </c>
      <c r="I343" s="14">
        <v>-1.0</v>
      </c>
      <c r="J343" s="14">
        <v>-1.0</v>
      </c>
      <c r="K343" s="17">
        <v>45480.373194444444</v>
      </c>
      <c r="L343" s="15"/>
      <c r="M343" s="15"/>
      <c r="N343" s="15"/>
      <c r="O343" s="15"/>
      <c r="P343" s="15"/>
      <c r="Q343" s="15"/>
      <c r="R343" s="15"/>
      <c r="S343" s="15"/>
      <c r="T343" s="15"/>
      <c r="U343" s="15"/>
      <c r="V343" s="15"/>
      <c r="W343" s="15"/>
      <c r="X343" s="15"/>
      <c r="Y343" s="15"/>
      <c r="Z343" s="16"/>
    </row>
    <row r="344">
      <c r="A344" s="12" t="s">
        <v>1024</v>
      </c>
      <c r="B344" s="13" t="s">
        <v>1025</v>
      </c>
      <c r="C344" s="13" t="s">
        <v>28</v>
      </c>
      <c r="D344" s="13" t="s">
        <v>28</v>
      </c>
      <c r="E344" s="14">
        <v>52.0</v>
      </c>
      <c r="F344" s="13" t="s">
        <v>584</v>
      </c>
      <c r="G344" s="13" t="s">
        <v>1026</v>
      </c>
      <c r="H344" s="14">
        <v>-1.0</v>
      </c>
      <c r="I344" s="14">
        <v>-1.0</v>
      </c>
      <c r="J344" s="14">
        <v>-1.0</v>
      </c>
      <c r="K344" s="17">
        <v>45480.374444444446</v>
      </c>
      <c r="L344" s="15"/>
      <c r="M344" s="15"/>
      <c r="N344" s="15"/>
      <c r="O344" s="15"/>
      <c r="P344" s="15"/>
      <c r="Q344" s="15"/>
      <c r="R344" s="15"/>
      <c r="S344" s="15"/>
      <c r="T344" s="15"/>
      <c r="U344" s="15"/>
      <c r="V344" s="15"/>
      <c r="W344" s="15"/>
      <c r="X344" s="15"/>
      <c r="Y344" s="15"/>
      <c r="Z344" s="16"/>
    </row>
    <row r="345">
      <c r="A345" s="12" t="s">
        <v>1027</v>
      </c>
      <c r="B345" s="13" t="s">
        <v>1028</v>
      </c>
      <c r="C345" s="13" t="s">
        <v>28</v>
      </c>
      <c r="D345" s="13" t="s">
        <v>28</v>
      </c>
      <c r="E345" s="14">
        <v>200.0</v>
      </c>
      <c r="F345" s="13" t="s">
        <v>584</v>
      </c>
      <c r="G345" s="13" t="s">
        <v>1029</v>
      </c>
      <c r="H345" s="14">
        <v>-1.0</v>
      </c>
      <c r="I345" s="14">
        <v>-1.0</v>
      </c>
      <c r="J345" s="14">
        <v>-1.0</v>
      </c>
      <c r="K345" s="17">
        <v>45480.37466435185</v>
      </c>
      <c r="L345" s="15"/>
      <c r="M345" s="15"/>
      <c r="N345" s="15"/>
      <c r="O345" s="15"/>
      <c r="P345" s="15"/>
      <c r="Q345" s="15"/>
      <c r="R345" s="15"/>
      <c r="S345" s="15"/>
      <c r="T345" s="15"/>
      <c r="U345" s="15"/>
      <c r="V345" s="15"/>
      <c r="W345" s="15"/>
      <c r="X345" s="15"/>
      <c r="Y345" s="15"/>
      <c r="Z345" s="16"/>
    </row>
    <row r="346">
      <c r="A346" s="12" t="s">
        <v>1030</v>
      </c>
      <c r="B346" s="13" t="s">
        <v>1031</v>
      </c>
      <c r="C346" s="13" t="s">
        <v>28</v>
      </c>
      <c r="D346" s="13" t="s">
        <v>28</v>
      </c>
      <c r="E346" s="14">
        <v>375.0</v>
      </c>
      <c r="F346" s="13" t="s">
        <v>584</v>
      </c>
      <c r="G346" s="13" t="s">
        <v>1032</v>
      </c>
      <c r="H346" s="14">
        <v>-1.0</v>
      </c>
      <c r="I346" s="14">
        <v>-1.0</v>
      </c>
      <c r="J346" s="14">
        <v>-1.0</v>
      </c>
      <c r="K346" s="17">
        <v>45480.375069444446</v>
      </c>
      <c r="L346" s="15"/>
      <c r="M346" s="15"/>
      <c r="N346" s="15"/>
      <c r="O346" s="15"/>
      <c r="P346" s="15"/>
      <c r="Q346" s="15"/>
      <c r="R346" s="15"/>
      <c r="S346" s="15"/>
      <c r="T346" s="15"/>
      <c r="U346" s="15"/>
      <c r="V346" s="15"/>
      <c r="W346" s="15"/>
      <c r="X346" s="15"/>
      <c r="Y346" s="15"/>
      <c r="Z346" s="16"/>
    </row>
    <row r="347">
      <c r="A347" s="12" t="s">
        <v>1033</v>
      </c>
      <c r="B347" s="13" t="s">
        <v>1034</v>
      </c>
      <c r="C347" s="13" t="s">
        <v>28</v>
      </c>
      <c r="D347" s="13" t="s">
        <v>28</v>
      </c>
      <c r="E347" s="14">
        <v>87.0</v>
      </c>
      <c r="F347" s="13" t="s">
        <v>584</v>
      </c>
      <c r="G347" s="13" t="s">
        <v>780</v>
      </c>
      <c r="H347" s="14">
        <v>-1.0</v>
      </c>
      <c r="I347" s="14">
        <v>-1.0</v>
      </c>
      <c r="J347" s="14">
        <v>-1.0</v>
      </c>
      <c r="K347" s="17">
        <v>45480.38327546296</v>
      </c>
      <c r="L347" s="15"/>
      <c r="M347" s="15"/>
      <c r="N347" s="15"/>
      <c r="O347" s="15"/>
      <c r="P347" s="15"/>
      <c r="Q347" s="15"/>
      <c r="R347" s="15"/>
      <c r="S347" s="15"/>
      <c r="T347" s="15"/>
      <c r="U347" s="15"/>
      <c r="V347" s="15"/>
      <c r="W347" s="15"/>
      <c r="X347" s="15"/>
      <c r="Y347" s="15"/>
      <c r="Z347" s="16"/>
    </row>
    <row r="348">
      <c r="A348" s="12" t="s">
        <v>1035</v>
      </c>
      <c r="B348" s="13" t="s">
        <v>1036</v>
      </c>
      <c r="C348" s="13" t="s">
        <v>28</v>
      </c>
      <c r="D348" s="13" t="s">
        <v>28</v>
      </c>
      <c r="E348" s="14">
        <v>145.0</v>
      </c>
      <c r="F348" s="13" t="s">
        <v>584</v>
      </c>
      <c r="G348" s="13" t="s">
        <v>1029</v>
      </c>
      <c r="H348" s="14">
        <v>-1.0</v>
      </c>
      <c r="I348" s="14">
        <v>-1.0</v>
      </c>
      <c r="J348" s="14">
        <v>-1.0</v>
      </c>
      <c r="K348" s="17">
        <v>45480.38340277778</v>
      </c>
      <c r="L348" s="15"/>
      <c r="M348" s="15"/>
      <c r="N348" s="15"/>
      <c r="O348" s="15"/>
      <c r="P348" s="15"/>
      <c r="Q348" s="15"/>
      <c r="R348" s="15"/>
      <c r="S348" s="15"/>
      <c r="T348" s="15"/>
      <c r="U348" s="15"/>
      <c r="V348" s="15"/>
      <c r="W348" s="15"/>
      <c r="X348" s="15"/>
      <c r="Y348" s="15"/>
      <c r="Z348" s="16"/>
    </row>
    <row r="349">
      <c r="A349" s="12" t="s">
        <v>1037</v>
      </c>
      <c r="B349" s="13" t="s">
        <v>1038</v>
      </c>
      <c r="C349" s="13" t="s">
        <v>28</v>
      </c>
      <c r="D349" s="13" t="s">
        <v>28</v>
      </c>
      <c r="E349" s="14">
        <v>200.0</v>
      </c>
      <c r="F349" s="13" t="s">
        <v>584</v>
      </c>
      <c r="G349" s="13" t="s">
        <v>1029</v>
      </c>
      <c r="H349" s="14">
        <v>-1.0</v>
      </c>
      <c r="I349" s="14">
        <v>-1.0</v>
      </c>
      <c r="J349" s="14">
        <v>-1.0</v>
      </c>
      <c r="K349" s="17">
        <v>45480.38357638889</v>
      </c>
      <c r="L349" s="15"/>
      <c r="M349" s="15"/>
      <c r="N349" s="15"/>
      <c r="O349" s="15"/>
      <c r="P349" s="15"/>
      <c r="Q349" s="15"/>
      <c r="R349" s="15"/>
      <c r="S349" s="15"/>
      <c r="T349" s="15"/>
      <c r="U349" s="15"/>
      <c r="V349" s="15"/>
      <c r="W349" s="15"/>
      <c r="X349" s="15"/>
      <c r="Y349" s="15"/>
      <c r="Z349" s="16"/>
    </row>
    <row r="350">
      <c r="A350" s="12" t="s">
        <v>1039</v>
      </c>
      <c r="B350" s="13" t="s">
        <v>1040</v>
      </c>
      <c r="C350" s="13" t="s">
        <v>28</v>
      </c>
      <c r="D350" s="13" t="s">
        <v>28</v>
      </c>
      <c r="E350" s="14">
        <v>200.0</v>
      </c>
      <c r="F350" s="13" t="s">
        <v>584</v>
      </c>
      <c r="G350" s="13" t="s">
        <v>1029</v>
      </c>
      <c r="H350" s="14">
        <v>-1.0</v>
      </c>
      <c r="I350" s="14">
        <v>-1.0</v>
      </c>
      <c r="J350" s="14">
        <v>-1.0</v>
      </c>
      <c r="K350" s="17">
        <v>45480.38376157408</v>
      </c>
      <c r="L350" s="15"/>
      <c r="M350" s="15"/>
      <c r="N350" s="15"/>
      <c r="O350" s="15"/>
      <c r="P350" s="15"/>
      <c r="Q350" s="15"/>
      <c r="R350" s="15"/>
      <c r="S350" s="15"/>
      <c r="T350" s="15"/>
      <c r="U350" s="15"/>
      <c r="V350" s="15"/>
      <c r="W350" s="15"/>
      <c r="X350" s="15"/>
      <c r="Y350" s="15"/>
      <c r="Z350" s="16"/>
    </row>
    <row r="351">
      <c r="A351" s="12" t="s">
        <v>1041</v>
      </c>
      <c r="B351" s="13" t="s">
        <v>1042</v>
      </c>
      <c r="C351" s="13" t="s">
        <v>28</v>
      </c>
      <c r="D351" s="13" t="s">
        <v>28</v>
      </c>
      <c r="E351" s="14">
        <v>200.0</v>
      </c>
      <c r="F351" s="13" t="s">
        <v>584</v>
      </c>
      <c r="G351" s="13" t="s">
        <v>1029</v>
      </c>
      <c r="H351" s="14">
        <v>950.0</v>
      </c>
      <c r="I351" s="14">
        <v>1675.0</v>
      </c>
      <c r="J351" s="14">
        <v>1585.0</v>
      </c>
      <c r="K351" s="17">
        <v>45480.383888888886</v>
      </c>
      <c r="L351" s="15"/>
      <c r="M351" s="15"/>
      <c r="N351" s="15"/>
      <c r="O351" s="15"/>
      <c r="P351" s="15"/>
      <c r="Q351" s="15"/>
      <c r="R351" s="15"/>
      <c r="S351" s="15"/>
      <c r="T351" s="15"/>
      <c r="U351" s="15"/>
      <c r="V351" s="15"/>
      <c r="W351" s="15"/>
      <c r="X351" s="15"/>
      <c r="Y351" s="15"/>
      <c r="Z351" s="16"/>
    </row>
    <row r="352">
      <c r="A352" s="12" t="s">
        <v>1043</v>
      </c>
      <c r="B352" s="13" t="s">
        <v>1044</v>
      </c>
      <c r="C352" s="13" t="s">
        <v>28</v>
      </c>
      <c r="D352" s="13" t="s">
        <v>28</v>
      </c>
      <c r="E352" s="14">
        <v>125.0</v>
      </c>
      <c r="F352" s="13" t="s">
        <v>584</v>
      </c>
      <c r="G352" s="13" t="s">
        <v>1045</v>
      </c>
      <c r="H352" s="14">
        <v>950.0</v>
      </c>
      <c r="I352" s="14">
        <v>1675.0</v>
      </c>
      <c r="J352" s="14">
        <v>1585.0</v>
      </c>
      <c r="K352" s="17">
        <v>45480.38401620371</v>
      </c>
      <c r="L352" s="15"/>
      <c r="M352" s="15"/>
      <c r="N352" s="15"/>
      <c r="O352" s="15"/>
      <c r="P352" s="15"/>
      <c r="Q352" s="15"/>
      <c r="R352" s="15"/>
      <c r="S352" s="15"/>
      <c r="T352" s="15"/>
      <c r="U352" s="15"/>
      <c r="V352" s="15"/>
      <c r="W352" s="15"/>
      <c r="X352" s="15"/>
      <c r="Y352" s="15"/>
      <c r="Z352" s="16"/>
    </row>
    <row r="353">
      <c r="A353" s="12" t="s">
        <v>1046</v>
      </c>
      <c r="B353" s="13" t="s">
        <v>1047</v>
      </c>
      <c r="C353" s="13" t="s">
        <v>28</v>
      </c>
      <c r="D353" s="13" t="s">
        <v>28</v>
      </c>
      <c r="E353" s="14">
        <v>6110.0</v>
      </c>
      <c r="F353" s="13" t="s">
        <v>584</v>
      </c>
      <c r="G353" s="13" t="s">
        <v>1048</v>
      </c>
      <c r="H353" s="14">
        <v>-1.0</v>
      </c>
      <c r="I353" s="14">
        <v>-1.0</v>
      </c>
      <c r="J353" s="14">
        <v>-1.0</v>
      </c>
      <c r="K353" s="17">
        <v>45480.38854166667</v>
      </c>
      <c r="L353" s="15"/>
      <c r="M353" s="15"/>
      <c r="N353" s="15"/>
      <c r="O353" s="15"/>
      <c r="P353" s="15"/>
      <c r="Q353" s="15"/>
      <c r="R353" s="15"/>
      <c r="S353" s="15"/>
      <c r="T353" s="15"/>
      <c r="U353" s="15"/>
      <c r="V353" s="15"/>
      <c r="W353" s="15"/>
      <c r="X353" s="15"/>
      <c r="Y353" s="15"/>
      <c r="Z353" s="16"/>
    </row>
    <row r="354">
      <c r="A354" s="12" t="s">
        <v>1049</v>
      </c>
      <c r="B354" s="13" t="s">
        <v>1050</v>
      </c>
      <c r="C354" s="13" t="s">
        <v>28</v>
      </c>
      <c r="D354" s="13" t="s">
        <v>28</v>
      </c>
      <c r="E354" s="14">
        <v>421.0</v>
      </c>
      <c r="F354" s="13" t="s">
        <v>584</v>
      </c>
      <c r="G354" s="13" t="s">
        <v>1051</v>
      </c>
      <c r="H354" s="14">
        <v>950.0</v>
      </c>
      <c r="I354" s="14">
        <v>0.0</v>
      </c>
      <c r="J354" s="14">
        <v>0.0</v>
      </c>
      <c r="K354" s="17">
        <v>45511.494259259256</v>
      </c>
      <c r="L354" s="15"/>
      <c r="M354" s="15"/>
      <c r="N354" s="15"/>
      <c r="O354" s="15"/>
      <c r="P354" s="15"/>
      <c r="Q354" s="15"/>
      <c r="R354" s="15"/>
      <c r="S354" s="15"/>
      <c r="T354" s="15"/>
      <c r="U354" s="15"/>
      <c r="V354" s="15"/>
      <c r="W354" s="15"/>
      <c r="X354" s="15"/>
      <c r="Y354" s="15"/>
      <c r="Z354" s="16"/>
    </row>
    <row r="355">
      <c r="A355" s="12" t="s">
        <v>1052</v>
      </c>
      <c r="B355" s="13" t="s">
        <v>1053</v>
      </c>
      <c r="C355" s="13" t="s">
        <v>28</v>
      </c>
      <c r="D355" s="13" t="s">
        <v>28</v>
      </c>
      <c r="E355" s="14">
        <v>300.0</v>
      </c>
      <c r="F355" s="13" t="s">
        <v>584</v>
      </c>
      <c r="G355" s="13" t="s">
        <v>1054</v>
      </c>
      <c r="H355" s="14">
        <v>950.0</v>
      </c>
      <c r="I355" s="14">
        <v>1675.0</v>
      </c>
      <c r="J355" s="14">
        <v>1585.0</v>
      </c>
      <c r="K355" s="17">
        <v>45511.495844907404</v>
      </c>
      <c r="L355" s="15"/>
      <c r="M355" s="15"/>
      <c r="N355" s="15"/>
      <c r="O355" s="15"/>
      <c r="P355" s="15"/>
      <c r="Q355" s="15"/>
      <c r="R355" s="15"/>
      <c r="S355" s="15"/>
      <c r="T355" s="15"/>
      <c r="U355" s="15"/>
      <c r="V355" s="15"/>
      <c r="W355" s="15"/>
      <c r="X355" s="15"/>
      <c r="Y355" s="15"/>
      <c r="Z355" s="16"/>
    </row>
    <row r="356">
      <c r="A356" s="12" t="s">
        <v>1055</v>
      </c>
      <c r="B356" s="13" t="s">
        <v>1056</v>
      </c>
      <c r="C356" s="13" t="s">
        <v>28</v>
      </c>
      <c r="D356" s="13" t="s">
        <v>28</v>
      </c>
      <c r="E356" s="14">
        <v>1426.0</v>
      </c>
      <c r="F356" s="13" t="s">
        <v>537</v>
      </c>
      <c r="G356" s="13" t="s">
        <v>1057</v>
      </c>
      <c r="H356" s="14">
        <v>1000.0</v>
      </c>
      <c r="I356" s="14">
        <v>-1.0</v>
      </c>
      <c r="J356" s="14">
        <v>-1.0</v>
      </c>
      <c r="K356" s="17">
        <v>45511.52962962963</v>
      </c>
      <c r="L356" s="15"/>
      <c r="M356" s="15"/>
      <c r="N356" s="15"/>
      <c r="O356" s="15"/>
      <c r="P356" s="15"/>
      <c r="Q356" s="15"/>
      <c r="R356" s="15"/>
      <c r="S356" s="15"/>
      <c r="T356" s="15"/>
      <c r="U356" s="15"/>
      <c r="V356" s="15"/>
      <c r="W356" s="15"/>
      <c r="X356" s="15"/>
      <c r="Y356" s="15"/>
      <c r="Z356" s="16"/>
    </row>
    <row r="357">
      <c r="A357" s="12" t="s">
        <v>1058</v>
      </c>
      <c r="B357" s="13" t="s">
        <v>1059</v>
      </c>
      <c r="C357" s="13" t="s">
        <v>28</v>
      </c>
      <c r="D357" s="13" t="s">
        <v>28</v>
      </c>
      <c r="E357" s="14">
        <v>182.0</v>
      </c>
      <c r="F357" s="13" t="s">
        <v>584</v>
      </c>
      <c r="G357" s="13" t="s">
        <v>1060</v>
      </c>
      <c r="H357" s="14">
        <v>950.0</v>
      </c>
      <c r="I357" s="14">
        <v>1675.0</v>
      </c>
      <c r="J357" s="14">
        <v>1585.0</v>
      </c>
      <c r="K357" s="17">
        <v>45511.53275462963</v>
      </c>
      <c r="L357" s="15"/>
      <c r="M357" s="15"/>
      <c r="N357" s="15"/>
      <c r="O357" s="15"/>
      <c r="P357" s="15"/>
      <c r="Q357" s="15"/>
      <c r="R357" s="15"/>
      <c r="S357" s="15"/>
      <c r="T357" s="15"/>
      <c r="U357" s="15"/>
      <c r="V357" s="15"/>
      <c r="W357" s="15"/>
      <c r="X357" s="15"/>
      <c r="Y357" s="15"/>
      <c r="Z357" s="16"/>
    </row>
    <row r="358">
      <c r="A358" s="12" t="s">
        <v>1061</v>
      </c>
      <c r="B358" s="13" t="s">
        <v>1062</v>
      </c>
      <c r="C358" s="13" t="s">
        <v>28</v>
      </c>
      <c r="D358" s="13" t="s">
        <v>28</v>
      </c>
      <c r="E358" s="14">
        <v>554.0</v>
      </c>
      <c r="F358" s="13" t="s">
        <v>537</v>
      </c>
      <c r="G358" s="13" t="s">
        <v>1063</v>
      </c>
      <c r="H358" s="14">
        <v>950.0</v>
      </c>
      <c r="I358" s="14">
        <v>1675.0</v>
      </c>
      <c r="J358" s="14">
        <v>1585.0</v>
      </c>
      <c r="K358" s="17">
        <v>45511.54619212963</v>
      </c>
      <c r="L358" s="15"/>
      <c r="M358" s="15"/>
      <c r="N358" s="15"/>
      <c r="O358" s="15"/>
      <c r="P358" s="15"/>
      <c r="Q358" s="15"/>
      <c r="R358" s="15"/>
      <c r="S358" s="15"/>
      <c r="T358" s="15"/>
      <c r="U358" s="15"/>
      <c r="V358" s="15"/>
      <c r="W358" s="15"/>
      <c r="X358" s="15"/>
      <c r="Y358" s="15"/>
      <c r="Z358" s="16"/>
    </row>
    <row r="359">
      <c r="A359" s="12" t="s">
        <v>1064</v>
      </c>
      <c r="B359" s="13" t="s">
        <v>1065</v>
      </c>
      <c r="C359" s="13" t="s">
        <v>28</v>
      </c>
      <c r="D359" s="13" t="s">
        <v>28</v>
      </c>
      <c r="E359" s="14">
        <v>1032.0</v>
      </c>
      <c r="F359" s="13" t="s">
        <v>537</v>
      </c>
      <c r="G359" s="13" t="s">
        <v>963</v>
      </c>
      <c r="H359" s="14">
        <v>950.0</v>
      </c>
      <c r="I359" s="14">
        <v>1675.0</v>
      </c>
      <c r="J359" s="14">
        <v>1585.0</v>
      </c>
      <c r="K359" s="17">
        <v>45511.59443287037</v>
      </c>
      <c r="L359" s="15"/>
      <c r="M359" s="15"/>
      <c r="N359" s="15"/>
      <c r="O359" s="15"/>
      <c r="P359" s="15"/>
      <c r="Q359" s="15"/>
      <c r="R359" s="15"/>
      <c r="S359" s="15"/>
      <c r="T359" s="15"/>
      <c r="U359" s="15"/>
      <c r="V359" s="15"/>
      <c r="W359" s="15"/>
      <c r="X359" s="15"/>
      <c r="Y359" s="15"/>
      <c r="Z359" s="16"/>
    </row>
    <row r="360">
      <c r="A360" s="12" t="s">
        <v>1066</v>
      </c>
      <c r="B360" s="13" t="s">
        <v>1067</v>
      </c>
      <c r="C360" s="13" t="s">
        <v>28</v>
      </c>
      <c r="D360" s="13" t="s">
        <v>28</v>
      </c>
      <c r="E360" s="14">
        <v>66.0</v>
      </c>
      <c r="F360" s="13" t="s">
        <v>584</v>
      </c>
      <c r="G360" s="13" t="s">
        <v>1068</v>
      </c>
      <c r="H360" s="14">
        <v>-1.0</v>
      </c>
      <c r="I360" s="14">
        <v>-1.0</v>
      </c>
      <c r="J360" s="14">
        <v>-1.0</v>
      </c>
      <c r="K360" s="13" t="s">
        <v>1069</v>
      </c>
      <c r="L360" s="15"/>
      <c r="M360" s="15"/>
      <c r="N360" s="15"/>
      <c r="O360" s="15"/>
      <c r="P360" s="15"/>
      <c r="Q360" s="15"/>
      <c r="R360" s="15"/>
      <c r="S360" s="15"/>
      <c r="T360" s="15"/>
      <c r="U360" s="15"/>
      <c r="V360" s="15"/>
      <c r="W360" s="15"/>
      <c r="X360" s="15"/>
      <c r="Y360" s="15"/>
      <c r="Z360" s="16"/>
    </row>
    <row r="361">
      <c r="A361" s="12" t="s">
        <v>1070</v>
      </c>
      <c r="B361" s="13" t="s">
        <v>1071</v>
      </c>
      <c r="C361" s="13" t="s">
        <v>28</v>
      </c>
      <c r="D361" s="13" t="s">
        <v>28</v>
      </c>
      <c r="E361" s="14">
        <v>200.0</v>
      </c>
      <c r="F361" s="13" t="s">
        <v>584</v>
      </c>
      <c r="G361" s="13" t="s">
        <v>1072</v>
      </c>
      <c r="H361" s="14">
        <v>-1.0</v>
      </c>
      <c r="I361" s="14">
        <v>-1.0</v>
      </c>
      <c r="J361" s="14">
        <v>-1.0</v>
      </c>
      <c r="K361" s="13" t="s">
        <v>1073</v>
      </c>
      <c r="L361" s="15"/>
      <c r="M361" s="15"/>
      <c r="N361" s="15"/>
      <c r="O361" s="15"/>
      <c r="P361" s="15"/>
      <c r="Q361" s="15"/>
      <c r="R361" s="15"/>
      <c r="S361" s="15"/>
      <c r="T361" s="15"/>
      <c r="U361" s="15"/>
      <c r="V361" s="15"/>
      <c r="W361" s="15"/>
      <c r="X361" s="15"/>
      <c r="Y361" s="15"/>
      <c r="Z361" s="16"/>
    </row>
    <row r="362">
      <c r="A362" s="12" t="s">
        <v>1074</v>
      </c>
      <c r="B362" s="13" t="s">
        <v>1075</v>
      </c>
      <c r="C362" s="13" t="s">
        <v>28</v>
      </c>
      <c r="D362" s="13" t="s">
        <v>28</v>
      </c>
      <c r="E362" s="14">
        <v>30.0</v>
      </c>
      <c r="F362" s="13" t="s">
        <v>584</v>
      </c>
      <c r="G362" s="13" t="s">
        <v>1076</v>
      </c>
      <c r="H362" s="14">
        <v>-1.0</v>
      </c>
      <c r="I362" s="14">
        <v>-1.0</v>
      </c>
      <c r="J362" s="14">
        <v>-1.0</v>
      </c>
      <c r="K362" s="13" t="s">
        <v>1077</v>
      </c>
      <c r="L362" s="15"/>
      <c r="M362" s="15"/>
      <c r="N362" s="15"/>
      <c r="O362" s="15"/>
      <c r="P362" s="15"/>
      <c r="Q362" s="15"/>
      <c r="R362" s="15"/>
      <c r="S362" s="15"/>
      <c r="T362" s="15"/>
      <c r="U362" s="15"/>
      <c r="V362" s="15"/>
      <c r="W362" s="15"/>
      <c r="X362" s="15"/>
      <c r="Y362" s="15"/>
      <c r="Z362" s="16"/>
    </row>
    <row r="363">
      <c r="A363" s="12" t="s">
        <v>1078</v>
      </c>
      <c r="B363" s="13" t="s">
        <v>1079</v>
      </c>
      <c r="C363" s="13" t="s">
        <v>28</v>
      </c>
      <c r="D363" s="13" t="s">
        <v>28</v>
      </c>
      <c r="E363" s="14">
        <v>100.0</v>
      </c>
      <c r="F363" s="13" t="s">
        <v>584</v>
      </c>
      <c r="G363" s="13" t="s">
        <v>1080</v>
      </c>
      <c r="H363" s="14">
        <v>-1.0</v>
      </c>
      <c r="I363" s="14">
        <v>-1.0</v>
      </c>
      <c r="J363" s="14">
        <v>-1.0</v>
      </c>
      <c r="K363" s="13" t="s">
        <v>1081</v>
      </c>
      <c r="L363" s="15"/>
      <c r="M363" s="15"/>
      <c r="N363" s="15"/>
      <c r="O363" s="15"/>
      <c r="P363" s="15"/>
      <c r="Q363" s="15"/>
      <c r="R363" s="15"/>
      <c r="S363" s="15"/>
      <c r="T363" s="15"/>
      <c r="U363" s="15"/>
      <c r="V363" s="15"/>
      <c r="W363" s="15"/>
      <c r="X363" s="15"/>
      <c r="Y363" s="15"/>
      <c r="Z363" s="16"/>
    </row>
    <row r="364">
      <c r="A364" s="12" t="s">
        <v>1082</v>
      </c>
      <c r="B364" s="13" t="s">
        <v>1083</v>
      </c>
      <c r="C364" s="13" t="s">
        <v>28</v>
      </c>
      <c r="D364" s="13" t="s">
        <v>28</v>
      </c>
      <c r="E364" s="14">
        <v>100.0</v>
      </c>
      <c r="F364" s="13" t="s">
        <v>584</v>
      </c>
      <c r="G364" s="13" t="s">
        <v>1084</v>
      </c>
      <c r="H364" s="14">
        <v>-1.0</v>
      </c>
      <c r="I364" s="14">
        <v>-1.0</v>
      </c>
      <c r="J364" s="14">
        <v>-1.0</v>
      </c>
      <c r="K364" s="13" t="s">
        <v>1085</v>
      </c>
      <c r="L364" s="15"/>
      <c r="M364" s="15"/>
      <c r="N364" s="15"/>
      <c r="O364" s="15"/>
      <c r="P364" s="15"/>
      <c r="Q364" s="15"/>
      <c r="R364" s="15"/>
      <c r="S364" s="15"/>
      <c r="T364" s="15"/>
      <c r="U364" s="15"/>
      <c r="V364" s="15"/>
      <c r="W364" s="15"/>
      <c r="X364" s="15"/>
      <c r="Y364" s="15"/>
      <c r="Z364" s="16"/>
    </row>
    <row r="365">
      <c r="A365" s="12" t="s">
        <v>1086</v>
      </c>
      <c r="B365" s="13" t="s">
        <v>1087</v>
      </c>
      <c r="C365" s="13" t="s">
        <v>28</v>
      </c>
      <c r="D365" s="13" t="s">
        <v>28</v>
      </c>
      <c r="E365" s="14">
        <v>1620.0</v>
      </c>
      <c r="F365" s="13" t="s">
        <v>537</v>
      </c>
      <c r="G365" s="13" t="s">
        <v>1088</v>
      </c>
      <c r="H365" s="14">
        <v>950.0</v>
      </c>
      <c r="I365" s="14">
        <v>1675.0</v>
      </c>
      <c r="J365" s="14">
        <v>1585.0</v>
      </c>
      <c r="K365" s="13" t="s">
        <v>1089</v>
      </c>
      <c r="L365" s="15"/>
      <c r="M365" s="15"/>
      <c r="N365" s="15"/>
      <c r="O365" s="15"/>
      <c r="P365" s="15"/>
      <c r="Q365" s="15"/>
      <c r="R365" s="15"/>
      <c r="S365" s="15"/>
      <c r="T365" s="15"/>
      <c r="U365" s="15"/>
      <c r="V365" s="15"/>
      <c r="W365" s="15"/>
      <c r="X365" s="15"/>
      <c r="Y365" s="15"/>
      <c r="Z365" s="16"/>
    </row>
    <row r="366">
      <c r="A366" s="12" t="s">
        <v>1090</v>
      </c>
      <c r="B366" s="13" t="s">
        <v>1091</v>
      </c>
      <c r="C366" s="13" t="s">
        <v>28</v>
      </c>
      <c r="D366" s="13" t="s">
        <v>28</v>
      </c>
      <c r="E366" s="14">
        <v>2358.0</v>
      </c>
      <c r="F366" s="13" t="s">
        <v>537</v>
      </c>
      <c r="G366" s="13" t="s">
        <v>963</v>
      </c>
      <c r="H366" s="14">
        <v>950.0</v>
      </c>
      <c r="I366" s="14">
        <v>1675.0</v>
      </c>
      <c r="J366" s="14">
        <v>1585.0</v>
      </c>
      <c r="K366" s="13" t="s">
        <v>1092</v>
      </c>
      <c r="L366" s="15"/>
      <c r="M366" s="15"/>
      <c r="N366" s="15"/>
      <c r="O366" s="15"/>
      <c r="P366" s="15"/>
      <c r="Q366" s="15"/>
      <c r="R366" s="15"/>
      <c r="S366" s="15"/>
      <c r="T366" s="15"/>
      <c r="U366" s="15"/>
      <c r="V366" s="15"/>
      <c r="W366" s="15"/>
      <c r="X366" s="15"/>
      <c r="Y366" s="15"/>
      <c r="Z366" s="16"/>
    </row>
    <row r="367">
      <c r="A367" s="12" t="s">
        <v>1093</v>
      </c>
      <c r="B367" s="13" t="s">
        <v>1094</v>
      </c>
      <c r="C367" s="13" t="s">
        <v>28</v>
      </c>
      <c r="D367" s="13" t="s">
        <v>28</v>
      </c>
      <c r="E367" s="14">
        <v>291.0</v>
      </c>
      <c r="F367" s="13" t="s">
        <v>537</v>
      </c>
      <c r="G367" s="13" t="s">
        <v>963</v>
      </c>
      <c r="H367" s="14">
        <v>950.0</v>
      </c>
      <c r="I367" s="14">
        <v>1675.0</v>
      </c>
      <c r="J367" s="14">
        <v>1585.0</v>
      </c>
      <c r="K367" s="13" t="s">
        <v>1095</v>
      </c>
      <c r="L367" s="15"/>
      <c r="M367" s="15"/>
      <c r="N367" s="15"/>
      <c r="O367" s="15"/>
      <c r="P367" s="15"/>
      <c r="Q367" s="15"/>
      <c r="R367" s="15"/>
      <c r="S367" s="15"/>
      <c r="T367" s="15"/>
      <c r="U367" s="15"/>
      <c r="V367" s="15"/>
      <c r="W367" s="15"/>
      <c r="X367" s="15"/>
      <c r="Y367" s="15"/>
      <c r="Z367" s="16"/>
    </row>
    <row r="368">
      <c r="A368" s="12" t="s">
        <v>1096</v>
      </c>
      <c r="B368" s="13" t="s">
        <v>1097</v>
      </c>
      <c r="C368" s="13" t="s">
        <v>28</v>
      </c>
      <c r="D368" s="13" t="s">
        <v>28</v>
      </c>
      <c r="E368" s="14">
        <v>499.0</v>
      </c>
      <c r="F368" s="13" t="s">
        <v>584</v>
      </c>
      <c r="G368" s="13" t="s">
        <v>1098</v>
      </c>
      <c r="H368" s="14">
        <v>950.0</v>
      </c>
      <c r="I368" s="14">
        <v>-1.0</v>
      </c>
      <c r="J368" s="14">
        <v>-1.0</v>
      </c>
      <c r="K368" s="13" t="s">
        <v>1099</v>
      </c>
      <c r="L368" s="15"/>
      <c r="M368" s="15"/>
      <c r="N368" s="15"/>
      <c r="O368" s="15"/>
      <c r="P368" s="15"/>
      <c r="Q368" s="15"/>
      <c r="R368" s="15"/>
      <c r="S368" s="15"/>
      <c r="T368" s="15"/>
      <c r="U368" s="15"/>
      <c r="V368" s="15"/>
      <c r="W368" s="15"/>
      <c r="X368" s="15"/>
      <c r="Y368" s="15"/>
      <c r="Z368" s="16"/>
    </row>
    <row r="369">
      <c r="A369" s="12" t="s">
        <v>1100</v>
      </c>
      <c r="B369" s="13" t="s">
        <v>1101</v>
      </c>
      <c r="C369" s="13" t="s">
        <v>28</v>
      </c>
      <c r="D369" s="13" t="s">
        <v>28</v>
      </c>
      <c r="E369" s="14">
        <v>499.0</v>
      </c>
      <c r="F369" s="13" t="s">
        <v>584</v>
      </c>
      <c r="G369" s="13" t="s">
        <v>1098</v>
      </c>
      <c r="H369" s="14">
        <v>950.0</v>
      </c>
      <c r="I369" s="14">
        <v>-1.0</v>
      </c>
      <c r="J369" s="14">
        <v>-1.0</v>
      </c>
      <c r="K369" s="13" t="s">
        <v>1102</v>
      </c>
      <c r="L369" s="15"/>
      <c r="M369" s="15"/>
      <c r="N369" s="15"/>
      <c r="O369" s="15"/>
      <c r="P369" s="15"/>
      <c r="Q369" s="15"/>
      <c r="R369" s="15"/>
      <c r="S369" s="15"/>
      <c r="T369" s="15"/>
      <c r="U369" s="15"/>
      <c r="V369" s="15"/>
      <c r="W369" s="15"/>
      <c r="X369" s="15"/>
      <c r="Y369" s="15"/>
      <c r="Z369" s="16"/>
    </row>
    <row r="370">
      <c r="A370" s="12" t="s">
        <v>1103</v>
      </c>
      <c r="B370" s="13" t="s">
        <v>1104</v>
      </c>
      <c r="C370" s="13" t="s">
        <v>28</v>
      </c>
      <c r="D370" s="13" t="s">
        <v>28</v>
      </c>
      <c r="E370" s="14">
        <v>496.0</v>
      </c>
      <c r="F370" s="13" t="s">
        <v>584</v>
      </c>
      <c r="G370" s="13" t="s">
        <v>1098</v>
      </c>
      <c r="H370" s="14">
        <v>950.0</v>
      </c>
      <c r="I370" s="14">
        <v>-1.0</v>
      </c>
      <c r="J370" s="14">
        <v>-1.0</v>
      </c>
      <c r="K370" s="13" t="s">
        <v>1105</v>
      </c>
      <c r="L370" s="15"/>
      <c r="M370" s="15"/>
      <c r="N370" s="15"/>
      <c r="O370" s="15"/>
      <c r="P370" s="15"/>
      <c r="Q370" s="15"/>
      <c r="R370" s="15"/>
      <c r="S370" s="15"/>
      <c r="T370" s="15"/>
      <c r="U370" s="15"/>
      <c r="V370" s="15"/>
      <c r="W370" s="15"/>
      <c r="X370" s="15"/>
      <c r="Y370" s="15"/>
      <c r="Z370" s="16"/>
    </row>
    <row r="371">
      <c r="A371" s="12" t="s">
        <v>1106</v>
      </c>
      <c r="B371" s="13" t="s">
        <v>1107</v>
      </c>
      <c r="C371" s="13" t="s">
        <v>28</v>
      </c>
      <c r="D371" s="13" t="s">
        <v>28</v>
      </c>
      <c r="E371" s="14">
        <v>500.0</v>
      </c>
      <c r="F371" s="13" t="s">
        <v>584</v>
      </c>
      <c r="G371" s="13" t="s">
        <v>1098</v>
      </c>
      <c r="H371" s="14">
        <v>-1.0</v>
      </c>
      <c r="I371" s="14">
        <v>-1.0</v>
      </c>
      <c r="J371" s="14">
        <v>-1.0</v>
      </c>
      <c r="K371" s="13" t="s">
        <v>1108</v>
      </c>
      <c r="L371" s="15"/>
      <c r="M371" s="15"/>
      <c r="N371" s="15"/>
      <c r="O371" s="15"/>
      <c r="P371" s="15"/>
      <c r="Q371" s="15"/>
      <c r="R371" s="15"/>
      <c r="S371" s="15"/>
      <c r="T371" s="15"/>
      <c r="U371" s="15"/>
      <c r="V371" s="15"/>
      <c r="W371" s="15"/>
      <c r="X371" s="15"/>
      <c r="Y371" s="15"/>
      <c r="Z371" s="16"/>
    </row>
    <row r="372">
      <c r="A372" s="12" t="s">
        <v>1109</v>
      </c>
      <c r="B372" s="13" t="s">
        <v>1110</v>
      </c>
      <c r="C372" s="13" t="s">
        <v>28</v>
      </c>
      <c r="D372" s="13" t="s">
        <v>28</v>
      </c>
      <c r="E372" s="14">
        <v>500.0</v>
      </c>
      <c r="F372" s="13" t="s">
        <v>584</v>
      </c>
      <c r="G372" s="13" t="s">
        <v>1098</v>
      </c>
      <c r="H372" s="14">
        <v>-1.0</v>
      </c>
      <c r="I372" s="14">
        <v>-1.0</v>
      </c>
      <c r="J372" s="14">
        <v>-1.0</v>
      </c>
      <c r="K372" s="13" t="s">
        <v>1111</v>
      </c>
      <c r="L372" s="15"/>
      <c r="M372" s="15"/>
      <c r="N372" s="15"/>
      <c r="O372" s="15"/>
      <c r="P372" s="15"/>
      <c r="Q372" s="15"/>
      <c r="R372" s="15"/>
      <c r="S372" s="15"/>
      <c r="T372" s="15"/>
      <c r="U372" s="15"/>
      <c r="V372" s="15"/>
      <c r="W372" s="15"/>
      <c r="X372" s="15"/>
      <c r="Y372" s="15"/>
      <c r="Z372" s="16"/>
    </row>
    <row r="373">
      <c r="A373" s="12" t="s">
        <v>1112</v>
      </c>
      <c r="B373" s="13" t="s">
        <v>1113</v>
      </c>
      <c r="C373" s="13" t="s">
        <v>28</v>
      </c>
      <c r="D373" s="13" t="s">
        <v>28</v>
      </c>
      <c r="E373" s="14">
        <v>499.0</v>
      </c>
      <c r="F373" s="13" t="s">
        <v>584</v>
      </c>
      <c r="G373" s="13" t="s">
        <v>1098</v>
      </c>
      <c r="H373" s="14">
        <v>950.0</v>
      </c>
      <c r="I373" s="14">
        <v>-1.0</v>
      </c>
      <c r="J373" s="14">
        <v>-1.0</v>
      </c>
      <c r="K373" s="13" t="s">
        <v>1114</v>
      </c>
      <c r="L373" s="15"/>
      <c r="M373" s="15"/>
      <c r="N373" s="15"/>
      <c r="O373" s="15"/>
      <c r="P373" s="15"/>
      <c r="Q373" s="15"/>
      <c r="R373" s="15"/>
      <c r="S373" s="15"/>
      <c r="T373" s="15"/>
      <c r="U373" s="15"/>
      <c r="V373" s="15"/>
      <c r="W373" s="15"/>
      <c r="X373" s="15"/>
      <c r="Y373" s="15"/>
      <c r="Z373" s="16"/>
    </row>
    <row r="374">
      <c r="A374" s="12" t="s">
        <v>1115</v>
      </c>
      <c r="B374" s="13" t="s">
        <v>1116</v>
      </c>
      <c r="C374" s="13" t="s">
        <v>28</v>
      </c>
      <c r="D374" s="13" t="s">
        <v>28</v>
      </c>
      <c r="E374" s="14">
        <v>500.0</v>
      </c>
      <c r="F374" s="13" t="s">
        <v>584</v>
      </c>
      <c r="G374" s="13" t="s">
        <v>1098</v>
      </c>
      <c r="H374" s="14">
        <v>-1.0</v>
      </c>
      <c r="I374" s="14">
        <v>-1.0</v>
      </c>
      <c r="J374" s="14">
        <v>-1.0</v>
      </c>
      <c r="K374" s="13" t="s">
        <v>1117</v>
      </c>
      <c r="L374" s="15"/>
      <c r="M374" s="15"/>
      <c r="N374" s="15"/>
      <c r="O374" s="15"/>
      <c r="P374" s="15"/>
      <c r="Q374" s="15"/>
      <c r="R374" s="15"/>
      <c r="S374" s="15"/>
      <c r="T374" s="15"/>
      <c r="U374" s="15"/>
      <c r="V374" s="15"/>
      <c r="W374" s="15"/>
      <c r="X374" s="15"/>
      <c r="Y374" s="15"/>
      <c r="Z374" s="16"/>
    </row>
    <row r="375">
      <c r="A375" s="12" t="s">
        <v>1118</v>
      </c>
      <c r="B375" s="13" t="s">
        <v>1119</v>
      </c>
      <c r="C375" s="13" t="s">
        <v>28</v>
      </c>
      <c r="D375" s="13" t="s">
        <v>28</v>
      </c>
      <c r="E375" s="14">
        <v>499.0</v>
      </c>
      <c r="F375" s="13" t="s">
        <v>584</v>
      </c>
      <c r="G375" s="13" t="s">
        <v>1098</v>
      </c>
      <c r="H375" s="14">
        <v>-1.0</v>
      </c>
      <c r="I375" s="14">
        <v>-1.0</v>
      </c>
      <c r="J375" s="14">
        <v>-1.0</v>
      </c>
      <c r="K375" s="13" t="s">
        <v>1120</v>
      </c>
      <c r="L375" s="15"/>
      <c r="M375" s="15"/>
      <c r="N375" s="15"/>
      <c r="O375" s="15"/>
      <c r="P375" s="15"/>
      <c r="Q375" s="15"/>
      <c r="R375" s="15"/>
      <c r="S375" s="15"/>
      <c r="T375" s="15"/>
      <c r="U375" s="15"/>
      <c r="V375" s="15"/>
      <c r="W375" s="15"/>
      <c r="X375" s="15"/>
      <c r="Y375" s="15"/>
      <c r="Z375" s="16"/>
    </row>
    <row r="376">
      <c r="A376" s="12" t="s">
        <v>1121</v>
      </c>
      <c r="B376" s="13" t="s">
        <v>1122</v>
      </c>
      <c r="C376" s="13" t="s">
        <v>28</v>
      </c>
      <c r="D376" s="13" t="s">
        <v>28</v>
      </c>
      <c r="E376" s="14">
        <v>498.0</v>
      </c>
      <c r="F376" s="13" t="s">
        <v>584</v>
      </c>
      <c r="G376" s="13" t="s">
        <v>1098</v>
      </c>
      <c r="H376" s="14">
        <v>-1.0</v>
      </c>
      <c r="I376" s="14">
        <v>-1.0</v>
      </c>
      <c r="J376" s="14">
        <v>-1.0</v>
      </c>
      <c r="K376" s="13" t="s">
        <v>1123</v>
      </c>
      <c r="L376" s="15"/>
      <c r="M376" s="15"/>
      <c r="N376" s="15"/>
      <c r="O376" s="15"/>
      <c r="P376" s="15"/>
      <c r="Q376" s="15"/>
      <c r="R376" s="15"/>
      <c r="S376" s="15"/>
      <c r="T376" s="15"/>
      <c r="U376" s="15"/>
      <c r="V376" s="15"/>
      <c r="W376" s="15"/>
      <c r="X376" s="15"/>
      <c r="Y376" s="15"/>
      <c r="Z376" s="16"/>
    </row>
    <row r="377">
      <c r="A377" s="12" t="s">
        <v>1124</v>
      </c>
      <c r="B377" s="13" t="s">
        <v>1125</v>
      </c>
      <c r="C377" s="13" t="s">
        <v>28</v>
      </c>
      <c r="D377" s="13" t="s">
        <v>28</v>
      </c>
      <c r="E377" s="14">
        <v>500.0</v>
      </c>
      <c r="F377" s="13" t="s">
        <v>584</v>
      </c>
      <c r="G377" s="13" t="s">
        <v>1098</v>
      </c>
      <c r="H377" s="14">
        <v>-1.0</v>
      </c>
      <c r="I377" s="14">
        <v>-1.0</v>
      </c>
      <c r="J377" s="14">
        <v>-1.0</v>
      </c>
      <c r="K377" s="13" t="s">
        <v>1126</v>
      </c>
      <c r="L377" s="15"/>
      <c r="M377" s="15"/>
      <c r="N377" s="15"/>
      <c r="O377" s="15"/>
      <c r="P377" s="15"/>
      <c r="Q377" s="15"/>
      <c r="R377" s="15"/>
      <c r="S377" s="15"/>
      <c r="T377" s="15"/>
      <c r="U377" s="15"/>
      <c r="V377" s="15"/>
      <c r="W377" s="15"/>
      <c r="X377" s="15"/>
      <c r="Y377" s="15"/>
      <c r="Z377" s="16"/>
    </row>
    <row r="378">
      <c r="A378" s="12" t="s">
        <v>1127</v>
      </c>
      <c r="B378" s="13" t="s">
        <v>1128</v>
      </c>
      <c r="C378" s="13" t="s">
        <v>28</v>
      </c>
      <c r="D378" s="13" t="s">
        <v>28</v>
      </c>
      <c r="E378" s="14">
        <v>500.0</v>
      </c>
      <c r="F378" s="13" t="s">
        <v>584</v>
      </c>
      <c r="G378" s="13" t="s">
        <v>1129</v>
      </c>
      <c r="H378" s="14">
        <v>-1.0</v>
      </c>
      <c r="I378" s="14">
        <v>-1.0</v>
      </c>
      <c r="J378" s="14">
        <v>-1.0</v>
      </c>
      <c r="K378" s="13" t="s">
        <v>1130</v>
      </c>
      <c r="L378" s="15"/>
      <c r="M378" s="15"/>
      <c r="N378" s="15"/>
      <c r="O378" s="15"/>
      <c r="P378" s="15"/>
      <c r="Q378" s="15"/>
      <c r="R378" s="15"/>
      <c r="S378" s="15"/>
      <c r="T378" s="15"/>
      <c r="U378" s="15"/>
      <c r="V378" s="15"/>
      <c r="W378" s="15"/>
      <c r="X378" s="15"/>
      <c r="Y378" s="15"/>
      <c r="Z378" s="16"/>
    </row>
    <row r="379">
      <c r="A379" s="12" t="s">
        <v>1131</v>
      </c>
      <c r="B379" s="13" t="s">
        <v>1132</v>
      </c>
      <c r="C379" s="13" t="s">
        <v>28</v>
      </c>
      <c r="D379" s="13" t="s">
        <v>28</v>
      </c>
      <c r="E379" s="14">
        <v>100.0</v>
      </c>
      <c r="F379" s="13" t="s">
        <v>584</v>
      </c>
      <c r="G379" s="13" t="s">
        <v>1133</v>
      </c>
      <c r="H379" s="14">
        <v>-1.0</v>
      </c>
      <c r="I379" s="14">
        <v>-1.0</v>
      </c>
      <c r="J379" s="14">
        <v>-1.0</v>
      </c>
      <c r="K379" s="13" t="s">
        <v>1134</v>
      </c>
      <c r="L379" s="15"/>
      <c r="M379" s="15"/>
      <c r="N379" s="15"/>
      <c r="O379" s="15"/>
      <c r="P379" s="15"/>
      <c r="Q379" s="15"/>
      <c r="R379" s="15"/>
      <c r="S379" s="15"/>
      <c r="T379" s="15"/>
      <c r="U379" s="15"/>
      <c r="V379" s="15"/>
      <c r="W379" s="15"/>
      <c r="X379" s="15"/>
      <c r="Y379" s="15"/>
      <c r="Z379" s="16"/>
    </row>
    <row r="380">
      <c r="A380" s="12" t="s">
        <v>1135</v>
      </c>
      <c r="B380" s="13" t="s">
        <v>1136</v>
      </c>
      <c r="C380" s="13" t="s">
        <v>28</v>
      </c>
      <c r="D380" s="13" t="s">
        <v>28</v>
      </c>
      <c r="E380" s="14">
        <v>100.0</v>
      </c>
      <c r="F380" s="13" t="s">
        <v>584</v>
      </c>
      <c r="G380" s="13" t="s">
        <v>1133</v>
      </c>
      <c r="H380" s="14">
        <v>-1.0</v>
      </c>
      <c r="I380" s="14">
        <v>-1.0</v>
      </c>
      <c r="J380" s="14">
        <v>-1.0</v>
      </c>
      <c r="K380" s="13" t="s">
        <v>1137</v>
      </c>
      <c r="L380" s="15"/>
      <c r="M380" s="15"/>
      <c r="N380" s="15"/>
      <c r="O380" s="15"/>
      <c r="P380" s="15"/>
      <c r="Q380" s="15"/>
      <c r="R380" s="15"/>
      <c r="S380" s="15"/>
      <c r="T380" s="15"/>
      <c r="U380" s="15"/>
      <c r="V380" s="15"/>
      <c r="W380" s="15"/>
      <c r="X380" s="15"/>
      <c r="Y380" s="15"/>
      <c r="Z380" s="16"/>
    </row>
    <row r="381">
      <c r="A381" s="12" t="s">
        <v>1138</v>
      </c>
      <c r="B381" s="13" t="s">
        <v>1139</v>
      </c>
      <c r="C381" s="13" t="s">
        <v>28</v>
      </c>
      <c r="D381" s="13" t="s">
        <v>28</v>
      </c>
      <c r="E381" s="14">
        <v>53.0</v>
      </c>
      <c r="F381" s="13" t="s">
        <v>584</v>
      </c>
      <c r="G381" s="13" t="s">
        <v>1140</v>
      </c>
      <c r="H381" s="14">
        <v>-1.0</v>
      </c>
      <c r="I381" s="14">
        <v>-1.0</v>
      </c>
      <c r="J381" s="14">
        <v>-1.0</v>
      </c>
      <c r="K381" s="13" t="s">
        <v>1141</v>
      </c>
      <c r="L381" s="15"/>
      <c r="M381" s="15"/>
      <c r="N381" s="15"/>
      <c r="O381" s="15"/>
      <c r="P381" s="15"/>
      <c r="Q381" s="15"/>
      <c r="R381" s="15"/>
      <c r="S381" s="15"/>
      <c r="T381" s="15"/>
      <c r="U381" s="15"/>
      <c r="V381" s="15"/>
      <c r="W381" s="15"/>
      <c r="X381" s="15"/>
      <c r="Y381" s="15"/>
      <c r="Z381" s="16"/>
    </row>
    <row r="382">
      <c r="A382" s="12" t="s">
        <v>1142</v>
      </c>
      <c r="B382" s="13" t="s">
        <v>1143</v>
      </c>
      <c r="C382" s="13" t="s">
        <v>28</v>
      </c>
      <c r="D382" s="13" t="s">
        <v>28</v>
      </c>
      <c r="E382" s="14">
        <v>100.0</v>
      </c>
      <c r="F382" s="13" t="s">
        <v>584</v>
      </c>
      <c r="G382" s="13" t="s">
        <v>1140</v>
      </c>
      <c r="H382" s="14">
        <v>-1.0</v>
      </c>
      <c r="I382" s="14">
        <v>-1.0</v>
      </c>
      <c r="J382" s="14">
        <v>-1.0</v>
      </c>
      <c r="K382" s="13" t="s">
        <v>1144</v>
      </c>
      <c r="L382" s="15"/>
      <c r="M382" s="15"/>
      <c r="N382" s="15"/>
      <c r="O382" s="15"/>
      <c r="P382" s="15"/>
      <c r="Q382" s="15"/>
      <c r="R382" s="15"/>
      <c r="S382" s="15"/>
      <c r="T382" s="15"/>
      <c r="U382" s="15"/>
      <c r="V382" s="15"/>
      <c r="W382" s="15"/>
      <c r="X382" s="15"/>
      <c r="Y382" s="15"/>
      <c r="Z382" s="16"/>
    </row>
    <row r="383">
      <c r="A383" s="12" t="s">
        <v>1145</v>
      </c>
      <c r="B383" s="13" t="s">
        <v>1146</v>
      </c>
      <c r="C383" s="13" t="s">
        <v>28</v>
      </c>
      <c r="D383" s="13" t="s">
        <v>28</v>
      </c>
      <c r="E383" s="14">
        <v>100.0</v>
      </c>
      <c r="F383" s="13" t="s">
        <v>584</v>
      </c>
      <c r="G383" s="13" t="s">
        <v>1147</v>
      </c>
      <c r="H383" s="14">
        <v>-1.0</v>
      </c>
      <c r="I383" s="14">
        <v>-1.0</v>
      </c>
      <c r="J383" s="14">
        <v>-4.0</v>
      </c>
      <c r="K383" s="13" t="s">
        <v>1148</v>
      </c>
      <c r="L383" s="15"/>
      <c r="M383" s="15"/>
      <c r="N383" s="15"/>
      <c r="O383" s="15"/>
      <c r="P383" s="15"/>
      <c r="Q383" s="15"/>
      <c r="R383" s="15"/>
      <c r="S383" s="15"/>
      <c r="T383" s="15"/>
      <c r="U383" s="15"/>
      <c r="V383" s="15"/>
      <c r="W383" s="15"/>
      <c r="X383" s="15"/>
      <c r="Y383" s="15"/>
      <c r="Z383" s="16"/>
    </row>
    <row r="384">
      <c r="A384" s="12" t="s">
        <v>1149</v>
      </c>
      <c r="B384" s="13" t="s">
        <v>1150</v>
      </c>
      <c r="C384" s="13" t="s">
        <v>28</v>
      </c>
      <c r="D384" s="13" t="s">
        <v>28</v>
      </c>
      <c r="E384" s="14">
        <v>79.0</v>
      </c>
      <c r="F384" s="13" t="s">
        <v>584</v>
      </c>
      <c r="G384" s="13" t="s">
        <v>1151</v>
      </c>
      <c r="H384" s="14">
        <v>-1.0</v>
      </c>
      <c r="I384" s="14">
        <v>-1.0</v>
      </c>
      <c r="J384" s="14">
        <v>-1.0</v>
      </c>
      <c r="K384" s="13" t="s">
        <v>1152</v>
      </c>
      <c r="L384" s="15"/>
      <c r="M384" s="15"/>
      <c r="N384" s="15"/>
      <c r="O384" s="15"/>
      <c r="P384" s="15"/>
      <c r="Q384" s="15"/>
      <c r="R384" s="15"/>
      <c r="S384" s="15"/>
      <c r="T384" s="15"/>
      <c r="U384" s="15"/>
      <c r="V384" s="15"/>
      <c r="W384" s="15"/>
      <c r="X384" s="15"/>
      <c r="Y384" s="15"/>
      <c r="Z384" s="16"/>
    </row>
    <row r="385">
      <c r="A385" s="12" t="s">
        <v>1153</v>
      </c>
      <c r="B385" s="13" t="s">
        <v>1154</v>
      </c>
      <c r="C385" s="13" t="s">
        <v>28</v>
      </c>
      <c r="D385" s="13" t="s">
        <v>28</v>
      </c>
      <c r="E385" s="14">
        <v>100.0</v>
      </c>
      <c r="F385" s="13" t="s">
        <v>584</v>
      </c>
      <c r="G385" s="13" t="s">
        <v>1151</v>
      </c>
      <c r="H385" s="14">
        <v>-1.0</v>
      </c>
      <c r="I385" s="14">
        <v>-1.0</v>
      </c>
      <c r="J385" s="14">
        <v>-1.0</v>
      </c>
      <c r="K385" s="13" t="s">
        <v>1155</v>
      </c>
      <c r="L385" s="15"/>
      <c r="M385" s="15"/>
      <c r="N385" s="15"/>
      <c r="O385" s="15"/>
      <c r="P385" s="15"/>
      <c r="Q385" s="15"/>
      <c r="R385" s="15"/>
      <c r="S385" s="15"/>
      <c r="T385" s="15"/>
      <c r="U385" s="15"/>
      <c r="V385" s="15"/>
      <c r="W385" s="15"/>
      <c r="X385" s="15"/>
      <c r="Y385" s="15"/>
      <c r="Z385" s="16"/>
    </row>
    <row r="386">
      <c r="A386" s="12" t="s">
        <v>1156</v>
      </c>
      <c r="B386" s="13" t="s">
        <v>1157</v>
      </c>
      <c r="C386" s="13" t="s">
        <v>28</v>
      </c>
      <c r="D386" s="13" t="s">
        <v>28</v>
      </c>
      <c r="E386" s="14">
        <v>213.0</v>
      </c>
      <c r="F386" s="13" t="s">
        <v>537</v>
      </c>
      <c r="G386" s="13" t="s">
        <v>1158</v>
      </c>
      <c r="H386" s="14">
        <v>950.0</v>
      </c>
      <c r="I386" s="14">
        <v>1675.0</v>
      </c>
      <c r="J386" s="14">
        <v>1585.0</v>
      </c>
      <c r="K386" s="13" t="s">
        <v>1159</v>
      </c>
      <c r="L386" s="15"/>
      <c r="M386" s="15"/>
      <c r="N386" s="15"/>
      <c r="O386" s="15"/>
      <c r="P386" s="15"/>
      <c r="Q386" s="15"/>
      <c r="R386" s="15"/>
      <c r="S386" s="15"/>
      <c r="T386" s="15"/>
      <c r="U386" s="15"/>
      <c r="V386" s="15"/>
      <c r="W386" s="15"/>
      <c r="X386" s="15"/>
      <c r="Y386" s="15"/>
      <c r="Z386" s="16"/>
    </row>
    <row r="387">
      <c r="A387" s="12" t="s">
        <v>1160</v>
      </c>
      <c r="B387" s="13" t="s">
        <v>1161</v>
      </c>
      <c r="C387" s="13" t="s">
        <v>28</v>
      </c>
      <c r="D387" s="13" t="s">
        <v>28</v>
      </c>
      <c r="E387" s="14">
        <v>500.0</v>
      </c>
      <c r="F387" s="13" t="s">
        <v>584</v>
      </c>
      <c r="G387" s="13" t="s">
        <v>1068</v>
      </c>
      <c r="H387" s="14">
        <v>-1.0</v>
      </c>
      <c r="I387" s="14">
        <v>-1.0</v>
      </c>
      <c r="J387" s="14">
        <v>-1.0</v>
      </c>
      <c r="K387" s="13" t="s">
        <v>1162</v>
      </c>
      <c r="L387" s="15"/>
      <c r="M387" s="15"/>
      <c r="N387" s="15"/>
      <c r="O387" s="15"/>
      <c r="P387" s="15"/>
      <c r="Q387" s="15"/>
      <c r="R387" s="15"/>
      <c r="S387" s="15"/>
      <c r="T387" s="15"/>
      <c r="U387" s="15"/>
      <c r="V387" s="15"/>
      <c r="W387" s="15"/>
      <c r="X387" s="15"/>
      <c r="Y387" s="15"/>
      <c r="Z387" s="16"/>
    </row>
    <row r="388">
      <c r="A388" s="12" t="s">
        <v>1163</v>
      </c>
      <c r="B388" s="13" t="s">
        <v>1164</v>
      </c>
      <c r="C388" s="13" t="s">
        <v>28</v>
      </c>
      <c r="D388" s="13" t="s">
        <v>28</v>
      </c>
      <c r="E388" s="14">
        <v>500.0</v>
      </c>
      <c r="F388" s="13" t="s">
        <v>584</v>
      </c>
      <c r="G388" s="13" t="s">
        <v>1068</v>
      </c>
      <c r="H388" s="14">
        <v>950.0</v>
      </c>
      <c r="I388" s="14">
        <v>-1.0</v>
      </c>
      <c r="J388" s="14">
        <v>-1.0</v>
      </c>
      <c r="K388" s="13" t="s">
        <v>1165</v>
      </c>
      <c r="L388" s="15"/>
      <c r="M388" s="15"/>
      <c r="N388" s="15"/>
      <c r="O388" s="15"/>
      <c r="P388" s="15"/>
      <c r="Q388" s="15"/>
      <c r="R388" s="15"/>
      <c r="S388" s="15"/>
      <c r="T388" s="15"/>
      <c r="U388" s="15"/>
      <c r="V388" s="15"/>
      <c r="W388" s="15"/>
      <c r="X388" s="15"/>
      <c r="Y388" s="15"/>
      <c r="Z388" s="16"/>
    </row>
    <row r="389">
      <c r="A389" s="12" t="s">
        <v>1166</v>
      </c>
      <c r="B389" s="13" t="s">
        <v>1167</v>
      </c>
      <c r="C389" s="13" t="s">
        <v>28</v>
      </c>
      <c r="D389" s="13" t="s">
        <v>28</v>
      </c>
      <c r="E389" s="14">
        <v>499.0</v>
      </c>
      <c r="F389" s="13" t="s">
        <v>584</v>
      </c>
      <c r="G389" s="13" t="s">
        <v>1068</v>
      </c>
      <c r="H389" s="14">
        <v>-1.0</v>
      </c>
      <c r="I389" s="14">
        <v>-1.0</v>
      </c>
      <c r="J389" s="14">
        <v>-1.0</v>
      </c>
      <c r="K389" s="13" t="s">
        <v>1168</v>
      </c>
      <c r="L389" s="15"/>
      <c r="M389" s="15"/>
      <c r="N389" s="15"/>
      <c r="O389" s="15"/>
      <c r="P389" s="15"/>
      <c r="Q389" s="15"/>
      <c r="R389" s="15"/>
      <c r="S389" s="15"/>
      <c r="T389" s="15"/>
      <c r="U389" s="15"/>
      <c r="V389" s="15"/>
      <c r="W389" s="15"/>
      <c r="X389" s="15"/>
      <c r="Y389" s="15"/>
      <c r="Z389" s="16"/>
    </row>
    <row r="390">
      <c r="A390" s="12" t="s">
        <v>1169</v>
      </c>
      <c r="B390" s="13" t="s">
        <v>1170</v>
      </c>
      <c r="C390" s="13" t="s">
        <v>28</v>
      </c>
      <c r="D390" s="13" t="s">
        <v>28</v>
      </c>
      <c r="E390" s="14">
        <v>500.0</v>
      </c>
      <c r="F390" s="13" t="s">
        <v>584</v>
      </c>
      <c r="G390" s="13" t="s">
        <v>1171</v>
      </c>
      <c r="H390" s="14">
        <v>950.0</v>
      </c>
      <c r="I390" s="14">
        <v>-1.0</v>
      </c>
      <c r="J390" s="14">
        <v>-1.0</v>
      </c>
      <c r="K390" s="13" t="s">
        <v>1172</v>
      </c>
      <c r="L390" s="15"/>
      <c r="M390" s="15"/>
      <c r="N390" s="15"/>
      <c r="O390" s="15"/>
      <c r="P390" s="15"/>
      <c r="Q390" s="15"/>
      <c r="R390" s="15"/>
      <c r="S390" s="15"/>
      <c r="T390" s="15"/>
      <c r="U390" s="15"/>
      <c r="V390" s="15"/>
      <c r="W390" s="15"/>
      <c r="X390" s="15"/>
      <c r="Y390" s="15"/>
      <c r="Z390" s="16"/>
    </row>
    <row r="391">
      <c r="A391" s="12" t="s">
        <v>1173</v>
      </c>
      <c r="B391" s="13" t="s">
        <v>1174</v>
      </c>
      <c r="C391" s="13" t="s">
        <v>28</v>
      </c>
      <c r="D391" s="13" t="s">
        <v>28</v>
      </c>
      <c r="E391" s="14">
        <v>500.0</v>
      </c>
      <c r="F391" s="13" t="s">
        <v>584</v>
      </c>
      <c r="G391" s="13" t="s">
        <v>1171</v>
      </c>
      <c r="H391" s="14">
        <v>950.0</v>
      </c>
      <c r="I391" s="14">
        <v>-1.0</v>
      </c>
      <c r="J391" s="14">
        <v>-1.0</v>
      </c>
      <c r="K391" s="13" t="s">
        <v>1175</v>
      </c>
      <c r="L391" s="15"/>
      <c r="M391" s="15"/>
      <c r="N391" s="15"/>
      <c r="O391" s="15"/>
      <c r="P391" s="15"/>
      <c r="Q391" s="15"/>
      <c r="R391" s="15"/>
      <c r="S391" s="15"/>
      <c r="T391" s="15"/>
      <c r="U391" s="15"/>
      <c r="V391" s="15"/>
      <c r="W391" s="15"/>
      <c r="X391" s="15"/>
      <c r="Y391" s="15"/>
      <c r="Z391" s="16"/>
    </row>
    <row r="392">
      <c r="A392" s="12" t="s">
        <v>1176</v>
      </c>
      <c r="B392" s="13" t="s">
        <v>1177</v>
      </c>
      <c r="C392" s="13" t="s">
        <v>28</v>
      </c>
      <c r="D392" s="13" t="s">
        <v>28</v>
      </c>
      <c r="E392" s="14">
        <v>500.0</v>
      </c>
      <c r="F392" s="13" t="s">
        <v>584</v>
      </c>
      <c r="G392" s="13" t="s">
        <v>1171</v>
      </c>
      <c r="H392" s="14">
        <v>-1.0</v>
      </c>
      <c r="I392" s="14">
        <v>-1.0</v>
      </c>
      <c r="J392" s="14">
        <v>-1.0</v>
      </c>
      <c r="K392" s="13" t="s">
        <v>1178</v>
      </c>
      <c r="L392" s="15"/>
      <c r="M392" s="15"/>
      <c r="N392" s="15"/>
      <c r="O392" s="15"/>
      <c r="P392" s="15"/>
      <c r="Q392" s="15"/>
      <c r="R392" s="15"/>
      <c r="S392" s="15"/>
      <c r="T392" s="15"/>
      <c r="U392" s="15"/>
      <c r="V392" s="15"/>
      <c r="W392" s="15"/>
      <c r="X392" s="15"/>
      <c r="Y392" s="15"/>
      <c r="Z392" s="16"/>
    </row>
    <row r="393">
      <c r="A393" s="12" t="s">
        <v>1179</v>
      </c>
      <c r="B393" s="13" t="s">
        <v>1180</v>
      </c>
      <c r="C393" s="13" t="s">
        <v>28</v>
      </c>
      <c r="D393" s="13" t="s">
        <v>28</v>
      </c>
      <c r="E393" s="14">
        <v>500.0</v>
      </c>
      <c r="F393" s="13" t="s">
        <v>584</v>
      </c>
      <c r="G393" s="13" t="s">
        <v>1171</v>
      </c>
      <c r="H393" s="14">
        <v>-1.0</v>
      </c>
      <c r="I393" s="14">
        <v>-1.0</v>
      </c>
      <c r="J393" s="14">
        <v>-1.0</v>
      </c>
      <c r="K393" s="13" t="s">
        <v>1181</v>
      </c>
      <c r="L393" s="15"/>
      <c r="M393" s="15"/>
      <c r="N393" s="15"/>
      <c r="O393" s="15"/>
      <c r="P393" s="15"/>
      <c r="Q393" s="15"/>
      <c r="R393" s="15"/>
      <c r="S393" s="15"/>
      <c r="T393" s="15"/>
      <c r="U393" s="15"/>
      <c r="V393" s="15"/>
      <c r="W393" s="15"/>
      <c r="X393" s="15"/>
      <c r="Y393" s="15"/>
      <c r="Z393" s="16"/>
    </row>
    <row r="394">
      <c r="A394" s="12" t="s">
        <v>1182</v>
      </c>
      <c r="B394" s="13" t="s">
        <v>1183</v>
      </c>
      <c r="C394" s="13" t="s">
        <v>28</v>
      </c>
      <c r="D394" s="13" t="s">
        <v>28</v>
      </c>
      <c r="E394" s="14">
        <v>500.0</v>
      </c>
      <c r="F394" s="13" t="s">
        <v>584</v>
      </c>
      <c r="G394" s="13" t="s">
        <v>1171</v>
      </c>
      <c r="H394" s="14">
        <v>-1.0</v>
      </c>
      <c r="I394" s="14">
        <v>-1.0</v>
      </c>
      <c r="J394" s="14">
        <v>-1.0</v>
      </c>
      <c r="K394" s="13" t="s">
        <v>1184</v>
      </c>
      <c r="L394" s="15"/>
      <c r="M394" s="15"/>
      <c r="N394" s="15"/>
      <c r="O394" s="15"/>
      <c r="P394" s="15"/>
      <c r="Q394" s="15"/>
      <c r="R394" s="15"/>
      <c r="S394" s="15"/>
      <c r="T394" s="15"/>
      <c r="U394" s="15"/>
      <c r="V394" s="15"/>
      <c r="W394" s="15"/>
      <c r="X394" s="15"/>
      <c r="Y394" s="15"/>
      <c r="Z394" s="16"/>
    </row>
    <row r="395">
      <c r="A395" s="12" t="s">
        <v>1185</v>
      </c>
      <c r="B395" s="13" t="s">
        <v>1186</v>
      </c>
      <c r="C395" s="13" t="s">
        <v>28</v>
      </c>
      <c r="D395" s="13" t="s">
        <v>28</v>
      </c>
      <c r="E395" s="14">
        <v>500.0</v>
      </c>
      <c r="F395" s="13" t="s">
        <v>584</v>
      </c>
      <c r="G395" s="13" t="s">
        <v>1171</v>
      </c>
      <c r="H395" s="14">
        <v>-1.0</v>
      </c>
      <c r="I395" s="14">
        <v>-1.0</v>
      </c>
      <c r="J395" s="14">
        <v>-1.0</v>
      </c>
      <c r="K395" s="13" t="s">
        <v>1187</v>
      </c>
      <c r="L395" s="15"/>
      <c r="M395" s="15"/>
      <c r="N395" s="15"/>
      <c r="O395" s="15"/>
      <c r="P395" s="15"/>
      <c r="Q395" s="15"/>
      <c r="R395" s="15"/>
      <c r="S395" s="15"/>
      <c r="T395" s="15"/>
      <c r="U395" s="15"/>
      <c r="V395" s="15"/>
      <c r="W395" s="15"/>
      <c r="X395" s="15"/>
      <c r="Y395" s="15"/>
      <c r="Z395" s="16"/>
    </row>
    <row r="396">
      <c r="A396" s="12" t="s">
        <v>1188</v>
      </c>
      <c r="B396" s="13" t="s">
        <v>1189</v>
      </c>
      <c r="C396" s="13" t="s">
        <v>28</v>
      </c>
      <c r="D396" s="13" t="s">
        <v>28</v>
      </c>
      <c r="E396" s="14">
        <v>500.0</v>
      </c>
      <c r="F396" s="13" t="s">
        <v>584</v>
      </c>
      <c r="G396" s="13" t="s">
        <v>1171</v>
      </c>
      <c r="H396" s="14">
        <v>-1.0</v>
      </c>
      <c r="I396" s="14">
        <v>-1.0</v>
      </c>
      <c r="J396" s="14">
        <v>-1.0</v>
      </c>
      <c r="K396" s="13" t="s">
        <v>1190</v>
      </c>
      <c r="L396" s="15"/>
      <c r="M396" s="15"/>
      <c r="N396" s="15"/>
      <c r="O396" s="15"/>
      <c r="P396" s="15"/>
      <c r="Q396" s="15"/>
      <c r="R396" s="15"/>
      <c r="S396" s="15"/>
      <c r="T396" s="15"/>
      <c r="U396" s="15"/>
      <c r="V396" s="15"/>
      <c r="W396" s="15"/>
      <c r="X396" s="15"/>
      <c r="Y396" s="15"/>
      <c r="Z396" s="16"/>
    </row>
    <row r="397">
      <c r="A397" s="12" t="s">
        <v>1191</v>
      </c>
      <c r="B397" s="13" t="s">
        <v>1192</v>
      </c>
      <c r="C397" s="13" t="s">
        <v>28</v>
      </c>
      <c r="D397" s="13" t="s">
        <v>28</v>
      </c>
      <c r="E397" s="14">
        <v>499.0</v>
      </c>
      <c r="F397" s="13" t="s">
        <v>584</v>
      </c>
      <c r="G397" s="13" t="s">
        <v>1171</v>
      </c>
      <c r="H397" s="14">
        <v>-1.0</v>
      </c>
      <c r="I397" s="14">
        <v>-1.0</v>
      </c>
      <c r="J397" s="14">
        <v>-1.0</v>
      </c>
      <c r="K397" s="13" t="s">
        <v>1193</v>
      </c>
      <c r="L397" s="15"/>
      <c r="M397" s="15"/>
      <c r="N397" s="15"/>
      <c r="O397" s="15"/>
      <c r="P397" s="15"/>
      <c r="Q397" s="15"/>
      <c r="R397" s="15"/>
      <c r="S397" s="15"/>
      <c r="T397" s="15"/>
      <c r="U397" s="15"/>
      <c r="V397" s="15"/>
      <c r="W397" s="15"/>
      <c r="X397" s="15"/>
      <c r="Y397" s="15"/>
      <c r="Z397" s="16"/>
    </row>
    <row r="398">
      <c r="A398" s="12" t="s">
        <v>1015</v>
      </c>
      <c r="B398" s="13" t="s">
        <v>1016</v>
      </c>
      <c r="C398" s="13" t="s">
        <v>28</v>
      </c>
      <c r="D398" s="13" t="s">
        <v>28</v>
      </c>
      <c r="E398" s="14">
        <v>199.0</v>
      </c>
      <c r="F398" s="13" t="s">
        <v>584</v>
      </c>
      <c r="G398" s="13" t="s">
        <v>1171</v>
      </c>
      <c r="H398" s="14">
        <v>-1.0</v>
      </c>
      <c r="I398" s="14">
        <v>-1.0</v>
      </c>
      <c r="J398" s="14">
        <v>-1.0</v>
      </c>
      <c r="K398" s="17">
        <v>45390.388078703705</v>
      </c>
      <c r="L398" s="15"/>
      <c r="M398" s="15"/>
      <c r="N398" s="15"/>
      <c r="O398" s="15"/>
      <c r="P398" s="15"/>
      <c r="Q398" s="15"/>
      <c r="R398" s="15"/>
      <c r="S398" s="15"/>
      <c r="T398" s="15"/>
      <c r="U398" s="15"/>
      <c r="V398" s="15"/>
      <c r="W398" s="15"/>
      <c r="X398" s="15"/>
      <c r="Y398" s="15"/>
      <c r="Z398" s="16"/>
    </row>
    <row r="399">
      <c r="A399" s="12" t="s">
        <v>1194</v>
      </c>
      <c r="B399" s="13" t="s">
        <v>1195</v>
      </c>
      <c r="C399" s="13" t="s">
        <v>28</v>
      </c>
      <c r="D399" s="13" t="s">
        <v>28</v>
      </c>
      <c r="E399" s="14">
        <v>200.0</v>
      </c>
      <c r="F399" s="13" t="s">
        <v>584</v>
      </c>
      <c r="G399" s="13" t="s">
        <v>1171</v>
      </c>
      <c r="H399" s="14">
        <v>950.0</v>
      </c>
      <c r="I399" s="14">
        <v>-1.0</v>
      </c>
      <c r="J399" s="14">
        <v>-1.0</v>
      </c>
      <c r="K399" s="17">
        <v>45390.38811342593</v>
      </c>
      <c r="L399" s="15"/>
      <c r="M399" s="15"/>
      <c r="N399" s="15"/>
      <c r="O399" s="15"/>
      <c r="P399" s="15"/>
      <c r="Q399" s="15"/>
      <c r="R399" s="15"/>
      <c r="S399" s="15"/>
      <c r="T399" s="15"/>
      <c r="U399" s="15"/>
      <c r="V399" s="15"/>
      <c r="W399" s="15"/>
      <c r="X399" s="15"/>
      <c r="Y399" s="15"/>
      <c r="Z399" s="16"/>
    </row>
    <row r="400">
      <c r="A400" s="12" t="s">
        <v>1196</v>
      </c>
      <c r="B400" s="13" t="s">
        <v>1197</v>
      </c>
      <c r="C400" s="13" t="s">
        <v>28</v>
      </c>
      <c r="D400" s="13" t="s">
        <v>28</v>
      </c>
      <c r="E400" s="14">
        <v>200.0</v>
      </c>
      <c r="F400" s="13" t="s">
        <v>584</v>
      </c>
      <c r="G400" s="13" t="s">
        <v>1171</v>
      </c>
      <c r="H400" s="14">
        <v>-1.0</v>
      </c>
      <c r="I400" s="14">
        <v>-1.0</v>
      </c>
      <c r="J400" s="14">
        <v>-1.0</v>
      </c>
      <c r="K400" s="17">
        <v>45390.38814814815</v>
      </c>
      <c r="L400" s="15"/>
      <c r="M400" s="15"/>
      <c r="N400" s="15"/>
      <c r="O400" s="15"/>
      <c r="P400" s="15"/>
      <c r="Q400" s="15"/>
      <c r="R400" s="15"/>
      <c r="S400" s="15"/>
      <c r="T400" s="15"/>
      <c r="U400" s="15"/>
      <c r="V400" s="15"/>
      <c r="W400" s="15"/>
      <c r="X400" s="15"/>
      <c r="Y400" s="15"/>
      <c r="Z400" s="16"/>
    </row>
    <row r="401">
      <c r="A401" s="12" t="s">
        <v>1198</v>
      </c>
      <c r="B401" s="13" t="s">
        <v>1199</v>
      </c>
      <c r="C401" s="13" t="s">
        <v>28</v>
      </c>
      <c r="D401" s="13" t="s">
        <v>28</v>
      </c>
      <c r="E401" s="14">
        <v>200.0</v>
      </c>
      <c r="F401" s="13" t="s">
        <v>584</v>
      </c>
      <c r="G401" s="13" t="s">
        <v>1171</v>
      </c>
      <c r="H401" s="14">
        <v>-1.0</v>
      </c>
      <c r="I401" s="14">
        <v>-1.0</v>
      </c>
      <c r="J401" s="14">
        <v>-1.0</v>
      </c>
      <c r="K401" s="17">
        <v>45390.388194444444</v>
      </c>
      <c r="L401" s="15"/>
      <c r="M401" s="15"/>
      <c r="N401" s="15"/>
      <c r="O401" s="15"/>
      <c r="P401" s="15"/>
      <c r="Q401" s="15"/>
      <c r="R401" s="15"/>
      <c r="S401" s="15"/>
      <c r="T401" s="15"/>
      <c r="U401" s="15"/>
      <c r="V401" s="15"/>
      <c r="W401" s="15"/>
      <c r="X401" s="15"/>
      <c r="Y401" s="15"/>
      <c r="Z401" s="16"/>
    </row>
    <row r="402">
      <c r="A402" s="12" t="s">
        <v>1200</v>
      </c>
      <c r="B402" s="13" t="s">
        <v>1201</v>
      </c>
      <c r="C402" s="13" t="s">
        <v>28</v>
      </c>
      <c r="D402" s="13" t="s">
        <v>28</v>
      </c>
      <c r="E402" s="14">
        <v>200.0</v>
      </c>
      <c r="F402" s="13" t="s">
        <v>584</v>
      </c>
      <c r="G402" s="13" t="s">
        <v>1171</v>
      </c>
      <c r="H402" s="14">
        <v>-1.0</v>
      </c>
      <c r="I402" s="14">
        <v>-1.0</v>
      </c>
      <c r="J402" s="14">
        <v>-1.0</v>
      </c>
      <c r="K402" s="17">
        <v>45390.38822916667</v>
      </c>
      <c r="L402" s="15"/>
      <c r="M402" s="15"/>
      <c r="N402" s="15"/>
      <c r="O402" s="15"/>
      <c r="P402" s="15"/>
      <c r="Q402" s="15"/>
      <c r="R402" s="15"/>
      <c r="S402" s="15"/>
      <c r="T402" s="15"/>
      <c r="U402" s="15"/>
      <c r="V402" s="15"/>
      <c r="W402" s="15"/>
      <c r="X402" s="15"/>
      <c r="Y402" s="15"/>
      <c r="Z402" s="16"/>
    </row>
    <row r="403">
      <c r="A403" s="12" t="s">
        <v>1202</v>
      </c>
      <c r="B403" s="13" t="s">
        <v>1203</v>
      </c>
      <c r="C403" s="13" t="s">
        <v>28</v>
      </c>
      <c r="D403" s="13" t="s">
        <v>28</v>
      </c>
      <c r="E403" s="14">
        <v>200.0</v>
      </c>
      <c r="F403" s="13" t="s">
        <v>584</v>
      </c>
      <c r="G403" s="13" t="s">
        <v>1171</v>
      </c>
      <c r="H403" s="14">
        <v>-1.0</v>
      </c>
      <c r="I403" s="14">
        <v>-1.0</v>
      </c>
      <c r="J403" s="14">
        <v>-1.0</v>
      </c>
      <c r="K403" s="17">
        <v>45390.38826388889</v>
      </c>
      <c r="L403" s="15"/>
      <c r="M403" s="15"/>
      <c r="N403" s="15"/>
      <c r="O403" s="15"/>
      <c r="P403" s="15"/>
      <c r="Q403" s="15"/>
      <c r="R403" s="15"/>
      <c r="S403" s="15"/>
      <c r="T403" s="15"/>
      <c r="U403" s="15"/>
      <c r="V403" s="15"/>
      <c r="W403" s="15"/>
      <c r="X403" s="15"/>
      <c r="Y403" s="15"/>
      <c r="Z403" s="16"/>
    </row>
    <row r="404">
      <c r="A404" s="12" t="s">
        <v>1204</v>
      </c>
      <c r="B404" s="13" t="s">
        <v>1205</v>
      </c>
      <c r="C404" s="13" t="s">
        <v>28</v>
      </c>
      <c r="D404" s="13" t="s">
        <v>28</v>
      </c>
      <c r="E404" s="14">
        <v>200.0</v>
      </c>
      <c r="F404" s="13" t="s">
        <v>584</v>
      </c>
      <c r="G404" s="13" t="s">
        <v>1171</v>
      </c>
      <c r="H404" s="14">
        <v>-1.0</v>
      </c>
      <c r="I404" s="14">
        <v>-1.0</v>
      </c>
      <c r="J404" s="14">
        <v>-1.0</v>
      </c>
      <c r="K404" s="17">
        <v>45390.38829861111</v>
      </c>
      <c r="L404" s="15"/>
      <c r="M404" s="15"/>
      <c r="N404" s="15"/>
      <c r="O404" s="15"/>
      <c r="P404" s="15"/>
      <c r="Q404" s="15"/>
      <c r="R404" s="15"/>
      <c r="S404" s="15"/>
      <c r="T404" s="15"/>
      <c r="U404" s="15"/>
      <c r="V404" s="15"/>
      <c r="W404" s="15"/>
      <c r="X404" s="15"/>
      <c r="Y404" s="15"/>
      <c r="Z404" s="16"/>
    </row>
    <row r="405">
      <c r="A405" s="12" t="s">
        <v>1206</v>
      </c>
      <c r="B405" s="13" t="s">
        <v>1207</v>
      </c>
      <c r="C405" s="13" t="s">
        <v>28</v>
      </c>
      <c r="D405" s="13" t="s">
        <v>28</v>
      </c>
      <c r="E405" s="14">
        <v>200.0</v>
      </c>
      <c r="F405" s="13" t="s">
        <v>584</v>
      </c>
      <c r="G405" s="13" t="s">
        <v>1171</v>
      </c>
      <c r="H405" s="14">
        <v>-1.0</v>
      </c>
      <c r="I405" s="14">
        <v>-1.0</v>
      </c>
      <c r="J405" s="14">
        <v>-1.0</v>
      </c>
      <c r="K405" s="17">
        <v>45390.38832175926</v>
      </c>
      <c r="L405" s="15"/>
      <c r="M405" s="15"/>
      <c r="N405" s="15"/>
      <c r="O405" s="15"/>
      <c r="P405" s="15"/>
      <c r="Q405" s="15"/>
      <c r="R405" s="15"/>
      <c r="S405" s="15"/>
      <c r="T405" s="15"/>
      <c r="U405" s="15"/>
      <c r="V405" s="15"/>
      <c r="W405" s="15"/>
      <c r="X405" s="15"/>
      <c r="Y405" s="15"/>
      <c r="Z405" s="16"/>
    </row>
    <row r="406">
      <c r="A406" s="12" t="s">
        <v>1208</v>
      </c>
      <c r="B406" s="13" t="s">
        <v>1209</v>
      </c>
      <c r="C406" s="13" t="s">
        <v>28</v>
      </c>
      <c r="D406" s="13" t="s">
        <v>28</v>
      </c>
      <c r="E406" s="14">
        <v>200.0</v>
      </c>
      <c r="F406" s="13" t="s">
        <v>584</v>
      </c>
      <c r="G406" s="13" t="s">
        <v>1171</v>
      </c>
      <c r="H406" s="14">
        <v>-1.0</v>
      </c>
      <c r="I406" s="14">
        <v>-1.0</v>
      </c>
      <c r="J406" s="14">
        <v>-1.0</v>
      </c>
      <c r="K406" s="17">
        <v>45390.388344907406</v>
      </c>
      <c r="L406" s="15"/>
      <c r="M406" s="15"/>
      <c r="N406" s="15"/>
      <c r="O406" s="15"/>
      <c r="P406" s="15"/>
      <c r="Q406" s="15"/>
      <c r="R406" s="15"/>
      <c r="S406" s="15"/>
      <c r="T406" s="15"/>
      <c r="U406" s="15"/>
      <c r="V406" s="15"/>
      <c r="W406" s="15"/>
      <c r="X406" s="15"/>
      <c r="Y406" s="15"/>
      <c r="Z406" s="16"/>
    </row>
    <row r="407">
      <c r="A407" s="12" t="s">
        <v>1210</v>
      </c>
      <c r="B407" s="13" t="s">
        <v>1211</v>
      </c>
      <c r="C407" s="13" t="s">
        <v>28</v>
      </c>
      <c r="D407" s="13" t="s">
        <v>28</v>
      </c>
      <c r="E407" s="14">
        <v>199.0</v>
      </c>
      <c r="F407" s="13" t="s">
        <v>584</v>
      </c>
      <c r="G407" s="13" t="s">
        <v>1171</v>
      </c>
      <c r="H407" s="14">
        <v>-1.0</v>
      </c>
      <c r="I407" s="14">
        <v>-1.0</v>
      </c>
      <c r="J407" s="14">
        <v>-1.0</v>
      </c>
      <c r="K407" s="17">
        <v>45390.38837962963</v>
      </c>
      <c r="L407" s="15"/>
      <c r="M407" s="15"/>
      <c r="N407" s="15"/>
      <c r="O407" s="15"/>
      <c r="P407" s="15"/>
      <c r="Q407" s="15"/>
      <c r="R407" s="15"/>
      <c r="S407" s="15"/>
      <c r="T407" s="15"/>
      <c r="U407" s="15"/>
      <c r="V407" s="15"/>
      <c r="W407" s="15"/>
      <c r="X407" s="15"/>
      <c r="Y407" s="15"/>
      <c r="Z407" s="16"/>
    </row>
    <row r="408">
      <c r="A408" s="12" t="s">
        <v>1212</v>
      </c>
      <c r="B408" s="13" t="s">
        <v>1213</v>
      </c>
      <c r="C408" s="13" t="s">
        <v>28</v>
      </c>
      <c r="D408" s="13" t="s">
        <v>28</v>
      </c>
      <c r="E408" s="14">
        <v>148.0</v>
      </c>
      <c r="F408" s="13" t="s">
        <v>584</v>
      </c>
      <c r="G408" s="13" t="s">
        <v>1214</v>
      </c>
      <c r="H408" s="14">
        <v>950.0</v>
      </c>
      <c r="I408" s="14">
        <v>1675.0</v>
      </c>
      <c r="J408" s="14">
        <v>1585.0</v>
      </c>
      <c r="K408" s="17">
        <v>45390.38847222222</v>
      </c>
      <c r="L408" s="15"/>
      <c r="M408" s="15"/>
      <c r="N408" s="15"/>
      <c r="O408" s="15"/>
      <c r="P408" s="15"/>
      <c r="Q408" s="15"/>
      <c r="R408" s="15"/>
      <c r="S408" s="15"/>
      <c r="T408" s="15"/>
      <c r="U408" s="15"/>
      <c r="V408" s="15"/>
      <c r="W408" s="15"/>
      <c r="X408" s="15"/>
      <c r="Y408" s="15"/>
      <c r="Z408" s="16"/>
    </row>
    <row r="409">
      <c r="A409" s="12" t="s">
        <v>1215</v>
      </c>
      <c r="B409" s="13" t="s">
        <v>1216</v>
      </c>
      <c r="C409" s="13" t="s">
        <v>28</v>
      </c>
      <c r="D409" s="13" t="s">
        <v>28</v>
      </c>
      <c r="E409" s="14">
        <v>513.0</v>
      </c>
      <c r="F409" s="13" t="s">
        <v>584</v>
      </c>
      <c r="G409" s="13" t="s">
        <v>1217</v>
      </c>
      <c r="H409" s="14">
        <v>950.0</v>
      </c>
      <c r="I409" s="14">
        <v>1675.0</v>
      </c>
      <c r="J409" s="14">
        <v>1585.0</v>
      </c>
      <c r="K409" s="17">
        <v>45390.38853009259</v>
      </c>
      <c r="L409" s="15"/>
      <c r="M409" s="15"/>
      <c r="N409" s="15"/>
      <c r="O409" s="15"/>
      <c r="P409" s="15"/>
      <c r="Q409" s="15"/>
      <c r="R409" s="15"/>
      <c r="S409" s="15"/>
      <c r="T409" s="15"/>
      <c r="U409" s="15"/>
      <c r="V409" s="15"/>
      <c r="W409" s="15"/>
      <c r="X409" s="15"/>
      <c r="Y409" s="15"/>
      <c r="Z409" s="16"/>
    </row>
    <row r="410">
      <c r="A410" s="12" t="s">
        <v>1218</v>
      </c>
      <c r="B410" s="13" t="s">
        <v>1219</v>
      </c>
      <c r="C410" s="13" t="s">
        <v>28</v>
      </c>
      <c r="D410" s="13" t="s">
        <v>28</v>
      </c>
      <c r="E410" s="14">
        <v>143.0</v>
      </c>
      <c r="F410" s="13" t="s">
        <v>584</v>
      </c>
      <c r="G410" s="13" t="s">
        <v>1220</v>
      </c>
      <c r="H410" s="14">
        <v>950.0</v>
      </c>
      <c r="I410" s="14">
        <v>1675.0</v>
      </c>
      <c r="J410" s="14">
        <v>1585.0</v>
      </c>
      <c r="K410" s="17">
        <v>45390.38858796297</v>
      </c>
      <c r="L410" s="15"/>
      <c r="M410" s="15"/>
      <c r="N410" s="15"/>
      <c r="O410" s="15"/>
      <c r="P410" s="15"/>
      <c r="Q410" s="15"/>
      <c r="R410" s="15"/>
      <c r="S410" s="15"/>
      <c r="T410" s="15"/>
      <c r="U410" s="15"/>
      <c r="V410" s="15"/>
      <c r="W410" s="15"/>
      <c r="X410" s="15"/>
      <c r="Y410" s="15"/>
      <c r="Z410" s="16"/>
    </row>
    <row r="411">
      <c r="A411" s="12" t="s">
        <v>1221</v>
      </c>
      <c r="B411" s="13" t="s">
        <v>1222</v>
      </c>
      <c r="C411" s="13" t="s">
        <v>28</v>
      </c>
      <c r="D411" s="13" t="s">
        <v>28</v>
      </c>
      <c r="E411" s="14">
        <v>500.0</v>
      </c>
      <c r="F411" s="13" t="s">
        <v>584</v>
      </c>
      <c r="G411" s="13" t="s">
        <v>1223</v>
      </c>
      <c r="H411" s="14">
        <v>950.0</v>
      </c>
      <c r="I411" s="14">
        <v>-1.0</v>
      </c>
      <c r="J411" s="14">
        <v>-1.0</v>
      </c>
      <c r="K411" s="17">
        <v>45390.63319444444</v>
      </c>
      <c r="L411" s="15"/>
      <c r="M411" s="15"/>
      <c r="N411" s="15"/>
      <c r="O411" s="15"/>
      <c r="P411" s="15"/>
      <c r="Q411" s="15"/>
      <c r="R411" s="15"/>
      <c r="S411" s="15"/>
      <c r="T411" s="15"/>
      <c r="U411" s="15"/>
      <c r="V411" s="15"/>
      <c r="W411" s="15"/>
      <c r="X411" s="15"/>
      <c r="Y411" s="15"/>
      <c r="Z411" s="16"/>
    </row>
    <row r="412">
      <c r="A412" s="12" t="s">
        <v>1224</v>
      </c>
      <c r="B412" s="13" t="s">
        <v>1225</v>
      </c>
      <c r="C412" s="13" t="s">
        <v>28</v>
      </c>
      <c r="D412" s="13" t="s">
        <v>28</v>
      </c>
      <c r="E412" s="14">
        <v>483.0</v>
      </c>
      <c r="F412" s="13" t="s">
        <v>584</v>
      </c>
      <c r="G412" s="13" t="s">
        <v>1226</v>
      </c>
      <c r="H412" s="14">
        <v>-1.0</v>
      </c>
      <c r="I412" s="14">
        <v>-1.0</v>
      </c>
      <c r="J412" s="14">
        <v>-1.0</v>
      </c>
      <c r="K412" s="17">
        <v>45390.63321759259</v>
      </c>
      <c r="L412" s="15"/>
      <c r="M412" s="15"/>
      <c r="N412" s="15"/>
      <c r="O412" s="15"/>
      <c r="P412" s="15"/>
      <c r="Q412" s="15"/>
      <c r="R412" s="15"/>
      <c r="S412" s="15"/>
      <c r="T412" s="15"/>
      <c r="U412" s="15"/>
      <c r="V412" s="15"/>
      <c r="W412" s="15"/>
      <c r="X412" s="15"/>
      <c r="Y412" s="15"/>
      <c r="Z412" s="16"/>
    </row>
    <row r="413">
      <c r="A413" s="12" t="s">
        <v>1227</v>
      </c>
      <c r="B413" s="13" t="s">
        <v>1228</v>
      </c>
      <c r="C413" s="13" t="s">
        <v>28</v>
      </c>
      <c r="D413" s="13" t="s">
        <v>28</v>
      </c>
      <c r="E413" s="14">
        <v>495.0</v>
      </c>
      <c r="F413" s="13" t="s">
        <v>584</v>
      </c>
      <c r="G413" s="13" t="s">
        <v>1226</v>
      </c>
      <c r="H413" s="14">
        <v>950.0</v>
      </c>
      <c r="I413" s="14">
        <v>-1.0</v>
      </c>
      <c r="J413" s="14">
        <v>-1.0</v>
      </c>
      <c r="K413" s="17">
        <v>45390.63322916666</v>
      </c>
      <c r="L413" s="15"/>
      <c r="M413" s="15"/>
      <c r="N413" s="15"/>
      <c r="O413" s="15"/>
      <c r="P413" s="15"/>
      <c r="Q413" s="15"/>
      <c r="R413" s="15"/>
      <c r="S413" s="15"/>
      <c r="T413" s="15"/>
      <c r="U413" s="15"/>
      <c r="V413" s="15"/>
      <c r="W413" s="15"/>
      <c r="X413" s="15"/>
      <c r="Y413" s="15"/>
      <c r="Z413" s="16"/>
    </row>
    <row r="414">
      <c r="A414" s="12" t="s">
        <v>1229</v>
      </c>
      <c r="B414" s="13" t="s">
        <v>1230</v>
      </c>
      <c r="C414" s="13" t="s">
        <v>28</v>
      </c>
      <c r="D414" s="13" t="s">
        <v>28</v>
      </c>
      <c r="E414" s="14">
        <v>498.0</v>
      </c>
      <c r="F414" s="13" t="s">
        <v>584</v>
      </c>
      <c r="G414" s="13" t="s">
        <v>1226</v>
      </c>
      <c r="H414" s="14">
        <v>-1.0</v>
      </c>
      <c r="I414" s="14">
        <v>-1.0</v>
      </c>
      <c r="J414" s="14">
        <v>-1.0</v>
      </c>
      <c r="K414" s="17">
        <v>45390.633252314816</v>
      </c>
      <c r="L414" s="15"/>
      <c r="M414" s="15"/>
      <c r="N414" s="15"/>
      <c r="O414" s="15"/>
      <c r="P414" s="15"/>
      <c r="Q414" s="15"/>
      <c r="R414" s="15"/>
      <c r="S414" s="15"/>
      <c r="T414" s="15"/>
      <c r="U414" s="15"/>
      <c r="V414" s="15"/>
      <c r="W414" s="15"/>
      <c r="X414" s="15"/>
      <c r="Y414" s="15"/>
      <c r="Z414" s="16"/>
    </row>
    <row r="415">
      <c r="A415" s="12" t="s">
        <v>1231</v>
      </c>
      <c r="B415" s="13" t="s">
        <v>1232</v>
      </c>
      <c r="C415" s="13" t="s">
        <v>28</v>
      </c>
      <c r="D415" s="13" t="s">
        <v>28</v>
      </c>
      <c r="E415" s="14">
        <v>500.0</v>
      </c>
      <c r="F415" s="13" t="s">
        <v>584</v>
      </c>
      <c r="G415" s="13" t="s">
        <v>1226</v>
      </c>
      <c r="H415" s="14">
        <v>-1.0</v>
      </c>
      <c r="I415" s="14">
        <v>-1.0</v>
      </c>
      <c r="J415" s="14">
        <v>-1.0</v>
      </c>
      <c r="K415" s="17">
        <v>45390.63327546296</v>
      </c>
      <c r="L415" s="15"/>
      <c r="M415" s="15"/>
      <c r="N415" s="15"/>
      <c r="O415" s="15"/>
      <c r="P415" s="15"/>
      <c r="Q415" s="15"/>
      <c r="R415" s="15"/>
      <c r="S415" s="15"/>
      <c r="T415" s="15"/>
      <c r="U415" s="15"/>
      <c r="V415" s="15"/>
      <c r="W415" s="15"/>
      <c r="X415" s="15"/>
      <c r="Y415" s="15"/>
      <c r="Z415" s="16"/>
    </row>
    <row r="416">
      <c r="A416" s="12" t="s">
        <v>1233</v>
      </c>
      <c r="B416" s="13" t="s">
        <v>1234</v>
      </c>
      <c r="C416" s="13" t="s">
        <v>28</v>
      </c>
      <c r="D416" s="13" t="s">
        <v>28</v>
      </c>
      <c r="E416" s="14">
        <v>500.0</v>
      </c>
      <c r="F416" s="13" t="s">
        <v>584</v>
      </c>
      <c r="G416" s="13" t="s">
        <v>1226</v>
      </c>
      <c r="H416" s="14">
        <v>950.0</v>
      </c>
      <c r="I416" s="14">
        <v>-1.0</v>
      </c>
      <c r="J416" s="14">
        <v>-1.0</v>
      </c>
      <c r="K416" s="17">
        <v>45390.63328703704</v>
      </c>
      <c r="L416" s="15"/>
      <c r="M416" s="15"/>
      <c r="N416" s="15"/>
      <c r="O416" s="15"/>
      <c r="P416" s="15"/>
      <c r="Q416" s="15"/>
      <c r="R416" s="15"/>
      <c r="S416" s="15"/>
      <c r="T416" s="15"/>
      <c r="U416" s="15"/>
      <c r="V416" s="15"/>
      <c r="W416" s="15"/>
      <c r="X416" s="15"/>
      <c r="Y416" s="15"/>
      <c r="Z416" s="16"/>
    </row>
    <row r="417">
      <c r="A417" s="12" t="s">
        <v>1235</v>
      </c>
      <c r="B417" s="13" t="s">
        <v>1236</v>
      </c>
      <c r="C417" s="13" t="s">
        <v>28</v>
      </c>
      <c r="D417" s="13" t="s">
        <v>28</v>
      </c>
      <c r="E417" s="14">
        <v>495.0</v>
      </c>
      <c r="F417" s="13" t="s">
        <v>584</v>
      </c>
      <c r="G417" s="13" t="s">
        <v>1226</v>
      </c>
      <c r="H417" s="14">
        <v>950.0</v>
      </c>
      <c r="I417" s="14">
        <v>-1.0</v>
      </c>
      <c r="J417" s="14">
        <v>-1.0</v>
      </c>
      <c r="K417" s="17">
        <v>45390.633310185185</v>
      </c>
      <c r="L417" s="15"/>
      <c r="M417" s="15"/>
      <c r="N417" s="15"/>
      <c r="O417" s="15"/>
      <c r="P417" s="15"/>
      <c r="Q417" s="15"/>
      <c r="R417" s="15"/>
      <c r="S417" s="15"/>
      <c r="T417" s="15"/>
      <c r="U417" s="15"/>
      <c r="V417" s="15"/>
      <c r="W417" s="15"/>
      <c r="X417" s="15"/>
      <c r="Y417" s="15"/>
      <c r="Z417" s="16"/>
    </row>
    <row r="418">
      <c r="A418" s="12" t="s">
        <v>1237</v>
      </c>
      <c r="B418" s="13" t="s">
        <v>1238</v>
      </c>
      <c r="C418" s="13" t="s">
        <v>28</v>
      </c>
      <c r="D418" s="13" t="s">
        <v>28</v>
      </c>
      <c r="E418" s="14">
        <v>491.0</v>
      </c>
      <c r="F418" s="13" t="s">
        <v>584</v>
      </c>
      <c r="G418" s="13" t="s">
        <v>1226</v>
      </c>
      <c r="H418" s="14">
        <v>950.0</v>
      </c>
      <c r="I418" s="14">
        <v>-1.0</v>
      </c>
      <c r="J418" s="14">
        <v>-1.0</v>
      </c>
      <c r="K418" s="17">
        <v>45390.63332175926</v>
      </c>
      <c r="L418" s="15"/>
      <c r="M418" s="15"/>
      <c r="N418" s="15"/>
      <c r="O418" s="15"/>
      <c r="P418" s="15"/>
      <c r="Q418" s="15"/>
      <c r="R418" s="15"/>
      <c r="S418" s="15"/>
      <c r="T418" s="15"/>
      <c r="U418" s="15"/>
      <c r="V418" s="15"/>
      <c r="W418" s="15"/>
      <c r="X418" s="15"/>
      <c r="Y418" s="15"/>
      <c r="Z418" s="16"/>
    </row>
    <row r="419">
      <c r="A419" s="12" t="s">
        <v>1239</v>
      </c>
      <c r="B419" s="13" t="s">
        <v>1240</v>
      </c>
      <c r="C419" s="13" t="s">
        <v>28</v>
      </c>
      <c r="D419" s="13" t="s">
        <v>28</v>
      </c>
      <c r="E419" s="14">
        <v>499.0</v>
      </c>
      <c r="F419" s="13" t="s">
        <v>584</v>
      </c>
      <c r="G419" s="13" t="s">
        <v>1226</v>
      </c>
      <c r="H419" s="14">
        <v>950.0</v>
      </c>
      <c r="I419" s="14">
        <v>-1.0</v>
      </c>
      <c r="J419" s="14">
        <v>-1.0</v>
      </c>
      <c r="K419" s="17">
        <v>45390.63334490741</v>
      </c>
      <c r="L419" s="15"/>
      <c r="M419" s="15"/>
      <c r="N419" s="15"/>
      <c r="O419" s="15"/>
      <c r="P419" s="15"/>
      <c r="Q419" s="15"/>
      <c r="R419" s="15"/>
      <c r="S419" s="15"/>
      <c r="T419" s="15"/>
      <c r="U419" s="15"/>
      <c r="V419" s="15"/>
      <c r="W419" s="15"/>
      <c r="X419" s="15"/>
      <c r="Y419" s="15"/>
      <c r="Z419" s="16"/>
    </row>
    <row r="420">
      <c r="A420" s="12" t="s">
        <v>1241</v>
      </c>
      <c r="B420" s="13" t="s">
        <v>1242</v>
      </c>
      <c r="C420" s="13" t="s">
        <v>28</v>
      </c>
      <c r="D420" s="13" t="s">
        <v>28</v>
      </c>
      <c r="E420" s="14">
        <v>498.0</v>
      </c>
      <c r="F420" s="13" t="s">
        <v>584</v>
      </c>
      <c r="G420" s="13" t="s">
        <v>1226</v>
      </c>
      <c r="H420" s="14">
        <v>-1.0</v>
      </c>
      <c r="I420" s="14">
        <v>-1.0</v>
      </c>
      <c r="J420" s="14">
        <v>-1.0</v>
      </c>
      <c r="K420" s="17">
        <v>45390.633356481485</v>
      </c>
      <c r="L420" s="15"/>
      <c r="M420" s="15"/>
      <c r="N420" s="15"/>
      <c r="O420" s="15"/>
      <c r="P420" s="15"/>
      <c r="Q420" s="15"/>
      <c r="R420" s="15"/>
      <c r="S420" s="15"/>
      <c r="T420" s="15"/>
      <c r="U420" s="15"/>
      <c r="V420" s="15"/>
      <c r="W420" s="15"/>
      <c r="X420" s="15"/>
      <c r="Y420" s="15"/>
      <c r="Z420" s="16"/>
    </row>
    <row r="421">
      <c r="A421" s="12" t="s">
        <v>1243</v>
      </c>
      <c r="B421" s="13" t="s">
        <v>1244</v>
      </c>
      <c r="C421" s="13" t="s">
        <v>28</v>
      </c>
      <c r="D421" s="13" t="s">
        <v>28</v>
      </c>
      <c r="E421" s="14">
        <v>496.0</v>
      </c>
      <c r="F421" s="13" t="s">
        <v>584</v>
      </c>
      <c r="G421" s="13" t="s">
        <v>1226</v>
      </c>
      <c r="H421" s="14">
        <v>950.0</v>
      </c>
      <c r="I421" s="14">
        <v>-1.0</v>
      </c>
      <c r="J421" s="14">
        <v>-1.0</v>
      </c>
      <c r="K421" s="17">
        <v>45390.63337962963</v>
      </c>
      <c r="L421" s="15"/>
      <c r="M421" s="15"/>
      <c r="N421" s="15"/>
      <c r="O421" s="15"/>
      <c r="P421" s="15"/>
      <c r="Q421" s="15"/>
      <c r="R421" s="15"/>
      <c r="S421" s="15"/>
      <c r="T421" s="15"/>
      <c r="U421" s="15"/>
      <c r="V421" s="15"/>
      <c r="W421" s="15"/>
      <c r="X421" s="15"/>
      <c r="Y421" s="15"/>
      <c r="Z421" s="16"/>
    </row>
    <row r="422">
      <c r="A422" s="12" t="s">
        <v>1245</v>
      </c>
      <c r="B422" s="13" t="s">
        <v>1246</v>
      </c>
      <c r="C422" s="13" t="s">
        <v>28</v>
      </c>
      <c r="D422" s="13" t="s">
        <v>28</v>
      </c>
      <c r="E422" s="14">
        <v>498.0</v>
      </c>
      <c r="F422" s="13" t="s">
        <v>584</v>
      </c>
      <c r="G422" s="13" t="s">
        <v>1247</v>
      </c>
      <c r="H422" s="14">
        <v>-1.0</v>
      </c>
      <c r="I422" s="14">
        <v>-1.0</v>
      </c>
      <c r="J422" s="14">
        <v>-1.0</v>
      </c>
      <c r="K422" s="17">
        <v>45390.63340277778</v>
      </c>
      <c r="L422" s="15"/>
      <c r="M422" s="15"/>
      <c r="N422" s="15"/>
      <c r="O422" s="15"/>
      <c r="P422" s="15"/>
      <c r="Q422" s="15"/>
      <c r="R422" s="15"/>
      <c r="S422" s="15"/>
      <c r="T422" s="15"/>
      <c r="U422" s="15"/>
      <c r="V422" s="15"/>
      <c r="W422" s="15"/>
      <c r="X422" s="15"/>
      <c r="Y422" s="15"/>
      <c r="Z422" s="16"/>
    </row>
    <row r="423">
      <c r="A423" s="12" t="s">
        <v>1248</v>
      </c>
      <c r="B423" s="13" t="s">
        <v>1249</v>
      </c>
      <c r="C423" s="13" t="s">
        <v>28</v>
      </c>
      <c r="D423" s="13" t="s">
        <v>28</v>
      </c>
      <c r="E423" s="14">
        <v>500.0</v>
      </c>
      <c r="F423" s="13" t="s">
        <v>584</v>
      </c>
      <c r="G423" s="13" t="s">
        <v>1226</v>
      </c>
      <c r="H423" s="14">
        <v>-1.0</v>
      </c>
      <c r="I423" s="14">
        <v>-1.0</v>
      </c>
      <c r="J423" s="14">
        <v>-1.0</v>
      </c>
      <c r="K423" s="17">
        <v>45390.63341435185</v>
      </c>
      <c r="L423" s="15"/>
      <c r="M423" s="15"/>
      <c r="N423" s="15"/>
      <c r="O423" s="15"/>
      <c r="P423" s="15"/>
      <c r="Q423" s="15"/>
      <c r="R423" s="15"/>
      <c r="S423" s="15"/>
      <c r="T423" s="15"/>
      <c r="U423" s="15"/>
      <c r="V423" s="15"/>
      <c r="W423" s="15"/>
      <c r="X423" s="15"/>
      <c r="Y423" s="15"/>
      <c r="Z423" s="16"/>
    </row>
    <row r="424">
      <c r="A424" s="12" t="s">
        <v>1250</v>
      </c>
      <c r="B424" s="13" t="s">
        <v>1251</v>
      </c>
      <c r="C424" s="13" t="s">
        <v>28</v>
      </c>
      <c r="D424" s="13" t="s">
        <v>28</v>
      </c>
      <c r="E424" s="14">
        <v>1455.0</v>
      </c>
      <c r="F424" s="13" t="s">
        <v>537</v>
      </c>
      <c r="G424" s="13" t="s">
        <v>963</v>
      </c>
      <c r="H424" s="14">
        <v>950.0</v>
      </c>
      <c r="I424" s="14">
        <v>1675.0</v>
      </c>
      <c r="J424" s="14">
        <v>1585.0</v>
      </c>
      <c r="K424" s="17">
        <v>45451.50172453704</v>
      </c>
      <c r="L424" s="15"/>
      <c r="M424" s="15"/>
      <c r="N424" s="15"/>
      <c r="O424" s="15"/>
      <c r="P424" s="15"/>
      <c r="Q424" s="15"/>
      <c r="R424" s="15"/>
      <c r="S424" s="15"/>
      <c r="T424" s="15"/>
      <c r="U424" s="15"/>
      <c r="V424" s="15"/>
      <c r="W424" s="15"/>
      <c r="X424" s="15"/>
      <c r="Y424" s="15"/>
      <c r="Z424" s="16"/>
    </row>
    <row r="425">
      <c r="A425" s="12" t="s">
        <v>1252</v>
      </c>
      <c r="B425" s="13" t="s">
        <v>1253</v>
      </c>
      <c r="C425" s="13" t="s">
        <v>28</v>
      </c>
      <c r="D425" s="13" t="s">
        <v>28</v>
      </c>
      <c r="E425" s="14">
        <v>467.0</v>
      </c>
      <c r="F425" s="13" t="s">
        <v>537</v>
      </c>
      <c r="G425" s="13" t="s">
        <v>1254</v>
      </c>
      <c r="H425" s="14">
        <v>950.0</v>
      </c>
      <c r="I425" s="14">
        <v>1675.0</v>
      </c>
      <c r="J425" s="14">
        <v>1585.0</v>
      </c>
      <c r="K425" s="17">
        <v>45451.50177083333</v>
      </c>
      <c r="L425" s="15"/>
      <c r="M425" s="15"/>
      <c r="N425" s="15"/>
      <c r="O425" s="15"/>
      <c r="P425" s="15"/>
      <c r="Q425" s="15"/>
      <c r="R425" s="15"/>
      <c r="S425" s="15"/>
      <c r="T425" s="15"/>
      <c r="U425" s="15"/>
      <c r="V425" s="15"/>
      <c r="W425" s="15"/>
      <c r="X425" s="15"/>
      <c r="Y425" s="15"/>
      <c r="Z425" s="16"/>
    </row>
    <row r="426">
      <c r="A426" s="12" t="s">
        <v>1255</v>
      </c>
      <c r="B426" s="13" t="s">
        <v>1256</v>
      </c>
      <c r="C426" s="13" t="s">
        <v>28</v>
      </c>
      <c r="D426" s="13" t="s">
        <v>28</v>
      </c>
      <c r="E426" s="14">
        <v>1173.0</v>
      </c>
      <c r="F426" s="13" t="s">
        <v>537</v>
      </c>
      <c r="G426" s="13" t="s">
        <v>963</v>
      </c>
      <c r="H426" s="14">
        <v>950.0</v>
      </c>
      <c r="I426" s="14">
        <v>1675.0</v>
      </c>
      <c r="J426" s="14">
        <v>1585.0</v>
      </c>
      <c r="K426" s="17">
        <v>45451.50185185185</v>
      </c>
      <c r="L426" s="15"/>
      <c r="M426" s="15"/>
      <c r="N426" s="15"/>
      <c r="O426" s="15"/>
      <c r="P426" s="15"/>
      <c r="Q426" s="15"/>
      <c r="R426" s="15"/>
      <c r="S426" s="15"/>
      <c r="T426" s="15"/>
      <c r="U426" s="15"/>
      <c r="V426" s="15"/>
      <c r="W426" s="15"/>
      <c r="X426" s="15"/>
      <c r="Y426" s="15"/>
      <c r="Z426" s="16"/>
    </row>
    <row r="427">
      <c r="A427" s="12" t="s">
        <v>1257</v>
      </c>
      <c r="B427" s="13" t="s">
        <v>1258</v>
      </c>
      <c r="C427" s="13" t="s">
        <v>28</v>
      </c>
      <c r="D427" s="13" t="s">
        <v>28</v>
      </c>
      <c r="E427" s="14">
        <v>1.0</v>
      </c>
      <c r="F427" s="13" t="s">
        <v>537</v>
      </c>
      <c r="G427" s="13" t="s">
        <v>1259</v>
      </c>
      <c r="H427" s="14">
        <v>-1.0</v>
      </c>
      <c r="I427" s="14">
        <v>-1.0</v>
      </c>
      <c r="J427" s="14">
        <v>-1.0</v>
      </c>
      <c r="K427" s="17">
        <v>45634.58634259259</v>
      </c>
      <c r="L427" s="15"/>
      <c r="M427" s="15"/>
      <c r="N427" s="15"/>
      <c r="O427" s="15"/>
      <c r="P427" s="15"/>
      <c r="Q427" s="15"/>
      <c r="R427" s="15"/>
      <c r="S427" s="15"/>
      <c r="T427" s="15"/>
      <c r="U427" s="15"/>
      <c r="V427" s="15"/>
      <c r="W427" s="15"/>
      <c r="X427" s="15"/>
      <c r="Y427" s="15"/>
      <c r="Z427" s="16"/>
    </row>
    <row r="428">
      <c r="A428" s="12" t="s">
        <v>1260</v>
      </c>
      <c r="B428" s="13" t="s">
        <v>1261</v>
      </c>
      <c r="C428" s="13" t="s">
        <v>28</v>
      </c>
      <c r="D428" s="13" t="s">
        <v>28</v>
      </c>
      <c r="E428" s="14">
        <v>973.0</v>
      </c>
      <c r="F428" s="13" t="s">
        <v>537</v>
      </c>
      <c r="G428" s="13" t="s">
        <v>963</v>
      </c>
      <c r="H428" s="14">
        <v>950.0</v>
      </c>
      <c r="I428" s="14">
        <v>1675.0</v>
      </c>
      <c r="J428" s="14">
        <v>1585.0</v>
      </c>
      <c r="K428" s="17">
        <v>45634.58640046296</v>
      </c>
      <c r="L428" s="15"/>
      <c r="M428" s="15"/>
      <c r="N428" s="15"/>
      <c r="O428" s="15"/>
      <c r="P428" s="15"/>
      <c r="Q428" s="15"/>
      <c r="R428" s="15"/>
      <c r="S428" s="15"/>
      <c r="T428" s="15"/>
      <c r="U428" s="15"/>
      <c r="V428" s="15"/>
      <c r="W428" s="15"/>
      <c r="X428" s="15"/>
      <c r="Y428" s="15"/>
      <c r="Z428" s="16"/>
    </row>
    <row r="429">
      <c r="A429" s="12" t="s">
        <v>1262</v>
      </c>
      <c r="B429" s="13" t="s">
        <v>1263</v>
      </c>
      <c r="C429" s="13" t="s">
        <v>28</v>
      </c>
      <c r="D429" s="13" t="s">
        <v>28</v>
      </c>
      <c r="E429" s="14">
        <v>184.0</v>
      </c>
      <c r="F429" s="13" t="s">
        <v>537</v>
      </c>
      <c r="G429" s="13" t="s">
        <v>963</v>
      </c>
      <c r="H429" s="14">
        <v>950.0</v>
      </c>
      <c r="I429" s="14">
        <v>1675.0</v>
      </c>
      <c r="J429" s="14">
        <v>1585.0</v>
      </c>
      <c r="K429" s="17">
        <v>45634.586481481485</v>
      </c>
      <c r="L429" s="15"/>
      <c r="M429" s="15"/>
      <c r="N429" s="15"/>
      <c r="O429" s="15"/>
      <c r="P429" s="15"/>
      <c r="Q429" s="15"/>
      <c r="R429" s="15"/>
      <c r="S429" s="15"/>
      <c r="T429" s="15"/>
      <c r="U429" s="15"/>
      <c r="V429" s="15"/>
      <c r="W429" s="15"/>
      <c r="X429" s="15"/>
      <c r="Y429" s="15"/>
      <c r="Z429" s="16"/>
    </row>
    <row r="430">
      <c r="A430" s="12" t="s">
        <v>1264</v>
      </c>
      <c r="B430" s="13" t="s">
        <v>1265</v>
      </c>
      <c r="C430" s="13" t="s">
        <v>28</v>
      </c>
      <c r="D430" s="13" t="s">
        <v>28</v>
      </c>
      <c r="E430" s="14">
        <v>261.0</v>
      </c>
      <c r="F430" s="13" t="s">
        <v>537</v>
      </c>
      <c r="G430" s="13" t="s">
        <v>963</v>
      </c>
      <c r="H430" s="14">
        <v>950.0</v>
      </c>
      <c r="I430" s="14">
        <v>1675.0</v>
      </c>
      <c r="J430" s="14">
        <v>1585.0</v>
      </c>
      <c r="K430" s="17">
        <v>45634.5865625</v>
      </c>
      <c r="L430" s="15"/>
      <c r="M430" s="15"/>
      <c r="N430" s="15"/>
      <c r="O430" s="15"/>
      <c r="P430" s="15"/>
      <c r="Q430" s="15"/>
      <c r="R430" s="15"/>
      <c r="S430" s="15"/>
      <c r="T430" s="15"/>
      <c r="U430" s="15"/>
      <c r="V430" s="15"/>
      <c r="W430" s="15"/>
      <c r="X430" s="15"/>
      <c r="Y430" s="15"/>
      <c r="Z430" s="16"/>
    </row>
    <row r="431">
      <c r="A431" s="12" t="s">
        <v>1266</v>
      </c>
      <c r="B431" s="13" t="s">
        <v>1267</v>
      </c>
      <c r="C431" s="13" t="s">
        <v>28</v>
      </c>
      <c r="D431" s="13" t="s">
        <v>28</v>
      </c>
      <c r="E431" s="14">
        <v>994.0</v>
      </c>
      <c r="F431" s="13" t="s">
        <v>537</v>
      </c>
      <c r="G431" s="13" t="s">
        <v>963</v>
      </c>
      <c r="H431" s="14">
        <v>950.0</v>
      </c>
      <c r="I431" s="14">
        <v>1675.0</v>
      </c>
      <c r="J431" s="14">
        <v>1585.0</v>
      </c>
      <c r="K431" s="17">
        <v>45634.58671296296</v>
      </c>
      <c r="L431" s="15"/>
      <c r="M431" s="15"/>
      <c r="N431" s="15"/>
      <c r="O431" s="15"/>
      <c r="P431" s="15"/>
      <c r="Q431" s="15"/>
      <c r="R431" s="15"/>
      <c r="S431" s="15"/>
      <c r="T431" s="15"/>
      <c r="U431" s="15"/>
      <c r="V431" s="15"/>
      <c r="W431" s="15"/>
      <c r="X431" s="15"/>
      <c r="Y431" s="15"/>
      <c r="Z431" s="16"/>
    </row>
    <row r="432">
      <c r="A432" s="12" t="s">
        <v>1268</v>
      </c>
      <c r="B432" s="13" t="s">
        <v>1269</v>
      </c>
      <c r="C432" s="13" t="s">
        <v>28</v>
      </c>
      <c r="D432" s="13" t="s">
        <v>28</v>
      </c>
      <c r="E432" s="14">
        <v>2.0</v>
      </c>
      <c r="F432" s="13" t="s">
        <v>537</v>
      </c>
      <c r="G432" s="13" t="s">
        <v>1270</v>
      </c>
      <c r="H432" s="14">
        <v>-1.0</v>
      </c>
      <c r="I432" s="14">
        <v>-1.0</v>
      </c>
      <c r="J432" s="14">
        <v>-1.0</v>
      </c>
      <c r="K432" s="17">
        <v>45634.66131944444</v>
      </c>
      <c r="L432" s="15"/>
      <c r="M432" s="15"/>
      <c r="N432" s="15"/>
      <c r="O432" s="15"/>
      <c r="P432" s="15"/>
      <c r="Q432" s="15"/>
      <c r="R432" s="15"/>
      <c r="S432" s="15"/>
      <c r="T432" s="15"/>
      <c r="U432" s="15"/>
      <c r="V432" s="15"/>
      <c r="W432" s="15"/>
      <c r="X432" s="15"/>
      <c r="Y432" s="15"/>
      <c r="Z432" s="16"/>
    </row>
    <row r="433">
      <c r="A433" s="12" t="s">
        <v>1271</v>
      </c>
      <c r="B433" s="13" t="s">
        <v>1272</v>
      </c>
      <c r="C433" s="13" t="s">
        <v>28</v>
      </c>
      <c r="D433" s="13" t="s">
        <v>28</v>
      </c>
      <c r="E433" s="14">
        <v>2036.0</v>
      </c>
      <c r="F433" s="13" t="s">
        <v>584</v>
      </c>
      <c r="G433" s="13" t="s">
        <v>1273</v>
      </c>
      <c r="H433" s="14">
        <v>1000.0</v>
      </c>
      <c r="I433" s="14">
        <v>-1.0</v>
      </c>
      <c r="J433" s="14">
        <v>-1.0</v>
      </c>
      <c r="K433" s="17">
        <v>45634.68796296296</v>
      </c>
      <c r="L433" s="15"/>
      <c r="M433" s="15"/>
      <c r="N433" s="15"/>
      <c r="O433" s="15"/>
      <c r="P433" s="15"/>
      <c r="Q433" s="15"/>
      <c r="R433" s="15"/>
      <c r="S433" s="15"/>
      <c r="T433" s="15"/>
      <c r="U433" s="15"/>
      <c r="V433" s="15"/>
      <c r="W433" s="15"/>
      <c r="X433" s="15"/>
      <c r="Y433" s="15"/>
      <c r="Z433" s="16"/>
    </row>
    <row r="434">
      <c r="A434" s="12" t="s">
        <v>1274</v>
      </c>
      <c r="B434" s="13" t="s">
        <v>1275</v>
      </c>
      <c r="C434" s="13" t="s">
        <v>28</v>
      </c>
      <c r="D434" s="13" t="s">
        <v>28</v>
      </c>
      <c r="E434" s="14">
        <v>1258.0</v>
      </c>
      <c r="F434" s="13" t="s">
        <v>584</v>
      </c>
      <c r="G434" s="13" t="s">
        <v>1276</v>
      </c>
      <c r="H434" s="14">
        <v>-1.0</v>
      </c>
      <c r="I434" s="14">
        <v>-1.0</v>
      </c>
      <c r="J434" s="14">
        <v>-1.0</v>
      </c>
      <c r="K434" s="17">
        <v>45634.68802083333</v>
      </c>
      <c r="L434" s="15"/>
      <c r="M434" s="15"/>
      <c r="N434" s="15"/>
      <c r="O434" s="15"/>
      <c r="P434" s="15"/>
      <c r="Q434" s="15"/>
      <c r="R434" s="15"/>
      <c r="S434" s="15"/>
      <c r="T434" s="15"/>
      <c r="U434" s="15"/>
      <c r="V434" s="15"/>
      <c r="W434" s="15"/>
      <c r="X434" s="15"/>
      <c r="Y434" s="15"/>
      <c r="Z434" s="16"/>
    </row>
    <row r="435">
      <c r="A435" s="12" t="s">
        <v>1277</v>
      </c>
      <c r="B435" s="13" t="s">
        <v>1278</v>
      </c>
      <c r="C435" s="13" t="s">
        <v>28</v>
      </c>
      <c r="D435" s="13" t="s">
        <v>28</v>
      </c>
      <c r="E435" s="14">
        <v>2510.0</v>
      </c>
      <c r="F435" s="13" t="s">
        <v>584</v>
      </c>
      <c r="G435" s="13" t="s">
        <v>1279</v>
      </c>
      <c r="H435" s="14">
        <v>-1.0</v>
      </c>
      <c r="I435" s="14">
        <v>-1.0</v>
      </c>
      <c r="J435" s="14">
        <v>-1.0</v>
      </c>
      <c r="K435" s="17">
        <v>45634.68809027778</v>
      </c>
      <c r="L435" s="15"/>
      <c r="M435" s="15"/>
      <c r="N435" s="15"/>
      <c r="O435" s="15"/>
      <c r="P435" s="15"/>
      <c r="Q435" s="15"/>
      <c r="R435" s="15"/>
      <c r="S435" s="15"/>
      <c r="T435" s="15"/>
      <c r="U435" s="15"/>
      <c r="V435" s="15"/>
      <c r="W435" s="15"/>
      <c r="X435" s="15"/>
      <c r="Y435" s="15"/>
      <c r="Z435" s="16"/>
    </row>
    <row r="436">
      <c r="A436" s="12" t="s">
        <v>1280</v>
      </c>
      <c r="B436" s="13" t="s">
        <v>1281</v>
      </c>
      <c r="C436" s="13" t="s">
        <v>28</v>
      </c>
      <c r="D436" s="13" t="s">
        <v>28</v>
      </c>
      <c r="E436" s="14">
        <v>955.0</v>
      </c>
      <c r="F436" s="13" t="s">
        <v>584</v>
      </c>
      <c r="G436" s="13" t="s">
        <v>1282</v>
      </c>
      <c r="H436" s="14">
        <v>-1.0</v>
      </c>
      <c r="I436" s="14">
        <v>-1.0</v>
      </c>
      <c r="J436" s="14">
        <v>-1.0</v>
      </c>
      <c r="K436" s="17">
        <v>45634.68814814815</v>
      </c>
      <c r="L436" s="15"/>
      <c r="M436" s="15"/>
      <c r="N436" s="15"/>
      <c r="O436" s="15"/>
      <c r="P436" s="15"/>
      <c r="Q436" s="15"/>
      <c r="R436" s="15"/>
      <c r="S436" s="15"/>
      <c r="T436" s="15"/>
      <c r="U436" s="15"/>
      <c r="V436" s="15"/>
      <c r="W436" s="15"/>
      <c r="X436" s="15"/>
      <c r="Y436" s="15"/>
      <c r="Z436" s="16"/>
    </row>
    <row r="437">
      <c r="A437" s="12" t="s">
        <v>1283</v>
      </c>
      <c r="B437" s="13" t="s">
        <v>1284</v>
      </c>
      <c r="C437" s="13" t="s">
        <v>28</v>
      </c>
      <c r="D437" s="13" t="s">
        <v>28</v>
      </c>
      <c r="E437" s="14">
        <v>931.0</v>
      </c>
      <c r="F437" s="13" t="s">
        <v>584</v>
      </c>
      <c r="G437" s="13" t="s">
        <v>1285</v>
      </c>
      <c r="H437" s="14">
        <v>950.0</v>
      </c>
      <c r="I437" s="14">
        <v>1675.0</v>
      </c>
      <c r="J437" s="14">
        <v>1585.0</v>
      </c>
      <c r="K437" s="17">
        <v>45634.688206018516</v>
      </c>
      <c r="L437" s="15"/>
      <c r="M437" s="15"/>
      <c r="N437" s="15"/>
      <c r="O437" s="15"/>
      <c r="P437" s="15"/>
      <c r="Q437" s="15"/>
      <c r="R437" s="15"/>
      <c r="S437" s="15"/>
      <c r="T437" s="15"/>
      <c r="U437" s="15"/>
      <c r="V437" s="15"/>
      <c r="W437" s="15"/>
      <c r="X437" s="15"/>
      <c r="Y437" s="15"/>
      <c r="Z437" s="16"/>
    </row>
    <row r="438">
      <c r="A438" s="12" t="s">
        <v>1286</v>
      </c>
      <c r="B438" s="13" t="s">
        <v>1287</v>
      </c>
      <c r="C438" s="13" t="s">
        <v>28</v>
      </c>
      <c r="D438" s="13" t="s">
        <v>28</v>
      </c>
      <c r="E438" s="14">
        <v>912.0</v>
      </c>
      <c r="F438" s="13" t="s">
        <v>584</v>
      </c>
      <c r="G438" s="13" t="s">
        <v>1288</v>
      </c>
      <c r="H438" s="14">
        <v>950.0</v>
      </c>
      <c r="I438" s="14">
        <v>1675.0</v>
      </c>
      <c r="J438" s="14">
        <v>1585.0</v>
      </c>
      <c r="K438" s="17">
        <v>45634.688252314816</v>
      </c>
      <c r="L438" s="15"/>
      <c r="M438" s="15"/>
      <c r="N438" s="15"/>
      <c r="O438" s="15"/>
      <c r="P438" s="15"/>
      <c r="Q438" s="15"/>
      <c r="R438" s="15"/>
      <c r="S438" s="15"/>
      <c r="T438" s="15"/>
      <c r="U438" s="15"/>
      <c r="V438" s="15"/>
      <c r="W438" s="15"/>
      <c r="X438" s="15"/>
      <c r="Y438" s="15"/>
      <c r="Z438" s="16"/>
    </row>
    <row r="439">
      <c r="A439" s="12" t="s">
        <v>1289</v>
      </c>
      <c r="B439" s="13" t="s">
        <v>1290</v>
      </c>
      <c r="C439" s="13" t="s">
        <v>28</v>
      </c>
      <c r="D439" s="13" t="s">
        <v>28</v>
      </c>
      <c r="E439" s="14">
        <v>359.0</v>
      </c>
      <c r="F439" s="13" t="s">
        <v>584</v>
      </c>
      <c r="G439" s="13" t="s">
        <v>1291</v>
      </c>
      <c r="H439" s="14">
        <v>950.0</v>
      </c>
      <c r="I439" s="14">
        <v>1675.0</v>
      </c>
      <c r="J439" s="14">
        <v>1585.0</v>
      </c>
      <c r="K439" s="17">
        <v>45634.688298611116</v>
      </c>
      <c r="L439" s="15"/>
      <c r="M439" s="15"/>
      <c r="N439" s="15"/>
      <c r="O439" s="15"/>
      <c r="P439" s="15"/>
      <c r="Q439" s="15"/>
      <c r="R439" s="15"/>
      <c r="S439" s="15"/>
      <c r="T439" s="15"/>
      <c r="U439" s="15"/>
      <c r="V439" s="15"/>
      <c r="W439" s="15"/>
      <c r="X439" s="15"/>
      <c r="Y439" s="15"/>
      <c r="Z439" s="16"/>
    </row>
    <row r="440">
      <c r="A440" s="12" t="s">
        <v>1292</v>
      </c>
      <c r="B440" s="13" t="s">
        <v>1293</v>
      </c>
      <c r="C440" s="13" t="s">
        <v>28</v>
      </c>
      <c r="D440" s="13" t="s">
        <v>28</v>
      </c>
      <c r="E440" s="14">
        <v>928.0</v>
      </c>
      <c r="F440" s="13" t="s">
        <v>537</v>
      </c>
      <c r="G440" s="13" t="s">
        <v>963</v>
      </c>
      <c r="H440" s="14">
        <v>950.0</v>
      </c>
      <c r="I440" s="14">
        <v>1675.0</v>
      </c>
      <c r="J440" s="14">
        <v>1585.0</v>
      </c>
      <c r="K440" s="17">
        <v>45634.68835648148</v>
      </c>
      <c r="L440" s="15"/>
      <c r="M440" s="15"/>
      <c r="N440" s="15"/>
      <c r="O440" s="15"/>
      <c r="P440" s="15"/>
      <c r="Q440" s="15"/>
      <c r="R440" s="15"/>
      <c r="S440" s="15"/>
      <c r="T440" s="15"/>
      <c r="U440" s="15"/>
      <c r="V440" s="15"/>
      <c r="W440" s="15"/>
      <c r="X440" s="15"/>
      <c r="Y440" s="15"/>
      <c r="Z440" s="16"/>
    </row>
    <row r="441">
      <c r="A441" s="12" t="s">
        <v>1294</v>
      </c>
      <c r="B441" s="13" t="s">
        <v>1295</v>
      </c>
      <c r="C441" s="13" t="s">
        <v>28</v>
      </c>
      <c r="D441" s="13" t="s">
        <v>28</v>
      </c>
      <c r="E441" s="14">
        <v>1193.0</v>
      </c>
      <c r="F441" s="13" t="s">
        <v>537</v>
      </c>
      <c r="G441" s="13" t="s">
        <v>963</v>
      </c>
      <c r="H441" s="14">
        <v>950.0</v>
      </c>
      <c r="I441" s="14">
        <v>1675.0</v>
      </c>
      <c r="J441" s="14">
        <v>1585.0</v>
      </c>
      <c r="K441" s="17">
        <v>45634.688414351855</v>
      </c>
      <c r="L441" s="15"/>
      <c r="M441" s="15"/>
      <c r="N441" s="15"/>
      <c r="O441" s="15"/>
      <c r="P441" s="15"/>
      <c r="Q441" s="15"/>
      <c r="R441" s="15"/>
      <c r="S441" s="15"/>
      <c r="T441" s="15"/>
      <c r="U441" s="15"/>
      <c r="V441" s="15"/>
      <c r="W441" s="15"/>
      <c r="X441" s="15"/>
      <c r="Y441" s="15"/>
      <c r="Z441" s="16"/>
    </row>
    <row r="442">
      <c r="A442" s="12" t="s">
        <v>1296</v>
      </c>
      <c r="B442" s="13" t="s">
        <v>1297</v>
      </c>
      <c r="C442" s="13" t="s">
        <v>28</v>
      </c>
      <c r="D442" s="13" t="s">
        <v>28</v>
      </c>
      <c r="E442" s="14">
        <v>408.0</v>
      </c>
      <c r="F442" s="13" t="s">
        <v>537</v>
      </c>
      <c r="G442" s="13" t="s">
        <v>963</v>
      </c>
      <c r="H442" s="14">
        <v>950.0</v>
      </c>
      <c r="I442" s="14">
        <v>1675.0</v>
      </c>
      <c r="J442" s="14">
        <v>1585.0</v>
      </c>
      <c r="K442" s="17">
        <v>45634.68846064815</v>
      </c>
      <c r="L442" s="15"/>
      <c r="M442" s="15"/>
      <c r="N442" s="15"/>
      <c r="O442" s="15"/>
      <c r="P442" s="15"/>
      <c r="Q442" s="15"/>
      <c r="R442" s="15"/>
      <c r="S442" s="15"/>
      <c r="T442" s="15"/>
      <c r="U442" s="15"/>
      <c r="V442" s="15"/>
      <c r="W442" s="15"/>
      <c r="X442" s="15"/>
      <c r="Y442" s="15"/>
      <c r="Z442" s="16"/>
    </row>
    <row r="443">
      <c r="A443" s="12" t="s">
        <v>1298</v>
      </c>
      <c r="B443" s="13" t="s">
        <v>1299</v>
      </c>
      <c r="C443" s="13" t="s">
        <v>28</v>
      </c>
      <c r="D443" s="13" t="s">
        <v>28</v>
      </c>
      <c r="E443" s="14">
        <v>1167.0</v>
      </c>
      <c r="F443" s="13" t="s">
        <v>537</v>
      </c>
      <c r="G443" s="13" t="s">
        <v>1288</v>
      </c>
      <c r="H443" s="14">
        <v>950.0</v>
      </c>
      <c r="I443" s="14">
        <v>1675.0</v>
      </c>
      <c r="J443" s="14">
        <v>1585.0</v>
      </c>
      <c r="K443" s="17">
        <v>45634.688518518524</v>
      </c>
      <c r="L443" s="15"/>
      <c r="M443" s="15"/>
      <c r="N443" s="15"/>
      <c r="O443" s="15"/>
      <c r="P443" s="15"/>
      <c r="Q443" s="15"/>
      <c r="R443" s="15"/>
      <c r="S443" s="15"/>
      <c r="T443" s="15"/>
      <c r="U443" s="15"/>
      <c r="V443" s="15"/>
      <c r="W443" s="15"/>
      <c r="X443" s="15"/>
      <c r="Y443" s="15"/>
      <c r="Z443" s="16"/>
    </row>
    <row r="444">
      <c r="A444" s="12" t="s">
        <v>1300</v>
      </c>
      <c r="B444" s="13" t="s">
        <v>1301</v>
      </c>
      <c r="C444" s="13" t="s">
        <v>28</v>
      </c>
      <c r="D444" s="13" t="s">
        <v>28</v>
      </c>
      <c r="E444" s="14">
        <v>1282.0</v>
      </c>
      <c r="F444" s="13" t="s">
        <v>537</v>
      </c>
      <c r="G444" s="13" t="s">
        <v>1302</v>
      </c>
      <c r="H444" s="14">
        <v>950.0</v>
      </c>
      <c r="I444" s="14">
        <v>1675.0</v>
      </c>
      <c r="J444" s="14">
        <v>1585.0</v>
      </c>
      <c r="K444" s="17">
        <v>45634.68858796296</v>
      </c>
      <c r="L444" s="15"/>
      <c r="M444" s="15"/>
      <c r="N444" s="15"/>
      <c r="O444" s="15"/>
      <c r="P444" s="15"/>
      <c r="Q444" s="15"/>
      <c r="R444" s="15"/>
      <c r="S444" s="15"/>
      <c r="T444" s="15"/>
      <c r="U444" s="15"/>
      <c r="V444" s="15"/>
      <c r="W444" s="15"/>
      <c r="X444" s="15"/>
      <c r="Y444" s="15"/>
      <c r="Z444" s="16"/>
    </row>
    <row r="445">
      <c r="A445" s="12" t="s">
        <v>1303</v>
      </c>
      <c r="B445" s="13" t="s">
        <v>1304</v>
      </c>
      <c r="C445" s="13" t="s">
        <v>28</v>
      </c>
      <c r="D445" s="13" t="s">
        <v>28</v>
      </c>
      <c r="E445" s="14">
        <v>808.0</v>
      </c>
      <c r="F445" s="13" t="s">
        <v>537</v>
      </c>
      <c r="G445" s="13" t="s">
        <v>1305</v>
      </c>
      <c r="H445" s="14">
        <v>950.0</v>
      </c>
      <c r="I445" s="14">
        <v>1675.0</v>
      </c>
      <c r="J445" s="14">
        <v>1585.0</v>
      </c>
      <c r="K445" s="17">
        <v>45634.68863425926</v>
      </c>
      <c r="L445" s="15"/>
      <c r="M445" s="15"/>
      <c r="N445" s="15"/>
      <c r="O445" s="15"/>
      <c r="P445" s="15"/>
      <c r="Q445" s="15"/>
      <c r="R445" s="15"/>
      <c r="S445" s="15"/>
      <c r="T445" s="15"/>
      <c r="U445" s="15"/>
      <c r="V445" s="15"/>
      <c r="W445" s="15"/>
      <c r="X445" s="15"/>
      <c r="Y445" s="15"/>
      <c r="Z445" s="16"/>
    </row>
    <row r="446">
      <c r="A446" s="12" t="s">
        <v>1306</v>
      </c>
      <c r="B446" s="13" t="s">
        <v>1307</v>
      </c>
      <c r="C446" s="13" t="s">
        <v>28</v>
      </c>
      <c r="D446" s="13" t="s">
        <v>28</v>
      </c>
      <c r="E446" s="14">
        <v>3375.0</v>
      </c>
      <c r="F446" s="13" t="s">
        <v>537</v>
      </c>
      <c r="G446" s="13" t="s">
        <v>1288</v>
      </c>
      <c r="H446" s="14">
        <v>950.0</v>
      </c>
      <c r="I446" s="14">
        <v>1675.0</v>
      </c>
      <c r="J446" s="14">
        <v>1585.0</v>
      </c>
      <c r="K446" s="17">
        <v>45634.688738425924</v>
      </c>
      <c r="L446" s="15"/>
      <c r="M446" s="15"/>
      <c r="N446" s="15"/>
      <c r="O446" s="15"/>
      <c r="P446" s="15"/>
      <c r="Q446" s="15"/>
      <c r="R446" s="15"/>
      <c r="S446" s="15"/>
      <c r="T446" s="15"/>
      <c r="U446" s="15"/>
      <c r="V446" s="15"/>
      <c r="W446" s="15"/>
      <c r="X446" s="15"/>
      <c r="Y446" s="15"/>
      <c r="Z446" s="16"/>
    </row>
    <row r="447">
      <c r="A447" s="12" t="s">
        <v>1308</v>
      </c>
      <c r="B447" s="13" t="s">
        <v>1309</v>
      </c>
      <c r="C447" s="13" t="s">
        <v>28</v>
      </c>
      <c r="D447" s="13" t="s">
        <v>28</v>
      </c>
      <c r="E447" s="14">
        <v>2739.0</v>
      </c>
      <c r="F447" s="13" t="s">
        <v>537</v>
      </c>
      <c r="G447" s="13" t="s">
        <v>963</v>
      </c>
      <c r="H447" s="14">
        <v>950.0</v>
      </c>
      <c r="I447" s="14">
        <v>1675.0</v>
      </c>
      <c r="J447" s="14">
        <v>1585.0</v>
      </c>
      <c r="K447" s="17">
        <v>45634.688784722224</v>
      </c>
      <c r="L447" s="15"/>
      <c r="M447" s="15"/>
      <c r="N447" s="15"/>
      <c r="O447" s="15"/>
      <c r="P447" s="15"/>
      <c r="Q447" s="15"/>
      <c r="R447" s="15"/>
      <c r="S447" s="15"/>
      <c r="T447" s="15"/>
      <c r="U447" s="15"/>
      <c r="V447" s="15"/>
      <c r="W447" s="15"/>
      <c r="X447" s="15"/>
      <c r="Y447" s="15"/>
      <c r="Z447" s="16"/>
    </row>
    <row r="448">
      <c r="A448" s="12" t="s">
        <v>1310</v>
      </c>
      <c r="B448" s="13" t="s">
        <v>1311</v>
      </c>
      <c r="C448" s="13" t="s">
        <v>28</v>
      </c>
      <c r="D448" s="13" t="s">
        <v>28</v>
      </c>
      <c r="E448" s="14">
        <v>3139.0</v>
      </c>
      <c r="F448" s="13" t="s">
        <v>537</v>
      </c>
      <c r="G448" s="13" t="s">
        <v>1312</v>
      </c>
      <c r="H448" s="14">
        <v>950.0</v>
      </c>
      <c r="I448" s="14">
        <v>1675.0</v>
      </c>
      <c r="J448" s="14">
        <v>1585.0</v>
      </c>
      <c r="K448" s="17">
        <v>45634.68885416667</v>
      </c>
      <c r="L448" s="15"/>
      <c r="M448" s="15"/>
      <c r="N448" s="15"/>
      <c r="O448" s="15"/>
      <c r="P448" s="15"/>
      <c r="Q448" s="15"/>
      <c r="R448" s="15"/>
      <c r="S448" s="15"/>
      <c r="T448" s="15"/>
      <c r="U448" s="15"/>
      <c r="V448" s="15"/>
      <c r="W448" s="15"/>
      <c r="X448" s="15"/>
      <c r="Y448" s="15"/>
      <c r="Z448" s="16"/>
    </row>
    <row r="449">
      <c r="A449" s="12" t="s">
        <v>1313</v>
      </c>
      <c r="B449" s="13" t="s">
        <v>1314</v>
      </c>
      <c r="C449" s="13" t="s">
        <v>28</v>
      </c>
      <c r="D449" s="13" t="s">
        <v>28</v>
      </c>
      <c r="E449" s="14">
        <v>7943.0</v>
      </c>
      <c r="F449" s="13" t="s">
        <v>584</v>
      </c>
      <c r="G449" s="13" t="s">
        <v>1288</v>
      </c>
      <c r="H449" s="14">
        <v>-1.0</v>
      </c>
      <c r="I449" s="14">
        <v>-1.0</v>
      </c>
      <c r="J449" s="14">
        <v>-1.0</v>
      </c>
      <c r="K449" s="13" t="s">
        <v>1315</v>
      </c>
      <c r="L449" s="15"/>
      <c r="M449" s="15"/>
      <c r="N449" s="15"/>
      <c r="O449" s="15"/>
      <c r="P449" s="15"/>
      <c r="Q449" s="15"/>
      <c r="R449" s="15"/>
      <c r="S449" s="15"/>
      <c r="T449" s="15"/>
      <c r="U449" s="15"/>
      <c r="V449" s="15"/>
      <c r="W449" s="15"/>
      <c r="X449" s="15"/>
      <c r="Y449" s="15"/>
      <c r="Z449" s="16"/>
    </row>
    <row r="450">
      <c r="A450" s="12" t="s">
        <v>1316</v>
      </c>
      <c r="B450" s="13" t="s">
        <v>1317</v>
      </c>
      <c r="C450" s="13" t="s">
        <v>28</v>
      </c>
      <c r="D450" s="13" t="s">
        <v>28</v>
      </c>
      <c r="E450" s="14">
        <v>867.0</v>
      </c>
      <c r="F450" s="13" t="s">
        <v>584</v>
      </c>
      <c r="G450" s="13" t="s">
        <v>1318</v>
      </c>
      <c r="H450" s="14">
        <v>-1.0</v>
      </c>
      <c r="I450" s="14">
        <v>-1.0</v>
      </c>
      <c r="J450" s="14">
        <v>-1.0</v>
      </c>
      <c r="K450" s="13" t="s">
        <v>1319</v>
      </c>
      <c r="L450" s="15"/>
      <c r="M450" s="15"/>
      <c r="N450" s="15"/>
      <c r="O450" s="15"/>
      <c r="P450" s="15"/>
      <c r="Q450" s="15"/>
      <c r="R450" s="15"/>
      <c r="S450" s="15"/>
      <c r="T450" s="15"/>
      <c r="U450" s="15"/>
      <c r="V450" s="15"/>
      <c r="W450" s="15"/>
      <c r="X450" s="15"/>
      <c r="Y450" s="15"/>
      <c r="Z450" s="16"/>
    </row>
    <row r="451">
      <c r="A451" s="12" t="s">
        <v>1320</v>
      </c>
      <c r="B451" s="13" t="s">
        <v>1321</v>
      </c>
      <c r="C451" s="13" t="s">
        <v>28</v>
      </c>
      <c r="D451" s="13" t="s">
        <v>28</v>
      </c>
      <c r="E451" s="14">
        <v>485.0</v>
      </c>
      <c r="F451" s="13" t="s">
        <v>584</v>
      </c>
      <c r="G451" s="13" t="s">
        <v>1226</v>
      </c>
      <c r="H451" s="14">
        <v>950.0</v>
      </c>
      <c r="I451" s="14">
        <v>-1.0</v>
      </c>
      <c r="J451" s="14">
        <v>-1.0</v>
      </c>
      <c r="K451" s="13" t="s">
        <v>1322</v>
      </c>
      <c r="L451" s="15"/>
      <c r="M451" s="15"/>
      <c r="N451" s="15"/>
      <c r="O451" s="15"/>
      <c r="P451" s="15"/>
      <c r="Q451" s="15"/>
      <c r="R451" s="15"/>
      <c r="S451" s="15"/>
      <c r="T451" s="15"/>
      <c r="U451" s="15"/>
      <c r="V451" s="15"/>
      <c r="W451" s="15"/>
      <c r="X451" s="15"/>
      <c r="Y451" s="15"/>
      <c r="Z451" s="16"/>
    </row>
    <row r="452">
      <c r="A452" s="12" t="s">
        <v>1323</v>
      </c>
      <c r="B452" s="13" t="s">
        <v>1324</v>
      </c>
      <c r="C452" s="13" t="s">
        <v>28</v>
      </c>
      <c r="D452" s="13" t="s">
        <v>28</v>
      </c>
      <c r="E452" s="14">
        <v>498.0</v>
      </c>
      <c r="F452" s="13" t="s">
        <v>584</v>
      </c>
      <c r="G452" s="13" t="s">
        <v>1226</v>
      </c>
      <c r="H452" s="14">
        <v>950.0</v>
      </c>
      <c r="I452" s="14">
        <v>-1.0</v>
      </c>
      <c r="J452" s="14">
        <v>-1.0</v>
      </c>
      <c r="K452" s="13" t="s">
        <v>1325</v>
      </c>
      <c r="L452" s="15"/>
      <c r="M452" s="15"/>
      <c r="N452" s="15"/>
      <c r="O452" s="15"/>
      <c r="P452" s="15"/>
      <c r="Q452" s="15"/>
      <c r="R452" s="15"/>
      <c r="S452" s="15"/>
      <c r="T452" s="15"/>
      <c r="U452" s="15"/>
      <c r="V452" s="15"/>
      <c r="W452" s="15"/>
      <c r="X452" s="15"/>
      <c r="Y452" s="15"/>
      <c r="Z452" s="16"/>
    </row>
    <row r="453">
      <c r="A453" s="12" t="s">
        <v>1326</v>
      </c>
      <c r="B453" s="13" t="s">
        <v>1327</v>
      </c>
      <c r="C453" s="13" t="s">
        <v>28</v>
      </c>
      <c r="D453" s="13" t="s">
        <v>28</v>
      </c>
      <c r="E453" s="14">
        <v>500.0</v>
      </c>
      <c r="F453" s="13" t="s">
        <v>584</v>
      </c>
      <c r="G453" s="13" t="s">
        <v>1226</v>
      </c>
      <c r="H453" s="14">
        <v>-1.0</v>
      </c>
      <c r="I453" s="14">
        <v>-1.0</v>
      </c>
      <c r="J453" s="14">
        <v>-1.0</v>
      </c>
      <c r="K453" s="13" t="s">
        <v>1328</v>
      </c>
      <c r="L453" s="15"/>
      <c r="M453" s="15"/>
      <c r="N453" s="15"/>
      <c r="O453" s="15"/>
      <c r="P453" s="15"/>
      <c r="Q453" s="15"/>
      <c r="R453" s="15"/>
      <c r="S453" s="15"/>
      <c r="T453" s="15"/>
      <c r="U453" s="15"/>
      <c r="V453" s="15"/>
      <c r="W453" s="15"/>
      <c r="X453" s="15"/>
      <c r="Y453" s="15"/>
      <c r="Z453" s="16"/>
    </row>
    <row r="454">
      <c r="A454" s="12" t="s">
        <v>1329</v>
      </c>
      <c r="B454" s="13" t="s">
        <v>1330</v>
      </c>
      <c r="C454" s="13" t="s">
        <v>28</v>
      </c>
      <c r="D454" s="13" t="s">
        <v>28</v>
      </c>
      <c r="E454" s="14">
        <v>500.0</v>
      </c>
      <c r="F454" s="13" t="s">
        <v>584</v>
      </c>
      <c r="G454" s="13" t="s">
        <v>1226</v>
      </c>
      <c r="H454" s="14">
        <v>-1.0</v>
      </c>
      <c r="I454" s="14">
        <v>-1.0</v>
      </c>
      <c r="J454" s="14">
        <v>-1.0</v>
      </c>
      <c r="K454" s="13" t="s">
        <v>1331</v>
      </c>
      <c r="L454" s="15"/>
      <c r="M454" s="15"/>
      <c r="N454" s="15"/>
      <c r="O454" s="15"/>
      <c r="P454" s="15"/>
      <c r="Q454" s="15"/>
      <c r="R454" s="15"/>
      <c r="S454" s="15"/>
      <c r="T454" s="15"/>
      <c r="U454" s="15"/>
      <c r="V454" s="15"/>
      <c r="W454" s="15"/>
      <c r="X454" s="15"/>
      <c r="Y454" s="15"/>
      <c r="Z454" s="16"/>
    </row>
    <row r="455">
      <c r="A455" s="12" t="s">
        <v>1332</v>
      </c>
      <c r="B455" s="13" t="s">
        <v>1333</v>
      </c>
      <c r="C455" s="13" t="s">
        <v>28</v>
      </c>
      <c r="D455" s="13" t="s">
        <v>28</v>
      </c>
      <c r="E455" s="14">
        <v>500.0</v>
      </c>
      <c r="F455" s="13" t="s">
        <v>584</v>
      </c>
      <c r="G455" s="13" t="s">
        <v>1226</v>
      </c>
      <c r="H455" s="14">
        <v>-1.0</v>
      </c>
      <c r="I455" s="14">
        <v>-1.0</v>
      </c>
      <c r="J455" s="14">
        <v>-1.0</v>
      </c>
      <c r="K455" s="13" t="s">
        <v>1334</v>
      </c>
      <c r="L455" s="15"/>
      <c r="M455" s="15"/>
      <c r="N455" s="15"/>
      <c r="O455" s="15"/>
      <c r="P455" s="15"/>
      <c r="Q455" s="15"/>
      <c r="R455" s="15"/>
      <c r="S455" s="15"/>
      <c r="T455" s="15"/>
      <c r="U455" s="15"/>
      <c r="V455" s="15"/>
      <c r="W455" s="15"/>
      <c r="X455" s="15"/>
      <c r="Y455" s="15"/>
      <c r="Z455" s="16"/>
    </row>
    <row r="456">
      <c r="A456" s="12" t="s">
        <v>1335</v>
      </c>
      <c r="B456" s="13" t="s">
        <v>1336</v>
      </c>
      <c r="C456" s="13" t="s">
        <v>28</v>
      </c>
      <c r="D456" s="13" t="s">
        <v>28</v>
      </c>
      <c r="E456" s="14">
        <v>500.0</v>
      </c>
      <c r="F456" s="13" t="s">
        <v>584</v>
      </c>
      <c r="G456" s="13" t="s">
        <v>1337</v>
      </c>
      <c r="H456" s="14">
        <v>-1.0</v>
      </c>
      <c r="I456" s="14">
        <v>-1.0</v>
      </c>
      <c r="J456" s="14">
        <v>-1.0</v>
      </c>
      <c r="K456" s="13" t="s">
        <v>1338</v>
      </c>
      <c r="L456" s="15"/>
      <c r="M456" s="15"/>
      <c r="N456" s="15"/>
      <c r="O456" s="15"/>
      <c r="P456" s="15"/>
      <c r="Q456" s="15"/>
      <c r="R456" s="15"/>
      <c r="S456" s="15"/>
      <c r="T456" s="15"/>
      <c r="U456" s="15"/>
      <c r="V456" s="15"/>
      <c r="W456" s="15"/>
      <c r="X456" s="15"/>
      <c r="Y456" s="15"/>
      <c r="Z456" s="16"/>
    </row>
    <row r="457">
      <c r="A457" s="12" t="s">
        <v>1339</v>
      </c>
      <c r="B457" s="13" t="s">
        <v>1340</v>
      </c>
      <c r="C457" s="13" t="s">
        <v>28</v>
      </c>
      <c r="D457" s="13" t="s">
        <v>28</v>
      </c>
      <c r="E457" s="14">
        <v>500.0</v>
      </c>
      <c r="F457" s="13" t="s">
        <v>584</v>
      </c>
      <c r="G457" s="13" t="s">
        <v>1337</v>
      </c>
      <c r="H457" s="14">
        <v>-1.0</v>
      </c>
      <c r="I457" s="14">
        <v>-1.0</v>
      </c>
      <c r="J457" s="14">
        <v>-1.0</v>
      </c>
      <c r="K457" s="13" t="s">
        <v>1341</v>
      </c>
      <c r="L457" s="15"/>
      <c r="M457" s="15"/>
      <c r="N457" s="15"/>
      <c r="O457" s="15"/>
      <c r="P457" s="15"/>
      <c r="Q457" s="15"/>
      <c r="R457" s="15"/>
      <c r="S457" s="15"/>
      <c r="T457" s="15"/>
      <c r="U457" s="15"/>
      <c r="V457" s="15"/>
      <c r="W457" s="15"/>
      <c r="X457" s="15"/>
      <c r="Y457" s="15"/>
      <c r="Z457" s="16"/>
    </row>
    <row r="458">
      <c r="A458" s="12" t="s">
        <v>1342</v>
      </c>
      <c r="B458" s="13" t="s">
        <v>1343</v>
      </c>
      <c r="C458" s="13" t="s">
        <v>28</v>
      </c>
      <c r="D458" s="13" t="s">
        <v>28</v>
      </c>
      <c r="E458" s="14">
        <v>500.0</v>
      </c>
      <c r="F458" s="13" t="s">
        <v>584</v>
      </c>
      <c r="G458" s="13" t="s">
        <v>1337</v>
      </c>
      <c r="H458" s="14">
        <v>-1.0</v>
      </c>
      <c r="I458" s="14">
        <v>-1.0</v>
      </c>
      <c r="J458" s="14">
        <v>-1.0</v>
      </c>
      <c r="K458" s="13" t="s">
        <v>1344</v>
      </c>
      <c r="L458" s="15"/>
      <c r="M458" s="15"/>
      <c r="N458" s="15"/>
      <c r="O458" s="15"/>
      <c r="P458" s="15"/>
      <c r="Q458" s="15"/>
      <c r="R458" s="15"/>
      <c r="S458" s="15"/>
      <c r="T458" s="15"/>
      <c r="U458" s="15"/>
      <c r="V458" s="15"/>
      <c r="W458" s="15"/>
      <c r="X458" s="15"/>
      <c r="Y458" s="15"/>
      <c r="Z458" s="16"/>
    </row>
    <row r="459">
      <c r="A459" s="12" t="s">
        <v>1345</v>
      </c>
      <c r="B459" s="13" t="s">
        <v>1346</v>
      </c>
      <c r="C459" s="13" t="s">
        <v>28</v>
      </c>
      <c r="D459" s="13" t="s">
        <v>28</v>
      </c>
      <c r="E459" s="14">
        <v>500.0</v>
      </c>
      <c r="F459" s="13" t="s">
        <v>584</v>
      </c>
      <c r="G459" s="13" t="s">
        <v>1226</v>
      </c>
      <c r="H459" s="14">
        <v>-1.0</v>
      </c>
      <c r="I459" s="14">
        <v>-1.0</v>
      </c>
      <c r="J459" s="14">
        <v>-1.0</v>
      </c>
      <c r="K459" s="13" t="s">
        <v>1347</v>
      </c>
      <c r="L459" s="15"/>
      <c r="M459" s="15"/>
      <c r="N459" s="15"/>
      <c r="O459" s="15"/>
      <c r="P459" s="15"/>
      <c r="Q459" s="15"/>
      <c r="R459" s="15"/>
      <c r="S459" s="15"/>
      <c r="T459" s="15"/>
      <c r="U459" s="15"/>
      <c r="V459" s="15"/>
      <c r="W459" s="15"/>
      <c r="X459" s="15"/>
      <c r="Y459" s="15"/>
      <c r="Z459" s="16"/>
    </row>
    <row r="460">
      <c r="A460" s="12" t="s">
        <v>1348</v>
      </c>
      <c r="B460" s="13" t="s">
        <v>1349</v>
      </c>
      <c r="C460" s="13" t="s">
        <v>28</v>
      </c>
      <c r="D460" s="13" t="s">
        <v>28</v>
      </c>
      <c r="E460" s="14">
        <v>500.0</v>
      </c>
      <c r="F460" s="13" t="s">
        <v>584</v>
      </c>
      <c r="G460" s="13" t="s">
        <v>1350</v>
      </c>
      <c r="H460" s="14">
        <v>-1.0</v>
      </c>
      <c r="I460" s="14">
        <v>-1.0</v>
      </c>
      <c r="J460" s="14">
        <v>-1.0</v>
      </c>
      <c r="K460" s="13" t="s">
        <v>1351</v>
      </c>
      <c r="L460" s="15"/>
      <c r="M460" s="15"/>
      <c r="N460" s="15"/>
      <c r="O460" s="15"/>
      <c r="P460" s="15"/>
      <c r="Q460" s="15"/>
      <c r="R460" s="15"/>
      <c r="S460" s="15"/>
      <c r="T460" s="15"/>
      <c r="U460" s="15"/>
      <c r="V460" s="15"/>
      <c r="W460" s="15"/>
      <c r="X460" s="15"/>
      <c r="Y460" s="15"/>
      <c r="Z460" s="16"/>
    </row>
    <row r="461">
      <c r="A461" s="12" t="s">
        <v>1352</v>
      </c>
      <c r="B461" s="13" t="s">
        <v>1353</v>
      </c>
      <c r="C461" s="13" t="s">
        <v>28</v>
      </c>
      <c r="D461" s="13" t="s">
        <v>28</v>
      </c>
      <c r="E461" s="14">
        <v>500.0</v>
      </c>
      <c r="F461" s="13" t="s">
        <v>584</v>
      </c>
      <c r="G461" s="13" t="s">
        <v>1226</v>
      </c>
      <c r="H461" s="14">
        <v>-1.0</v>
      </c>
      <c r="I461" s="14">
        <v>-1.0</v>
      </c>
      <c r="J461" s="14">
        <v>-1.0</v>
      </c>
      <c r="K461" s="13" t="s">
        <v>1354</v>
      </c>
      <c r="L461" s="15"/>
      <c r="M461" s="15"/>
      <c r="N461" s="15"/>
      <c r="O461" s="15"/>
      <c r="P461" s="15"/>
      <c r="Q461" s="15"/>
      <c r="R461" s="15"/>
      <c r="S461" s="15"/>
      <c r="T461" s="15"/>
      <c r="U461" s="15"/>
      <c r="V461" s="15"/>
      <c r="W461" s="15"/>
      <c r="X461" s="15"/>
      <c r="Y461" s="15"/>
      <c r="Z461" s="16"/>
    </row>
    <row r="462">
      <c r="A462" s="12" t="s">
        <v>1355</v>
      </c>
      <c r="B462" s="13" t="s">
        <v>1356</v>
      </c>
      <c r="C462" s="13" t="s">
        <v>28</v>
      </c>
      <c r="D462" s="13" t="s">
        <v>28</v>
      </c>
      <c r="E462" s="14">
        <v>500.0</v>
      </c>
      <c r="F462" s="13" t="s">
        <v>584</v>
      </c>
      <c r="G462" s="13" t="s">
        <v>1226</v>
      </c>
      <c r="H462" s="14">
        <v>-1.0</v>
      </c>
      <c r="I462" s="14">
        <v>-1.0</v>
      </c>
      <c r="J462" s="14">
        <v>-1.0</v>
      </c>
      <c r="K462" s="13" t="s">
        <v>1357</v>
      </c>
      <c r="L462" s="15"/>
      <c r="M462" s="15"/>
      <c r="N462" s="15"/>
      <c r="O462" s="15"/>
      <c r="P462" s="15"/>
      <c r="Q462" s="15"/>
      <c r="R462" s="15"/>
      <c r="S462" s="15"/>
      <c r="T462" s="15"/>
      <c r="U462" s="15"/>
      <c r="V462" s="15"/>
      <c r="W462" s="15"/>
      <c r="X462" s="15"/>
      <c r="Y462" s="15"/>
      <c r="Z462" s="16"/>
    </row>
    <row r="463">
      <c r="A463" s="12" t="s">
        <v>1358</v>
      </c>
      <c r="B463" s="13" t="s">
        <v>1359</v>
      </c>
      <c r="C463" s="13" t="s">
        <v>28</v>
      </c>
      <c r="D463" s="13" t="s">
        <v>28</v>
      </c>
      <c r="E463" s="14">
        <v>464.0</v>
      </c>
      <c r="F463" s="13" t="s">
        <v>584</v>
      </c>
      <c r="G463" s="13" t="s">
        <v>1360</v>
      </c>
      <c r="H463" s="14">
        <v>950.0</v>
      </c>
      <c r="I463" s="14">
        <v>1675.0</v>
      </c>
      <c r="J463" s="14">
        <v>1585.0</v>
      </c>
      <c r="K463" s="13" t="s">
        <v>1361</v>
      </c>
      <c r="L463" s="15"/>
      <c r="M463" s="15"/>
      <c r="N463" s="15"/>
      <c r="O463" s="15"/>
      <c r="P463" s="15"/>
      <c r="Q463" s="15"/>
      <c r="R463" s="15"/>
      <c r="S463" s="15"/>
      <c r="T463" s="15"/>
      <c r="U463" s="15"/>
      <c r="V463" s="15"/>
      <c r="W463" s="15"/>
      <c r="X463" s="15"/>
      <c r="Y463" s="15"/>
      <c r="Z463" s="16"/>
    </row>
    <row r="464">
      <c r="A464" s="18"/>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c r="A465" s="18"/>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6"/>
    </row>
    <row r="466">
      <c r="A466" s="18"/>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c r="A467" s="18"/>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6"/>
    </row>
    <row r="468">
      <c r="A468" s="18"/>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c r="A469" s="18"/>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6"/>
    </row>
    <row r="470">
      <c r="A470" s="18"/>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c r="A471" s="18"/>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6"/>
    </row>
    <row r="472">
      <c r="A472" s="18"/>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c r="A473" s="18"/>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6"/>
    </row>
    <row r="474">
      <c r="A474" s="18"/>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c r="A475" s="18"/>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6"/>
    </row>
    <row r="476">
      <c r="A476" s="18"/>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c r="A477" s="18"/>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6"/>
    </row>
    <row r="478">
      <c r="A478" s="18"/>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c r="A479" s="18"/>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6"/>
    </row>
    <row r="480">
      <c r="A480" s="18"/>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c r="A481" s="18"/>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6"/>
    </row>
    <row r="482">
      <c r="A482" s="18"/>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c r="A483" s="18"/>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6"/>
    </row>
    <row r="484">
      <c r="A484" s="18"/>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c r="A485" s="18"/>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6"/>
    </row>
    <row r="486">
      <c r="A486" s="18"/>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c r="A487" s="18"/>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6"/>
    </row>
    <row r="488">
      <c r="A488" s="18"/>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c r="A489" s="18"/>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6"/>
    </row>
    <row r="490">
      <c r="A490" s="18"/>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c r="A491" s="18"/>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6"/>
    </row>
    <row r="492">
      <c r="A492" s="18"/>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c r="A493" s="18"/>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6"/>
    </row>
    <row r="494">
      <c r="A494" s="18"/>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c r="A495" s="18"/>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6"/>
    </row>
    <row r="496">
      <c r="A496" s="18"/>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c r="A497" s="18"/>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6"/>
    </row>
    <row r="498">
      <c r="A498" s="18"/>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c r="A499" s="18"/>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6"/>
    </row>
    <row r="500">
      <c r="A500" s="18"/>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c r="A501" s="18"/>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6"/>
    </row>
    <row r="502">
      <c r="A502" s="18"/>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c r="A503" s="18"/>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6"/>
    </row>
    <row r="504">
      <c r="A504" s="18"/>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c r="A505" s="18"/>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6"/>
    </row>
    <row r="506">
      <c r="A506" s="18"/>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c r="A507" s="18"/>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6"/>
    </row>
    <row r="508">
      <c r="A508" s="18"/>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c r="A509" s="18"/>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6"/>
    </row>
    <row r="510">
      <c r="A510" s="18"/>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c r="A511" s="18"/>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6"/>
    </row>
    <row r="512">
      <c r="A512" s="18"/>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c r="A513" s="18"/>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6"/>
    </row>
    <row r="514">
      <c r="A514" s="18"/>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c r="A515" s="18"/>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6"/>
    </row>
    <row r="516">
      <c r="A516" s="18"/>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c r="A517" s="18"/>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6"/>
    </row>
    <row r="518">
      <c r="A518" s="18"/>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c r="A519" s="18"/>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6"/>
    </row>
    <row r="520">
      <c r="A520" s="18"/>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c r="A521" s="18"/>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6"/>
    </row>
    <row r="522">
      <c r="A522" s="18"/>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c r="A523" s="18"/>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6"/>
    </row>
    <row r="524">
      <c r="A524" s="18"/>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c r="A525" s="18"/>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6"/>
    </row>
    <row r="526">
      <c r="A526" s="18"/>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c r="A527" s="18"/>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6"/>
    </row>
    <row r="528">
      <c r="A528" s="18"/>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c r="A529" s="18"/>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6"/>
    </row>
    <row r="530">
      <c r="A530" s="18"/>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c r="A531" s="18"/>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6"/>
    </row>
    <row r="532">
      <c r="A532" s="18"/>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c r="A533" s="18"/>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6"/>
    </row>
    <row r="534">
      <c r="A534" s="18"/>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c r="A535" s="18"/>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6"/>
    </row>
    <row r="536">
      <c r="A536" s="18"/>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c r="A537" s="18"/>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6"/>
    </row>
    <row r="538">
      <c r="A538" s="18"/>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c r="A539" s="18"/>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6"/>
    </row>
    <row r="540">
      <c r="A540" s="18"/>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c r="A541" s="18"/>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6"/>
    </row>
    <row r="542">
      <c r="A542" s="18"/>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c r="A543" s="18"/>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6"/>
    </row>
    <row r="544">
      <c r="A544" s="18"/>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c r="A545" s="18"/>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6"/>
    </row>
    <row r="546">
      <c r="A546" s="18"/>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c r="A547" s="18"/>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6"/>
    </row>
    <row r="548">
      <c r="A548" s="18"/>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c r="A549" s="18"/>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6"/>
    </row>
    <row r="550">
      <c r="A550" s="18"/>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c r="A551" s="18"/>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6"/>
    </row>
    <row r="552">
      <c r="A552" s="18"/>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c r="A553" s="18"/>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6"/>
    </row>
    <row r="554">
      <c r="A554" s="18"/>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c r="A555" s="18"/>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6"/>
    </row>
    <row r="556">
      <c r="A556" s="18"/>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c r="A557" s="18"/>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6"/>
    </row>
    <row r="558">
      <c r="A558" s="18"/>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c r="A559" s="18"/>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6"/>
    </row>
    <row r="560">
      <c r="A560" s="18"/>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c r="A561" s="18"/>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6"/>
    </row>
    <row r="562">
      <c r="A562" s="18"/>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c r="A563" s="18"/>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6"/>
    </row>
    <row r="564">
      <c r="A564" s="18"/>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c r="A565" s="18"/>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6"/>
    </row>
    <row r="566">
      <c r="A566" s="18"/>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c r="A567" s="18"/>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6"/>
    </row>
    <row r="568">
      <c r="A568" s="18"/>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c r="A569" s="18"/>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6"/>
    </row>
    <row r="570">
      <c r="A570" s="18"/>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c r="A571" s="18"/>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6"/>
    </row>
    <row r="572">
      <c r="A572" s="18"/>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c r="A573" s="18"/>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6"/>
    </row>
    <row r="574">
      <c r="A574" s="18"/>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c r="A575" s="18"/>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6"/>
    </row>
    <row r="576">
      <c r="A576" s="18"/>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c r="A577" s="18"/>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6"/>
    </row>
    <row r="578">
      <c r="A578" s="18"/>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c r="A579" s="18"/>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6"/>
    </row>
    <row r="580">
      <c r="A580" s="18"/>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c r="A581" s="18"/>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6"/>
    </row>
    <row r="582">
      <c r="A582" s="18"/>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c r="A583" s="18"/>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6"/>
    </row>
    <row r="584">
      <c r="A584" s="18"/>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c r="A585" s="18"/>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6"/>
    </row>
    <row r="586">
      <c r="A586" s="18"/>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c r="A587" s="18"/>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6"/>
    </row>
    <row r="588">
      <c r="A588" s="18"/>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c r="A589" s="18"/>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6"/>
    </row>
    <row r="590">
      <c r="A590" s="18"/>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c r="A591" s="18"/>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6"/>
    </row>
    <row r="592">
      <c r="A592" s="18"/>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c r="A593" s="18"/>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6"/>
    </row>
    <row r="594">
      <c r="A594" s="18"/>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c r="A595" s="18"/>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6"/>
    </row>
    <row r="596">
      <c r="A596" s="18"/>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c r="A597" s="18"/>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6"/>
    </row>
    <row r="598">
      <c r="A598" s="18"/>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c r="A599" s="18"/>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6"/>
    </row>
    <row r="600">
      <c r="A600" s="18"/>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c r="A601" s="18"/>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6"/>
    </row>
    <row r="602">
      <c r="A602" s="18"/>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c r="A603" s="18"/>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6"/>
    </row>
    <row r="604">
      <c r="A604" s="18"/>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c r="A605" s="18"/>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6"/>
    </row>
    <row r="606">
      <c r="A606" s="18"/>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c r="A607" s="18"/>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6"/>
    </row>
    <row r="608">
      <c r="A608" s="18"/>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c r="A609" s="18"/>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6"/>
    </row>
    <row r="610">
      <c r="A610" s="18"/>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c r="A611" s="18"/>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6"/>
    </row>
    <row r="612">
      <c r="A612" s="18"/>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c r="A613" s="18"/>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6"/>
    </row>
    <row r="614">
      <c r="A614" s="18"/>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c r="A615" s="18"/>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6"/>
    </row>
    <row r="616">
      <c r="A616" s="18"/>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c r="A617" s="18"/>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6"/>
    </row>
    <row r="618">
      <c r="A618" s="18"/>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c r="A619" s="18"/>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6"/>
    </row>
    <row r="620">
      <c r="A620" s="18"/>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c r="A621" s="18"/>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6"/>
    </row>
    <row r="622">
      <c r="A622" s="18"/>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c r="A623" s="18"/>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6"/>
    </row>
    <row r="624">
      <c r="A624" s="18"/>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c r="A625" s="18"/>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6"/>
    </row>
    <row r="626">
      <c r="A626" s="18"/>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c r="A627" s="18"/>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6"/>
    </row>
    <row r="628">
      <c r="A628" s="18"/>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c r="A629" s="18"/>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6"/>
    </row>
    <row r="630">
      <c r="A630" s="18"/>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c r="A631" s="18"/>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6"/>
    </row>
    <row r="632">
      <c r="A632" s="18"/>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c r="A633" s="18"/>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6"/>
    </row>
    <row r="634">
      <c r="A634" s="18"/>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c r="A635" s="18"/>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6"/>
    </row>
    <row r="636">
      <c r="A636" s="18"/>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c r="A637" s="18"/>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6"/>
    </row>
    <row r="638">
      <c r="A638" s="18"/>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c r="A639" s="18"/>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6"/>
    </row>
    <row r="640">
      <c r="A640" s="18"/>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c r="A641" s="18"/>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6"/>
    </row>
    <row r="642">
      <c r="A642" s="18"/>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c r="A643" s="18"/>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6"/>
    </row>
    <row r="644">
      <c r="A644" s="18"/>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c r="A645" s="18"/>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6"/>
    </row>
    <row r="646">
      <c r="A646" s="18"/>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c r="A647" s="18"/>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6"/>
    </row>
    <row r="648">
      <c r="A648" s="18"/>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c r="A649" s="18"/>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6"/>
    </row>
    <row r="650">
      <c r="A650" s="18"/>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c r="A651" s="18"/>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6"/>
    </row>
    <row r="652">
      <c r="A652" s="18"/>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c r="A653" s="18"/>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6"/>
    </row>
    <row r="654">
      <c r="A654" s="18"/>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c r="A655" s="18"/>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6"/>
    </row>
    <row r="656">
      <c r="A656" s="18"/>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c r="A657" s="18"/>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6"/>
    </row>
    <row r="658">
      <c r="A658" s="18"/>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c r="A659" s="18"/>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6"/>
    </row>
    <row r="660">
      <c r="A660" s="18"/>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c r="A661" s="18"/>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6"/>
    </row>
    <row r="662">
      <c r="A662" s="18"/>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c r="A663" s="18"/>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6"/>
    </row>
    <row r="664">
      <c r="A664" s="18"/>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c r="A665" s="18"/>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6"/>
    </row>
    <row r="666">
      <c r="A666" s="18"/>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c r="A667" s="18"/>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6"/>
    </row>
    <row r="668">
      <c r="A668" s="18"/>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c r="A669" s="18"/>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6"/>
    </row>
    <row r="670">
      <c r="A670" s="18"/>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c r="A671" s="18"/>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6"/>
    </row>
    <row r="672">
      <c r="A672" s="18"/>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c r="A673" s="18"/>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6"/>
    </row>
    <row r="674">
      <c r="A674" s="18"/>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c r="A675" s="18"/>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6"/>
    </row>
    <row r="676">
      <c r="A676" s="18"/>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c r="A677" s="18"/>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6"/>
    </row>
    <row r="678">
      <c r="A678" s="18"/>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c r="A679" s="18"/>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6"/>
    </row>
    <row r="680">
      <c r="A680" s="18"/>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c r="A681" s="18"/>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6"/>
    </row>
    <row r="682">
      <c r="A682" s="18"/>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c r="A683" s="18"/>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6"/>
    </row>
    <row r="684">
      <c r="A684" s="18"/>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c r="A685" s="18"/>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6"/>
    </row>
    <row r="686">
      <c r="A686" s="18"/>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c r="A687" s="18"/>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6"/>
    </row>
    <row r="688">
      <c r="A688" s="18"/>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c r="A689" s="18"/>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6"/>
    </row>
    <row r="690">
      <c r="A690" s="18"/>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c r="A691" s="18"/>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6"/>
    </row>
    <row r="692">
      <c r="A692" s="18"/>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c r="A693" s="18"/>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6"/>
    </row>
    <row r="694">
      <c r="A694" s="18"/>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c r="A695" s="18"/>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6"/>
    </row>
    <row r="696">
      <c r="A696" s="18"/>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c r="A697" s="18"/>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6"/>
    </row>
    <row r="698">
      <c r="A698" s="18"/>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c r="A699" s="18"/>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6"/>
    </row>
    <row r="700">
      <c r="A700" s="18"/>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c r="A701" s="18"/>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6"/>
    </row>
    <row r="702">
      <c r="A702" s="18"/>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c r="A703" s="18"/>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6"/>
    </row>
    <row r="704">
      <c r="A704" s="18"/>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c r="A705" s="18"/>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6"/>
    </row>
    <row r="706">
      <c r="A706" s="18"/>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c r="A707" s="18"/>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6"/>
    </row>
    <row r="708">
      <c r="A708" s="18"/>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c r="A709" s="18"/>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6"/>
    </row>
    <row r="710">
      <c r="A710" s="18"/>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c r="A711" s="18"/>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6"/>
    </row>
    <row r="712">
      <c r="A712" s="18"/>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c r="A713" s="18"/>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6"/>
    </row>
    <row r="714">
      <c r="A714" s="18"/>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c r="A715" s="18"/>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6"/>
    </row>
    <row r="716">
      <c r="A716" s="18"/>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c r="A717" s="18"/>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6"/>
    </row>
    <row r="718">
      <c r="A718" s="18"/>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c r="A719" s="18"/>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6"/>
    </row>
    <row r="720">
      <c r="A720" s="18"/>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c r="A721" s="18"/>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6"/>
    </row>
    <row r="722">
      <c r="A722" s="18"/>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c r="A723" s="18"/>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6"/>
    </row>
    <row r="724">
      <c r="A724" s="18"/>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c r="A725" s="18"/>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6"/>
    </row>
    <row r="726">
      <c r="A726" s="18"/>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c r="A727" s="18"/>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6"/>
    </row>
    <row r="728">
      <c r="A728" s="18"/>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c r="A729" s="18"/>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6"/>
    </row>
    <row r="730">
      <c r="A730" s="18"/>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c r="A731" s="18"/>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6"/>
    </row>
    <row r="732">
      <c r="A732" s="18"/>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c r="A733" s="18"/>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6"/>
    </row>
    <row r="734">
      <c r="A734" s="18"/>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c r="A735" s="18"/>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6"/>
    </row>
    <row r="736">
      <c r="A736" s="18"/>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c r="A737" s="18"/>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6"/>
    </row>
    <row r="738">
      <c r="A738" s="18"/>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c r="A739" s="18"/>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6"/>
    </row>
    <row r="740">
      <c r="A740" s="18"/>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c r="A741" s="18"/>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6"/>
    </row>
    <row r="742">
      <c r="A742" s="18"/>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c r="A743" s="18"/>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6"/>
    </row>
    <row r="744">
      <c r="A744" s="18"/>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c r="A745" s="18"/>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6"/>
    </row>
    <row r="746">
      <c r="A746" s="18"/>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c r="A747" s="18"/>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6"/>
    </row>
    <row r="748">
      <c r="A748" s="18"/>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c r="A749" s="18"/>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6"/>
    </row>
    <row r="750">
      <c r="A750" s="18"/>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c r="A751" s="18"/>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6"/>
    </row>
    <row r="752">
      <c r="A752" s="18"/>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c r="A753" s="18"/>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6"/>
    </row>
    <row r="754">
      <c r="A754" s="18"/>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c r="A755" s="18"/>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6"/>
    </row>
    <row r="756">
      <c r="A756" s="18"/>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c r="A757" s="18"/>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6"/>
    </row>
    <row r="758">
      <c r="A758" s="18"/>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c r="A759" s="18"/>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6"/>
    </row>
    <row r="760">
      <c r="A760" s="18"/>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c r="A761" s="18"/>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6"/>
    </row>
    <row r="762">
      <c r="A762" s="18"/>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c r="A763" s="18"/>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6"/>
    </row>
    <row r="764">
      <c r="A764" s="18"/>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c r="A765" s="18"/>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6"/>
    </row>
    <row r="766">
      <c r="A766" s="18"/>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c r="A767" s="18"/>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6"/>
    </row>
    <row r="768">
      <c r="A768" s="18"/>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c r="A769" s="18"/>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6"/>
    </row>
    <row r="770">
      <c r="A770" s="18"/>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c r="A771" s="18"/>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6"/>
    </row>
    <row r="772">
      <c r="A772" s="18"/>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c r="A773" s="18"/>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6"/>
    </row>
    <row r="774">
      <c r="A774" s="18"/>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c r="A775" s="18"/>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6"/>
    </row>
    <row r="776">
      <c r="A776" s="18"/>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c r="A777" s="18"/>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6"/>
    </row>
    <row r="778">
      <c r="A778" s="18"/>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c r="A779" s="18"/>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6"/>
    </row>
    <row r="780">
      <c r="A780" s="18"/>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c r="A781" s="18"/>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6"/>
    </row>
    <row r="782">
      <c r="A782" s="18"/>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c r="A783" s="18"/>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6"/>
    </row>
    <row r="784">
      <c r="A784" s="18"/>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c r="A785" s="18"/>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6"/>
    </row>
    <row r="786">
      <c r="A786" s="18"/>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c r="A787" s="18"/>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6"/>
    </row>
    <row r="788">
      <c r="A788" s="18"/>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c r="A789" s="18"/>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6"/>
    </row>
    <row r="790">
      <c r="A790" s="18"/>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c r="A791" s="18"/>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6"/>
    </row>
    <row r="792">
      <c r="A792" s="18"/>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c r="A793" s="18"/>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6"/>
    </row>
    <row r="794">
      <c r="A794" s="18"/>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c r="A795" s="18"/>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6"/>
    </row>
    <row r="796">
      <c r="A796" s="18"/>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c r="A797" s="18"/>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6"/>
    </row>
    <row r="798">
      <c r="A798" s="18"/>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c r="A799" s="18"/>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6"/>
    </row>
    <row r="800">
      <c r="A800" s="18"/>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c r="A801" s="18"/>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6"/>
    </row>
    <row r="802">
      <c r="A802" s="18"/>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c r="A803" s="18"/>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6"/>
    </row>
    <row r="804">
      <c r="A804" s="18"/>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c r="A805" s="18"/>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6"/>
    </row>
    <row r="806">
      <c r="A806" s="18"/>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c r="A807" s="18"/>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6"/>
    </row>
    <row r="808">
      <c r="A808" s="18"/>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c r="A809" s="18"/>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6"/>
    </row>
    <row r="810">
      <c r="A810" s="18"/>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c r="A811" s="18"/>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6"/>
    </row>
    <row r="812">
      <c r="A812" s="18"/>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c r="A813" s="18"/>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6"/>
    </row>
    <row r="814">
      <c r="A814" s="18"/>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c r="A815" s="18"/>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6"/>
    </row>
    <row r="816">
      <c r="A816" s="18"/>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c r="A817" s="18"/>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6"/>
    </row>
    <row r="818">
      <c r="A818" s="18"/>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c r="A819" s="18"/>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6"/>
    </row>
    <row r="820">
      <c r="A820" s="18"/>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c r="A821" s="18"/>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6"/>
    </row>
    <row r="822">
      <c r="A822" s="18"/>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c r="A823" s="18"/>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6"/>
    </row>
    <row r="824">
      <c r="A824" s="18"/>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c r="A825" s="18"/>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6"/>
    </row>
    <row r="826">
      <c r="A826" s="18"/>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c r="A827" s="18"/>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6"/>
    </row>
    <row r="828">
      <c r="A828" s="18"/>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c r="A829" s="18"/>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6"/>
    </row>
    <row r="830">
      <c r="A830" s="18"/>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c r="A831" s="18"/>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6"/>
    </row>
    <row r="832">
      <c r="A832" s="18"/>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c r="A833" s="18"/>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6"/>
    </row>
    <row r="834">
      <c r="A834" s="18"/>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c r="A835" s="18"/>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6"/>
    </row>
    <row r="836">
      <c r="A836" s="18"/>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c r="A837" s="18"/>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6"/>
    </row>
    <row r="838">
      <c r="A838" s="18"/>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c r="A839" s="18"/>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6"/>
    </row>
    <row r="840">
      <c r="A840" s="18"/>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c r="A841" s="18"/>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6"/>
    </row>
    <row r="842">
      <c r="A842" s="18"/>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c r="A843" s="18"/>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6"/>
    </row>
    <row r="844">
      <c r="A844" s="18"/>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c r="A845" s="18"/>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6"/>
    </row>
    <row r="846">
      <c r="A846" s="18"/>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c r="A847" s="18"/>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6"/>
    </row>
    <row r="848">
      <c r="A848" s="18"/>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c r="A849" s="18"/>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6"/>
    </row>
    <row r="850">
      <c r="A850" s="18"/>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c r="A851" s="18"/>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6"/>
    </row>
    <row r="852">
      <c r="A852" s="18"/>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c r="A853" s="18"/>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6"/>
    </row>
    <row r="854">
      <c r="A854" s="18"/>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c r="A855" s="18"/>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6"/>
    </row>
    <row r="856">
      <c r="A856" s="18"/>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c r="A857" s="18"/>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6"/>
    </row>
    <row r="858">
      <c r="A858" s="18"/>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c r="A859" s="18"/>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6"/>
    </row>
    <row r="860">
      <c r="A860" s="18"/>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c r="A861" s="18"/>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6"/>
    </row>
    <row r="862">
      <c r="A862" s="18"/>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c r="A863" s="18"/>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6"/>
    </row>
    <row r="864">
      <c r="A864" s="18"/>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c r="A865" s="18"/>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6"/>
    </row>
    <row r="866">
      <c r="A866" s="18"/>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c r="A867" s="18"/>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6"/>
    </row>
    <row r="868">
      <c r="A868" s="18"/>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c r="A869" s="18"/>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6"/>
    </row>
    <row r="870">
      <c r="A870" s="18"/>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c r="A871" s="18"/>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6"/>
    </row>
    <row r="872">
      <c r="A872" s="18"/>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c r="A873" s="18"/>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6"/>
    </row>
    <row r="874">
      <c r="A874" s="18"/>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c r="A875" s="18"/>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6"/>
    </row>
    <row r="876">
      <c r="A876" s="18"/>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c r="A877" s="18"/>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6"/>
    </row>
    <row r="878">
      <c r="A878" s="18"/>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c r="A879" s="18"/>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6"/>
    </row>
    <row r="880">
      <c r="A880" s="18"/>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c r="A881" s="18"/>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6"/>
    </row>
    <row r="882">
      <c r="A882" s="18"/>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c r="A883" s="18"/>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6"/>
    </row>
    <row r="884">
      <c r="A884" s="18"/>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c r="A885" s="18"/>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6"/>
    </row>
    <row r="886">
      <c r="A886" s="18"/>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c r="A887" s="18"/>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6"/>
    </row>
    <row r="888">
      <c r="A888" s="18"/>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c r="A889" s="18"/>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6"/>
    </row>
    <row r="890">
      <c r="A890" s="18"/>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c r="A891" s="18"/>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6"/>
    </row>
    <row r="892">
      <c r="A892" s="18"/>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c r="A893" s="18"/>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6"/>
    </row>
    <row r="894">
      <c r="A894" s="18"/>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c r="A895" s="18"/>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6"/>
    </row>
    <row r="896">
      <c r="A896" s="18"/>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c r="A897" s="18"/>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6"/>
    </row>
    <row r="898">
      <c r="A898" s="18"/>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c r="A899" s="18"/>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6"/>
    </row>
    <row r="900">
      <c r="A900" s="18"/>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c r="A901" s="18"/>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6"/>
    </row>
    <row r="902">
      <c r="A902" s="18"/>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c r="A903" s="18"/>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6"/>
    </row>
    <row r="904">
      <c r="A904" s="18"/>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c r="A905" s="18"/>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6"/>
    </row>
    <row r="906">
      <c r="A906" s="18"/>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c r="A907" s="18"/>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6"/>
    </row>
    <row r="908">
      <c r="A908" s="18"/>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c r="A909" s="18"/>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6"/>
    </row>
    <row r="910">
      <c r="A910" s="18"/>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c r="A911" s="18"/>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6"/>
    </row>
    <row r="912">
      <c r="A912" s="18"/>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c r="A913" s="18"/>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6"/>
    </row>
    <row r="914">
      <c r="A914" s="18"/>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c r="A915" s="18"/>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6"/>
    </row>
    <row r="916">
      <c r="A916" s="18"/>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c r="A917" s="18"/>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6"/>
    </row>
    <row r="918">
      <c r="A918" s="18"/>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c r="A919" s="18"/>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6"/>
    </row>
    <row r="920">
      <c r="A920" s="18"/>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c r="A921" s="18"/>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6"/>
    </row>
    <row r="922">
      <c r="A922" s="18"/>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c r="A923" s="18"/>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6"/>
    </row>
    <row r="924">
      <c r="A924" s="18"/>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c r="A925" s="18"/>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6"/>
    </row>
    <row r="926">
      <c r="A926" s="18"/>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c r="A927" s="18"/>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6"/>
    </row>
    <row r="928">
      <c r="A928" s="18"/>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c r="A929" s="18"/>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6"/>
    </row>
    <row r="930">
      <c r="A930" s="18"/>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c r="A931" s="18"/>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6"/>
    </row>
    <row r="932">
      <c r="A932" s="18"/>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c r="A933" s="18"/>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6"/>
    </row>
    <row r="934">
      <c r="A934" s="18"/>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c r="A935" s="18"/>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6"/>
    </row>
    <row r="936">
      <c r="A936" s="18"/>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c r="A937" s="18"/>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6"/>
    </row>
    <row r="938">
      <c r="A938" s="18"/>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c r="A939" s="18"/>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6"/>
    </row>
    <row r="940">
      <c r="A940" s="18"/>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c r="A941" s="18"/>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6"/>
    </row>
    <row r="942">
      <c r="A942" s="18"/>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c r="A943" s="18"/>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6"/>
    </row>
    <row r="944">
      <c r="A944" s="18"/>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c r="A945" s="18"/>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6"/>
    </row>
    <row r="946">
      <c r="A946" s="18"/>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c r="A947" s="18"/>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6"/>
    </row>
    <row r="948">
      <c r="A948" s="18"/>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c r="A949" s="18"/>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6"/>
    </row>
    <row r="950">
      <c r="A950" s="18"/>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c r="A951" s="18"/>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6"/>
    </row>
    <row r="952">
      <c r="A952" s="18"/>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c r="A953" s="18"/>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6"/>
    </row>
    <row r="954">
      <c r="A954" s="18"/>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c r="A955" s="18"/>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6"/>
    </row>
    <row r="956">
      <c r="A956" s="18"/>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c r="A957" s="18"/>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6"/>
    </row>
    <row r="958">
      <c r="A958" s="18"/>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c r="A959" s="18"/>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6"/>
    </row>
    <row r="960">
      <c r="A960" s="18"/>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c r="A961" s="18"/>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6"/>
    </row>
    <row r="962">
      <c r="A962" s="18"/>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c r="A963" s="18"/>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6"/>
    </row>
    <row r="964">
      <c r="A964" s="18"/>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c r="A965" s="18"/>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6"/>
    </row>
    <row r="966">
      <c r="A966" s="18"/>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c r="A967" s="18"/>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6"/>
    </row>
    <row r="968">
      <c r="A968" s="18"/>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c r="A969" s="18"/>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6"/>
    </row>
    <row r="970">
      <c r="A970" s="18"/>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c r="A971" s="18"/>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6"/>
    </row>
    <row r="972">
      <c r="A972" s="18"/>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c r="A973" s="18"/>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6"/>
    </row>
    <row r="974">
      <c r="A974" s="18"/>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c r="A975" s="18"/>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6"/>
    </row>
    <row r="976">
      <c r="A976" s="18"/>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c r="A977" s="18"/>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6"/>
    </row>
    <row r="978">
      <c r="A978" s="18"/>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c r="A979" s="18"/>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6"/>
    </row>
    <row r="980">
      <c r="A980" s="18"/>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c r="A981" s="18"/>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6"/>
    </row>
    <row r="982">
      <c r="A982" s="18"/>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c r="A983" s="18"/>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6"/>
    </row>
    <row r="984">
      <c r="A984" s="18"/>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c r="A985" s="18"/>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6"/>
    </row>
    <row r="986">
      <c r="A986" s="18"/>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c r="A987" s="18"/>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6"/>
    </row>
    <row r="988">
      <c r="A988" s="18"/>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c r="A989" s="18"/>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6"/>
    </row>
    <row r="990">
      <c r="A990" s="18"/>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c r="A991" s="18"/>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6"/>
    </row>
    <row r="992">
      <c r="A992" s="18"/>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c r="A993" s="18"/>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6"/>
    </row>
    <row r="994">
      <c r="A994" s="18"/>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c r="A995" s="18"/>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6"/>
    </row>
    <row r="996">
      <c r="A996" s="18"/>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c r="A997" s="18"/>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row r="998">
      <c r="A998" s="18"/>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c r="A999" s="18"/>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6"/>
    </row>
    <row r="1000">
      <c r="A1000" s="19"/>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87.63"/>
    <col customWidth="1" min="3" max="4" width="18.88"/>
    <col customWidth="1" min="5" max="6" width="25.13"/>
    <col customWidth="1" min="7" max="7" width="75.13"/>
    <col customWidth="1" min="8" max="19" width="25.13"/>
    <col customWidth="1" min="20" max="20" width="50.13"/>
  </cols>
  <sheetData>
    <row r="1">
      <c r="A1" s="8" t="s">
        <v>15</v>
      </c>
      <c r="B1" s="9" t="s">
        <v>16</v>
      </c>
      <c r="C1" s="9" t="s">
        <v>17</v>
      </c>
      <c r="D1" s="9" t="s">
        <v>18</v>
      </c>
      <c r="E1" s="9" t="s">
        <v>19</v>
      </c>
      <c r="F1" s="9" t="s">
        <v>20</v>
      </c>
      <c r="G1" s="9" t="s">
        <v>21</v>
      </c>
      <c r="H1" s="9" t="s">
        <v>22</v>
      </c>
      <c r="I1" s="9" t="s">
        <v>23</v>
      </c>
      <c r="J1" s="9" t="s">
        <v>24</v>
      </c>
      <c r="K1" s="9" t="s">
        <v>25</v>
      </c>
      <c r="L1" s="10"/>
      <c r="M1" s="10"/>
      <c r="N1" s="10"/>
      <c r="O1" s="10"/>
      <c r="P1" s="10"/>
      <c r="Q1" s="10"/>
      <c r="R1" s="10"/>
      <c r="S1" s="10"/>
      <c r="T1" s="10"/>
      <c r="U1" s="10"/>
      <c r="V1" s="10"/>
      <c r="W1" s="10"/>
      <c r="X1" s="10"/>
      <c r="Y1" s="10"/>
      <c r="Z1" s="11"/>
    </row>
    <row r="2">
      <c r="A2" s="12" t="s">
        <v>1362</v>
      </c>
      <c r="B2" s="13" t="s">
        <v>1363</v>
      </c>
      <c r="C2" s="13" t="s">
        <v>1364</v>
      </c>
      <c r="D2" s="13" t="s">
        <v>1364</v>
      </c>
      <c r="E2" s="14">
        <v>568.0</v>
      </c>
      <c r="F2" s="13" t="s">
        <v>584</v>
      </c>
      <c r="G2" s="13" t="s">
        <v>1365</v>
      </c>
      <c r="H2" s="14">
        <v>950.0</v>
      </c>
      <c r="I2" s="14">
        <v>1675.0</v>
      </c>
      <c r="J2" s="14">
        <v>1585.0</v>
      </c>
      <c r="K2" s="13" t="s">
        <v>1366</v>
      </c>
      <c r="L2" s="15"/>
      <c r="M2" s="15"/>
      <c r="N2" s="15"/>
      <c r="O2" s="15"/>
      <c r="P2" s="15"/>
      <c r="Q2" s="15"/>
      <c r="R2" s="15"/>
      <c r="S2" s="15"/>
      <c r="T2" s="15"/>
      <c r="U2" s="15"/>
      <c r="V2" s="15"/>
      <c r="W2" s="15"/>
      <c r="X2" s="15"/>
      <c r="Y2" s="15"/>
      <c r="Z2" s="16"/>
    </row>
    <row r="3">
      <c r="A3" s="12" t="s">
        <v>1367</v>
      </c>
      <c r="B3" s="13" t="s">
        <v>1368</v>
      </c>
      <c r="C3" s="13" t="s">
        <v>1364</v>
      </c>
      <c r="D3" s="13" t="s">
        <v>1369</v>
      </c>
      <c r="E3" s="14">
        <v>4441.0</v>
      </c>
      <c r="F3" s="13" t="s">
        <v>537</v>
      </c>
      <c r="G3" s="13" t="s">
        <v>1370</v>
      </c>
      <c r="H3" s="14">
        <v>950.0</v>
      </c>
      <c r="I3" s="14">
        <v>1675.0</v>
      </c>
      <c r="J3" s="14">
        <v>1585.0</v>
      </c>
      <c r="K3" s="13" t="s">
        <v>1371</v>
      </c>
      <c r="L3" s="15"/>
      <c r="M3" s="15"/>
      <c r="N3" s="15"/>
      <c r="O3" s="15"/>
      <c r="P3" s="15"/>
      <c r="Q3" s="15"/>
      <c r="R3" s="15"/>
      <c r="S3" s="15"/>
      <c r="T3" s="15"/>
      <c r="U3" s="15"/>
      <c r="V3" s="15"/>
      <c r="W3" s="15"/>
      <c r="X3" s="15"/>
      <c r="Y3" s="15"/>
      <c r="Z3" s="16"/>
    </row>
    <row r="4">
      <c r="A4" s="12" t="s">
        <v>1372</v>
      </c>
      <c r="B4" s="13" t="s">
        <v>1373</v>
      </c>
      <c r="C4" s="13" t="s">
        <v>1364</v>
      </c>
      <c r="D4" s="13" t="s">
        <v>1369</v>
      </c>
      <c r="E4" s="14">
        <v>4317.0</v>
      </c>
      <c r="F4" s="13" t="s">
        <v>537</v>
      </c>
      <c r="G4" s="13" t="s">
        <v>1370</v>
      </c>
      <c r="H4" s="14">
        <v>950.0</v>
      </c>
      <c r="I4" s="14">
        <v>1675.0</v>
      </c>
      <c r="J4" s="14">
        <v>1585.0</v>
      </c>
      <c r="K4" s="13" t="s">
        <v>1374</v>
      </c>
      <c r="L4" s="15"/>
      <c r="M4" s="15"/>
      <c r="N4" s="15"/>
      <c r="O4" s="15"/>
      <c r="P4" s="15"/>
      <c r="Q4" s="15"/>
      <c r="R4" s="15"/>
      <c r="S4" s="15"/>
      <c r="T4" s="15"/>
      <c r="U4" s="15"/>
      <c r="V4" s="15"/>
      <c r="W4" s="15"/>
      <c r="X4" s="15"/>
      <c r="Y4" s="15"/>
      <c r="Z4" s="16"/>
    </row>
    <row r="5">
      <c r="A5" s="12" t="s">
        <v>1375</v>
      </c>
      <c r="B5" s="13" t="s">
        <v>1376</v>
      </c>
      <c r="C5" s="13" t="s">
        <v>1364</v>
      </c>
      <c r="D5" s="13" t="s">
        <v>1369</v>
      </c>
      <c r="E5" s="14">
        <v>2037.0</v>
      </c>
      <c r="F5" s="13" t="s">
        <v>537</v>
      </c>
      <c r="G5" s="13" t="s">
        <v>1365</v>
      </c>
      <c r="H5" s="14">
        <v>950.0</v>
      </c>
      <c r="I5" s="14">
        <v>1675.0</v>
      </c>
      <c r="J5" s="14">
        <v>1585.0</v>
      </c>
      <c r="K5" s="13" t="s">
        <v>1377</v>
      </c>
      <c r="L5" s="15"/>
      <c r="M5" s="15"/>
      <c r="N5" s="15"/>
      <c r="O5" s="15"/>
      <c r="P5" s="15"/>
      <c r="Q5" s="15"/>
      <c r="R5" s="15"/>
      <c r="S5" s="15"/>
      <c r="T5" s="15"/>
      <c r="U5" s="15"/>
      <c r="V5" s="15"/>
      <c r="W5" s="15"/>
      <c r="X5" s="15"/>
      <c r="Y5" s="15"/>
      <c r="Z5" s="16"/>
    </row>
    <row r="6">
      <c r="A6" s="12" t="s">
        <v>1378</v>
      </c>
      <c r="B6" s="13" t="s">
        <v>1379</v>
      </c>
      <c r="C6" s="13" t="s">
        <v>1364</v>
      </c>
      <c r="D6" s="13" t="s">
        <v>1364</v>
      </c>
      <c r="E6" s="14">
        <v>1077.0</v>
      </c>
      <c r="F6" s="13" t="s">
        <v>584</v>
      </c>
      <c r="G6" s="13" t="s">
        <v>1380</v>
      </c>
      <c r="H6" s="14">
        <v>950.0</v>
      </c>
      <c r="I6" s="14">
        <v>1675.0</v>
      </c>
      <c r="J6" s="14">
        <v>1585.0</v>
      </c>
      <c r="K6" s="13" t="s">
        <v>1381</v>
      </c>
      <c r="L6" s="15"/>
      <c r="M6" s="15"/>
      <c r="N6" s="15"/>
      <c r="O6" s="15"/>
      <c r="P6" s="15"/>
      <c r="Q6" s="15"/>
      <c r="R6" s="15"/>
      <c r="S6" s="15"/>
      <c r="T6" s="15"/>
      <c r="U6" s="15"/>
      <c r="V6" s="15"/>
      <c r="W6" s="15"/>
      <c r="X6" s="15"/>
      <c r="Y6" s="15"/>
      <c r="Z6" s="16"/>
    </row>
    <row r="7">
      <c r="A7" s="12" t="s">
        <v>1382</v>
      </c>
      <c r="B7" s="13" t="s">
        <v>1383</v>
      </c>
      <c r="C7" s="13" t="s">
        <v>1364</v>
      </c>
      <c r="D7" s="13" t="s">
        <v>1364</v>
      </c>
      <c r="E7" s="14">
        <v>1170.0</v>
      </c>
      <c r="F7" s="13" t="s">
        <v>584</v>
      </c>
      <c r="G7" s="13" t="s">
        <v>1384</v>
      </c>
      <c r="H7" s="14">
        <v>950.0</v>
      </c>
      <c r="I7" s="14">
        <v>1675.0</v>
      </c>
      <c r="J7" s="14">
        <v>1585.0</v>
      </c>
      <c r="K7" s="13" t="s">
        <v>1385</v>
      </c>
      <c r="L7" s="15"/>
      <c r="M7" s="15"/>
      <c r="N7" s="15"/>
      <c r="O7" s="15"/>
      <c r="P7" s="15"/>
      <c r="Q7" s="15"/>
      <c r="R7" s="15"/>
      <c r="S7" s="15"/>
      <c r="T7" s="15"/>
      <c r="U7" s="15"/>
      <c r="V7" s="15"/>
      <c r="W7" s="15"/>
      <c r="X7" s="15"/>
      <c r="Y7" s="15"/>
      <c r="Z7" s="16"/>
    </row>
    <row r="8">
      <c r="A8" s="12" t="s">
        <v>1386</v>
      </c>
      <c r="B8" s="13" t="s">
        <v>1387</v>
      </c>
      <c r="C8" s="13" t="s">
        <v>1364</v>
      </c>
      <c r="D8" s="13" t="s">
        <v>1388</v>
      </c>
      <c r="E8" s="14">
        <v>1195.0</v>
      </c>
      <c r="F8" s="13" t="s">
        <v>584</v>
      </c>
      <c r="G8" s="13" t="s">
        <v>1380</v>
      </c>
      <c r="H8" s="14">
        <v>950.0</v>
      </c>
      <c r="I8" s="14">
        <v>1675.0</v>
      </c>
      <c r="J8" s="14">
        <v>1585.0</v>
      </c>
      <c r="K8" s="13" t="s">
        <v>1389</v>
      </c>
      <c r="L8" s="15"/>
      <c r="M8" s="15"/>
      <c r="N8" s="15"/>
      <c r="O8" s="15"/>
      <c r="P8" s="15"/>
      <c r="Q8" s="15"/>
      <c r="R8" s="15"/>
      <c r="S8" s="15"/>
      <c r="T8" s="15"/>
      <c r="U8" s="15"/>
      <c r="V8" s="15"/>
      <c r="W8" s="15"/>
      <c r="X8" s="15"/>
      <c r="Y8" s="15"/>
      <c r="Z8" s="16"/>
    </row>
    <row r="9">
      <c r="A9" s="12" t="s">
        <v>1390</v>
      </c>
      <c r="B9" s="13" t="s">
        <v>1391</v>
      </c>
      <c r="C9" s="13" t="s">
        <v>1364</v>
      </c>
      <c r="D9" s="13" t="s">
        <v>1388</v>
      </c>
      <c r="E9" s="14">
        <v>909.0</v>
      </c>
      <c r="F9" s="13" t="s">
        <v>584</v>
      </c>
      <c r="G9" s="13" t="s">
        <v>1392</v>
      </c>
      <c r="H9" s="14">
        <v>950.0</v>
      </c>
      <c r="I9" s="14">
        <v>1675.0</v>
      </c>
      <c r="J9" s="14">
        <v>1585.0</v>
      </c>
      <c r="K9" s="13" t="s">
        <v>1393</v>
      </c>
      <c r="L9" s="15"/>
      <c r="M9" s="15"/>
      <c r="N9" s="15"/>
      <c r="O9" s="15"/>
      <c r="P9" s="15"/>
      <c r="Q9" s="15"/>
      <c r="R9" s="15"/>
      <c r="S9" s="15"/>
      <c r="T9" s="15"/>
      <c r="U9" s="15"/>
      <c r="V9" s="15"/>
      <c r="W9" s="15"/>
      <c r="X9" s="15"/>
      <c r="Y9" s="15"/>
      <c r="Z9" s="16"/>
    </row>
    <row r="10">
      <c r="A10" s="12" t="s">
        <v>1394</v>
      </c>
      <c r="B10" s="13" t="s">
        <v>1395</v>
      </c>
      <c r="C10" s="13" t="s">
        <v>1364</v>
      </c>
      <c r="D10" s="13" t="s">
        <v>1364</v>
      </c>
      <c r="E10" s="14">
        <v>735.0</v>
      </c>
      <c r="F10" s="13" t="s">
        <v>584</v>
      </c>
      <c r="G10" s="13" t="s">
        <v>1380</v>
      </c>
      <c r="H10" s="14">
        <v>950.0</v>
      </c>
      <c r="I10" s="14">
        <v>1675.0</v>
      </c>
      <c r="J10" s="14">
        <v>1585.0</v>
      </c>
      <c r="K10" s="13" t="s">
        <v>1396</v>
      </c>
      <c r="L10" s="15"/>
      <c r="M10" s="15"/>
      <c r="N10" s="15"/>
      <c r="O10" s="15"/>
      <c r="P10" s="15"/>
      <c r="Q10" s="15"/>
      <c r="R10" s="15"/>
      <c r="S10" s="15"/>
      <c r="T10" s="15"/>
      <c r="U10" s="15"/>
      <c r="V10" s="15"/>
      <c r="W10" s="15"/>
      <c r="X10" s="15"/>
      <c r="Y10" s="15"/>
      <c r="Z10" s="16"/>
    </row>
    <row r="11">
      <c r="A11" s="12" t="s">
        <v>1397</v>
      </c>
      <c r="B11" s="13" t="s">
        <v>1398</v>
      </c>
      <c r="C11" s="13" t="s">
        <v>1364</v>
      </c>
      <c r="D11" s="13" t="s">
        <v>1364</v>
      </c>
      <c r="E11" s="14">
        <v>882.0</v>
      </c>
      <c r="F11" s="13" t="s">
        <v>584</v>
      </c>
      <c r="G11" s="13" t="s">
        <v>1399</v>
      </c>
      <c r="H11" s="14">
        <v>950.0</v>
      </c>
      <c r="I11" s="14">
        <v>1675.0</v>
      </c>
      <c r="J11" s="14">
        <v>1585.0</v>
      </c>
      <c r="K11" s="13" t="s">
        <v>1400</v>
      </c>
      <c r="L11" s="15"/>
      <c r="M11" s="15"/>
      <c r="N11" s="15"/>
      <c r="O11" s="15"/>
      <c r="P11" s="15"/>
      <c r="Q11" s="15"/>
      <c r="R11" s="15"/>
      <c r="S11" s="15"/>
      <c r="T11" s="15"/>
      <c r="U11" s="15"/>
      <c r="V11" s="15"/>
      <c r="W11" s="15"/>
      <c r="X11" s="15"/>
      <c r="Y11" s="15"/>
      <c r="Z11" s="16"/>
    </row>
    <row r="12">
      <c r="A12" s="12" t="s">
        <v>1401</v>
      </c>
      <c r="B12" s="13" t="s">
        <v>1402</v>
      </c>
      <c r="C12" s="13" t="s">
        <v>1364</v>
      </c>
      <c r="D12" s="13" t="s">
        <v>1364</v>
      </c>
      <c r="E12" s="14">
        <v>257.0</v>
      </c>
      <c r="F12" s="13" t="s">
        <v>584</v>
      </c>
      <c r="G12" s="13" t="s">
        <v>1399</v>
      </c>
      <c r="H12" s="14">
        <v>950.0</v>
      </c>
      <c r="I12" s="14">
        <v>1675.0</v>
      </c>
      <c r="J12" s="14">
        <v>1585.0</v>
      </c>
      <c r="K12" s="13" t="s">
        <v>1403</v>
      </c>
      <c r="L12" s="15"/>
      <c r="M12" s="15"/>
      <c r="N12" s="15"/>
      <c r="O12" s="15"/>
      <c r="P12" s="15"/>
      <c r="Q12" s="15"/>
      <c r="R12" s="15"/>
      <c r="S12" s="15"/>
      <c r="T12" s="15"/>
      <c r="U12" s="15"/>
      <c r="V12" s="15"/>
      <c r="W12" s="15"/>
      <c r="X12" s="15"/>
      <c r="Y12" s="15"/>
      <c r="Z12" s="16"/>
    </row>
    <row r="13">
      <c r="A13" s="12" t="s">
        <v>1404</v>
      </c>
      <c r="B13" s="13" t="s">
        <v>1405</v>
      </c>
      <c r="C13" s="13" t="s">
        <v>1364</v>
      </c>
      <c r="D13" s="13" t="s">
        <v>1364</v>
      </c>
      <c r="E13" s="14">
        <v>367.0</v>
      </c>
      <c r="F13" s="13" t="s">
        <v>584</v>
      </c>
      <c r="G13" s="13" t="s">
        <v>1370</v>
      </c>
      <c r="H13" s="14">
        <v>950.0</v>
      </c>
      <c r="I13" s="14">
        <v>1675.0</v>
      </c>
      <c r="J13" s="14">
        <v>1585.0</v>
      </c>
      <c r="K13" s="13" t="s">
        <v>1406</v>
      </c>
      <c r="L13" s="15"/>
      <c r="M13" s="15"/>
      <c r="N13" s="15"/>
      <c r="O13" s="15"/>
      <c r="P13" s="15"/>
      <c r="Q13" s="15"/>
      <c r="R13" s="15"/>
      <c r="S13" s="15"/>
      <c r="T13" s="15"/>
      <c r="U13" s="15"/>
      <c r="V13" s="15"/>
      <c r="W13" s="15"/>
      <c r="X13" s="15"/>
      <c r="Y13" s="15"/>
      <c r="Z13" s="16"/>
    </row>
    <row r="14">
      <c r="A14" s="12" t="s">
        <v>1407</v>
      </c>
      <c r="B14" s="13" t="s">
        <v>1408</v>
      </c>
      <c r="C14" s="13" t="s">
        <v>1364</v>
      </c>
      <c r="D14" s="13" t="s">
        <v>1364</v>
      </c>
      <c r="E14" s="14">
        <v>481.0</v>
      </c>
      <c r="F14" s="13" t="s">
        <v>584</v>
      </c>
      <c r="G14" s="13" t="s">
        <v>1399</v>
      </c>
      <c r="H14" s="14">
        <v>950.0</v>
      </c>
      <c r="I14" s="14">
        <v>1675.0</v>
      </c>
      <c r="J14" s="14">
        <v>1585.0</v>
      </c>
      <c r="K14" s="13" t="s">
        <v>1409</v>
      </c>
      <c r="L14" s="15"/>
      <c r="M14" s="15"/>
      <c r="N14" s="15"/>
      <c r="O14" s="15"/>
      <c r="P14" s="15"/>
      <c r="Q14" s="15"/>
      <c r="R14" s="15"/>
      <c r="S14" s="15"/>
      <c r="T14" s="15"/>
      <c r="U14" s="15"/>
      <c r="V14" s="15"/>
      <c r="W14" s="15"/>
      <c r="X14" s="15"/>
      <c r="Y14" s="15"/>
      <c r="Z14" s="16"/>
    </row>
    <row r="15">
      <c r="A15" s="12" t="s">
        <v>1410</v>
      </c>
      <c r="B15" s="13" t="s">
        <v>1411</v>
      </c>
      <c r="C15" s="13" t="s">
        <v>1364</v>
      </c>
      <c r="D15" s="13" t="s">
        <v>1388</v>
      </c>
      <c r="E15" s="14">
        <v>1456.0</v>
      </c>
      <c r="F15" s="13" t="s">
        <v>584</v>
      </c>
      <c r="G15" s="13" t="s">
        <v>1365</v>
      </c>
      <c r="H15" s="14">
        <v>950.0</v>
      </c>
      <c r="I15" s="14">
        <v>1675.0</v>
      </c>
      <c r="J15" s="14">
        <v>1585.0</v>
      </c>
      <c r="K15" s="13" t="s">
        <v>1412</v>
      </c>
      <c r="L15" s="15"/>
      <c r="M15" s="15"/>
      <c r="N15" s="15"/>
      <c r="O15" s="15"/>
      <c r="P15" s="15"/>
      <c r="Q15" s="15"/>
      <c r="R15" s="15"/>
      <c r="S15" s="15"/>
      <c r="T15" s="15"/>
      <c r="U15" s="15"/>
      <c r="V15" s="15"/>
      <c r="W15" s="15"/>
      <c r="X15" s="15"/>
      <c r="Y15" s="15"/>
      <c r="Z15" s="16"/>
    </row>
    <row r="16">
      <c r="A16" s="12" t="s">
        <v>1413</v>
      </c>
      <c r="B16" s="13" t="s">
        <v>1414</v>
      </c>
      <c r="C16" s="13" t="s">
        <v>1364</v>
      </c>
      <c r="D16" s="13" t="s">
        <v>1364</v>
      </c>
      <c r="E16" s="14">
        <v>2006.0</v>
      </c>
      <c r="F16" s="13" t="s">
        <v>584</v>
      </c>
      <c r="G16" s="13" t="s">
        <v>1384</v>
      </c>
      <c r="H16" s="14">
        <v>950.0</v>
      </c>
      <c r="I16" s="14">
        <v>1675.0</v>
      </c>
      <c r="J16" s="14">
        <v>1585.0</v>
      </c>
      <c r="K16" s="13" t="s">
        <v>1415</v>
      </c>
      <c r="L16" s="15"/>
      <c r="M16" s="15"/>
      <c r="N16" s="15"/>
      <c r="O16" s="15"/>
      <c r="P16" s="15"/>
      <c r="Q16" s="15"/>
      <c r="R16" s="15"/>
      <c r="S16" s="15"/>
      <c r="T16" s="15"/>
      <c r="U16" s="15"/>
      <c r="V16" s="15"/>
      <c r="W16" s="15"/>
      <c r="X16" s="15"/>
      <c r="Y16" s="15"/>
      <c r="Z16" s="16"/>
    </row>
    <row r="17">
      <c r="A17" s="12" t="s">
        <v>1416</v>
      </c>
      <c r="B17" s="13" t="s">
        <v>1417</v>
      </c>
      <c r="C17" s="13" t="s">
        <v>1364</v>
      </c>
      <c r="D17" s="13" t="s">
        <v>1364</v>
      </c>
      <c r="E17" s="14">
        <v>11.0</v>
      </c>
      <c r="F17" s="13" t="s">
        <v>584</v>
      </c>
      <c r="G17" s="13" t="s">
        <v>1418</v>
      </c>
      <c r="H17" s="14">
        <v>950.0</v>
      </c>
      <c r="I17" s="14">
        <v>1675.0</v>
      </c>
      <c r="J17" s="14">
        <v>1585.0</v>
      </c>
      <c r="K17" s="13" t="s">
        <v>1419</v>
      </c>
      <c r="L17" s="15"/>
      <c r="M17" s="15"/>
      <c r="N17" s="15"/>
      <c r="O17" s="15"/>
      <c r="P17" s="15"/>
      <c r="Q17" s="15"/>
      <c r="R17" s="15"/>
      <c r="S17" s="15"/>
      <c r="T17" s="15"/>
      <c r="U17" s="15"/>
      <c r="V17" s="15"/>
      <c r="W17" s="15"/>
      <c r="X17" s="15"/>
      <c r="Y17" s="15"/>
      <c r="Z17" s="16"/>
    </row>
    <row r="18">
      <c r="A18" s="12" t="s">
        <v>1420</v>
      </c>
      <c r="B18" s="13" t="s">
        <v>1421</v>
      </c>
      <c r="C18" s="13" t="s">
        <v>1364</v>
      </c>
      <c r="D18" s="13" t="s">
        <v>1364</v>
      </c>
      <c r="E18" s="14">
        <v>127.0</v>
      </c>
      <c r="F18" s="13" t="s">
        <v>537</v>
      </c>
      <c r="G18" s="13" t="s">
        <v>1418</v>
      </c>
      <c r="H18" s="14">
        <v>950.0</v>
      </c>
      <c r="I18" s="14">
        <v>1675.0</v>
      </c>
      <c r="J18" s="14">
        <v>1585.0</v>
      </c>
      <c r="K18" s="13" t="s">
        <v>1422</v>
      </c>
      <c r="L18" s="15"/>
      <c r="M18" s="15"/>
      <c r="N18" s="15"/>
      <c r="O18" s="15"/>
      <c r="P18" s="15"/>
      <c r="Q18" s="15"/>
      <c r="R18" s="15"/>
      <c r="S18" s="15"/>
      <c r="T18" s="15"/>
      <c r="U18" s="15"/>
      <c r="V18" s="15"/>
      <c r="W18" s="15"/>
      <c r="X18" s="15"/>
      <c r="Y18" s="15"/>
      <c r="Z18" s="16"/>
    </row>
    <row r="19">
      <c r="A19" s="12" t="s">
        <v>1423</v>
      </c>
      <c r="B19" s="13" t="s">
        <v>1424</v>
      </c>
      <c r="C19" s="13" t="s">
        <v>1364</v>
      </c>
      <c r="D19" s="13" t="s">
        <v>1388</v>
      </c>
      <c r="E19" s="14">
        <v>8800.0</v>
      </c>
      <c r="F19" s="13" t="s">
        <v>537</v>
      </c>
      <c r="G19" s="13" t="s">
        <v>1425</v>
      </c>
      <c r="H19" s="14">
        <v>950.0</v>
      </c>
      <c r="I19" s="14">
        <v>1675.0</v>
      </c>
      <c r="J19" s="14">
        <v>1585.0</v>
      </c>
      <c r="K19" s="13" t="s">
        <v>1426</v>
      </c>
      <c r="L19" s="15"/>
      <c r="M19" s="15"/>
      <c r="N19" s="15"/>
      <c r="O19" s="15"/>
      <c r="P19" s="15"/>
      <c r="Q19" s="15"/>
      <c r="R19" s="15"/>
      <c r="S19" s="15"/>
      <c r="T19" s="15"/>
      <c r="U19" s="15"/>
      <c r="V19" s="15"/>
      <c r="W19" s="15"/>
      <c r="X19" s="15"/>
      <c r="Y19" s="15"/>
      <c r="Z19" s="16"/>
    </row>
    <row r="20">
      <c r="A20" s="12" t="s">
        <v>1427</v>
      </c>
      <c r="B20" s="13" t="s">
        <v>1428</v>
      </c>
      <c r="C20" s="13" t="s">
        <v>1364</v>
      </c>
      <c r="D20" s="13" t="s">
        <v>1369</v>
      </c>
      <c r="E20" s="14">
        <v>776.0</v>
      </c>
      <c r="F20" s="13" t="s">
        <v>537</v>
      </c>
      <c r="G20" s="13" t="s">
        <v>1429</v>
      </c>
      <c r="H20" s="14">
        <v>950.0</v>
      </c>
      <c r="I20" s="14">
        <v>1675.0</v>
      </c>
      <c r="J20" s="14">
        <v>1585.0</v>
      </c>
      <c r="K20" s="13" t="s">
        <v>1430</v>
      </c>
      <c r="L20" s="15"/>
      <c r="M20" s="15"/>
      <c r="N20" s="15"/>
      <c r="O20" s="15"/>
      <c r="P20" s="15"/>
      <c r="Q20" s="15"/>
      <c r="R20" s="15"/>
      <c r="S20" s="15"/>
      <c r="T20" s="15"/>
      <c r="U20" s="15"/>
      <c r="V20" s="15"/>
      <c r="W20" s="15"/>
      <c r="X20" s="15"/>
      <c r="Y20" s="15"/>
      <c r="Z20" s="16"/>
    </row>
    <row r="21">
      <c r="A21" s="12" t="s">
        <v>1431</v>
      </c>
      <c r="B21" s="13" t="s">
        <v>1432</v>
      </c>
      <c r="C21" s="13" t="s">
        <v>1364</v>
      </c>
      <c r="D21" s="13" t="s">
        <v>1369</v>
      </c>
      <c r="E21" s="14">
        <v>311.0</v>
      </c>
      <c r="F21" s="13" t="s">
        <v>537</v>
      </c>
      <c r="G21" s="13" t="s">
        <v>574</v>
      </c>
      <c r="H21" s="14">
        <v>950.0</v>
      </c>
      <c r="I21" s="14">
        <v>1675.0</v>
      </c>
      <c r="J21" s="14">
        <v>1585.0</v>
      </c>
      <c r="K21" s="13" t="s">
        <v>1433</v>
      </c>
      <c r="L21" s="15"/>
      <c r="M21" s="15"/>
      <c r="N21" s="15"/>
      <c r="O21" s="15"/>
      <c r="P21" s="15"/>
      <c r="Q21" s="15"/>
      <c r="R21" s="15"/>
      <c r="S21" s="15"/>
      <c r="T21" s="15"/>
      <c r="U21" s="15"/>
      <c r="V21" s="15"/>
      <c r="W21" s="15"/>
      <c r="X21" s="15"/>
      <c r="Y21" s="15"/>
      <c r="Z21" s="16"/>
    </row>
    <row r="22">
      <c r="A22" s="12" t="s">
        <v>1434</v>
      </c>
      <c r="B22" s="13" t="s">
        <v>1435</v>
      </c>
      <c r="C22" s="13" t="s">
        <v>1364</v>
      </c>
      <c r="D22" s="13" t="s">
        <v>1369</v>
      </c>
      <c r="E22" s="14">
        <v>1533.0</v>
      </c>
      <c r="F22" s="13" t="s">
        <v>537</v>
      </c>
      <c r="G22" s="13" t="s">
        <v>1436</v>
      </c>
      <c r="H22" s="14">
        <v>950.0</v>
      </c>
      <c r="I22" s="14">
        <v>1675.0</v>
      </c>
      <c r="J22" s="14">
        <v>1585.0</v>
      </c>
      <c r="K22" s="13" t="s">
        <v>1437</v>
      </c>
      <c r="L22" s="15"/>
      <c r="M22" s="15"/>
      <c r="N22" s="15"/>
      <c r="O22" s="15"/>
      <c r="P22" s="15"/>
      <c r="Q22" s="15"/>
      <c r="R22" s="15"/>
      <c r="S22" s="15"/>
      <c r="T22" s="15"/>
      <c r="U22" s="15"/>
      <c r="V22" s="15"/>
      <c r="W22" s="15"/>
      <c r="X22" s="15"/>
      <c r="Y22" s="15"/>
      <c r="Z22" s="16"/>
    </row>
    <row r="23">
      <c r="A23" s="12" t="s">
        <v>1438</v>
      </c>
      <c r="B23" s="13" t="s">
        <v>1439</v>
      </c>
      <c r="C23" s="13" t="s">
        <v>1364</v>
      </c>
      <c r="D23" s="13" t="s">
        <v>1369</v>
      </c>
      <c r="E23" s="14">
        <v>1789.0</v>
      </c>
      <c r="F23" s="13" t="s">
        <v>537</v>
      </c>
      <c r="G23" s="13" t="s">
        <v>1440</v>
      </c>
      <c r="H23" s="14">
        <v>950.0</v>
      </c>
      <c r="I23" s="14">
        <v>1675.0</v>
      </c>
      <c r="J23" s="14">
        <v>1585.0</v>
      </c>
      <c r="K23" s="13" t="s">
        <v>1441</v>
      </c>
      <c r="L23" s="15"/>
      <c r="M23" s="15"/>
      <c r="N23" s="15"/>
      <c r="O23" s="15"/>
      <c r="P23" s="15"/>
      <c r="Q23" s="15"/>
      <c r="R23" s="15"/>
      <c r="S23" s="15"/>
      <c r="T23" s="15"/>
      <c r="U23" s="15"/>
      <c r="V23" s="15"/>
      <c r="W23" s="15"/>
      <c r="X23" s="15"/>
      <c r="Y23" s="15"/>
      <c r="Z23" s="16"/>
    </row>
    <row r="24">
      <c r="A24" s="12" t="s">
        <v>1442</v>
      </c>
      <c r="B24" s="13" t="s">
        <v>1443</v>
      </c>
      <c r="C24" s="13" t="s">
        <v>1364</v>
      </c>
      <c r="D24" s="13" t="s">
        <v>1388</v>
      </c>
      <c r="E24" s="14">
        <v>349.0</v>
      </c>
      <c r="F24" s="13" t="s">
        <v>537</v>
      </c>
      <c r="G24" s="13" t="s">
        <v>574</v>
      </c>
      <c r="H24" s="14">
        <v>950.0</v>
      </c>
      <c r="I24" s="14">
        <v>1675.0</v>
      </c>
      <c r="J24" s="14">
        <v>1585.0</v>
      </c>
      <c r="K24" s="13" t="s">
        <v>1444</v>
      </c>
      <c r="L24" s="15"/>
      <c r="M24" s="15"/>
      <c r="N24" s="15"/>
      <c r="O24" s="15"/>
      <c r="P24" s="15"/>
      <c r="Q24" s="15"/>
      <c r="R24" s="15"/>
      <c r="S24" s="15"/>
      <c r="T24" s="15"/>
      <c r="U24" s="15"/>
      <c r="V24" s="15"/>
      <c r="W24" s="15"/>
      <c r="X24" s="15"/>
      <c r="Y24" s="15"/>
      <c r="Z24" s="16"/>
    </row>
    <row r="25">
      <c r="A25" s="12" t="s">
        <v>1445</v>
      </c>
      <c r="B25" s="13" t="s">
        <v>1446</v>
      </c>
      <c r="C25" s="13" t="s">
        <v>1364</v>
      </c>
      <c r="D25" s="13" t="s">
        <v>1388</v>
      </c>
      <c r="E25" s="14">
        <v>188.0</v>
      </c>
      <c r="F25" s="13" t="s">
        <v>537</v>
      </c>
      <c r="G25" s="13" t="s">
        <v>574</v>
      </c>
      <c r="H25" s="14">
        <v>950.0</v>
      </c>
      <c r="I25" s="14">
        <v>1675.0</v>
      </c>
      <c r="J25" s="14">
        <v>1585.0</v>
      </c>
      <c r="K25" s="13" t="s">
        <v>1447</v>
      </c>
      <c r="L25" s="15"/>
      <c r="M25" s="15"/>
      <c r="N25" s="15"/>
      <c r="O25" s="15"/>
      <c r="P25" s="15"/>
      <c r="Q25" s="15"/>
      <c r="R25" s="15"/>
      <c r="S25" s="15"/>
      <c r="T25" s="15"/>
      <c r="U25" s="15"/>
      <c r="V25" s="15"/>
      <c r="W25" s="15"/>
      <c r="X25" s="15"/>
      <c r="Y25" s="15"/>
      <c r="Z25" s="16"/>
    </row>
    <row r="26">
      <c r="A26" s="12" t="s">
        <v>1448</v>
      </c>
      <c r="B26" s="13" t="s">
        <v>1449</v>
      </c>
      <c r="C26" s="13" t="s">
        <v>1364</v>
      </c>
      <c r="D26" s="13" t="s">
        <v>1388</v>
      </c>
      <c r="E26" s="14">
        <v>25.0</v>
      </c>
      <c r="F26" s="13" t="s">
        <v>537</v>
      </c>
      <c r="G26" s="13" t="s">
        <v>1450</v>
      </c>
      <c r="H26" s="14">
        <v>950.0</v>
      </c>
      <c r="I26" s="14">
        <v>1675.0</v>
      </c>
      <c r="J26" s="14">
        <v>1585.0</v>
      </c>
      <c r="K26" s="13" t="s">
        <v>1451</v>
      </c>
      <c r="L26" s="15"/>
      <c r="M26" s="15"/>
      <c r="N26" s="15"/>
      <c r="O26" s="15"/>
      <c r="P26" s="15"/>
      <c r="Q26" s="15"/>
      <c r="R26" s="15"/>
      <c r="S26" s="15"/>
      <c r="T26" s="15"/>
      <c r="U26" s="15"/>
      <c r="V26" s="15"/>
      <c r="W26" s="15"/>
      <c r="X26" s="15"/>
      <c r="Y26" s="15"/>
      <c r="Z26" s="16"/>
    </row>
    <row r="27">
      <c r="A27" s="12" t="s">
        <v>1452</v>
      </c>
      <c r="B27" s="13" t="s">
        <v>1453</v>
      </c>
      <c r="C27" s="13" t="s">
        <v>1364</v>
      </c>
      <c r="D27" s="13" t="s">
        <v>1388</v>
      </c>
      <c r="E27" s="14">
        <v>59.0</v>
      </c>
      <c r="F27" s="13" t="s">
        <v>537</v>
      </c>
      <c r="G27" s="13" t="s">
        <v>1450</v>
      </c>
      <c r="H27" s="14">
        <v>950.0</v>
      </c>
      <c r="I27" s="14">
        <v>1675.0</v>
      </c>
      <c r="J27" s="14">
        <v>1585.0</v>
      </c>
      <c r="K27" s="13" t="s">
        <v>1454</v>
      </c>
      <c r="L27" s="15"/>
      <c r="M27" s="15"/>
      <c r="N27" s="15"/>
      <c r="O27" s="15"/>
      <c r="P27" s="15"/>
      <c r="Q27" s="15"/>
      <c r="R27" s="15"/>
      <c r="S27" s="15"/>
      <c r="T27" s="15"/>
      <c r="U27" s="15"/>
      <c r="V27" s="15"/>
      <c r="W27" s="15"/>
      <c r="X27" s="15"/>
      <c r="Y27" s="15"/>
      <c r="Z27" s="16"/>
    </row>
    <row r="28">
      <c r="A28" s="12" t="s">
        <v>1455</v>
      </c>
      <c r="B28" s="13" t="s">
        <v>1456</v>
      </c>
      <c r="C28" s="13" t="s">
        <v>1364</v>
      </c>
      <c r="D28" s="13" t="s">
        <v>1388</v>
      </c>
      <c r="E28" s="14">
        <v>163.0</v>
      </c>
      <c r="F28" s="13" t="s">
        <v>537</v>
      </c>
      <c r="G28" s="13" t="s">
        <v>1457</v>
      </c>
      <c r="H28" s="14">
        <v>950.0</v>
      </c>
      <c r="I28" s="14">
        <v>1675.0</v>
      </c>
      <c r="J28" s="14">
        <v>1585.0</v>
      </c>
      <c r="K28" s="13" t="s">
        <v>1458</v>
      </c>
      <c r="L28" s="15"/>
      <c r="M28" s="15"/>
      <c r="N28" s="15"/>
      <c r="O28" s="15"/>
      <c r="P28" s="15"/>
      <c r="Q28" s="15"/>
      <c r="R28" s="15"/>
      <c r="S28" s="15"/>
      <c r="T28" s="15"/>
      <c r="U28" s="15"/>
      <c r="V28" s="15"/>
      <c r="W28" s="15"/>
      <c r="X28" s="15"/>
      <c r="Y28" s="15"/>
      <c r="Z28" s="16"/>
    </row>
    <row r="29">
      <c r="A29" s="12" t="s">
        <v>1459</v>
      </c>
      <c r="B29" s="13" t="s">
        <v>1460</v>
      </c>
      <c r="C29" s="13" t="s">
        <v>1364</v>
      </c>
      <c r="D29" s="13" t="s">
        <v>1388</v>
      </c>
      <c r="E29" s="14">
        <v>558.0</v>
      </c>
      <c r="F29" s="13" t="s">
        <v>537</v>
      </c>
      <c r="G29" s="13" t="s">
        <v>1461</v>
      </c>
      <c r="H29" s="14">
        <v>950.0</v>
      </c>
      <c r="I29" s="14">
        <v>1675.0</v>
      </c>
      <c r="J29" s="14">
        <v>1585.0</v>
      </c>
      <c r="K29" s="13" t="s">
        <v>1462</v>
      </c>
      <c r="L29" s="15"/>
      <c r="M29" s="15"/>
      <c r="N29" s="15"/>
      <c r="O29" s="15"/>
      <c r="P29" s="15"/>
      <c r="Q29" s="15"/>
      <c r="R29" s="15"/>
      <c r="S29" s="15"/>
      <c r="T29" s="15"/>
      <c r="U29" s="15"/>
      <c r="V29" s="15"/>
      <c r="W29" s="15"/>
      <c r="X29" s="15"/>
      <c r="Y29" s="15"/>
      <c r="Z29" s="16"/>
    </row>
    <row r="30">
      <c r="A30" s="12" t="s">
        <v>1463</v>
      </c>
      <c r="B30" s="13" t="s">
        <v>1464</v>
      </c>
      <c r="C30" s="13" t="s">
        <v>1364</v>
      </c>
      <c r="D30" s="13" t="s">
        <v>1364</v>
      </c>
      <c r="E30" s="14">
        <v>50.0</v>
      </c>
      <c r="F30" s="13" t="s">
        <v>584</v>
      </c>
      <c r="G30" s="13" t="s">
        <v>1465</v>
      </c>
      <c r="H30" s="14">
        <v>950.0</v>
      </c>
      <c r="I30" s="14">
        <v>1675.0</v>
      </c>
      <c r="J30" s="14">
        <v>1585.0</v>
      </c>
      <c r="K30" s="13" t="s">
        <v>1466</v>
      </c>
      <c r="L30" s="15"/>
      <c r="M30" s="15"/>
      <c r="N30" s="15"/>
      <c r="O30" s="15"/>
      <c r="P30" s="15"/>
      <c r="Q30" s="15"/>
      <c r="R30" s="15"/>
      <c r="S30" s="15"/>
      <c r="T30" s="15"/>
      <c r="U30" s="15"/>
      <c r="V30" s="15"/>
      <c r="W30" s="15"/>
      <c r="X30" s="15"/>
      <c r="Y30" s="15"/>
      <c r="Z30" s="16"/>
    </row>
    <row r="31">
      <c r="A31" s="12" t="s">
        <v>1467</v>
      </c>
      <c r="B31" s="13" t="s">
        <v>1468</v>
      </c>
      <c r="C31" s="13" t="s">
        <v>1364</v>
      </c>
      <c r="D31" s="13" t="s">
        <v>1369</v>
      </c>
      <c r="E31" s="14">
        <v>162.0</v>
      </c>
      <c r="F31" s="13" t="s">
        <v>584</v>
      </c>
      <c r="G31" s="13" t="s">
        <v>1469</v>
      </c>
      <c r="H31" s="14">
        <v>950.0</v>
      </c>
      <c r="I31" s="14">
        <v>1675.0</v>
      </c>
      <c r="J31" s="14">
        <v>1585.0</v>
      </c>
      <c r="K31" s="13" t="s">
        <v>1470</v>
      </c>
      <c r="L31" s="15"/>
      <c r="M31" s="15"/>
      <c r="N31" s="15"/>
      <c r="O31" s="15"/>
      <c r="P31" s="15"/>
      <c r="Q31" s="15"/>
      <c r="R31" s="15"/>
      <c r="S31" s="15"/>
      <c r="T31" s="15"/>
      <c r="U31" s="15"/>
      <c r="V31" s="15"/>
      <c r="W31" s="15"/>
      <c r="X31" s="15"/>
      <c r="Y31" s="15"/>
      <c r="Z31" s="16"/>
    </row>
    <row r="32">
      <c r="A32" s="12" t="s">
        <v>1471</v>
      </c>
      <c r="B32" s="13" t="s">
        <v>1472</v>
      </c>
      <c r="C32" s="13" t="s">
        <v>1364</v>
      </c>
      <c r="D32" s="13" t="s">
        <v>1364</v>
      </c>
      <c r="E32" s="14">
        <v>114.0</v>
      </c>
      <c r="F32" s="13" t="s">
        <v>584</v>
      </c>
      <c r="G32" s="13" t="s">
        <v>574</v>
      </c>
      <c r="H32" s="14">
        <v>950.0</v>
      </c>
      <c r="I32" s="14">
        <v>1675.0</v>
      </c>
      <c r="J32" s="14">
        <v>1585.0</v>
      </c>
      <c r="K32" s="13" t="s">
        <v>1473</v>
      </c>
      <c r="L32" s="15"/>
      <c r="M32" s="15"/>
      <c r="N32" s="15"/>
      <c r="O32" s="15"/>
      <c r="P32" s="15"/>
      <c r="Q32" s="15"/>
      <c r="R32" s="15"/>
      <c r="S32" s="15"/>
      <c r="T32" s="15"/>
      <c r="U32" s="15"/>
      <c r="V32" s="15"/>
      <c r="W32" s="15"/>
      <c r="X32" s="15"/>
      <c r="Y32" s="15"/>
      <c r="Z32" s="16"/>
    </row>
    <row r="33">
      <c r="A33" s="12" t="s">
        <v>1474</v>
      </c>
      <c r="B33" s="13" t="s">
        <v>1475</v>
      </c>
      <c r="C33" s="13" t="s">
        <v>1364</v>
      </c>
      <c r="D33" s="13" t="s">
        <v>1364</v>
      </c>
      <c r="E33" s="14">
        <v>161.0</v>
      </c>
      <c r="F33" s="13" t="s">
        <v>584</v>
      </c>
      <c r="G33" s="13" t="s">
        <v>1476</v>
      </c>
      <c r="H33" s="14">
        <v>950.0</v>
      </c>
      <c r="I33" s="14">
        <v>1675.0</v>
      </c>
      <c r="J33" s="14">
        <v>1585.0</v>
      </c>
      <c r="K33" s="13" t="s">
        <v>1477</v>
      </c>
      <c r="L33" s="15"/>
      <c r="M33" s="15"/>
      <c r="N33" s="15"/>
      <c r="O33" s="15"/>
      <c r="P33" s="15"/>
      <c r="Q33" s="15"/>
      <c r="R33" s="15"/>
      <c r="S33" s="15"/>
      <c r="T33" s="15"/>
      <c r="U33" s="15"/>
      <c r="V33" s="15"/>
      <c r="W33" s="15"/>
      <c r="X33" s="15"/>
      <c r="Y33" s="15"/>
      <c r="Z33" s="16"/>
    </row>
    <row r="34">
      <c r="A34" s="12" t="s">
        <v>1478</v>
      </c>
      <c r="B34" s="13" t="s">
        <v>1479</v>
      </c>
      <c r="C34" s="13" t="s">
        <v>1364</v>
      </c>
      <c r="D34" s="13" t="s">
        <v>1369</v>
      </c>
      <c r="E34" s="14">
        <v>1009.0</v>
      </c>
      <c r="F34" s="13" t="s">
        <v>537</v>
      </c>
      <c r="G34" s="13" t="s">
        <v>574</v>
      </c>
      <c r="H34" s="14">
        <v>950.0</v>
      </c>
      <c r="I34" s="14">
        <v>1675.0</v>
      </c>
      <c r="J34" s="14">
        <v>1585.0</v>
      </c>
      <c r="K34" s="13" t="s">
        <v>1480</v>
      </c>
      <c r="L34" s="15"/>
      <c r="M34" s="15"/>
      <c r="N34" s="15"/>
      <c r="O34" s="15"/>
      <c r="P34" s="15"/>
      <c r="Q34" s="15"/>
      <c r="R34" s="15"/>
      <c r="S34" s="15"/>
      <c r="T34" s="15"/>
      <c r="U34" s="15"/>
      <c r="V34" s="15"/>
      <c r="W34" s="15"/>
      <c r="X34" s="15"/>
      <c r="Y34" s="15"/>
      <c r="Z34" s="16"/>
    </row>
    <row r="35">
      <c r="A35" s="12" t="s">
        <v>1481</v>
      </c>
      <c r="B35" s="13" t="s">
        <v>1482</v>
      </c>
      <c r="C35" s="13" t="s">
        <v>1364</v>
      </c>
      <c r="D35" s="13" t="s">
        <v>1369</v>
      </c>
      <c r="E35" s="14">
        <v>1495.0</v>
      </c>
      <c r="F35" s="13" t="s">
        <v>537</v>
      </c>
      <c r="G35" s="13" t="s">
        <v>574</v>
      </c>
      <c r="H35" s="14">
        <v>950.0</v>
      </c>
      <c r="I35" s="14">
        <v>1675.0</v>
      </c>
      <c r="J35" s="14">
        <v>1585.0</v>
      </c>
      <c r="K35" s="13" t="s">
        <v>1483</v>
      </c>
      <c r="L35" s="15"/>
      <c r="M35" s="15"/>
      <c r="N35" s="15"/>
      <c r="O35" s="15"/>
      <c r="P35" s="15"/>
      <c r="Q35" s="15"/>
      <c r="R35" s="15"/>
      <c r="S35" s="15"/>
      <c r="T35" s="15"/>
      <c r="U35" s="15"/>
      <c r="V35" s="15"/>
      <c r="W35" s="15"/>
      <c r="X35" s="15"/>
      <c r="Y35" s="15"/>
      <c r="Z35" s="16"/>
    </row>
    <row r="36">
      <c r="A36" s="12" t="s">
        <v>1484</v>
      </c>
      <c r="B36" s="13" t="s">
        <v>1485</v>
      </c>
      <c r="C36" s="13" t="s">
        <v>1364</v>
      </c>
      <c r="D36" s="13" t="s">
        <v>1388</v>
      </c>
      <c r="E36" s="14">
        <v>1768.0</v>
      </c>
      <c r="F36" s="13" t="s">
        <v>537</v>
      </c>
      <c r="G36" s="13" t="s">
        <v>574</v>
      </c>
      <c r="H36" s="14">
        <v>950.0</v>
      </c>
      <c r="I36" s="14">
        <v>1675.0</v>
      </c>
      <c r="J36" s="14">
        <v>1585.0</v>
      </c>
      <c r="K36" s="13" t="s">
        <v>1486</v>
      </c>
      <c r="L36" s="15"/>
      <c r="M36" s="15"/>
      <c r="N36" s="15"/>
      <c r="O36" s="15"/>
      <c r="P36" s="15"/>
      <c r="Q36" s="15"/>
      <c r="R36" s="15"/>
      <c r="S36" s="15"/>
      <c r="T36" s="15"/>
      <c r="U36" s="15"/>
      <c r="V36" s="15"/>
      <c r="W36" s="15"/>
      <c r="X36" s="15"/>
      <c r="Y36" s="15"/>
      <c r="Z36" s="16"/>
    </row>
    <row r="37">
      <c r="A37" s="12" t="s">
        <v>1487</v>
      </c>
      <c r="B37" s="13" t="s">
        <v>1488</v>
      </c>
      <c r="C37" s="13" t="s">
        <v>1364</v>
      </c>
      <c r="D37" s="13" t="s">
        <v>1369</v>
      </c>
      <c r="E37" s="14">
        <v>2878.0</v>
      </c>
      <c r="F37" s="13" t="s">
        <v>537</v>
      </c>
      <c r="G37" s="13" t="s">
        <v>574</v>
      </c>
      <c r="H37" s="14">
        <v>950.0</v>
      </c>
      <c r="I37" s="14">
        <v>1675.0</v>
      </c>
      <c r="J37" s="14">
        <v>1585.0</v>
      </c>
      <c r="K37" s="13" t="s">
        <v>1489</v>
      </c>
      <c r="L37" s="15"/>
      <c r="M37" s="15"/>
      <c r="N37" s="15"/>
      <c r="O37" s="15"/>
      <c r="P37" s="15"/>
      <c r="Q37" s="15"/>
      <c r="R37" s="15"/>
      <c r="S37" s="15"/>
      <c r="T37" s="15"/>
      <c r="U37" s="15"/>
      <c r="V37" s="15"/>
      <c r="W37" s="15"/>
      <c r="X37" s="15"/>
      <c r="Y37" s="15"/>
      <c r="Z37" s="16"/>
    </row>
    <row r="38">
      <c r="A38" s="12" t="s">
        <v>1490</v>
      </c>
      <c r="B38" s="13" t="s">
        <v>1491</v>
      </c>
      <c r="C38" s="13" t="s">
        <v>1364</v>
      </c>
      <c r="D38" s="13" t="s">
        <v>1369</v>
      </c>
      <c r="E38" s="14">
        <v>3337.0</v>
      </c>
      <c r="F38" s="13" t="s">
        <v>537</v>
      </c>
      <c r="G38" s="13" t="s">
        <v>574</v>
      </c>
      <c r="H38" s="14">
        <v>950.0</v>
      </c>
      <c r="I38" s="14">
        <v>1675.0</v>
      </c>
      <c r="J38" s="14">
        <v>1585.0</v>
      </c>
      <c r="K38" s="13" t="s">
        <v>1492</v>
      </c>
      <c r="L38" s="15"/>
      <c r="M38" s="15"/>
      <c r="N38" s="15"/>
      <c r="O38" s="15"/>
      <c r="P38" s="15"/>
      <c r="Q38" s="15"/>
      <c r="R38" s="15"/>
      <c r="S38" s="15"/>
      <c r="T38" s="15"/>
      <c r="U38" s="15"/>
      <c r="V38" s="15"/>
      <c r="W38" s="15"/>
      <c r="X38" s="15"/>
      <c r="Y38" s="15"/>
      <c r="Z38" s="16"/>
    </row>
    <row r="39">
      <c r="A39" s="12" t="s">
        <v>1493</v>
      </c>
      <c r="B39" s="13" t="s">
        <v>1494</v>
      </c>
      <c r="C39" s="13" t="s">
        <v>1364</v>
      </c>
      <c r="D39" s="13" t="s">
        <v>1369</v>
      </c>
      <c r="E39" s="14">
        <v>4123.0</v>
      </c>
      <c r="F39" s="13" t="s">
        <v>537</v>
      </c>
      <c r="G39" s="13" t="s">
        <v>574</v>
      </c>
      <c r="H39" s="14">
        <v>950.0</v>
      </c>
      <c r="I39" s="14">
        <v>1675.0</v>
      </c>
      <c r="J39" s="14">
        <v>1585.0</v>
      </c>
      <c r="K39" s="13" t="s">
        <v>1495</v>
      </c>
      <c r="L39" s="15"/>
      <c r="M39" s="15"/>
      <c r="N39" s="15"/>
      <c r="O39" s="15"/>
      <c r="P39" s="15"/>
      <c r="Q39" s="15"/>
      <c r="R39" s="15"/>
      <c r="S39" s="15"/>
      <c r="T39" s="15"/>
      <c r="U39" s="15"/>
      <c r="V39" s="15"/>
      <c r="W39" s="15"/>
      <c r="X39" s="15"/>
      <c r="Y39" s="15"/>
      <c r="Z39" s="16"/>
    </row>
    <row r="40">
      <c r="A40" s="12" t="s">
        <v>1496</v>
      </c>
      <c r="B40" s="13" t="s">
        <v>1497</v>
      </c>
      <c r="C40" s="13" t="s">
        <v>1364</v>
      </c>
      <c r="D40" s="13" t="s">
        <v>1369</v>
      </c>
      <c r="E40" s="14">
        <v>5101.0</v>
      </c>
      <c r="F40" s="13" t="s">
        <v>537</v>
      </c>
      <c r="G40" s="13" t="s">
        <v>574</v>
      </c>
      <c r="H40" s="14">
        <v>950.0</v>
      </c>
      <c r="I40" s="14">
        <v>1675.0</v>
      </c>
      <c r="J40" s="14">
        <v>1585.0</v>
      </c>
      <c r="K40" s="13" t="s">
        <v>1498</v>
      </c>
      <c r="L40" s="15"/>
      <c r="M40" s="15"/>
      <c r="N40" s="15"/>
      <c r="O40" s="15"/>
      <c r="P40" s="15"/>
      <c r="Q40" s="15"/>
      <c r="R40" s="15"/>
      <c r="S40" s="15"/>
      <c r="T40" s="15"/>
      <c r="U40" s="15"/>
      <c r="V40" s="15"/>
      <c r="W40" s="15"/>
      <c r="X40" s="15"/>
      <c r="Y40" s="15"/>
      <c r="Z40" s="16"/>
    </row>
    <row r="41">
      <c r="A41" s="12" t="s">
        <v>1499</v>
      </c>
      <c r="B41" s="13" t="s">
        <v>1500</v>
      </c>
      <c r="C41" s="13" t="s">
        <v>1364</v>
      </c>
      <c r="D41" s="13" t="s">
        <v>1369</v>
      </c>
      <c r="E41" s="14">
        <v>5711.0</v>
      </c>
      <c r="F41" s="13" t="s">
        <v>537</v>
      </c>
      <c r="G41" s="13" t="s">
        <v>574</v>
      </c>
      <c r="H41" s="14">
        <v>950.0</v>
      </c>
      <c r="I41" s="14">
        <v>1675.0</v>
      </c>
      <c r="J41" s="14">
        <v>1585.0</v>
      </c>
      <c r="K41" s="13" t="s">
        <v>1501</v>
      </c>
      <c r="L41" s="15"/>
      <c r="M41" s="15"/>
      <c r="N41" s="15"/>
      <c r="O41" s="15"/>
      <c r="P41" s="15"/>
      <c r="Q41" s="15"/>
      <c r="R41" s="15"/>
      <c r="S41" s="15"/>
      <c r="T41" s="15"/>
      <c r="U41" s="15"/>
      <c r="V41" s="15"/>
      <c r="W41" s="15"/>
      <c r="X41" s="15"/>
      <c r="Y41" s="15"/>
      <c r="Z41" s="16"/>
    </row>
    <row r="42">
      <c r="A42" s="12" t="s">
        <v>1502</v>
      </c>
      <c r="B42" s="13" t="s">
        <v>1503</v>
      </c>
      <c r="C42" s="13" t="s">
        <v>1364</v>
      </c>
      <c r="D42" s="13" t="s">
        <v>1388</v>
      </c>
      <c r="E42" s="14">
        <v>5908.0</v>
      </c>
      <c r="F42" s="13" t="s">
        <v>537</v>
      </c>
      <c r="G42" s="13" t="s">
        <v>1504</v>
      </c>
      <c r="H42" s="14">
        <v>950.0</v>
      </c>
      <c r="I42" s="14">
        <v>1675.0</v>
      </c>
      <c r="J42" s="14">
        <v>1585.0</v>
      </c>
      <c r="K42" s="13" t="s">
        <v>1505</v>
      </c>
      <c r="L42" s="15"/>
      <c r="M42" s="15"/>
      <c r="N42" s="15"/>
      <c r="O42" s="15"/>
      <c r="P42" s="15"/>
      <c r="Q42" s="15"/>
      <c r="R42" s="15"/>
      <c r="S42" s="15"/>
      <c r="T42" s="15"/>
      <c r="U42" s="15"/>
      <c r="V42" s="15"/>
      <c r="W42" s="15"/>
      <c r="X42" s="15"/>
      <c r="Y42" s="15"/>
      <c r="Z42" s="16"/>
    </row>
    <row r="43">
      <c r="A43" s="12" t="s">
        <v>1506</v>
      </c>
      <c r="B43" s="13" t="s">
        <v>1507</v>
      </c>
      <c r="C43" s="13" t="s">
        <v>1364</v>
      </c>
      <c r="D43" s="13" t="s">
        <v>1369</v>
      </c>
      <c r="E43" s="14">
        <v>2848.0</v>
      </c>
      <c r="F43" s="13" t="s">
        <v>537</v>
      </c>
      <c r="G43" s="13" t="s">
        <v>574</v>
      </c>
      <c r="H43" s="14">
        <v>950.0</v>
      </c>
      <c r="I43" s="14">
        <v>1675.0</v>
      </c>
      <c r="J43" s="14">
        <v>1585.0</v>
      </c>
      <c r="K43" s="13" t="s">
        <v>1508</v>
      </c>
      <c r="L43" s="15"/>
      <c r="M43" s="15"/>
      <c r="N43" s="15"/>
      <c r="O43" s="15"/>
      <c r="P43" s="15"/>
      <c r="Q43" s="15"/>
      <c r="R43" s="15"/>
      <c r="S43" s="15"/>
      <c r="T43" s="15"/>
      <c r="U43" s="15"/>
      <c r="V43" s="15"/>
      <c r="W43" s="15"/>
      <c r="X43" s="15"/>
      <c r="Y43" s="15"/>
      <c r="Z43" s="16"/>
    </row>
    <row r="44">
      <c r="A44" s="12" t="s">
        <v>1509</v>
      </c>
      <c r="B44" s="13" t="s">
        <v>1510</v>
      </c>
      <c r="C44" s="13" t="s">
        <v>1364</v>
      </c>
      <c r="D44" s="13" t="s">
        <v>1388</v>
      </c>
      <c r="E44" s="14">
        <v>1673.0</v>
      </c>
      <c r="F44" s="13" t="s">
        <v>537</v>
      </c>
      <c r="G44" s="13" t="s">
        <v>574</v>
      </c>
      <c r="H44" s="14">
        <v>950.0</v>
      </c>
      <c r="I44" s="14">
        <v>1675.0</v>
      </c>
      <c r="J44" s="14">
        <v>1585.0</v>
      </c>
      <c r="K44" s="13" t="s">
        <v>1511</v>
      </c>
      <c r="L44" s="15"/>
      <c r="M44" s="15"/>
      <c r="N44" s="15"/>
      <c r="O44" s="15"/>
      <c r="P44" s="15"/>
      <c r="Q44" s="15"/>
      <c r="R44" s="15"/>
      <c r="S44" s="15"/>
      <c r="T44" s="15"/>
      <c r="U44" s="15"/>
      <c r="V44" s="15"/>
      <c r="W44" s="15"/>
      <c r="X44" s="15"/>
      <c r="Y44" s="15"/>
      <c r="Z44" s="16"/>
    </row>
    <row r="45">
      <c r="A45" s="12" t="s">
        <v>1512</v>
      </c>
      <c r="B45" s="13" t="s">
        <v>1513</v>
      </c>
      <c r="C45" s="13" t="s">
        <v>1364</v>
      </c>
      <c r="D45" s="13" t="s">
        <v>1369</v>
      </c>
      <c r="E45" s="14">
        <v>1228.0</v>
      </c>
      <c r="F45" s="13" t="s">
        <v>537</v>
      </c>
      <c r="G45" s="13" t="s">
        <v>574</v>
      </c>
      <c r="H45" s="14">
        <v>950.0</v>
      </c>
      <c r="I45" s="14">
        <v>1675.0</v>
      </c>
      <c r="J45" s="14">
        <v>1585.0</v>
      </c>
      <c r="K45" s="13" t="s">
        <v>1514</v>
      </c>
      <c r="L45" s="15"/>
      <c r="M45" s="15"/>
      <c r="N45" s="15"/>
      <c r="O45" s="15"/>
      <c r="P45" s="15"/>
      <c r="Q45" s="15"/>
      <c r="R45" s="15"/>
      <c r="S45" s="15"/>
      <c r="T45" s="15"/>
      <c r="U45" s="15"/>
      <c r="V45" s="15"/>
      <c r="W45" s="15"/>
      <c r="X45" s="15"/>
      <c r="Y45" s="15"/>
      <c r="Z45" s="16"/>
    </row>
    <row r="46">
      <c r="A46" s="12" t="s">
        <v>1515</v>
      </c>
      <c r="B46" s="13" t="s">
        <v>1516</v>
      </c>
      <c r="C46" s="13" t="s">
        <v>1364</v>
      </c>
      <c r="D46" s="13" t="s">
        <v>1369</v>
      </c>
      <c r="E46" s="14">
        <v>1091.0</v>
      </c>
      <c r="F46" s="13" t="s">
        <v>537</v>
      </c>
      <c r="G46" s="13" t="s">
        <v>574</v>
      </c>
      <c r="H46" s="14">
        <v>950.0</v>
      </c>
      <c r="I46" s="14">
        <v>1675.0</v>
      </c>
      <c r="J46" s="14">
        <v>1585.0</v>
      </c>
      <c r="K46" s="13" t="s">
        <v>1517</v>
      </c>
      <c r="L46" s="15"/>
      <c r="M46" s="15"/>
      <c r="N46" s="15"/>
      <c r="O46" s="15"/>
      <c r="P46" s="15"/>
      <c r="Q46" s="15"/>
      <c r="R46" s="15"/>
      <c r="S46" s="15"/>
      <c r="T46" s="15"/>
      <c r="U46" s="15"/>
      <c r="V46" s="15"/>
      <c r="W46" s="15"/>
      <c r="X46" s="15"/>
      <c r="Y46" s="15"/>
      <c r="Z46" s="16"/>
    </row>
    <row r="47">
      <c r="A47" s="12" t="s">
        <v>1518</v>
      </c>
      <c r="B47" s="13" t="s">
        <v>1519</v>
      </c>
      <c r="C47" s="13" t="s">
        <v>1364</v>
      </c>
      <c r="D47" s="13" t="s">
        <v>1388</v>
      </c>
      <c r="E47" s="14">
        <v>566.0</v>
      </c>
      <c r="F47" s="13" t="s">
        <v>537</v>
      </c>
      <c r="G47" s="13" t="s">
        <v>574</v>
      </c>
      <c r="H47" s="14">
        <v>950.0</v>
      </c>
      <c r="I47" s="14">
        <v>1675.0</v>
      </c>
      <c r="J47" s="14">
        <v>1585.0</v>
      </c>
      <c r="K47" s="13" t="s">
        <v>1520</v>
      </c>
      <c r="L47" s="15"/>
      <c r="M47" s="15"/>
      <c r="N47" s="15"/>
      <c r="O47" s="15"/>
      <c r="P47" s="15"/>
      <c r="Q47" s="15"/>
      <c r="R47" s="15"/>
      <c r="S47" s="15"/>
      <c r="T47" s="15"/>
      <c r="U47" s="15"/>
      <c r="V47" s="15"/>
      <c r="W47" s="15"/>
      <c r="X47" s="15"/>
      <c r="Y47" s="15"/>
      <c r="Z47" s="16"/>
    </row>
    <row r="48">
      <c r="A48" s="12" t="s">
        <v>1521</v>
      </c>
      <c r="B48" s="13" t="s">
        <v>1522</v>
      </c>
      <c r="C48" s="13" t="s">
        <v>1364</v>
      </c>
      <c r="D48" s="13" t="s">
        <v>1388</v>
      </c>
      <c r="E48" s="14">
        <v>751.0</v>
      </c>
      <c r="F48" s="13" t="s">
        <v>537</v>
      </c>
      <c r="G48" s="13" t="s">
        <v>574</v>
      </c>
      <c r="H48" s="14">
        <v>950.0</v>
      </c>
      <c r="I48" s="14">
        <v>1675.0</v>
      </c>
      <c r="J48" s="14">
        <v>1585.0</v>
      </c>
      <c r="K48" s="13" t="s">
        <v>1523</v>
      </c>
      <c r="L48" s="15"/>
      <c r="M48" s="15"/>
      <c r="N48" s="15"/>
      <c r="O48" s="15"/>
      <c r="P48" s="15"/>
      <c r="Q48" s="15"/>
      <c r="R48" s="15"/>
      <c r="S48" s="15"/>
      <c r="T48" s="15"/>
      <c r="U48" s="15"/>
      <c r="V48" s="15"/>
      <c r="W48" s="15"/>
      <c r="X48" s="15"/>
      <c r="Y48" s="15"/>
      <c r="Z48" s="16"/>
    </row>
    <row r="49">
      <c r="A49" s="12" t="s">
        <v>1524</v>
      </c>
      <c r="B49" s="13" t="s">
        <v>1525</v>
      </c>
      <c r="C49" s="13" t="s">
        <v>1364</v>
      </c>
      <c r="D49" s="13" t="s">
        <v>1388</v>
      </c>
      <c r="E49" s="14">
        <v>1034.0</v>
      </c>
      <c r="F49" s="13" t="s">
        <v>537</v>
      </c>
      <c r="G49" s="13" t="s">
        <v>574</v>
      </c>
      <c r="H49" s="14">
        <v>950.0</v>
      </c>
      <c r="I49" s="14">
        <v>1675.0</v>
      </c>
      <c r="J49" s="14">
        <v>1585.0</v>
      </c>
      <c r="K49" s="13" t="s">
        <v>1526</v>
      </c>
      <c r="L49" s="15"/>
      <c r="M49" s="15"/>
      <c r="N49" s="15"/>
      <c r="O49" s="15"/>
      <c r="P49" s="15"/>
      <c r="Q49" s="15"/>
      <c r="R49" s="15"/>
      <c r="S49" s="15"/>
      <c r="T49" s="15"/>
      <c r="U49" s="15"/>
      <c r="V49" s="15"/>
      <c r="W49" s="15"/>
      <c r="X49" s="15"/>
      <c r="Y49" s="15"/>
      <c r="Z49" s="16"/>
    </row>
    <row r="50">
      <c r="A50" s="12" t="s">
        <v>1527</v>
      </c>
      <c r="B50" s="13" t="s">
        <v>1528</v>
      </c>
      <c r="C50" s="13" t="s">
        <v>1364</v>
      </c>
      <c r="D50" s="13" t="s">
        <v>1388</v>
      </c>
      <c r="E50" s="14">
        <v>1631.0</v>
      </c>
      <c r="F50" s="13" t="s">
        <v>537</v>
      </c>
      <c r="G50" s="13" t="s">
        <v>574</v>
      </c>
      <c r="H50" s="14">
        <v>950.0</v>
      </c>
      <c r="I50" s="14">
        <v>1675.0</v>
      </c>
      <c r="J50" s="14">
        <v>1585.0</v>
      </c>
      <c r="K50" s="13" t="s">
        <v>1529</v>
      </c>
      <c r="L50" s="15"/>
      <c r="M50" s="15"/>
      <c r="N50" s="15"/>
      <c r="O50" s="15"/>
      <c r="P50" s="15"/>
      <c r="Q50" s="15"/>
      <c r="R50" s="15"/>
      <c r="S50" s="15"/>
      <c r="T50" s="15"/>
      <c r="U50" s="15"/>
      <c r="V50" s="15"/>
      <c r="W50" s="15"/>
      <c r="X50" s="15"/>
      <c r="Y50" s="15"/>
      <c r="Z50" s="16"/>
    </row>
    <row r="51">
      <c r="A51" s="12" t="s">
        <v>1530</v>
      </c>
      <c r="B51" s="13" t="s">
        <v>1531</v>
      </c>
      <c r="C51" s="13" t="s">
        <v>1364</v>
      </c>
      <c r="D51" s="13" t="s">
        <v>1364</v>
      </c>
      <c r="E51" s="14">
        <v>1399.0</v>
      </c>
      <c r="F51" s="13" t="s">
        <v>584</v>
      </c>
      <c r="G51" s="13" t="s">
        <v>1532</v>
      </c>
      <c r="H51" s="14">
        <v>950.0</v>
      </c>
      <c r="I51" s="14">
        <v>1675.0</v>
      </c>
      <c r="J51" s="14">
        <v>1585.0</v>
      </c>
      <c r="K51" s="13" t="s">
        <v>1533</v>
      </c>
      <c r="L51" s="15"/>
      <c r="M51" s="15"/>
      <c r="N51" s="15"/>
      <c r="O51" s="15"/>
      <c r="P51" s="15"/>
      <c r="Q51" s="15"/>
      <c r="R51" s="15"/>
      <c r="S51" s="15"/>
      <c r="T51" s="15"/>
      <c r="U51" s="15"/>
      <c r="V51" s="15"/>
      <c r="W51" s="15"/>
      <c r="X51" s="15"/>
      <c r="Y51" s="15"/>
      <c r="Z51" s="16"/>
    </row>
    <row r="52">
      <c r="A52" s="12" t="s">
        <v>1534</v>
      </c>
      <c r="B52" s="13" t="s">
        <v>1535</v>
      </c>
      <c r="C52" s="13" t="s">
        <v>1364</v>
      </c>
      <c r="D52" s="13" t="s">
        <v>1364</v>
      </c>
      <c r="E52" s="14">
        <v>50.0</v>
      </c>
      <c r="F52" s="13" t="s">
        <v>584</v>
      </c>
      <c r="G52" s="13" t="s">
        <v>1536</v>
      </c>
      <c r="H52" s="14">
        <v>950.0</v>
      </c>
      <c r="I52" s="14">
        <v>1675.0</v>
      </c>
      <c r="J52" s="14">
        <v>1585.0</v>
      </c>
      <c r="K52" s="13" t="s">
        <v>1537</v>
      </c>
      <c r="L52" s="15"/>
      <c r="M52" s="15"/>
      <c r="N52" s="15"/>
      <c r="O52" s="15"/>
      <c r="P52" s="15"/>
      <c r="Q52" s="15"/>
      <c r="R52" s="15"/>
      <c r="S52" s="15"/>
      <c r="T52" s="15"/>
      <c r="U52" s="15"/>
      <c r="V52" s="15"/>
      <c r="W52" s="15"/>
      <c r="X52" s="15"/>
      <c r="Y52" s="15"/>
      <c r="Z52" s="16"/>
    </row>
    <row r="53">
      <c r="A53" s="12" t="s">
        <v>1538</v>
      </c>
      <c r="B53" s="13" t="s">
        <v>1539</v>
      </c>
      <c r="C53" s="13" t="s">
        <v>1364</v>
      </c>
      <c r="D53" s="13" t="s">
        <v>1364</v>
      </c>
      <c r="E53" s="14">
        <v>3089.0</v>
      </c>
      <c r="F53" s="13" t="s">
        <v>584</v>
      </c>
      <c r="G53" s="13" t="s">
        <v>1540</v>
      </c>
      <c r="H53" s="14">
        <v>950.0</v>
      </c>
      <c r="I53" s="14">
        <v>1675.0</v>
      </c>
      <c r="J53" s="14">
        <v>1585.0</v>
      </c>
      <c r="K53" s="13" t="s">
        <v>1541</v>
      </c>
      <c r="L53" s="15"/>
      <c r="M53" s="15"/>
      <c r="N53" s="15"/>
      <c r="O53" s="15"/>
      <c r="P53" s="15"/>
      <c r="Q53" s="15"/>
      <c r="R53" s="15"/>
      <c r="S53" s="15"/>
      <c r="T53" s="15"/>
      <c r="U53" s="15"/>
      <c r="V53" s="15"/>
      <c r="W53" s="15"/>
      <c r="X53" s="15"/>
      <c r="Y53" s="15"/>
      <c r="Z53" s="16"/>
    </row>
    <row r="54">
      <c r="A54" s="12" t="s">
        <v>1542</v>
      </c>
      <c r="B54" s="13" t="s">
        <v>1543</v>
      </c>
      <c r="C54" s="13" t="s">
        <v>1364</v>
      </c>
      <c r="D54" s="13" t="s">
        <v>1364</v>
      </c>
      <c r="E54" s="14">
        <v>88.0</v>
      </c>
      <c r="F54" s="13" t="s">
        <v>584</v>
      </c>
      <c r="G54" s="13" t="s">
        <v>636</v>
      </c>
      <c r="H54" s="14">
        <v>-1.0</v>
      </c>
      <c r="I54" s="14">
        <v>-1.0</v>
      </c>
      <c r="J54" s="14">
        <v>-1.0</v>
      </c>
      <c r="K54" s="13" t="s">
        <v>1544</v>
      </c>
      <c r="L54" s="15"/>
      <c r="M54" s="15"/>
      <c r="N54" s="15"/>
      <c r="O54" s="15"/>
      <c r="P54" s="15"/>
      <c r="Q54" s="15"/>
      <c r="R54" s="15"/>
      <c r="S54" s="15"/>
      <c r="T54" s="15"/>
      <c r="U54" s="15"/>
      <c r="V54" s="15"/>
      <c r="W54" s="15"/>
      <c r="X54" s="15"/>
      <c r="Y54" s="15"/>
      <c r="Z54" s="16"/>
    </row>
    <row r="55">
      <c r="A55" s="12" t="s">
        <v>1545</v>
      </c>
      <c r="B55" s="13" t="s">
        <v>1546</v>
      </c>
      <c r="C55" s="13" t="s">
        <v>1364</v>
      </c>
      <c r="D55" s="13" t="s">
        <v>1364</v>
      </c>
      <c r="E55" s="14">
        <v>240.0</v>
      </c>
      <c r="F55" s="13" t="s">
        <v>584</v>
      </c>
      <c r="G55" s="13" t="s">
        <v>1547</v>
      </c>
      <c r="H55" s="14">
        <v>-1.0</v>
      </c>
      <c r="I55" s="14">
        <v>-1.0</v>
      </c>
      <c r="J55" s="14">
        <v>-1.0</v>
      </c>
      <c r="K55" s="17">
        <v>45180.59979166667</v>
      </c>
      <c r="L55" s="15"/>
      <c r="M55" s="15"/>
      <c r="N55" s="15"/>
      <c r="O55" s="15"/>
      <c r="P55" s="15"/>
      <c r="Q55" s="15"/>
      <c r="R55" s="15"/>
      <c r="S55" s="15"/>
      <c r="T55" s="15"/>
      <c r="U55" s="15"/>
      <c r="V55" s="15"/>
      <c r="W55" s="15"/>
      <c r="X55" s="15"/>
      <c r="Y55" s="15"/>
      <c r="Z55" s="16"/>
    </row>
    <row r="56">
      <c r="A56" s="12" t="s">
        <v>1548</v>
      </c>
      <c r="B56" s="13" t="s">
        <v>1549</v>
      </c>
      <c r="C56" s="13" t="s">
        <v>1364</v>
      </c>
      <c r="D56" s="13" t="s">
        <v>1364</v>
      </c>
      <c r="E56" s="14">
        <v>284.0</v>
      </c>
      <c r="F56" s="13" t="s">
        <v>584</v>
      </c>
      <c r="G56" s="13" t="s">
        <v>1547</v>
      </c>
      <c r="H56" s="14">
        <v>-1.0</v>
      </c>
      <c r="I56" s="14">
        <v>-1.0</v>
      </c>
      <c r="J56" s="14">
        <v>-1.0</v>
      </c>
      <c r="K56" s="17">
        <v>45180.59986111111</v>
      </c>
      <c r="L56" s="15"/>
      <c r="M56" s="15"/>
      <c r="N56" s="15"/>
      <c r="O56" s="15"/>
      <c r="P56" s="15"/>
      <c r="Q56" s="15"/>
      <c r="R56" s="15"/>
      <c r="S56" s="15"/>
      <c r="T56" s="15"/>
      <c r="U56" s="15"/>
      <c r="V56" s="15"/>
      <c r="W56" s="15"/>
      <c r="X56" s="15"/>
      <c r="Y56" s="15"/>
      <c r="Z56" s="16"/>
    </row>
    <row r="57">
      <c r="A57" s="12" t="s">
        <v>1550</v>
      </c>
      <c r="B57" s="13" t="s">
        <v>1551</v>
      </c>
      <c r="C57" s="13" t="s">
        <v>1364</v>
      </c>
      <c r="D57" s="13" t="s">
        <v>1364</v>
      </c>
      <c r="E57" s="14">
        <v>271.0</v>
      </c>
      <c r="F57" s="13" t="s">
        <v>584</v>
      </c>
      <c r="G57" s="13" t="s">
        <v>1547</v>
      </c>
      <c r="H57" s="14">
        <v>-1.0</v>
      </c>
      <c r="I57" s="14">
        <v>-1.0</v>
      </c>
      <c r="J57" s="14">
        <v>-1.0</v>
      </c>
      <c r="K57" s="17">
        <v>45180.59993055556</v>
      </c>
      <c r="L57" s="15"/>
      <c r="M57" s="15"/>
      <c r="N57" s="15"/>
      <c r="O57" s="15"/>
      <c r="P57" s="15"/>
      <c r="Q57" s="15"/>
      <c r="R57" s="15"/>
      <c r="S57" s="15"/>
      <c r="T57" s="15"/>
      <c r="U57" s="15"/>
      <c r="V57" s="15"/>
      <c r="W57" s="15"/>
      <c r="X57" s="15"/>
      <c r="Y57" s="15"/>
      <c r="Z57" s="16"/>
    </row>
    <row r="58">
      <c r="A58" s="12" t="s">
        <v>1552</v>
      </c>
      <c r="B58" s="13" t="s">
        <v>1553</v>
      </c>
      <c r="C58" s="13" t="s">
        <v>1364</v>
      </c>
      <c r="D58" s="13" t="s">
        <v>1364</v>
      </c>
      <c r="E58" s="14">
        <v>290.0</v>
      </c>
      <c r="F58" s="13" t="s">
        <v>584</v>
      </c>
      <c r="G58" s="13" t="s">
        <v>1547</v>
      </c>
      <c r="H58" s="14">
        <v>-1.0</v>
      </c>
      <c r="I58" s="14">
        <v>-1.0</v>
      </c>
      <c r="J58" s="14">
        <v>-1.0</v>
      </c>
      <c r="K58" s="17">
        <v>45180.6</v>
      </c>
      <c r="L58" s="15"/>
      <c r="M58" s="15"/>
      <c r="N58" s="15"/>
      <c r="O58" s="15"/>
      <c r="P58" s="15"/>
      <c r="Q58" s="15"/>
      <c r="R58" s="15"/>
      <c r="S58" s="15"/>
      <c r="T58" s="15"/>
      <c r="U58" s="15"/>
      <c r="V58" s="15"/>
      <c r="W58" s="15"/>
      <c r="X58" s="15"/>
      <c r="Y58" s="15"/>
      <c r="Z58" s="16"/>
    </row>
    <row r="59">
      <c r="A59" s="12" t="s">
        <v>1554</v>
      </c>
      <c r="B59" s="13" t="s">
        <v>1555</v>
      </c>
      <c r="C59" s="13" t="s">
        <v>1364</v>
      </c>
      <c r="D59" s="13" t="s">
        <v>1364</v>
      </c>
      <c r="E59" s="14">
        <v>292.0</v>
      </c>
      <c r="F59" s="13" t="s">
        <v>584</v>
      </c>
      <c r="G59" s="13" t="s">
        <v>1547</v>
      </c>
      <c r="H59" s="14">
        <v>-1.0</v>
      </c>
      <c r="I59" s="14">
        <v>-1.0</v>
      </c>
      <c r="J59" s="14">
        <v>-1.0</v>
      </c>
      <c r="K59" s="17">
        <v>45180.60008101852</v>
      </c>
      <c r="L59" s="15"/>
      <c r="M59" s="15"/>
      <c r="N59" s="15"/>
      <c r="O59" s="15"/>
      <c r="P59" s="15"/>
      <c r="Q59" s="15"/>
      <c r="R59" s="15"/>
      <c r="S59" s="15"/>
      <c r="T59" s="15"/>
      <c r="U59" s="15"/>
      <c r="V59" s="15"/>
      <c r="W59" s="15"/>
      <c r="X59" s="15"/>
      <c r="Y59" s="15"/>
      <c r="Z59" s="16"/>
    </row>
    <row r="60">
      <c r="A60" s="12" t="s">
        <v>1556</v>
      </c>
      <c r="B60" s="13" t="s">
        <v>1557</v>
      </c>
      <c r="C60" s="13" t="s">
        <v>1364</v>
      </c>
      <c r="D60" s="13" t="s">
        <v>1364</v>
      </c>
      <c r="E60" s="14">
        <v>294.0</v>
      </c>
      <c r="F60" s="13" t="s">
        <v>584</v>
      </c>
      <c r="G60" s="13" t="s">
        <v>1547</v>
      </c>
      <c r="H60" s="14">
        <v>-1.0</v>
      </c>
      <c r="I60" s="14">
        <v>-1.0</v>
      </c>
      <c r="J60" s="14">
        <v>-1.0</v>
      </c>
      <c r="K60" s="17">
        <v>45180.60015046297</v>
      </c>
      <c r="L60" s="15"/>
      <c r="M60" s="15"/>
      <c r="N60" s="15"/>
      <c r="O60" s="15"/>
      <c r="P60" s="15"/>
      <c r="Q60" s="15"/>
      <c r="R60" s="15"/>
      <c r="S60" s="15"/>
      <c r="T60" s="15"/>
      <c r="U60" s="15"/>
      <c r="V60" s="15"/>
      <c r="W60" s="15"/>
      <c r="X60" s="15"/>
      <c r="Y60" s="15"/>
      <c r="Z60" s="16"/>
    </row>
    <row r="61">
      <c r="A61" s="12" t="s">
        <v>1558</v>
      </c>
      <c r="B61" s="13" t="s">
        <v>1559</v>
      </c>
      <c r="C61" s="13" t="s">
        <v>1364</v>
      </c>
      <c r="D61" s="13" t="s">
        <v>1364</v>
      </c>
      <c r="E61" s="14">
        <v>222.0</v>
      </c>
      <c r="F61" s="13" t="s">
        <v>584</v>
      </c>
      <c r="G61" s="13" t="s">
        <v>1547</v>
      </c>
      <c r="H61" s="14">
        <v>-1.0</v>
      </c>
      <c r="I61" s="14">
        <v>-1.0</v>
      </c>
      <c r="J61" s="14">
        <v>-1.0</v>
      </c>
      <c r="K61" s="17">
        <v>45180.60021990741</v>
      </c>
      <c r="L61" s="15"/>
      <c r="M61" s="15"/>
      <c r="N61" s="15"/>
      <c r="O61" s="15"/>
      <c r="P61" s="15"/>
      <c r="Q61" s="15"/>
      <c r="R61" s="15"/>
      <c r="S61" s="15"/>
      <c r="T61" s="15"/>
      <c r="U61" s="15"/>
      <c r="V61" s="15"/>
      <c r="W61" s="15"/>
      <c r="X61" s="15"/>
      <c r="Y61" s="15"/>
      <c r="Z61" s="16"/>
    </row>
    <row r="62">
      <c r="A62" s="12" t="s">
        <v>1560</v>
      </c>
      <c r="B62" s="13" t="s">
        <v>1561</v>
      </c>
      <c r="C62" s="13" t="s">
        <v>1364</v>
      </c>
      <c r="D62" s="13" t="s">
        <v>1364</v>
      </c>
      <c r="E62" s="14">
        <v>280.0</v>
      </c>
      <c r="F62" s="13" t="s">
        <v>584</v>
      </c>
      <c r="G62" s="13" t="s">
        <v>1547</v>
      </c>
      <c r="H62" s="14">
        <v>-1.0</v>
      </c>
      <c r="I62" s="14">
        <v>-1.0</v>
      </c>
      <c r="J62" s="14">
        <v>-1.0</v>
      </c>
      <c r="K62" s="17">
        <v>45180.60030092593</v>
      </c>
      <c r="L62" s="15"/>
      <c r="M62" s="15"/>
      <c r="N62" s="15"/>
      <c r="O62" s="15"/>
      <c r="P62" s="15"/>
      <c r="Q62" s="15"/>
      <c r="R62" s="15"/>
      <c r="S62" s="15"/>
      <c r="T62" s="15"/>
      <c r="U62" s="15"/>
      <c r="V62" s="15"/>
      <c r="W62" s="15"/>
      <c r="X62" s="15"/>
      <c r="Y62" s="15"/>
      <c r="Z62" s="16"/>
    </row>
    <row r="63">
      <c r="A63" s="12" t="s">
        <v>1562</v>
      </c>
      <c r="B63" s="13" t="s">
        <v>1563</v>
      </c>
      <c r="C63" s="13" t="s">
        <v>1364</v>
      </c>
      <c r="D63" s="13" t="s">
        <v>1364</v>
      </c>
      <c r="E63" s="14">
        <v>263.0</v>
      </c>
      <c r="F63" s="13" t="s">
        <v>584</v>
      </c>
      <c r="G63" s="13" t="s">
        <v>1547</v>
      </c>
      <c r="H63" s="14">
        <v>-1.0</v>
      </c>
      <c r="I63" s="14">
        <v>-1.0</v>
      </c>
      <c r="J63" s="14">
        <v>-1.0</v>
      </c>
      <c r="K63" s="17">
        <v>45180.600370370375</v>
      </c>
      <c r="L63" s="15"/>
      <c r="M63" s="15"/>
      <c r="N63" s="15"/>
      <c r="O63" s="15"/>
      <c r="P63" s="15"/>
      <c r="Q63" s="15"/>
      <c r="R63" s="15"/>
      <c r="S63" s="15"/>
      <c r="T63" s="15"/>
      <c r="U63" s="15"/>
      <c r="V63" s="15"/>
      <c r="W63" s="15"/>
      <c r="X63" s="15"/>
      <c r="Y63" s="15"/>
      <c r="Z63" s="16"/>
    </row>
    <row r="64">
      <c r="A64" s="12" t="s">
        <v>1564</v>
      </c>
      <c r="B64" s="13" t="s">
        <v>1565</v>
      </c>
      <c r="C64" s="13" t="s">
        <v>1364</v>
      </c>
      <c r="D64" s="13" t="s">
        <v>1364</v>
      </c>
      <c r="E64" s="14">
        <v>246.0</v>
      </c>
      <c r="F64" s="13" t="s">
        <v>584</v>
      </c>
      <c r="G64" s="13" t="s">
        <v>1547</v>
      </c>
      <c r="H64" s="14">
        <v>-1.0</v>
      </c>
      <c r="I64" s="14">
        <v>-1.0</v>
      </c>
      <c r="J64" s="14">
        <v>-1.0</v>
      </c>
      <c r="K64" s="17">
        <v>45180.60045138889</v>
      </c>
      <c r="L64" s="15"/>
      <c r="M64" s="15"/>
      <c r="N64" s="15"/>
      <c r="O64" s="15"/>
      <c r="P64" s="15"/>
      <c r="Q64" s="15"/>
      <c r="R64" s="15"/>
      <c r="S64" s="15"/>
      <c r="T64" s="15"/>
      <c r="U64" s="15"/>
      <c r="V64" s="15"/>
      <c r="W64" s="15"/>
      <c r="X64" s="15"/>
      <c r="Y64" s="15"/>
      <c r="Z64" s="16"/>
    </row>
    <row r="65">
      <c r="A65" s="12" t="s">
        <v>1566</v>
      </c>
      <c r="B65" s="13" t="s">
        <v>1567</v>
      </c>
      <c r="C65" s="13" t="s">
        <v>1364</v>
      </c>
      <c r="D65" s="13" t="s">
        <v>1364</v>
      </c>
      <c r="E65" s="14">
        <v>5.0</v>
      </c>
      <c r="F65" s="13" t="s">
        <v>584</v>
      </c>
      <c r="G65" s="13" t="s">
        <v>1568</v>
      </c>
      <c r="H65" s="14">
        <v>-1.0</v>
      </c>
      <c r="I65" s="14">
        <v>-1.0</v>
      </c>
      <c r="J65" s="14">
        <v>-1.0</v>
      </c>
      <c r="K65" s="17">
        <v>45180.64356481482</v>
      </c>
      <c r="L65" s="15"/>
      <c r="M65" s="15"/>
      <c r="N65" s="15"/>
      <c r="O65" s="15"/>
      <c r="P65" s="15"/>
      <c r="Q65" s="15"/>
      <c r="R65" s="15"/>
      <c r="S65" s="15"/>
      <c r="T65" s="15"/>
      <c r="U65" s="15"/>
      <c r="V65" s="15"/>
      <c r="W65" s="15"/>
      <c r="X65" s="15"/>
      <c r="Y65" s="15"/>
      <c r="Z65" s="16"/>
    </row>
    <row r="66">
      <c r="A66" s="12" t="s">
        <v>1569</v>
      </c>
      <c r="B66" s="13" t="s">
        <v>1570</v>
      </c>
      <c r="C66" s="13" t="s">
        <v>1364</v>
      </c>
      <c r="D66" s="13" t="s">
        <v>1364</v>
      </c>
      <c r="E66" s="14">
        <v>200.0</v>
      </c>
      <c r="F66" s="13" t="s">
        <v>584</v>
      </c>
      <c r="G66" s="13" t="s">
        <v>1568</v>
      </c>
      <c r="H66" s="14">
        <v>-1.0</v>
      </c>
      <c r="I66" s="14">
        <v>-1.0</v>
      </c>
      <c r="J66" s="14">
        <v>-1.0</v>
      </c>
      <c r="K66" s="17">
        <v>45180.643738425926</v>
      </c>
      <c r="L66" s="15"/>
      <c r="M66" s="15"/>
      <c r="N66" s="15"/>
      <c r="O66" s="15"/>
      <c r="P66" s="15"/>
      <c r="Q66" s="15"/>
      <c r="R66" s="15"/>
      <c r="S66" s="15"/>
      <c r="T66" s="15"/>
      <c r="U66" s="15"/>
      <c r="V66" s="15"/>
      <c r="W66" s="15"/>
      <c r="X66" s="15"/>
      <c r="Y66" s="15"/>
      <c r="Z66" s="16"/>
    </row>
    <row r="67">
      <c r="A67" s="12" t="s">
        <v>1571</v>
      </c>
      <c r="B67" s="13" t="s">
        <v>1572</v>
      </c>
      <c r="C67" s="13" t="s">
        <v>1364</v>
      </c>
      <c r="D67" s="13" t="s">
        <v>1364</v>
      </c>
      <c r="E67" s="14">
        <v>200.0</v>
      </c>
      <c r="F67" s="13" t="s">
        <v>584</v>
      </c>
      <c r="G67" s="13" t="s">
        <v>1568</v>
      </c>
      <c r="H67" s="14">
        <v>-1.0</v>
      </c>
      <c r="I67" s="14">
        <v>-1.0</v>
      </c>
      <c r="J67" s="14">
        <v>-1.0</v>
      </c>
      <c r="K67" s="17">
        <v>45180.64446759259</v>
      </c>
      <c r="L67" s="15"/>
      <c r="M67" s="15"/>
      <c r="N67" s="15"/>
      <c r="O67" s="15"/>
      <c r="P67" s="15"/>
      <c r="Q67" s="15"/>
      <c r="R67" s="15"/>
      <c r="S67" s="15"/>
      <c r="T67" s="15"/>
      <c r="U67" s="15"/>
      <c r="V67" s="15"/>
      <c r="W67" s="15"/>
      <c r="X67" s="15"/>
      <c r="Y67" s="15"/>
      <c r="Z67" s="16"/>
    </row>
    <row r="68">
      <c r="A68" s="12" t="s">
        <v>1573</v>
      </c>
      <c r="B68" s="13" t="s">
        <v>1574</v>
      </c>
      <c r="C68" s="13" t="s">
        <v>1364</v>
      </c>
      <c r="D68" s="13" t="s">
        <v>1364</v>
      </c>
      <c r="E68" s="14">
        <v>537.0</v>
      </c>
      <c r="F68" s="13" t="s">
        <v>584</v>
      </c>
      <c r="G68" s="13" t="s">
        <v>1575</v>
      </c>
      <c r="H68" s="14">
        <v>-1.0</v>
      </c>
      <c r="I68" s="14">
        <v>-1.0</v>
      </c>
      <c r="J68" s="14">
        <v>-1.0</v>
      </c>
      <c r="K68" s="13" t="s">
        <v>1576</v>
      </c>
      <c r="L68" s="15"/>
      <c r="M68" s="15"/>
      <c r="N68" s="15"/>
      <c r="O68" s="15"/>
      <c r="P68" s="15"/>
      <c r="Q68" s="15"/>
      <c r="R68" s="15"/>
      <c r="S68" s="15"/>
      <c r="T68" s="15"/>
      <c r="U68" s="15"/>
      <c r="V68" s="15"/>
      <c r="W68" s="15"/>
      <c r="X68" s="15"/>
      <c r="Y68" s="15"/>
      <c r="Z68" s="16"/>
    </row>
    <row r="69">
      <c r="A69" s="12" t="s">
        <v>1577</v>
      </c>
      <c r="B69" s="13" t="s">
        <v>1578</v>
      </c>
      <c r="C69" s="13" t="s">
        <v>1364</v>
      </c>
      <c r="D69" s="13" t="s">
        <v>1364</v>
      </c>
      <c r="E69" s="14">
        <v>549.0</v>
      </c>
      <c r="F69" s="13" t="s">
        <v>584</v>
      </c>
      <c r="G69" s="13" t="s">
        <v>1575</v>
      </c>
      <c r="H69" s="14">
        <v>-1.0</v>
      </c>
      <c r="I69" s="14">
        <v>-1.0</v>
      </c>
      <c r="J69" s="14">
        <v>-1.0</v>
      </c>
      <c r="K69" s="13" t="s">
        <v>1579</v>
      </c>
      <c r="L69" s="15"/>
      <c r="M69" s="15"/>
      <c r="N69" s="15"/>
      <c r="O69" s="15"/>
      <c r="P69" s="15"/>
      <c r="Q69" s="15"/>
      <c r="R69" s="15"/>
      <c r="S69" s="15"/>
      <c r="T69" s="15"/>
      <c r="U69" s="15"/>
      <c r="V69" s="15"/>
      <c r="W69" s="15"/>
      <c r="X69" s="15"/>
      <c r="Y69" s="15"/>
      <c r="Z69" s="16"/>
    </row>
    <row r="70">
      <c r="A70" s="12" t="s">
        <v>1580</v>
      </c>
      <c r="B70" s="13" t="s">
        <v>1581</v>
      </c>
      <c r="C70" s="13" t="s">
        <v>1364</v>
      </c>
      <c r="D70" s="13" t="s">
        <v>1364</v>
      </c>
      <c r="E70" s="14">
        <v>494.0</v>
      </c>
      <c r="F70" s="13" t="s">
        <v>584</v>
      </c>
      <c r="G70" s="13" t="s">
        <v>1575</v>
      </c>
      <c r="H70" s="14">
        <v>-1.0</v>
      </c>
      <c r="I70" s="14">
        <v>-1.0</v>
      </c>
      <c r="J70" s="14">
        <v>-1.0</v>
      </c>
      <c r="K70" s="13" t="s">
        <v>1582</v>
      </c>
      <c r="L70" s="15"/>
      <c r="M70" s="15"/>
      <c r="N70" s="15"/>
      <c r="O70" s="15"/>
      <c r="P70" s="15"/>
      <c r="Q70" s="15"/>
      <c r="R70" s="15"/>
      <c r="S70" s="15"/>
      <c r="T70" s="15"/>
      <c r="U70" s="15"/>
      <c r="V70" s="15"/>
      <c r="W70" s="15"/>
      <c r="X70" s="15"/>
      <c r="Y70" s="15"/>
      <c r="Z70" s="16"/>
    </row>
    <row r="71">
      <c r="A71" s="12" t="s">
        <v>1583</v>
      </c>
      <c r="B71" s="13" t="s">
        <v>1584</v>
      </c>
      <c r="C71" s="13" t="s">
        <v>1364</v>
      </c>
      <c r="D71" s="13" t="s">
        <v>1364</v>
      </c>
      <c r="E71" s="14">
        <v>539.0</v>
      </c>
      <c r="F71" s="13" t="s">
        <v>584</v>
      </c>
      <c r="G71" s="13" t="s">
        <v>1575</v>
      </c>
      <c r="H71" s="14">
        <v>-1.0</v>
      </c>
      <c r="I71" s="14">
        <v>-1.0</v>
      </c>
      <c r="J71" s="14">
        <v>-1.0</v>
      </c>
      <c r="K71" s="13" t="s">
        <v>1585</v>
      </c>
      <c r="L71" s="15"/>
      <c r="M71" s="15"/>
      <c r="N71" s="15"/>
      <c r="O71" s="15"/>
      <c r="P71" s="15"/>
      <c r="Q71" s="15"/>
      <c r="R71" s="15"/>
      <c r="S71" s="15"/>
      <c r="T71" s="15"/>
      <c r="U71" s="15"/>
      <c r="V71" s="15"/>
      <c r="W71" s="15"/>
      <c r="X71" s="15"/>
      <c r="Y71" s="15"/>
      <c r="Z71" s="16"/>
    </row>
    <row r="72">
      <c r="A72" s="12" t="s">
        <v>1586</v>
      </c>
      <c r="B72" s="13" t="s">
        <v>1587</v>
      </c>
      <c r="C72" s="13" t="s">
        <v>1364</v>
      </c>
      <c r="D72" s="13" t="s">
        <v>1364</v>
      </c>
      <c r="E72" s="14">
        <v>550.0</v>
      </c>
      <c r="F72" s="13" t="s">
        <v>584</v>
      </c>
      <c r="G72" s="13" t="s">
        <v>1575</v>
      </c>
      <c r="H72" s="14">
        <v>-1.0</v>
      </c>
      <c r="I72" s="14">
        <v>-1.0</v>
      </c>
      <c r="J72" s="14">
        <v>-1.0</v>
      </c>
      <c r="K72" s="13" t="s">
        <v>1588</v>
      </c>
      <c r="L72" s="15"/>
      <c r="M72" s="15"/>
      <c r="N72" s="15"/>
      <c r="O72" s="15"/>
      <c r="P72" s="15"/>
      <c r="Q72" s="15"/>
      <c r="R72" s="15"/>
      <c r="S72" s="15"/>
      <c r="T72" s="15"/>
      <c r="U72" s="15"/>
      <c r="V72" s="15"/>
      <c r="W72" s="15"/>
      <c r="X72" s="15"/>
      <c r="Y72" s="15"/>
      <c r="Z72" s="16"/>
    </row>
    <row r="73">
      <c r="A73" s="12" t="s">
        <v>1589</v>
      </c>
      <c r="B73" s="13" t="s">
        <v>1590</v>
      </c>
      <c r="C73" s="13" t="s">
        <v>1364</v>
      </c>
      <c r="D73" s="13" t="s">
        <v>1364</v>
      </c>
      <c r="E73" s="14">
        <v>544.0</v>
      </c>
      <c r="F73" s="13" t="s">
        <v>584</v>
      </c>
      <c r="G73" s="13" t="s">
        <v>1575</v>
      </c>
      <c r="H73" s="14">
        <v>-1.0</v>
      </c>
      <c r="I73" s="14">
        <v>-1.0</v>
      </c>
      <c r="J73" s="14">
        <v>-1.0</v>
      </c>
      <c r="K73" s="13" t="s">
        <v>1591</v>
      </c>
      <c r="L73" s="15"/>
      <c r="M73" s="15"/>
      <c r="N73" s="15"/>
      <c r="O73" s="15"/>
      <c r="P73" s="15"/>
      <c r="Q73" s="15"/>
      <c r="R73" s="15"/>
      <c r="S73" s="15"/>
      <c r="T73" s="15"/>
      <c r="U73" s="15"/>
      <c r="V73" s="15"/>
      <c r="W73" s="15"/>
      <c r="X73" s="15"/>
      <c r="Y73" s="15"/>
      <c r="Z73" s="16"/>
    </row>
    <row r="74">
      <c r="A74" s="12" t="s">
        <v>1592</v>
      </c>
      <c r="B74" s="13" t="s">
        <v>1593</v>
      </c>
      <c r="C74" s="13" t="s">
        <v>1364</v>
      </c>
      <c r="D74" s="13" t="s">
        <v>1364</v>
      </c>
      <c r="E74" s="14">
        <v>404.0</v>
      </c>
      <c r="F74" s="13" t="s">
        <v>584</v>
      </c>
      <c r="G74" s="13" t="s">
        <v>1575</v>
      </c>
      <c r="H74" s="14">
        <v>-1.0</v>
      </c>
      <c r="I74" s="14">
        <v>-1.0</v>
      </c>
      <c r="J74" s="14">
        <v>-1.0</v>
      </c>
      <c r="K74" s="13" t="s">
        <v>1594</v>
      </c>
      <c r="L74" s="15"/>
      <c r="M74" s="15"/>
      <c r="N74" s="15"/>
      <c r="O74" s="15"/>
      <c r="P74" s="15"/>
      <c r="Q74" s="15"/>
      <c r="R74" s="15"/>
      <c r="S74" s="15"/>
      <c r="T74" s="15"/>
      <c r="U74" s="15"/>
      <c r="V74" s="15"/>
      <c r="W74" s="15"/>
      <c r="X74" s="15"/>
      <c r="Y74" s="15"/>
      <c r="Z74" s="16"/>
    </row>
    <row r="75">
      <c r="A75" s="12" t="s">
        <v>1595</v>
      </c>
      <c r="B75" s="13" t="s">
        <v>1596</v>
      </c>
      <c r="C75" s="13" t="s">
        <v>1364</v>
      </c>
      <c r="D75" s="13" t="s">
        <v>1364</v>
      </c>
      <c r="E75" s="14">
        <v>541.0</v>
      </c>
      <c r="F75" s="13" t="s">
        <v>584</v>
      </c>
      <c r="G75" s="13" t="s">
        <v>1575</v>
      </c>
      <c r="H75" s="14">
        <v>-1.0</v>
      </c>
      <c r="I75" s="14">
        <v>-1.0</v>
      </c>
      <c r="J75" s="14">
        <v>-1.0</v>
      </c>
      <c r="K75" s="13" t="s">
        <v>1597</v>
      </c>
      <c r="L75" s="15"/>
      <c r="M75" s="15"/>
      <c r="N75" s="15"/>
      <c r="O75" s="15"/>
      <c r="P75" s="15"/>
      <c r="Q75" s="15"/>
      <c r="R75" s="15"/>
      <c r="S75" s="15"/>
      <c r="T75" s="15"/>
      <c r="U75" s="15"/>
      <c r="V75" s="15"/>
      <c r="W75" s="15"/>
      <c r="X75" s="15"/>
      <c r="Y75" s="15"/>
      <c r="Z75" s="16"/>
    </row>
    <row r="76">
      <c r="A76" s="12" t="s">
        <v>1598</v>
      </c>
      <c r="B76" s="13" t="s">
        <v>1599</v>
      </c>
      <c r="C76" s="13" t="s">
        <v>1364</v>
      </c>
      <c r="D76" s="13" t="s">
        <v>1364</v>
      </c>
      <c r="E76" s="14">
        <v>550.0</v>
      </c>
      <c r="F76" s="13" t="s">
        <v>584</v>
      </c>
      <c r="G76" s="13" t="s">
        <v>1575</v>
      </c>
      <c r="H76" s="14">
        <v>-1.0</v>
      </c>
      <c r="I76" s="14">
        <v>-1.0</v>
      </c>
      <c r="J76" s="14">
        <v>-1.0</v>
      </c>
      <c r="K76" s="13" t="s">
        <v>1600</v>
      </c>
      <c r="L76" s="15"/>
      <c r="M76" s="15"/>
      <c r="N76" s="15"/>
      <c r="O76" s="15"/>
      <c r="P76" s="15"/>
      <c r="Q76" s="15"/>
      <c r="R76" s="15"/>
      <c r="S76" s="15"/>
      <c r="T76" s="15"/>
      <c r="U76" s="15"/>
      <c r="V76" s="15"/>
      <c r="W76" s="15"/>
      <c r="X76" s="15"/>
      <c r="Y76" s="15"/>
      <c r="Z76" s="16"/>
    </row>
    <row r="77">
      <c r="A77" s="12" t="s">
        <v>1601</v>
      </c>
      <c r="B77" s="13" t="s">
        <v>1602</v>
      </c>
      <c r="C77" s="13" t="s">
        <v>1364</v>
      </c>
      <c r="D77" s="13" t="s">
        <v>1364</v>
      </c>
      <c r="E77" s="14">
        <v>550.0</v>
      </c>
      <c r="F77" s="13" t="s">
        <v>584</v>
      </c>
      <c r="G77" s="13" t="s">
        <v>1575</v>
      </c>
      <c r="H77" s="14">
        <v>-1.0</v>
      </c>
      <c r="I77" s="14">
        <v>-1.0</v>
      </c>
      <c r="J77" s="14">
        <v>-1.0</v>
      </c>
      <c r="K77" s="13" t="s">
        <v>1603</v>
      </c>
      <c r="L77" s="15"/>
      <c r="M77" s="15"/>
      <c r="N77" s="15"/>
      <c r="O77" s="15"/>
      <c r="P77" s="15"/>
      <c r="Q77" s="15"/>
      <c r="R77" s="15"/>
      <c r="S77" s="15"/>
      <c r="T77" s="15"/>
      <c r="U77" s="15"/>
      <c r="V77" s="15"/>
      <c r="W77" s="15"/>
      <c r="X77" s="15"/>
      <c r="Y77" s="15"/>
      <c r="Z77" s="16"/>
    </row>
    <row r="78">
      <c r="A78" s="12" t="s">
        <v>1604</v>
      </c>
      <c r="B78" s="13" t="s">
        <v>1605</v>
      </c>
      <c r="C78" s="13" t="s">
        <v>1364</v>
      </c>
      <c r="D78" s="13" t="s">
        <v>1364</v>
      </c>
      <c r="E78" s="14">
        <v>550.0</v>
      </c>
      <c r="F78" s="13" t="s">
        <v>584</v>
      </c>
      <c r="G78" s="13" t="s">
        <v>1575</v>
      </c>
      <c r="H78" s="14">
        <v>-1.0</v>
      </c>
      <c r="I78" s="14">
        <v>-1.0</v>
      </c>
      <c r="J78" s="14">
        <v>-1.0</v>
      </c>
      <c r="K78" s="13" t="s">
        <v>1606</v>
      </c>
      <c r="L78" s="15"/>
      <c r="M78" s="15"/>
      <c r="N78" s="15"/>
      <c r="O78" s="15"/>
      <c r="P78" s="15"/>
      <c r="Q78" s="15"/>
      <c r="R78" s="15"/>
      <c r="S78" s="15"/>
      <c r="T78" s="15"/>
      <c r="U78" s="15"/>
      <c r="V78" s="15"/>
      <c r="W78" s="15"/>
      <c r="X78" s="15"/>
      <c r="Y78" s="15"/>
      <c r="Z78" s="16"/>
    </row>
    <row r="79">
      <c r="A79" s="12" t="s">
        <v>1607</v>
      </c>
      <c r="B79" s="13" t="s">
        <v>1608</v>
      </c>
      <c r="C79" s="13" t="s">
        <v>1364</v>
      </c>
      <c r="D79" s="13" t="s">
        <v>1364</v>
      </c>
      <c r="E79" s="14">
        <v>550.0</v>
      </c>
      <c r="F79" s="13" t="s">
        <v>584</v>
      </c>
      <c r="G79" s="13" t="s">
        <v>1575</v>
      </c>
      <c r="H79" s="14">
        <v>-1.0</v>
      </c>
      <c r="I79" s="14">
        <v>-1.0</v>
      </c>
      <c r="J79" s="14">
        <v>-1.0</v>
      </c>
      <c r="K79" s="13" t="s">
        <v>1609</v>
      </c>
      <c r="L79" s="15"/>
      <c r="M79" s="15"/>
      <c r="N79" s="15"/>
      <c r="O79" s="15"/>
      <c r="P79" s="15"/>
      <c r="Q79" s="15"/>
      <c r="R79" s="15"/>
      <c r="S79" s="15"/>
      <c r="T79" s="15"/>
      <c r="U79" s="15"/>
      <c r="V79" s="15"/>
      <c r="W79" s="15"/>
      <c r="X79" s="15"/>
      <c r="Y79" s="15"/>
      <c r="Z79" s="16"/>
    </row>
    <row r="80">
      <c r="A80" s="12" t="s">
        <v>1610</v>
      </c>
      <c r="B80" s="13" t="s">
        <v>1611</v>
      </c>
      <c r="C80" s="13" t="s">
        <v>1364</v>
      </c>
      <c r="D80" s="13" t="s">
        <v>1364</v>
      </c>
      <c r="E80" s="14">
        <v>238.0</v>
      </c>
      <c r="F80" s="13" t="s">
        <v>584</v>
      </c>
      <c r="G80" s="13" t="s">
        <v>1612</v>
      </c>
      <c r="H80" s="14">
        <v>-1.0</v>
      </c>
      <c r="I80" s="14">
        <v>-1.0</v>
      </c>
      <c r="J80" s="14">
        <v>-1.0</v>
      </c>
      <c r="K80" s="13" t="s">
        <v>1613</v>
      </c>
      <c r="L80" s="15"/>
      <c r="M80" s="15"/>
      <c r="N80" s="15"/>
      <c r="O80" s="15"/>
      <c r="P80" s="15"/>
      <c r="Q80" s="15"/>
      <c r="R80" s="15"/>
      <c r="S80" s="15"/>
      <c r="T80" s="15"/>
      <c r="U80" s="15"/>
      <c r="V80" s="15"/>
      <c r="W80" s="15"/>
      <c r="X80" s="15"/>
      <c r="Y80" s="15"/>
      <c r="Z80" s="16"/>
    </row>
    <row r="81">
      <c r="A81" s="12" t="s">
        <v>1614</v>
      </c>
      <c r="B81" s="13" t="s">
        <v>1615</v>
      </c>
      <c r="C81" s="13" t="s">
        <v>1364</v>
      </c>
      <c r="D81" s="13" t="s">
        <v>1364</v>
      </c>
      <c r="E81" s="14">
        <v>181.0</v>
      </c>
      <c r="F81" s="13" t="s">
        <v>584</v>
      </c>
      <c r="G81" s="13" t="s">
        <v>1616</v>
      </c>
      <c r="H81" s="14">
        <v>-1.0</v>
      </c>
      <c r="I81" s="14">
        <v>-1.0</v>
      </c>
      <c r="J81" s="14">
        <v>-1.0</v>
      </c>
      <c r="K81" s="13" t="s">
        <v>1617</v>
      </c>
      <c r="L81" s="15"/>
      <c r="M81" s="15"/>
      <c r="N81" s="15"/>
      <c r="O81" s="15"/>
      <c r="P81" s="15"/>
      <c r="Q81" s="15"/>
      <c r="R81" s="15"/>
      <c r="S81" s="15"/>
      <c r="T81" s="15"/>
      <c r="U81" s="15"/>
      <c r="V81" s="15"/>
      <c r="W81" s="15"/>
      <c r="X81" s="15"/>
      <c r="Y81" s="15"/>
      <c r="Z81" s="16"/>
    </row>
    <row r="82">
      <c r="A82" s="12" t="s">
        <v>1618</v>
      </c>
      <c r="B82" s="13" t="s">
        <v>1619</v>
      </c>
      <c r="C82" s="13" t="s">
        <v>1364</v>
      </c>
      <c r="D82" s="13" t="s">
        <v>1364</v>
      </c>
      <c r="E82" s="14">
        <v>69.0</v>
      </c>
      <c r="F82" s="13" t="s">
        <v>584</v>
      </c>
      <c r="G82" s="13" t="s">
        <v>1620</v>
      </c>
      <c r="H82" s="14">
        <v>-1.0</v>
      </c>
      <c r="I82" s="14">
        <v>-1.0</v>
      </c>
      <c r="J82" s="14">
        <v>-1.0</v>
      </c>
      <c r="K82" s="13" t="s">
        <v>1621</v>
      </c>
      <c r="L82" s="15"/>
      <c r="M82" s="15"/>
      <c r="N82" s="15"/>
      <c r="O82" s="15"/>
      <c r="P82" s="15"/>
      <c r="Q82" s="15"/>
      <c r="R82" s="15"/>
      <c r="S82" s="15"/>
      <c r="T82" s="15"/>
      <c r="U82" s="15"/>
      <c r="V82" s="15"/>
      <c r="W82" s="15"/>
      <c r="X82" s="15"/>
      <c r="Y82" s="15"/>
      <c r="Z82" s="16"/>
    </row>
    <row r="83">
      <c r="A83" s="12" t="s">
        <v>1622</v>
      </c>
      <c r="B83" s="13" t="s">
        <v>1623</v>
      </c>
      <c r="C83" s="13" t="s">
        <v>1364</v>
      </c>
      <c r="D83" s="13" t="s">
        <v>1364</v>
      </c>
      <c r="E83" s="14">
        <v>246.0</v>
      </c>
      <c r="F83" s="13" t="s">
        <v>584</v>
      </c>
      <c r="G83" s="13" t="s">
        <v>1620</v>
      </c>
      <c r="H83" s="14">
        <v>-1.0</v>
      </c>
      <c r="I83" s="14">
        <v>-1.0</v>
      </c>
      <c r="J83" s="14">
        <v>-1.0</v>
      </c>
      <c r="K83" s="13" t="s">
        <v>1624</v>
      </c>
      <c r="L83" s="15"/>
      <c r="M83" s="15"/>
      <c r="N83" s="15"/>
      <c r="O83" s="15"/>
      <c r="P83" s="15"/>
      <c r="Q83" s="15"/>
      <c r="R83" s="15"/>
      <c r="S83" s="15"/>
      <c r="T83" s="15"/>
      <c r="U83" s="15"/>
      <c r="V83" s="15"/>
      <c r="W83" s="15"/>
      <c r="X83" s="15"/>
      <c r="Y83" s="15"/>
      <c r="Z83" s="16"/>
    </row>
    <row r="84">
      <c r="A84" s="12" t="s">
        <v>1625</v>
      </c>
      <c r="B84" s="13" t="s">
        <v>1626</v>
      </c>
      <c r="C84" s="13" t="s">
        <v>1364</v>
      </c>
      <c r="D84" s="13" t="s">
        <v>1364</v>
      </c>
      <c r="E84" s="14">
        <v>195.0</v>
      </c>
      <c r="F84" s="13" t="s">
        <v>584</v>
      </c>
      <c r="G84" s="13" t="s">
        <v>1620</v>
      </c>
      <c r="H84" s="14">
        <v>-1.0</v>
      </c>
      <c r="I84" s="14">
        <v>-1.0</v>
      </c>
      <c r="J84" s="14">
        <v>-1.0</v>
      </c>
      <c r="K84" s="13" t="s">
        <v>1627</v>
      </c>
      <c r="L84" s="15"/>
      <c r="M84" s="15"/>
      <c r="N84" s="15"/>
      <c r="O84" s="15"/>
      <c r="P84" s="15"/>
      <c r="Q84" s="15"/>
      <c r="R84" s="15"/>
      <c r="S84" s="15"/>
      <c r="T84" s="15"/>
      <c r="U84" s="15"/>
      <c r="V84" s="15"/>
      <c r="W84" s="15"/>
      <c r="X84" s="15"/>
      <c r="Y84" s="15"/>
      <c r="Z84" s="16"/>
    </row>
    <row r="85">
      <c r="A85" s="12" t="s">
        <v>1628</v>
      </c>
      <c r="B85" s="13" t="s">
        <v>1629</v>
      </c>
      <c r="C85" s="13" t="s">
        <v>1364</v>
      </c>
      <c r="D85" s="13" t="s">
        <v>1364</v>
      </c>
      <c r="E85" s="14">
        <v>218.0</v>
      </c>
      <c r="F85" s="13" t="s">
        <v>584</v>
      </c>
      <c r="G85" s="13" t="s">
        <v>1620</v>
      </c>
      <c r="H85" s="14">
        <v>-1.0</v>
      </c>
      <c r="I85" s="14">
        <v>-1.0</v>
      </c>
      <c r="J85" s="14">
        <v>-1.0</v>
      </c>
      <c r="K85" s="13" t="s">
        <v>1630</v>
      </c>
      <c r="L85" s="15"/>
      <c r="M85" s="15"/>
      <c r="N85" s="15"/>
      <c r="O85" s="15"/>
      <c r="P85" s="15"/>
      <c r="Q85" s="15"/>
      <c r="R85" s="15"/>
      <c r="S85" s="15"/>
      <c r="T85" s="15"/>
      <c r="U85" s="15"/>
      <c r="V85" s="15"/>
      <c r="W85" s="15"/>
      <c r="X85" s="15"/>
      <c r="Y85" s="15"/>
      <c r="Z85" s="16"/>
    </row>
    <row r="86">
      <c r="A86" s="12" t="s">
        <v>1631</v>
      </c>
      <c r="B86" s="13" t="s">
        <v>1632</v>
      </c>
      <c r="C86" s="13" t="s">
        <v>1364</v>
      </c>
      <c r="D86" s="13" t="s">
        <v>1364</v>
      </c>
      <c r="E86" s="14">
        <v>89.0</v>
      </c>
      <c r="F86" s="13" t="s">
        <v>584</v>
      </c>
      <c r="G86" s="13" t="s">
        <v>1633</v>
      </c>
      <c r="H86" s="14">
        <v>-1.0</v>
      </c>
      <c r="I86" s="14">
        <v>-1.0</v>
      </c>
      <c r="J86" s="14">
        <v>-1.0</v>
      </c>
      <c r="K86" s="13" t="s">
        <v>1634</v>
      </c>
      <c r="L86" s="15"/>
      <c r="M86" s="15"/>
      <c r="N86" s="15"/>
      <c r="O86" s="15"/>
      <c r="P86" s="15"/>
      <c r="Q86" s="15"/>
      <c r="R86" s="15"/>
      <c r="S86" s="15"/>
      <c r="T86" s="15"/>
      <c r="U86" s="15"/>
      <c r="V86" s="15"/>
      <c r="W86" s="15"/>
      <c r="X86" s="15"/>
      <c r="Y86" s="15"/>
      <c r="Z86" s="16"/>
    </row>
    <row r="87">
      <c r="A87" s="12" t="s">
        <v>1635</v>
      </c>
      <c r="B87" s="13" t="s">
        <v>1636</v>
      </c>
      <c r="C87" s="13" t="s">
        <v>1364</v>
      </c>
      <c r="D87" s="13" t="s">
        <v>1364</v>
      </c>
      <c r="E87" s="14">
        <v>249.0</v>
      </c>
      <c r="F87" s="13" t="s">
        <v>584</v>
      </c>
      <c r="G87" s="13" t="s">
        <v>1633</v>
      </c>
      <c r="H87" s="14">
        <v>-1.0</v>
      </c>
      <c r="I87" s="14">
        <v>-1.0</v>
      </c>
      <c r="J87" s="14">
        <v>-1.0</v>
      </c>
      <c r="K87" s="13" t="s">
        <v>1637</v>
      </c>
      <c r="L87" s="15"/>
      <c r="M87" s="15"/>
      <c r="N87" s="15"/>
      <c r="O87" s="15"/>
      <c r="P87" s="15"/>
      <c r="Q87" s="15"/>
      <c r="R87" s="15"/>
      <c r="S87" s="15"/>
      <c r="T87" s="15"/>
      <c r="U87" s="15"/>
      <c r="V87" s="15"/>
      <c r="W87" s="15"/>
      <c r="X87" s="15"/>
      <c r="Y87" s="15"/>
      <c r="Z87" s="16"/>
    </row>
    <row r="88">
      <c r="A88" s="12" t="s">
        <v>1638</v>
      </c>
      <c r="B88" s="13" t="s">
        <v>1639</v>
      </c>
      <c r="C88" s="13" t="s">
        <v>1364</v>
      </c>
      <c r="D88" s="13" t="s">
        <v>1364</v>
      </c>
      <c r="E88" s="14">
        <v>249.0</v>
      </c>
      <c r="F88" s="13" t="s">
        <v>584</v>
      </c>
      <c r="G88" s="13" t="s">
        <v>1633</v>
      </c>
      <c r="H88" s="14">
        <v>-1.0</v>
      </c>
      <c r="I88" s="14">
        <v>-1.0</v>
      </c>
      <c r="J88" s="14">
        <v>-1.0</v>
      </c>
      <c r="K88" s="13" t="s">
        <v>1640</v>
      </c>
      <c r="L88" s="15"/>
      <c r="M88" s="15"/>
      <c r="N88" s="15"/>
      <c r="O88" s="15"/>
      <c r="P88" s="15"/>
      <c r="Q88" s="15"/>
      <c r="R88" s="15"/>
      <c r="S88" s="15"/>
      <c r="T88" s="15"/>
      <c r="U88" s="15"/>
      <c r="V88" s="15"/>
      <c r="W88" s="15"/>
      <c r="X88" s="15"/>
      <c r="Y88" s="15"/>
      <c r="Z88" s="16"/>
    </row>
    <row r="89">
      <c r="A89" s="12" t="s">
        <v>1641</v>
      </c>
      <c r="B89" s="13" t="s">
        <v>1642</v>
      </c>
      <c r="C89" s="13" t="s">
        <v>1364</v>
      </c>
      <c r="D89" s="13" t="s">
        <v>1364</v>
      </c>
      <c r="E89" s="14">
        <v>247.0</v>
      </c>
      <c r="F89" s="13" t="s">
        <v>584</v>
      </c>
      <c r="G89" s="13" t="s">
        <v>1633</v>
      </c>
      <c r="H89" s="14">
        <v>-1.0</v>
      </c>
      <c r="I89" s="14">
        <v>-1.0</v>
      </c>
      <c r="J89" s="14">
        <v>-1.0</v>
      </c>
      <c r="K89" s="13" t="s">
        <v>1643</v>
      </c>
      <c r="L89" s="15"/>
      <c r="M89" s="15"/>
      <c r="N89" s="15"/>
      <c r="O89" s="15"/>
      <c r="P89" s="15"/>
      <c r="Q89" s="15"/>
      <c r="R89" s="15"/>
      <c r="S89" s="15"/>
      <c r="T89" s="15"/>
      <c r="U89" s="15"/>
      <c r="V89" s="15"/>
      <c r="W89" s="15"/>
      <c r="X89" s="15"/>
      <c r="Y89" s="15"/>
      <c r="Z89" s="16"/>
    </row>
    <row r="90">
      <c r="A90" s="12" t="s">
        <v>1644</v>
      </c>
      <c r="B90" s="13" t="s">
        <v>1645</v>
      </c>
      <c r="C90" s="13" t="s">
        <v>1364</v>
      </c>
      <c r="D90" s="13" t="s">
        <v>1364</v>
      </c>
      <c r="E90" s="14">
        <v>250.0</v>
      </c>
      <c r="F90" s="13" t="s">
        <v>584</v>
      </c>
      <c r="G90" s="13" t="s">
        <v>1633</v>
      </c>
      <c r="H90" s="14">
        <v>-1.0</v>
      </c>
      <c r="I90" s="14">
        <v>-1.0</v>
      </c>
      <c r="J90" s="14">
        <v>-1.0</v>
      </c>
      <c r="K90" s="13" t="s">
        <v>1646</v>
      </c>
      <c r="L90" s="15"/>
      <c r="M90" s="15"/>
      <c r="N90" s="15"/>
      <c r="O90" s="15"/>
      <c r="P90" s="15"/>
      <c r="Q90" s="15"/>
      <c r="R90" s="15"/>
      <c r="S90" s="15"/>
      <c r="T90" s="15"/>
      <c r="U90" s="15"/>
      <c r="V90" s="15"/>
      <c r="W90" s="15"/>
      <c r="X90" s="15"/>
      <c r="Y90" s="15"/>
      <c r="Z90" s="16"/>
    </row>
    <row r="91">
      <c r="A91" s="12" t="s">
        <v>1647</v>
      </c>
      <c r="B91" s="13" t="s">
        <v>1648</v>
      </c>
      <c r="C91" s="13" t="s">
        <v>1364</v>
      </c>
      <c r="D91" s="13" t="s">
        <v>1364</v>
      </c>
      <c r="E91" s="14">
        <v>428.0</v>
      </c>
      <c r="F91" s="13" t="s">
        <v>584</v>
      </c>
      <c r="G91" s="13" t="s">
        <v>1649</v>
      </c>
      <c r="H91" s="14">
        <v>-1.0</v>
      </c>
      <c r="I91" s="14">
        <v>-1.0</v>
      </c>
      <c r="J91" s="14">
        <v>-1.0</v>
      </c>
      <c r="K91" s="17">
        <v>45474.65594907408</v>
      </c>
      <c r="L91" s="15"/>
      <c r="M91" s="15"/>
      <c r="N91" s="15"/>
      <c r="O91" s="15"/>
      <c r="P91" s="15"/>
      <c r="Q91" s="15"/>
      <c r="R91" s="15"/>
      <c r="S91" s="15"/>
      <c r="T91" s="15"/>
      <c r="U91" s="15"/>
      <c r="V91" s="15"/>
      <c r="W91" s="15"/>
      <c r="X91" s="15"/>
      <c r="Y91" s="15"/>
      <c r="Z91" s="16"/>
    </row>
    <row r="92">
      <c r="A92" s="12" t="s">
        <v>1650</v>
      </c>
      <c r="B92" s="13" t="s">
        <v>1651</v>
      </c>
      <c r="C92" s="13" t="s">
        <v>1364</v>
      </c>
      <c r="D92" s="13" t="s">
        <v>1364</v>
      </c>
      <c r="E92" s="14">
        <v>1465.0</v>
      </c>
      <c r="F92" s="13" t="s">
        <v>584</v>
      </c>
      <c r="G92" s="13" t="s">
        <v>1652</v>
      </c>
      <c r="H92" s="14">
        <v>-1.0</v>
      </c>
      <c r="I92" s="14">
        <v>-1.0</v>
      </c>
      <c r="J92" s="14">
        <v>-1.0</v>
      </c>
      <c r="K92" s="17">
        <v>45474.74278935185</v>
      </c>
      <c r="L92" s="15"/>
      <c r="M92" s="15"/>
      <c r="N92" s="15"/>
      <c r="O92" s="15"/>
      <c r="P92" s="15"/>
      <c r="Q92" s="15"/>
      <c r="R92" s="15"/>
      <c r="S92" s="15"/>
      <c r="T92" s="15"/>
      <c r="U92" s="15"/>
      <c r="V92" s="15"/>
      <c r="W92" s="15"/>
      <c r="X92" s="15"/>
      <c r="Y92" s="15"/>
      <c r="Z92" s="16"/>
    </row>
    <row r="93">
      <c r="A93" s="12" t="s">
        <v>1653</v>
      </c>
      <c r="B93" s="13" t="s">
        <v>1654</v>
      </c>
      <c r="C93" s="13" t="s">
        <v>1364</v>
      </c>
      <c r="D93" s="13" t="s">
        <v>1364</v>
      </c>
      <c r="E93" s="14">
        <v>299.0</v>
      </c>
      <c r="F93" s="13" t="s">
        <v>584</v>
      </c>
      <c r="G93" s="15"/>
      <c r="H93" s="14">
        <v>-1.0</v>
      </c>
      <c r="I93" s="14">
        <v>-1.0</v>
      </c>
      <c r="J93" s="14">
        <v>-1.0</v>
      </c>
      <c r="K93" s="17">
        <v>45474.75378472223</v>
      </c>
      <c r="L93" s="15"/>
      <c r="M93" s="15"/>
      <c r="N93" s="15"/>
      <c r="O93" s="15"/>
      <c r="P93" s="15"/>
      <c r="Q93" s="15"/>
      <c r="R93" s="15"/>
      <c r="S93" s="15"/>
      <c r="T93" s="15"/>
      <c r="U93" s="15"/>
      <c r="V93" s="15"/>
      <c r="W93" s="15"/>
      <c r="X93" s="15"/>
      <c r="Y93" s="15"/>
      <c r="Z93" s="16"/>
    </row>
    <row r="94">
      <c r="A94" s="12" t="s">
        <v>1655</v>
      </c>
      <c r="B94" s="13" t="s">
        <v>1656</v>
      </c>
      <c r="C94" s="13" t="s">
        <v>1364</v>
      </c>
      <c r="D94" s="13" t="s">
        <v>1364</v>
      </c>
      <c r="E94" s="14">
        <v>440.0</v>
      </c>
      <c r="F94" s="13" t="s">
        <v>584</v>
      </c>
      <c r="G94" s="13" t="s">
        <v>1657</v>
      </c>
      <c r="H94" s="14">
        <v>-1.0</v>
      </c>
      <c r="I94" s="14">
        <v>-1.0</v>
      </c>
      <c r="J94" s="14">
        <v>-1.0</v>
      </c>
      <c r="K94" s="17">
        <v>45474.7602662037</v>
      </c>
      <c r="L94" s="15"/>
      <c r="M94" s="15"/>
      <c r="N94" s="15"/>
      <c r="O94" s="15"/>
      <c r="P94" s="15"/>
      <c r="Q94" s="15"/>
      <c r="R94" s="15"/>
      <c r="S94" s="15"/>
      <c r="T94" s="15"/>
      <c r="U94" s="15"/>
      <c r="V94" s="15"/>
      <c r="W94" s="15"/>
      <c r="X94" s="15"/>
      <c r="Y94" s="15"/>
      <c r="Z94" s="16"/>
    </row>
    <row r="95">
      <c r="A95" s="12" t="s">
        <v>1658</v>
      </c>
      <c r="B95" s="13" t="s">
        <v>1659</v>
      </c>
      <c r="C95" s="13" t="s">
        <v>1364</v>
      </c>
      <c r="D95" s="13" t="s">
        <v>1388</v>
      </c>
      <c r="E95" s="14">
        <v>12286.0</v>
      </c>
      <c r="F95" s="13" t="s">
        <v>29</v>
      </c>
      <c r="G95" s="15"/>
      <c r="H95" s="14">
        <v>-1.0</v>
      </c>
      <c r="I95" s="14">
        <v>-1.0</v>
      </c>
      <c r="J95" s="14">
        <v>-1.0</v>
      </c>
      <c r="K95" s="13" t="s">
        <v>1660</v>
      </c>
      <c r="L95" s="15"/>
      <c r="M95" s="15"/>
      <c r="N95" s="15"/>
      <c r="O95" s="15"/>
      <c r="P95" s="15"/>
      <c r="Q95" s="15"/>
      <c r="R95" s="15"/>
      <c r="S95" s="15"/>
      <c r="T95" s="15"/>
      <c r="U95" s="15"/>
      <c r="V95" s="15"/>
      <c r="W95" s="15"/>
      <c r="X95" s="15"/>
      <c r="Y95" s="15"/>
      <c r="Z95" s="16"/>
    </row>
    <row r="96">
      <c r="A96" s="12" t="s">
        <v>1661</v>
      </c>
      <c r="B96" s="13" t="s">
        <v>1662</v>
      </c>
      <c r="C96" s="13" t="s">
        <v>1364</v>
      </c>
      <c r="D96" s="13" t="s">
        <v>1388</v>
      </c>
      <c r="E96" s="14">
        <v>4958.0</v>
      </c>
      <c r="F96" s="13" t="s">
        <v>29</v>
      </c>
      <c r="G96" s="15"/>
      <c r="H96" s="14">
        <v>-1.0</v>
      </c>
      <c r="I96" s="14">
        <v>-1.0</v>
      </c>
      <c r="J96" s="14">
        <v>-1.0</v>
      </c>
      <c r="K96" s="13" t="s">
        <v>1663</v>
      </c>
      <c r="L96" s="15"/>
      <c r="M96" s="15"/>
      <c r="N96" s="15"/>
      <c r="O96" s="15"/>
      <c r="P96" s="15"/>
      <c r="Q96" s="15"/>
      <c r="R96" s="15"/>
      <c r="S96" s="15"/>
      <c r="T96" s="15"/>
      <c r="U96" s="15"/>
      <c r="V96" s="15"/>
      <c r="W96" s="15"/>
      <c r="X96" s="15"/>
      <c r="Y96" s="15"/>
      <c r="Z96" s="16"/>
    </row>
    <row r="97">
      <c r="A97" s="12" t="s">
        <v>1664</v>
      </c>
      <c r="B97" s="13" t="s">
        <v>1665</v>
      </c>
      <c r="C97" s="13" t="s">
        <v>1364</v>
      </c>
      <c r="D97" s="13" t="s">
        <v>1388</v>
      </c>
      <c r="E97" s="14">
        <v>3024.0</v>
      </c>
      <c r="F97" s="13" t="s">
        <v>29</v>
      </c>
      <c r="G97" s="15"/>
      <c r="H97" s="14">
        <v>-1.0</v>
      </c>
      <c r="I97" s="14">
        <v>-1.0</v>
      </c>
      <c r="J97" s="14">
        <v>-1.0</v>
      </c>
      <c r="K97" s="13" t="s">
        <v>1666</v>
      </c>
      <c r="L97" s="15"/>
      <c r="M97" s="15"/>
      <c r="N97" s="15"/>
      <c r="O97" s="15"/>
      <c r="P97" s="15"/>
      <c r="Q97" s="15"/>
      <c r="R97" s="15"/>
      <c r="S97" s="15"/>
      <c r="T97" s="15"/>
      <c r="U97" s="15"/>
      <c r="V97" s="15"/>
      <c r="W97" s="15"/>
      <c r="X97" s="15"/>
      <c r="Y97" s="15"/>
      <c r="Z97" s="16"/>
    </row>
    <row r="98">
      <c r="A98" s="12" t="s">
        <v>1667</v>
      </c>
      <c r="B98" s="13" t="s">
        <v>1668</v>
      </c>
      <c r="C98" s="13" t="s">
        <v>1364</v>
      </c>
      <c r="D98" s="13" t="s">
        <v>1388</v>
      </c>
      <c r="E98" s="14">
        <v>3176.0</v>
      </c>
      <c r="F98" s="13" t="s">
        <v>29</v>
      </c>
      <c r="G98" s="15"/>
      <c r="H98" s="14">
        <v>-1.0</v>
      </c>
      <c r="I98" s="14">
        <v>-1.0</v>
      </c>
      <c r="J98" s="14">
        <v>-1.0</v>
      </c>
      <c r="K98" s="13" t="s">
        <v>1669</v>
      </c>
      <c r="L98" s="15"/>
      <c r="M98" s="15"/>
      <c r="N98" s="15"/>
      <c r="O98" s="15"/>
      <c r="P98" s="15"/>
      <c r="Q98" s="15"/>
      <c r="R98" s="15"/>
      <c r="S98" s="15"/>
      <c r="T98" s="15"/>
      <c r="U98" s="15"/>
      <c r="V98" s="15"/>
      <c r="W98" s="15"/>
      <c r="X98" s="15"/>
      <c r="Y98" s="15"/>
      <c r="Z98" s="16"/>
    </row>
    <row r="99">
      <c r="A99" s="12" t="s">
        <v>1670</v>
      </c>
      <c r="B99" s="13" t="s">
        <v>1671</v>
      </c>
      <c r="C99" s="13" t="s">
        <v>1364</v>
      </c>
      <c r="D99" s="13" t="s">
        <v>1388</v>
      </c>
      <c r="E99" s="14">
        <v>2922.0</v>
      </c>
      <c r="F99" s="13" t="s">
        <v>29</v>
      </c>
      <c r="G99" s="15"/>
      <c r="H99" s="14">
        <v>-1.0</v>
      </c>
      <c r="I99" s="14">
        <v>-1.0</v>
      </c>
      <c r="J99" s="14">
        <v>-1.0</v>
      </c>
      <c r="K99" s="13" t="s">
        <v>1672</v>
      </c>
      <c r="L99" s="15"/>
      <c r="M99" s="15"/>
      <c r="N99" s="15"/>
      <c r="O99" s="15"/>
      <c r="P99" s="15"/>
      <c r="Q99" s="15"/>
      <c r="R99" s="15"/>
      <c r="S99" s="15"/>
      <c r="T99" s="15"/>
      <c r="U99" s="15"/>
      <c r="V99" s="15"/>
      <c r="W99" s="15"/>
      <c r="X99" s="15"/>
      <c r="Y99" s="15"/>
      <c r="Z99" s="16"/>
    </row>
    <row r="100">
      <c r="A100" s="12" t="s">
        <v>1673</v>
      </c>
      <c r="B100" s="13" t="s">
        <v>1674</v>
      </c>
      <c r="C100" s="13" t="s">
        <v>1364</v>
      </c>
      <c r="D100" s="13" t="s">
        <v>1388</v>
      </c>
      <c r="E100" s="14">
        <v>1480.0</v>
      </c>
      <c r="F100" s="13" t="s">
        <v>29</v>
      </c>
      <c r="G100" s="15"/>
      <c r="H100" s="14">
        <v>-1.0</v>
      </c>
      <c r="I100" s="14">
        <v>-1.0</v>
      </c>
      <c r="J100" s="14">
        <v>-1.0</v>
      </c>
      <c r="K100" s="13" t="s">
        <v>1675</v>
      </c>
      <c r="L100" s="15"/>
      <c r="M100" s="15"/>
      <c r="N100" s="15"/>
      <c r="O100" s="15"/>
      <c r="P100" s="15"/>
      <c r="Q100" s="15"/>
      <c r="R100" s="15"/>
      <c r="S100" s="15"/>
      <c r="T100" s="15"/>
      <c r="U100" s="15"/>
      <c r="V100" s="15"/>
      <c r="W100" s="15"/>
      <c r="X100" s="15"/>
      <c r="Y100" s="15"/>
      <c r="Z100" s="16"/>
    </row>
    <row r="101">
      <c r="A101" s="12" t="s">
        <v>1676</v>
      </c>
      <c r="B101" s="13" t="s">
        <v>1677</v>
      </c>
      <c r="C101" s="13" t="s">
        <v>1364</v>
      </c>
      <c r="D101" s="13" t="s">
        <v>1388</v>
      </c>
      <c r="E101" s="14">
        <v>2011.0</v>
      </c>
      <c r="F101" s="13" t="s">
        <v>29</v>
      </c>
      <c r="G101" s="13" t="s">
        <v>1678</v>
      </c>
      <c r="H101" s="14">
        <v>-1.0</v>
      </c>
      <c r="I101" s="14">
        <v>-1.0</v>
      </c>
      <c r="J101" s="14">
        <v>-1.0</v>
      </c>
      <c r="K101" s="13" t="s">
        <v>1679</v>
      </c>
      <c r="L101" s="15"/>
      <c r="M101" s="15"/>
      <c r="N101" s="15"/>
      <c r="O101" s="15"/>
      <c r="P101" s="15"/>
      <c r="Q101" s="15"/>
      <c r="R101" s="15"/>
      <c r="S101" s="15"/>
      <c r="T101" s="15"/>
      <c r="U101" s="15"/>
      <c r="V101" s="15"/>
      <c r="W101" s="15"/>
      <c r="X101" s="15"/>
      <c r="Y101" s="15"/>
      <c r="Z101" s="16"/>
    </row>
    <row r="102">
      <c r="A102" s="12" t="s">
        <v>1680</v>
      </c>
      <c r="B102" s="13" t="s">
        <v>1681</v>
      </c>
      <c r="C102" s="13" t="s">
        <v>1364</v>
      </c>
      <c r="D102" s="13" t="s">
        <v>1388</v>
      </c>
      <c r="E102" s="14">
        <v>3572.0</v>
      </c>
      <c r="F102" s="13" t="s">
        <v>29</v>
      </c>
      <c r="G102" s="13" t="s">
        <v>1682</v>
      </c>
      <c r="H102" s="14">
        <v>-1.0</v>
      </c>
      <c r="I102" s="14">
        <v>-1.0</v>
      </c>
      <c r="J102" s="14">
        <v>-1.0</v>
      </c>
      <c r="K102" s="13" t="s">
        <v>1683</v>
      </c>
      <c r="L102" s="15"/>
      <c r="M102" s="15"/>
      <c r="N102" s="15"/>
      <c r="O102" s="15"/>
      <c r="P102" s="15"/>
      <c r="Q102" s="15"/>
      <c r="R102" s="15"/>
      <c r="S102" s="15"/>
      <c r="T102" s="15"/>
      <c r="U102" s="15"/>
      <c r="V102" s="15"/>
      <c r="W102" s="15"/>
      <c r="X102" s="15"/>
      <c r="Y102" s="15"/>
      <c r="Z102" s="16"/>
    </row>
    <row r="103">
      <c r="A103" s="12" t="s">
        <v>1684</v>
      </c>
      <c r="B103" s="13" t="s">
        <v>1685</v>
      </c>
      <c r="C103" s="13" t="s">
        <v>1364</v>
      </c>
      <c r="D103" s="13" t="s">
        <v>1364</v>
      </c>
      <c r="E103" s="14">
        <v>2012.0</v>
      </c>
      <c r="F103" s="13" t="s">
        <v>29</v>
      </c>
      <c r="G103" s="13" t="s">
        <v>1686</v>
      </c>
      <c r="H103" s="14">
        <v>-1.0</v>
      </c>
      <c r="I103" s="14">
        <v>-1.0</v>
      </c>
      <c r="J103" s="14">
        <v>-1.0</v>
      </c>
      <c r="K103" s="13" t="s">
        <v>1687</v>
      </c>
      <c r="L103" s="15"/>
      <c r="M103" s="15"/>
      <c r="N103" s="15"/>
      <c r="O103" s="15"/>
      <c r="P103" s="15"/>
      <c r="Q103" s="15"/>
      <c r="R103" s="15"/>
      <c r="S103" s="15"/>
      <c r="T103" s="15"/>
      <c r="U103" s="15"/>
      <c r="V103" s="15"/>
      <c r="W103" s="15"/>
      <c r="X103" s="15"/>
      <c r="Y103" s="15"/>
      <c r="Z103" s="16"/>
    </row>
    <row r="104">
      <c r="A104" s="12" t="s">
        <v>1688</v>
      </c>
      <c r="B104" s="13" t="s">
        <v>1689</v>
      </c>
      <c r="C104" s="13" t="s">
        <v>1364</v>
      </c>
      <c r="D104" s="13" t="s">
        <v>1388</v>
      </c>
      <c r="E104" s="14">
        <v>2452.0</v>
      </c>
      <c r="F104" s="13" t="s">
        <v>29</v>
      </c>
      <c r="G104" s="13" t="s">
        <v>1690</v>
      </c>
      <c r="H104" s="14">
        <v>-1.0</v>
      </c>
      <c r="I104" s="14">
        <v>-1.0</v>
      </c>
      <c r="J104" s="14">
        <v>-1.0</v>
      </c>
      <c r="K104" s="13" t="s">
        <v>1691</v>
      </c>
      <c r="L104" s="15"/>
      <c r="M104" s="15"/>
      <c r="N104" s="15"/>
      <c r="O104" s="15"/>
      <c r="P104" s="15"/>
      <c r="Q104" s="15"/>
      <c r="R104" s="15"/>
      <c r="S104" s="15"/>
      <c r="T104" s="15"/>
      <c r="U104" s="15"/>
      <c r="V104" s="15"/>
      <c r="W104" s="15"/>
      <c r="X104" s="15"/>
      <c r="Y104" s="15"/>
      <c r="Z104" s="16"/>
    </row>
    <row r="105">
      <c r="A105" s="12" t="s">
        <v>1692</v>
      </c>
      <c r="B105" s="13" t="s">
        <v>1693</v>
      </c>
      <c r="C105" s="13" t="s">
        <v>1364</v>
      </c>
      <c r="D105" s="13" t="s">
        <v>1388</v>
      </c>
      <c r="E105" s="14">
        <v>1330.0</v>
      </c>
      <c r="F105" s="13" t="s">
        <v>29</v>
      </c>
      <c r="G105" s="13" t="s">
        <v>1694</v>
      </c>
      <c r="H105" s="14">
        <v>-1.0</v>
      </c>
      <c r="I105" s="14">
        <v>-1.0</v>
      </c>
      <c r="J105" s="14">
        <v>-1.0</v>
      </c>
      <c r="K105" s="13" t="s">
        <v>1695</v>
      </c>
      <c r="L105" s="15"/>
      <c r="M105" s="15"/>
      <c r="N105" s="15"/>
      <c r="O105" s="15"/>
      <c r="P105" s="15"/>
      <c r="Q105" s="15"/>
      <c r="R105" s="15"/>
      <c r="S105" s="15"/>
      <c r="T105" s="15"/>
      <c r="U105" s="15"/>
      <c r="V105" s="15"/>
      <c r="W105" s="15"/>
      <c r="X105" s="15"/>
      <c r="Y105" s="15"/>
      <c r="Z105" s="16"/>
    </row>
    <row r="106">
      <c r="A106" s="12" t="s">
        <v>1696</v>
      </c>
      <c r="B106" s="13" t="s">
        <v>1697</v>
      </c>
      <c r="C106" s="13" t="s">
        <v>1364</v>
      </c>
      <c r="D106" s="13" t="s">
        <v>1364</v>
      </c>
      <c r="E106" s="14">
        <v>13779.0</v>
      </c>
      <c r="F106" s="13" t="s">
        <v>584</v>
      </c>
      <c r="G106" s="13" t="s">
        <v>1698</v>
      </c>
      <c r="H106" s="14">
        <v>-1.0</v>
      </c>
      <c r="I106" s="14">
        <v>-1.0</v>
      </c>
      <c r="J106" s="14">
        <v>-1.0</v>
      </c>
      <c r="K106" s="13" t="s">
        <v>1699</v>
      </c>
      <c r="L106" s="15"/>
      <c r="M106" s="15"/>
      <c r="N106" s="15"/>
      <c r="O106" s="15"/>
      <c r="P106" s="15"/>
      <c r="Q106" s="15"/>
      <c r="R106" s="15"/>
      <c r="S106" s="15"/>
      <c r="T106" s="15"/>
      <c r="U106" s="15"/>
      <c r="V106" s="15"/>
      <c r="W106" s="15"/>
      <c r="X106" s="15"/>
      <c r="Y106" s="15"/>
      <c r="Z106" s="16"/>
    </row>
    <row r="107">
      <c r="A107" s="12" t="s">
        <v>1700</v>
      </c>
      <c r="B107" s="13" t="s">
        <v>1701</v>
      </c>
      <c r="C107" s="13" t="s">
        <v>1364</v>
      </c>
      <c r="D107" s="13" t="s">
        <v>1364</v>
      </c>
      <c r="E107" s="14">
        <v>200.0</v>
      </c>
      <c r="F107" s="13" t="s">
        <v>584</v>
      </c>
      <c r="G107" s="13" t="s">
        <v>1702</v>
      </c>
      <c r="H107" s="14">
        <v>950.0</v>
      </c>
      <c r="I107" s="14">
        <v>1675.0</v>
      </c>
      <c r="J107" s="14">
        <v>1585.0</v>
      </c>
      <c r="K107" s="13" t="s">
        <v>1703</v>
      </c>
      <c r="L107" s="15"/>
      <c r="M107" s="15"/>
      <c r="N107" s="15"/>
      <c r="O107" s="15"/>
      <c r="P107" s="15"/>
      <c r="Q107" s="15"/>
      <c r="R107" s="15"/>
      <c r="S107" s="15"/>
      <c r="T107" s="15"/>
      <c r="U107" s="15"/>
      <c r="V107" s="15"/>
      <c r="W107" s="15"/>
      <c r="X107" s="15"/>
      <c r="Y107" s="15"/>
      <c r="Z107" s="16"/>
    </row>
    <row r="108">
      <c r="A108" s="12" t="s">
        <v>1704</v>
      </c>
      <c r="B108" s="13" t="s">
        <v>1705</v>
      </c>
      <c r="C108" s="13" t="s">
        <v>1364</v>
      </c>
      <c r="D108" s="13" t="s">
        <v>1364</v>
      </c>
      <c r="E108" s="14">
        <v>199.0</v>
      </c>
      <c r="F108" s="13" t="s">
        <v>584</v>
      </c>
      <c r="G108" s="13" t="s">
        <v>1706</v>
      </c>
      <c r="H108" s="14">
        <v>950.0</v>
      </c>
      <c r="I108" s="14">
        <v>1675.0</v>
      </c>
      <c r="J108" s="14">
        <v>1585.0</v>
      </c>
      <c r="K108" s="13" t="s">
        <v>1707</v>
      </c>
      <c r="L108" s="15"/>
      <c r="M108" s="15"/>
      <c r="N108" s="15"/>
      <c r="O108" s="15"/>
      <c r="P108" s="15"/>
      <c r="Q108" s="15"/>
      <c r="R108" s="15"/>
      <c r="S108" s="15"/>
      <c r="T108" s="15"/>
      <c r="U108" s="15"/>
      <c r="V108" s="15"/>
      <c r="W108" s="15"/>
      <c r="X108" s="15"/>
      <c r="Y108" s="15"/>
      <c r="Z108" s="16"/>
    </row>
    <row r="109">
      <c r="A109" s="12" t="s">
        <v>1708</v>
      </c>
      <c r="B109" s="13" t="s">
        <v>1709</v>
      </c>
      <c r="C109" s="13" t="s">
        <v>1364</v>
      </c>
      <c r="D109" s="13" t="s">
        <v>1364</v>
      </c>
      <c r="E109" s="14">
        <v>200.0</v>
      </c>
      <c r="F109" s="13" t="s">
        <v>584</v>
      </c>
      <c r="G109" s="13" t="s">
        <v>1710</v>
      </c>
      <c r="H109" s="14">
        <v>950.0</v>
      </c>
      <c r="I109" s="14">
        <v>1675.0</v>
      </c>
      <c r="J109" s="14">
        <v>1585.0</v>
      </c>
      <c r="K109" s="13" t="s">
        <v>1711</v>
      </c>
      <c r="L109" s="15"/>
      <c r="M109" s="15"/>
      <c r="N109" s="15"/>
      <c r="O109" s="15"/>
      <c r="P109" s="15"/>
      <c r="Q109" s="15"/>
      <c r="R109" s="15"/>
      <c r="S109" s="15"/>
      <c r="T109" s="15"/>
      <c r="U109" s="15"/>
      <c r="V109" s="15"/>
      <c r="W109" s="15"/>
      <c r="X109" s="15"/>
      <c r="Y109" s="15"/>
      <c r="Z109" s="16"/>
    </row>
    <row r="110">
      <c r="A110" s="12" t="s">
        <v>1712</v>
      </c>
      <c r="B110" s="13" t="s">
        <v>1713</v>
      </c>
      <c r="C110" s="13" t="s">
        <v>1364</v>
      </c>
      <c r="D110" s="13" t="s">
        <v>1364</v>
      </c>
      <c r="E110" s="14">
        <v>200.0</v>
      </c>
      <c r="F110" s="13" t="s">
        <v>584</v>
      </c>
      <c r="G110" s="13" t="s">
        <v>1714</v>
      </c>
      <c r="H110" s="14">
        <v>950.0</v>
      </c>
      <c r="I110" s="14">
        <v>1675.0</v>
      </c>
      <c r="J110" s="14">
        <v>1585.0</v>
      </c>
      <c r="K110" s="13" t="s">
        <v>1715</v>
      </c>
      <c r="L110" s="15"/>
      <c r="M110" s="15"/>
      <c r="N110" s="15"/>
      <c r="O110" s="15"/>
      <c r="P110" s="15"/>
      <c r="Q110" s="15"/>
      <c r="R110" s="15"/>
      <c r="S110" s="15"/>
      <c r="T110" s="15"/>
      <c r="U110" s="15"/>
      <c r="V110" s="15"/>
      <c r="W110" s="15"/>
      <c r="X110" s="15"/>
      <c r="Y110" s="15"/>
      <c r="Z110" s="16"/>
    </row>
    <row r="111">
      <c r="A111" s="12" t="s">
        <v>1716</v>
      </c>
      <c r="B111" s="13" t="s">
        <v>1717</v>
      </c>
      <c r="C111" s="13" t="s">
        <v>1364</v>
      </c>
      <c r="D111" s="13" t="s">
        <v>1364</v>
      </c>
      <c r="E111" s="14">
        <v>199.0</v>
      </c>
      <c r="F111" s="13" t="s">
        <v>584</v>
      </c>
      <c r="G111" s="13" t="s">
        <v>1714</v>
      </c>
      <c r="H111" s="14">
        <v>950.0</v>
      </c>
      <c r="I111" s="14">
        <v>1675.0</v>
      </c>
      <c r="J111" s="14">
        <v>1585.0</v>
      </c>
      <c r="K111" s="13" t="s">
        <v>1718</v>
      </c>
      <c r="L111" s="15"/>
      <c r="M111" s="15"/>
      <c r="N111" s="15"/>
      <c r="O111" s="15"/>
      <c r="P111" s="15"/>
      <c r="Q111" s="15"/>
      <c r="R111" s="15"/>
      <c r="S111" s="15"/>
      <c r="T111" s="15"/>
      <c r="U111" s="15"/>
      <c r="V111" s="15"/>
      <c r="W111" s="15"/>
      <c r="X111" s="15"/>
      <c r="Y111" s="15"/>
      <c r="Z111" s="16"/>
    </row>
    <row r="112">
      <c r="A112" s="12" t="s">
        <v>1719</v>
      </c>
      <c r="B112" s="13" t="s">
        <v>1720</v>
      </c>
      <c r="C112" s="13" t="s">
        <v>1364</v>
      </c>
      <c r="D112" s="13" t="s">
        <v>1364</v>
      </c>
      <c r="E112" s="14">
        <v>199.0</v>
      </c>
      <c r="F112" s="13" t="s">
        <v>584</v>
      </c>
      <c r="G112" s="13" t="s">
        <v>1721</v>
      </c>
      <c r="H112" s="14">
        <v>950.0</v>
      </c>
      <c r="I112" s="14">
        <v>1675.0</v>
      </c>
      <c r="J112" s="14">
        <v>1585.0</v>
      </c>
      <c r="K112" s="13" t="s">
        <v>1722</v>
      </c>
      <c r="L112" s="15"/>
      <c r="M112" s="15"/>
      <c r="N112" s="15"/>
      <c r="O112" s="15"/>
      <c r="P112" s="15"/>
      <c r="Q112" s="15"/>
      <c r="R112" s="15"/>
      <c r="S112" s="15"/>
      <c r="T112" s="15"/>
      <c r="U112" s="15"/>
      <c r="V112" s="15"/>
      <c r="W112" s="15"/>
      <c r="X112" s="15"/>
      <c r="Y112" s="15"/>
      <c r="Z112" s="16"/>
    </row>
    <row r="113">
      <c r="A113" s="12" t="s">
        <v>1723</v>
      </c>
      <c r="B113" s="13" t="s">
        <v>1724</v>
      </c>
      <c r="C113" s="13" t="s">
        <v>1364</v>
      </c>
      <c r="D113" s="13" t="s">
        <v>1364</v>
      </c>
      <c r="E113" s="14">
        <v>206.0</v>
      </c>
      <c r="F113" s="13" t="s">
        <v>584</v>
      </c>
      <c r="G113" s="13" t="s">
        <v>1714</v>
      </c>
      <c r="H113" s="14">
        <v>950.0</v>
      </c>
      <c r="I113" s="14">
        <v>1675.0</v>
      </c>
      <c r="J113" s="14">
        <v>1585.0</v>
      </c>
      <c r="K113" s="13" t="s">
        <v>1725</v>
      </c>
      <c r="L113" s="15"/>
      <c r="M113" s="15"/>
      <c r="N113" s="15"/>
      <c r="O113" s="15"/>
      <c r="P113" s="15"/>
      <c r="Q113" s="15"/>
      <c r="R113" s="15"/>
      <c r="S113" s="15"/>
      <c r="T113" s="15"/>
      <c r="U113" s="15"/>
      <c r="V113" s="15"/>
      <c r="W113" s="15"/>
      <c r="X113" s="15"/>
      <c r="Y113" s="15"/>
      <c r="Z113" s="16"/>
    </row>
    <row r="114">
      <c r="A114" s="12" t="s">
        <v>1726</v>
      </c>
      <c r="B114" s="13" t="s">
        <v>1727</v>
      </c>
      <c r="C114" s="13" t="s">
        <v>1364</v>
      </c>
      <c r="D114" s="13" t="s">
        <v>1364</v>
      </c>
      <c r="E114" s="14">
        <v>78.0</v>
      </c>
      <c r="F114" s="13" t="s">
        <v>584</v>
      </c>
      <c r="G114" s="13" t="s">
        <v>1714</v>
      </c>
      <c r="H114" s="14">
        <v>950.0</v>
      </c>
      <c r="I114" s="14">
        <v>1675.0</v>
      </c>
      <c r="J114" s="14">
        <v>1585.0</v>
      </c>
      <c r="K114" s="13" t="s">
        <v>1728</v>
      </c>
      <c r="L114" s="15"/>
      <c r="M114" s="15"/>
      <c r="N114" s="15"/>
      <c r="O114" s="15"/>
      <c r="P114" s="15"/>
      <c r="Q114" s="15"/>
      <c r="R114" s="15"/>
      <c r="S114" s="15"/>
      <c r="T114" s="15"/>
      <c r="U114" s="15"/>
      <c r="V114" s="15"/>
      <c r="W114" s="15"/>
      <c r="X114" s="15"/>
      <c r="Y114" s="15"/>
      <c r="Z114" s="16"/>
    </row>
    <row r="115">
      <c r="A115" s="12" t="s">
        <v>1729</v>
      </c>
      <c r="B115" s="13" t="s">
        <v>1730</v>
      </c>
      <c r="C115" s="13" t="s">
        <v>1364</v>
      </c>
      <c r="D115" s="13" t="s">
        <v>1364</v>
      </c>
      <c r="E115" s="14">
        <v>500.0</v>
      </c>
      <c r="F115" s="13" t="s">
        <v>584</v>
      </c>
      <c r="G115" s="13" t="s">
        <v>1714</v>
      </c>
      <c r="H115" s="14">
        <v>950.0</v>
      </c>
      <c r="I115" s="14">
        <v>1675.0</v>
      </c>
      <c r="J115" s="14">
        <v>1585.0</v>
      </c>
      <c r="K115" s="13" t="s">
        <v>1731</v>
      </c>
      <c r="L115" s="15"/>
      <c r="M115" s="15"/>
      <c r="N115" s="15"/>
      <c r="O115" s="15"/>
      <c r="P115" s="15"/>
      <c r="Q115" s="15"/>
      <c r="R115" s="15"/>
      <c r="S115" s="15"/>
      <c r="T115" s="15"/>
      <c r="U115" s="15"/>
      <c r="V115" s="15"/>
      <c r="W115" s="15"/>
      <c r="X115" s="15"/>
      <c r="Y115" s="15"/>
      <c r="Z115" s="16"/>
    </row>
    <row r="116">
      <c r="A116" s="12" t="s">
        <v>1732</v>
      </c>
      <c r="B116" s="13" t="s">
        <v>1733</v>
      </c>
      <c r="C116" s="13" t="s">
        <v>1364</v>
      </c>
      <c r="D116" s="13" t="s">
        <v>1364</v>
      </c>
      <c r="E116" s="14">
        <v>278.0</v>
      </c>
      <c r="F116" s="13" t="s">
        <v>584</v>
      </c>
      <c r="G116" s="13" t="s">
        <v>1721</v>
      </c>
      <c r="H116" s="14">
        <v>950.0</v>
      </c>
      <c r="I116" s="14">
        <v>1675.0</v>
      </c>
      <c r="J116" s="14">
        <v>1585.0</v>
      </c>
      <c r="K116" s="13" t="s">
        <v>1734</v>
      </c>
      <c r="L116" s="15"/>
      <c r="M116" s="15"/>
      <c r="N116" s="15"/>
      <c r="O116" s="15"/>
      <c r="P116" s="15"/>
      <c r="Q116" s="15"/>
      <c r="R116" s="15"/>
      <c r="S116" s="15"/>
      <c r="T116" s="15"/>
      <c r="U116" s="15"/>
      <c r="V116" s="15"/>
      <c r="W116" s="15"/>
      <c r="X116" s="15"/>
      <c r="Y116" s="15"/>
      <c r="Z116" s="16"/>
    </row>
    <row r="117">
      <c r="A117" s="12" t="s">
        <v>1735</v>
      </c>
      <c r="B117" s="13" t="s">
        <v>1736</v>
      </c>
      <c r="C117" s="13" t="s">
        <v>1364</v>
      </c>
      <c r="D117" s="13" t="s">
        <v>1364</v>
      </c>
      <c r="E117" s="14">
        <v>495.0</v>
      </c>
      <c r="F117" s="13" t="s">
        <v>584</v>
      </c>
      <c r="G117" s="13" t="s">
        <v>1721</v>
      </c>
      <c r="H117" s="14">
        <v>950.0</v>
      </c>
      <c r="I117" s="14">
        <v>1675.0</v>
      </c>
      <c r="J117" s="14">
        <v>1585.0</v>
      </c>
      <c r="K117" s="13" t="s">
        <v>1737</v>
      </c>
      <c r="L117" s="15"/>
      <c r="M117" s="15"/>
      <c r="N117" s="15"/>
      <c r="O117" s="15"/>
      <c r="P117" s="15"/>
      <c r="Q117" s="15"/>
      <c r="R117" s="15"/>
      <c r="S117" s="15"/>
      <c r="T117" s="15"/>
      <c r="U117" s="15"/>
      <c r="V117" s="15"/>
      <c r="W117" s="15"/>
      <c r="X117" s="15"/>
      <c r="Y117" s="15"/>
      <c r="Z117" s="16"/>
    </row>
    <row r="118">
      <c r="A118" s="12" t="s">
        <v>1738</v>
      </c>
      <c r="B118" s="13" t="s">
        <v>1739</v>
      </c>
      <c r="C118" s="13" t="s">
        <v>1364</v>
      </c>
      <c r="D118" s="13" t="s">
        <v>1364</v>
      </c>
      <c r="E118" s="14">
        <v>432.0</v>
      </c>
      <c r="F118" s="13" t="s">
        <v>584</v>
      </c>
      <c r="G118" s="13" t="s">
        <v>1721</v>
      </c>
      <c r="H118" s="14">
        <v>950.0</v>
      </c>
      <c r="I118" s="14">
        <v>1675.0</v>
      </c>
      <c r="J118" s="14">
        <v>1585.0</v>
      </c>
      <c r="K118" s="13" t="s">
        <v>1740</v>
      </c>
      <c r="L118" s="15"/>
      <c r="M118" s="15"/>
      <c r="N118" s="15"/>
      <c r="O118" s="15"/>
      <c r="P118" s="15"/>
      <c r="Q118" s="15"/>
      <c r="R118" s="15"/>
      <c r="S118" s="15"/>
      <c r="T118" s="15"/>
      <c r="U118" s="15"/>
      <c r="V118" s="15"/>
      <c r="W118" s="15"/>
      <c r="X118" s="15"/>
      <c r="Y118" s="15"/>
      <c r="Z118" s="16"/>
    </row>
    <row r="119">
      <c r="A119" s="12" t="s">
        <v>1741</v>
      </c>
      <c r="B119" s="13" t="s">
        <v>1742</v>
      </c>
      <c r="C119" s="13" t="s">
        <v>1364</v>
      </c>
      <c r="D119" s="13" t="s">
        <v>1364</v>
      </c>
      <c r="E119" s="14">
        <v>500.0</v>
      </c>
      <c r="F119" s="13" t="s">
        <v>584</v>
      </c>
      <c r="G119" s="13" t="s">
        <v>1714</v>
      </c>
      <c r="H119" s="14">
        <v>950.0</v>
      </c>
      <c r="I119" s="14">
        <v>1675.0</v>
      </c>
      <c r="J119" s="14">
        <v>1585.0</v>
      </c>
      <c r="K119" s="13" t="s">
        <v>1743</v>
      </c>
      <c r="L119" s="15"/>
      <c r="M119" s="15"/>
      <c r="N119" s="15"/>
      <c r="O119" s="15"/>
      <c r="P119" s="15"/>
      <c r="Q119" s="15"/>
      <c r="R119" s="15"/>
      <c r="S119" s="15"/>
      <c r="T119" s="15"/>
      <c r="U119" s="15"/>
      <c r="V119" s="15"/>
      <c r="W119" s="15"/>
      <c r="X119" s="15"/>
      <c r="Y119" s="15"/>
      <c r="Z119" s="16"/>
    </row>
    <row r="120">
      <c r="A120" s="12" t="s">
        <v>1744</v>
      </c>
      <c r="B120" s="13" t="s">
        <v>1745</v>
      </c>
      <c r="C120" s="13" t="s">
        <v>1364</v>
      </c>
      <c r="D120" s="13" t="s">
        <v>1364</v>
      </c>
      <c r="E120" s="14">
        <v>200.0</v>
      </c>
      <c r="F120" s="13" t="s">
        <v>584</v>
      </c>
      <c r="G120" s="13" t="s">
        <v>1710</v>
      </c>
      <c r="H120" s="14">
        <v>950.0</v>
      </c>
      <c r="I120" s="14">
        <v>1675.0</v>
      </c>
      <c r="J120" s="14">
        <v>1585.0</v>
      </c>
      <c r="K120" s="13" t="s">
        <v>1746</v>
      </c>
      <c r="L120" s="15"/>
      <c r="M120" s="15"/>
      <c r="N120" s="15"/>
      <c r="O120" s="15"/>
      <c r="P120" s="15"/>
      <c r="Q120" s="15"/>
      <c r="R120" s="15"/>
      <c r="S120" s="15"/>
      <c r="T120" s="15"/>
      <c r="U120" s="15"/>
      <c r="V120" s="15"/>
      <c r="W120" s="15"/>
      <c r="X120" s="15"/>
      <c r="Y120" s="15"/>
      <c r="Z120" s="16"/>
    </row>
    <row r="121">
      <c r="A121" s="12" t="s">
        <v>1747</v>
      </c>
      <c r="B121" s="13" t="s">
        <v>1748</v>
      </c>
      <c r="C121" s="13" t="s">
        <v>1364</v>
      </c>
      <c r="D121" s="13" t="s">
        <v>1364</v>
      </c>
      <c r="E121" s="14">
        <v>4.0</v>
      </c>
      <c r="F121" s="13" t="s">
        <v>584</v>
      </c>
      <c r="G121" s="13" t="s">
        <v>776</v>
      </c>
      <c r="H121" s="14">
        <v>-1.0</v>
      </c>
      <c r="I121" s="14">
        <v>-1.0</v>
      </c>
      <c r="J121" s="14">
        <v>-1.0</v>
      </c>
      <c r="K121" s="13" t="s">
        <v>1749</v>
      </c>
      <c r="L121" s="15"/>
      <c r="M121" s="15"/>
      <c r="N121" s="15"/>
      <c r="O121" s="15"/>
      <c r="P121" s="15"/>
      <c r="Q121" s="15"/>
      <c r="R121" s="15"/>
      <c r="S121" s="15"/>
      <c r="T121" s="15"/>
      <c r="U121" s="15"/>
      <c r="V121" s="15"/>
      <c r="W121" s="15"/>
      <c r="X121" s="15"/>
      <c r="Y121" s="15"/>
      <c r="Z121" s="16"/>
    </row>
    <row r="122">
      <c r="A122" s="12" t="s">
        <v>1750</v>
      </c>
      <c r="B122" s="13" t="s">
        <v>1751</v>
      </c>
      <c r="C122" s="13" t="s">
        <v>1364</v>
      </c>
      <c r="D122" s="13" t="s">
        <v>1364</v>
      </c>
      <c r="E122" s="14">
        <v>100.0</v>
      </c>
      <c r="F122" s="13" t="s">
        <v>584</v>
      </c>
      <c r="G122" s="13" t="s">
        <v>1752</v>
      </c>
      <c r="H122" s="14">
        <v>-1.0</v>
      </c>
      <c r="I122" s="14">
        <v>-1.0</v>
      </c>
      <c r="J122" s="14">
        <v>-1.0</v>
      </c>
      <c r="K122" s="13" t="s">
        <v>1753</v>
      </c>
      <c r="L122" s="15"/>
      <c r="M122" s="15"/>
      <c r="N122" s="15"/>
      <c r="O122" s="15"/>
      <c r="P122" s="15"/>
      <c r="Q122" s="15"/>
      <c r="R122" s="15"/>
      <c r="S122" s="15"/>
      <c r="T122" s="15"/>
      <c r="U122" s="15"/>
      <c r="V122" s="15"/>
      <c r="W122" s="15"/>
      <c r="X122" s="15"/>
      <c r="Y122" s="15"/>
      <c r="Z122" s="16"/>
    </row>
    <row r="123">
      <c r="A123" s="12" t="s">
        <v>1754</v>
      </c>
      <c r="B123" s="13" t="s">
        <v>1755</v>
      </c>
      <c r="C123" s="13" t="s">
        <v>1364</v>
      </c>
      <c r="D123" s="13" t="s">
        <v>1364</v>
      </c>
      <c r="E123" s="14">
        <v>100.0</v>
      </c>
      <c r="F123" s="13" t="s">
        <v>584</v>
      </c>
      <c r="G123" s="13" t="s">
        <v>1752</v>
      </c>
      <c r="H123" s="14">
        <v>-1.0</v>
      </c>
      <c r="I123" s="14">
        <v>-1.0</v>
      </c>
      <c r="J123" s="14">
        <v>-1.0</v>
      </c>
      <c r="K123" s="13" t="s">
        <v>1756</v>
      </c>
      <c r="L123" s="15"/>
      <c r="M123" s="15"/>
      <c r="N123" s="15"/>
      <c r="O123" s="15"/>
      <c r="P123" s="15"/>
      <c r="Q123" s="15"/>
      <c r="R123" s="15"/>
      <c r="S123" s="15"/>
      <c r="T123" s="15"/>
      <c r="U123" s="15"/>
      <c r="V123" s="15"/>
      <c r="W123" s="15"/>
      <c r="X123" s="15"/>
      <c r="Y123" s="15"/>
      <c r="Z123" s="16"/>
    </row>
    <row r="124">
      <c r="A124" s="12" t="s">
        <v>1757</v>
      </c>
      <c r="B124" s="13" t="s">
        <v>1758</v>
      </c>
      <c r="C124" s="13" t="s">
        <v>1364</v>
      </c>
      <c r="D124" s="13" t="s">
        <v>1364</v>
      </c>
      <c r="E124" s="14">
        <v>100.0</v>
      </c>
      <c r="F124" s="13" t="s">
        <v>584</v>
      </c>
      <c r="G124" s="13" t="s">
        <v>1752</v>
      </c>
      <c r="H124" s="14">
        <v>-1.0</v>
      </c>
      <c r="I124" s="14">
        <v>-1.0</v>
      </c>
      <c r="J124" s="14">
        <v>-1.0</v>
      </c>
      <c r="K124" s="13" t="s">
        <v>1759</v>
      </c>
      <c r="L124" s="15"/>
      <c r="M124" s="15"/>
      <c r="N124" s="15"/>
      <c r="O124" s="15"/>
      <c r="P124" s="15"/>
      <c r="Q124" s="15"/>
      <c r="R124" s="15"/>
      <c r="S124" s="15"/>
      <c r="T124" s="15"/>
      <c r="U124" s="15"/>
      <c r="V124" s="15"/>
      <c r="W124" s="15"/>
      <c r="X124" s="15"/>
      <c r="Y124" s="15"/>
      <c r="Z124" s="16"/>
    </row>
    <row r="125">
      <c r="A125" s="12" t="s">
        <v>1760</v>
      </c>
      <c r="B125" s="13" t="s">
        <v>1761</v>
      </c>
      <c r="C125" s="13" t="s">
        <v>1364</v>
      </c>
      <c r="D125" s="13" t="s">
        <v>1364</v>
      </c>
      <c r="E125" s="14">
        <v>100.0</v>
      </c>
      <c r="F125" s="13" t="s">
        <v>584</v>
      </c>
      <c r="G125" s="13" t="s">
        <v>1752</v>
      </c>
      <c r="H125" s="14">
        <v>-1.0</v>
      </c>
      <c r="I125" s="14">
        <v>-1.0</v>
      </c>
      <c r="J125" s="14">
        <v>-1.0</v>
      </c>
      <c r="K125" s="13" t="s">
        <v>1762</v>
      </c>
      <c r="L125" s="15"/>
      <c r="M125" s="15"/>
      <c r="N125" s="15"/>
      <c r="O125" s="15"/>
      <c r="P125" s="15"/>
      <c r="Q125" s="15"/>
      <c r="R125" s="15"/>
      <c r="S125" s="15"/>
      <c r="T125" s="15"/>
      <c r="U125" s="15"/>
      <c r="V125" s="15"/>
      <c r="W125" s="15"/>
      <c r="X125" s="15"/>
      <c r="Y125" s="15"/>
      <c r="Z125" s="16"/>
    </row>
    <row r="126">
      <c r="A126" s="12" t="s">
        <v>1763</v>
      </c>
      <c r="B126" s="13" t="s">
        <v>1764</v>
      </c>
      <c r="C126" s="13" t="s">
        <v>1364</v>
      </c>
      <c r="D126" s="13" t="s">
        <v>1364</v>
      </c>
      <c r="E126" s="14">
        <v>100.0</v>
      </c>
      <c r="F126" s="13" t="s">
        <v>584</v>
      </c>
      <c r="G126" s="13" t="s">
        <v>1752</v>
      </c>
      <c r="H126" s="14">
        <v>-1.0</v>
      </c>
      <c r="I126" s="14">
        <v>-1.0</v>
      </c>
      <c r="J126" s="14">
        <v>-1.0</v>
      </c>
      <c r="K126" s="13" t="s">
        <v>1765</v>
      </c>
      <c r="L126" s="15"/>
      <c r="M126" s="15"/>
      <c r="N126" s="15"/>
      <c r="O126" s="15"/>
      <c r="P126" s="15"/>
      <c r="Q126" s="15"/>
      <c r="R126" s="15"/>
      <c r="S126" s="15"/>
      <c r="T126" s="15"/>
      <c r="U126" s="15"/>
      <c r="V126" s="15"/>
      <c r="W126" s="15"/>
      <c r="X126" s="15"/>
      <c r="Y126" s="15"/>
      <c r="Z126" s="16"/>
    </row>
    <row r="127">
      <c r="A127" s="12" t="s">
        <v>1766</v>
      </c>
      <c r="B127" s="13" t="s">
        <v>1767</v>
      </c>
      <c r="C127" s="13" t="s">
        <v>1364</v>
      </c>
      <c r="D127" s="13" t="s">
        <v>1364</v>
      </c>
      <c r="E127" s="14">
        <v>100.0</v>
      </c>
      <c r="F127" s="13" t="s">
        <v>584</v>
      </c>
      <c r="G127" s="13" t="s">
        <v>1768</v>
      </c>
      <c r="H127" s="14">
        <v>-1.0</v>
      </c>
      <c r="I127" s="14">
        <v>-1.0</v>
      </c>
      <c r="J127" s="14">
        <v>-1.0</v>
      </c>
      <c r="K127" s="13" t="s">
        <v>1769</v>
      </c>
      <c r="L127" s="15"/>
      <c r="M127" s="15"/>
      <c r="N127" s="15"/>
      <c r="O127" s="15"/>
      <c r="P127" s="15"/>
      <c r="Q127" s="15"/>
      <c r="R127" s="15"/>
      <c r="S127" s="15"/>
      <c r="T127" s="15"/>
      <c r="U127" s="15"/>
      <c r="V127" s="15"/>
      <c r="W127" s="15"/>
      <c r="X127" s="15"/>
      <c r="Y127" s="15"/>
      <c r="Z127" s="16"/>
    </row>
    <row r="128">
      <c r="A128" s="12" t="s">
        <v>1770</v>
      </c>
      <c r="B128" s="13" t="s">
        <v>1771</v>
      </c>
      <c r="C128" s="13" t="s">
        <v>1364</v>
      </c>
      <c r="D128" s="13" t="s">
        <v>1364</v>
      </c>
      <c r="E128" s="14">
        <v>200.0</v>
      </c>
      <c r="F128" s="13" t="s">
        <v>584</v>
      </c>
      <c r="G128" s="13" t="s">
        <v>1772</v>
      </c>
      <c r="H128" s="14">
        <v>-1.0</v>
      </c>
      <c r="I128" s="14">
        <v>-1.0</v>
      </c>
      <c r="J128" s="14">
        <v>-1.0</v>
      </c>
      <c r="K128" s="17">
        <v>45389.700474537036</v>
      </c>
      <c r="L128" s="15"/>
      <c r="M128" s="15"/>
      <c r="N128" s="15"/>
      <c r="O128" s="15"/>
      <c r="P128" s="15"/>
      <c r="Q128" s="15"/>
      <c r="R128" s="15"/>
      <c r="S128" s="15"/>
      <c r="T128" s="15"/>
      <c r="U128" s="15"/>
      <c r="V128" s="15"/>
      <c r="W128" s="15"/>
      <c r="X128" s="15"/>
      <c r="Y128" s="15"/>
      <c r="Z128" s="16"/>
    </row>
    <row r="129">
      <c r="A129" s="12" t="s">
        <v>1773</v>
      </c>
      <c r="B129" s="13" t="s">
        <v>1774</v>
      </c>
      <c r="C129" s="13" t="s">
        <v>1364</v>
      </c>
      <c r="D129" s="13" t="s">
        <v>1364</v>
      </c>
      <c r="E129" s="14">
        <v>200.0</v>
      </c>
      <c r="F129" s="13" t="s">
        <v>584</v>
      </c>
      <c r="G129" s="13" t="s">
        <v>1775</v>
      </c>
      <c r="H129" s="14">
        <v>950.0</v>
      </c>
      <c r="I129" s="14">
        <v>1675.0</v>
      </c>
      <c r="J129" s="14">
        <v>1585.0</v>
      </c>
      <c r="K129" s="17">
        <v>45480.3752662037</v>
      </c>
      <c r="L129" s="15"/>
      <c r="M129" s="15"/>
      <c r="N129" s="15"/>
      <c r="O129" s="15"/>
      <c r="P129" s="15"/>
      <c r="Q129" s="15"/>
      <c r="R129" s="15"/>
      <c r="S129" s="15"/>
      <c r="T129" s="15"/>
      <c r="U129" s="15"/>
      <c r="V129" s="15"/>
      <c r="W129" s="15"/>
      <c r="X129" s="15"/>
      <c r="Y129" s="15"/>
      <c r="Z129" s="16"/>
    </row>
    <row r="130">
      <c r="A130" s="12" t="s">
        <v>1776</v>
      </c>
      <c r="B130" s="13" t="s">
        <v>1777</v>
      </c>
      <c r="C130" s="13" t="s">
        <v>1364</v>
      </c>
      <c r="D130" s="13" t="s">
        <v>1364</v>
      </c>
      <c r="E130" s="14">
        <v>60.0</v>
      </c>
      <c r="F130" s="13" t="s">
        <v>584</v>
      </c>
      <c r="G130" s="13" t="s">
        <v>776</v>
      </c>
      <c r="H130" s="14">
        <v>-1.0</v>
      </c>
      <c r="I130" s="14">
        <v>-1.0</v>
      </c>
      <c r="J130" s="14">
        <v>-1.0</v>
      </c>
      <c r="K130" s="13" t="s">
        <v>1778</v>
      </c>
      <c r="L130" s="15"/>
      <c r="M130" s="15"/>
      <c r="N130" s="15"/>
      <c r="O130" s="15"/>
      <c r="P130" s="15"/>
      <c r="Q130" s="15"/>
      <c r="R130" s="15"/>
      <c r="S130" s="15"/>
      <c r="T130" s="15"/>
      <c r="U130" s="15"/>
      <c r="V130" s="15"/>
      <c r="W130" s="15"/>
      <c r="X130" s="15"/>
      <c r="Y130" s="15"/>
      <c r="Z130" s="16"/>
    </row>
    <row r="131">
      <c r="A131" s="12" t="s">
        <v>1779</v>
      </c>
      <c r="B131" s="13" t="s">
        <v>1780</v>
      </c>
      <c r="C131" s="13" t="s">
        <v>1364</v>
      </c>
      <c r="D131" s="13" t="s">
        <v>1364</v>
      </c>
      <c r="E131" s="14">
        <v>60.0</v>
      </c>
      <c r="F131" s="13" t="s">
        <v>584</v>
      </c>
      <c r="G131" s="13" t="s">
        <v>776</v>
      </c>
      <c r="H131" s="14">
        <v>-1.0</v>
      </c>
      <c r="I131" s="14">
        <v>-1.0</v>
      </c>
      <c r="J131" s="14">
        <v>-1.0</v>
      </c>
      <c r="K131" s="13" t="s">
        <v>1781</v>
      </c>
      <c r="L131" s="15"/>
      <c r="M131" s="15"/>
      <c r="N131" s="15"/>
      <c r="O131" s="15"/>
      <c r="P131" s="15"/>
      <c r="Q131" s="15"/>
      <c r="R131" s="15"/>
      <c r="S131" s="15"/>
      <c r="T131" s="15"/>
      <c r="U131" s="15"/>
      <c r="V131" s="15"/>
      <c r="W131" s="15"/>
      <c r="X131" s="15"/>
      <c r="Y131" s="15"/>
      <c r="Z131" s="16"/>
    </row>
    <row r="132">
      <c r="A132" s="12" t="s">
        <v>1782</v>
      </c>
      <c r="B132" s="13" t="s">
        <v>1783</v>
      </c>
      <c r="C132" s="13" t="s">
        <v>1364</v>
      </c>
      <c r="D132" s="13" t="s">
        <v>1364</v>
      </c>
      <c r="E132" s="14">
        <v>60.0</v>
      </c>
      <c r="F132" s="13" t="s">
        <v>584</v>
      </c>
      <c r="G132" s="13" t="s">
        <v>776</v>
      </c>
      <c r="H132" s="14">
        <v>-1.0</v>
      </c>
      <c r="I132" s="14">
        <v>-1.0</v>
      </c>
      <c r="J132" s="14">
        <v>-1.0</v>
      </c>
      <c r="K132" s="13" t="s">
        <v>1784</v>
      </c>
      <c r="L132" s="15"/>
      <c r="M132" s="15"/>
      <c r="N132" s="15"/>
      <c r="O132" s="15"/>
      <c r="P132" s="15"/>
      <c r="Q132" s="15"/>
      <c r="R132" s="15"/>
      <c r="S132" s="15"/>
      <c r="T132" s="15"/>
      <c r="U132" s="15"/>
      <c r="V132" s="15"/>
      <c r="W132" s="15"/>
      <c r="X132" s="15"/>
      <c r="Y132" s="15"/>
      <c r="Z132" s="16"/>
    </row>
    <row r="133">
      <c r="A133" s="12" t="s">
        <v>1785</v>
      </c>
      <c r="B133" s="13" t="s">
        <v>1786</v>
      </c>
      <c r="C133" s="13" t="s">
        <v>1364</v>
      </c>
      <c r="D133" s="13" t="s">
        <v>1364</v>
      </c>
      <c r="E133" s="14">
        <v>60.0</v>
      </c>
      <c r="F133" s="13" t="s">
        <v>584</v>
      </c>
      <c r="G133" s="13" t="s">
        <v>776</v>
      </c>
      <c r="H133" s="14">
        <v>-1.0</v>
      </c>
      <c r="I133" s="14">
        <v>-1.0</v>
      </c>
      <c r="J133" s="14">
        <v>-1.0</v>
      </c>
      <c r="K133" s="13" t="s">
        <v>1787</v>
      </c>
      <c r="L133" s="15"/>
      <c r="M133" s="15"/>
      <c r="N133" s="15"/>
      <c r="O133" s="15"/>
      <c r="P133" s="15"/>
      <c r="Q133" s="15"/>
      <c r="R133" s="15"/>
      <c r="S133" s="15"/>
      <c r="T133" s="15"/>
      <c r="U133" s="15"/>
      <c r="V133" s="15"/>
      <c r="W133" s="15"/>
      <c r="X133" s="15"/>
      <c r="Y133" s="15"/>
      <c r="Z133" s="16"/>
    </row>
    <row r="134">
      <c r="A134" s="12" t="s">
        <v>1788</v>
      </c>
      <c r="B134" s="13" t="s">
        <v>1789</v>
      </c>
      <c r="C134" s="13" t="s">
        <v>1364</v>
      </c>
      <c r="D134" s="13" t="s">
        <v>1364</v>
      </c>
      <c r="E134" s="14">
        <v>60.0</v>
      </c>
      <c r="F134" s="13" t="s">
        <v>584</v>
      </c>
      <c r="G134" s="13" t="s">
        <v>776</v>
      </c>
      <c r="H134" s="14">
        <v>-1.0</v>
      </c>
      <c r="I134" s="14">
        <v>-1.0</v>
      </c>
      <c r="J134" s="14">
        <v>-1.0</v>
      </c>
      <c r="K134" s="13" t="s">
        <v>1790</v>
      </c>
      <c r="L134" s="15"/>
      <c r="M134" s="15"/>
      <c r="N134" s="15"/>
      <c r="O134" s="15"/>
      <c r="P134" s="15"/>
      <c r="Q134" s="15"/>
      <c r="R134" s="15"/>
      <c r="S134" s="15"/>
      <c r="T134" s="15"/>
      <c r="U134" s="15"/>
      <c r="V134" s="15"/>
      <c r="W134" s="15"/>
      <c r="X134" s="15"/>
      <c r="Y134" s="15"/>
      <c r="Z134" s="16"/>
    </row>
    <row r="135">
      <c r="A135" s="12" t="s">
        <v>1791</v>
      </c>
      <c r="B135" s="13" t="s">
        <v>1792</v>
      </c>
      <c r="C135" s="13" t="s">
        <v>1364</v>
      </c>
      <c r="D135" s="13" t="s">
        <v>1364</v>
      </c>
      <c r="E135" s="14">
        <v>60.0</v>
      </c>
      <c r="F135" s="13" t="s">
        <v>584</v>
      </c>
      <c r="G135" s="13" t="s">
        <v>776</v>
      </c>
      <c r="H135" s="14">
        <v>-1.0</v>
      </c>
      <c r="I135" s="14">
        <v>-1.0</v>
      </c>
      <c r="J135" s="14">
        <v>-1.0</v>
      </c>
      <c r="K135" s="13" t="s">
        <v>1793</v>
      </c>
      <c r="L135" s="15"/>
      <c r="M135" s="15"/>
      <c r="N135" s="15"/>
      <c r="O135" s="15"/>
      <c r="P135" s="15"/>
      <c r="Q135" s="15"/>
      <c r="R135" s="15"/>
      <c r="S135" s="15"/>
      <c r="T135" s="15"/>
      <c r="U135" s="15"/>
      <c r="V135" s="15"/>
      <c r="W135" s="15"/>
      <c r="X135" s="15"/>
      <c r="Y135" s="15"/>
      <c r="Z135" s="16"/>
    </row>
    <row r="136">
      <c r="A136" s="12" t="s">
        <v>1794</v>
      </c>
      <c r="B136" s="13" t="s">
        <v>1795</v>
      </c>
      <c r="C136" s="13" t="s">
        <v>1364</v>
      </c>
      <c r="D136" s="13" t="s">
        <v>1364</v>
      </c>
      <c r="E136" s="14">
        <v>4411.0</v>
      </c>
      <c r="F136" s="13" t="s">
        <v>584</v>
      </c>
      <c r="G136" s="13" t="s">
        <v>1796</v>
      </c>
      <c r="H136" s="14">
        <v>950.0</v>
      </c>
      <c r="I136" s="14">
        <v>1675.0</v>
      </c>
      <c r="J136" s="14">
        <v>1585.0</v>
      </c>
      <c r="K136" s="13" t="s">
        <v>1797</v>
      </c>
      <c r="L136" s="15"/>
      <c r="M136" s="15"/>
      <c r="N136" s="15"/>
      <c r="O136" s="15"/>
      <c r="P136" s="15"/>
      <c r="Q136" s="15"/>
      <c r="R136" s="15"/>
      <c r="S136" s="15"/>
      <c r="T136" s="15"/>
      <c r="U136" s="15"/>
      <c r="V136" s="15"/>
      <c r="W136" s="15"/>
      <c r="X136" s="15"/>
      <c r="Y136" s="15"/>
      <c r="Z136" s="16"/>
    </row>
    <row r="137">
      <c r="A137" s="12" t="s">
        <v>1798</v>
      </c>
      <c r="B137" s="13" t="s">
        <v>1799</v>
      </c>
      <c r="C137" s="13" t="s">
        <v>1364</v>
      </c>
      <c r="D137" s="13" t="s">
        <v>1364</v>
      </c>
      <c r="E137" s="14">
        <v>200.0</v>
      </c>
      <c r="F137" s="13" t="s">
        <v>537</v>
      </c>
      <c r="G137" s="13" t="s">
        <v>1768</v>
      </c>
      <c r="H137" s="14">
        <v>-1.0</v>
      </c>
      <c r="I137" s="14">
        <v>-1.0</v>
      </c>
      <c r="J137" s="14">
        <v>-1.0</v>
      </c>
      <c r="K137" s="13" t="s">
        <v>1800</v>
      </c>
      <c r="L137" s="15"/>
      <c r="M137" s="15"/>
      <c r="N137" s="15"/>
      <c r="O137" s="15"/>
      <c r="P137" s="15"/>
      <c r="Q137" s="15"/>
      <c r="R137" s="15"/>
      <c r="S137" s="15"/>
      <c r="T137" s="15"/>
      <c r="U137" s="15"/>
      <c r="V137" s="15"/>
      <c r="W137" s="15"/>
      <c r="X137" s="15"/>
      <c r="Y137" s="15"/>
      <c r="Z137" s="16"/>
    </row>
    <row r="138">
      <c r="A138" s="12" t="s">
        <v>1801</v>
      </c>
      <c r="B138" s="13" t="s">
        <v>1802</v>
      </c>
      <c r="C138" s="13" t="s">
        <v>1364</v>
      </c>
      <c r="D138" s="13" t="s">
        <v>1364</v>
      </c>
      <c r="E138" s="14">
        <v>30.0</v>
      </c>
      <c r="F138" s="13" t="s">
        <v>584</v>
      </c>
      <c r="G138" s="13" t="s">
        <v>1803</v>
      </c>
      <c r="H138" s="14">
        <v>-1.0</v>
      </c>
      <c r="I138" s="14">
        <v>-1.0</v>
      </c>
      <c r="J138" s="14">
        <v>-1.0</v>
      </c>
      <c r="K138" s="13" t="s">
        <v>1804</v>
      </c>
      <c r="L138" s="15"/>
      <c r="M138" s="15"/>
      <c r="N138" s="15"/>
      <c r="O138" s="15"/>
      <c r="P138" s="15"/>
      <c r="Q138" s="15"/>
      <c r="R138" s="15"/>
      <c r="S138" s="15"/>
      <c r="T138" s="15"/>
      <c r="U138" s="15"/>
      <c r="V138" s="15"/>
      <c r="W138" s="15"/>
      <c r="X138" s="15"/>
      <c r="Y138" s="15"/>
      <c r="Z138" s="16"/>
    </row>
    <row r="139">
      <c r="A139" s="12" t="s">
        <v>1805</v>
      </c>
      <c r="B139" s="13" t="s">
        <v>1806</v>
      </c>
      <c r="C139" s="13" t="s">
        <v>1364</v>
      </c>
      <c r="D139" s="13" t="s">
        <v>1364</v>
      </c>
      <c r="E139" s="14">
        <v>200.0</v>
      </c>
      <c r="F139" s="13" t="s">
        <v>537</v>
      </c>
      <c r="G139" s="13" t="s">
        <v>1807</v>
      </c>
      <c r="H139" s="14">
        <v>-1.0</v>
      </c>
      <c r="I139" s="14">
        <v>-1.0</v>
      </c>
      <c r="J139" s="14">
        <v>-1.0</v>
      </c>
      <c r="K139" s="13" t="s">
        <v>1808</v>
      </c>
      <c r="L139" s="15"/>
      <c r="M139" s="15"/>
      <c r="N139" s="15"/>
      <c r="O139" s="15"/>
      <c r="P139" s="15"/>
      <c r="Q139" s="15"/>
      <c r="R139" s="15"/>
      <c r="S139" s="15"/>
      <c r="T139" s="15"/>
      <c r="U139" s="15"/>
      <c r="V139" s="15"/>
      <c r="W139" s="15"/>
      <c r="X139" s="15"/>
      <c r="Y139" s="15"/>
      <c r="Z139" s="16"/>
    </row>
    <row r="140">
      <c r="A140" s="12" t="s">
        <v>1809</v>
      </c>
      <c r="B140" s="13" t="s">
        <v>1810</v>
      </c>
      <c r="C140" s="13" t="s">
        <v>1364</v>
      </c>
      <c r="D140" s="13" t="s">
        <v>1364</v>
      </c>
      <c r="E140" s="14">
        <v>136.0</v>
      </c>
      <c r="F140" s="13" t="s">
        <v>537</v>
      </c>
      <c r="G140" s="13" t="s">
        <v>776</v>
      </c>
      <c r="H140" s="14">
        <v>-1.0</v>
      </c>
      <c r="I140" s="14">
        <v>-1.0</v>
      </c>
      <c r="J140" s="14">
        <v>-1.0</v>
      </c>
      <c r="K140" s="13" t="s">
        <v>1811</v>
      </c>
      <c r="L140" s="15"/>
      <c r="M140" s="15"/>
      <c r="N140" s="15"/>
      <c r="O140" s="15"/>
      <c r="P140" s="15"/>
      <c r="Q140" s="15"/>
      <c r="R140" s="15"/>
      <c r="S140" s="15"/>
      <c r="T140" s="15"/>
      <c r="U140" s="15"/>
      <c r="V140" s="15"/>
      <c r="W140" s="15"/>
      <c r="X140" s="15"/>
      <c r="Y140" s="15"/>
      <c r="Z140" s="16"/>
    </row>
    <row r="141">
      <c r="A141" s="12" t="s">
        <v>1812</v>
      </c>
      <c r="B141" s="13" t="s">
        <v>1813</v>
      </c>
      <c r="C141" s="13" t="s">
        <v>1364</v>
      </c>
      <c r="D141" s="13" t="s">
        <v>1364</v>
      </c>
      <c r="E141" s="14">
        <v>200.0</v>
      </c>
      <c r="F141" s="13" t="s">
        <v>537</v>
      </c>
      <c r="G141" s="13" t="s">
        <v>1814</v>
      </c>
      <c r="H141" s="14">
        <v>-1.0</v>
      </c>
      <c r="I141" s="14">
        <v>-1.0</v>
      </c>
      <c r="J141" s="14">
        <v>-1.0</v>
      </c>
      <c r="K141" s="13" t="s">
        <v>1815</v>
      </c>
      <c r="L141" s="15"/>
      <c r="M141" s="15"/>
      <c r="N141" s="15"/>
      <c r="O141" s="15"/>
      <c r="P141" s="15"/>
      <c r="Q141" s="15"/>
      <c r="R141" s="15"/>
      <c r="S141" s="15"/>
      <c r="T141" s="15"/>
      <c r="U141" s="15"/>
      <c r="V141" s="15"/>
      <c r="W141" s="15"/>
      <c r="X141" s="15"/>
      <c r="Y141" s="15"/>
      <c r="Z141" s="16"/>
    </row>
    <row r="142">
      <c r="A142" s="12" t="s">
        <v>1816</v>
      </c>
      <c r="B142" s="13" t="s">
        <v>1817</v>
      </c>
      <c r="C142" s="13" t="s">
        <v>1364</v>
      </c>
      <c r="D142" s="13" t="s">
        <v>1364</v>
      </c>
      <c r="E142" s="14">
        <v>1.0</v>
      </c>
      <c r="F142" s="13" t="s">
        <v>537</v>
      </c>
      <c r="G142" s="15"/>
      <c r="H142" s="14">
        <v>-1.0</v>
      </c>
      <c r="I142" s="14">
        <v>-1.0</v>
      </c>
      <c r="J142" s="14">
        <v>-1.0</v>
      </c>
      <c r="K142" s="17">
        <v>45634.65666666666</v>
      </c>
      <c r="L142" s="15"/>
      <c r="M142" s="15"/>
      <c r="N142" s="15"/>
      <c r="O142" s="15"/>
      <c r="P142" s="15"/>
      <c r="Q142" s="15"/>
      <c r="R142" s="15"/>
      <c r="S142" s="15"/>
      <c r="T142" s="15"/>
      <c r="U142" s="15"/>
      <c r="V142" s="15"/>
      <c r="W142" s="15"/>
      <c r="X142" s="15"/>
      <c r="Y142" s="15"/>
      <c r="Z142" s="16"/>
    </row>
    <row r="143">
      <c r="A143" s="18"/>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6"/>
    </row>
    <row r="144">
      <c r="A144" s="18"/>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6"/>
    </row>
    <row r="145">
      <c r="A145" s="18"/>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6"/>
    </row>
    <row r="146">
      <c r="A146" s="18"/>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6"/>
    </row>
    <row r="147">
      <c r="A147" s="18"/>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6"/>
    </row>
    <row r="148">
      <c r="A148" s="18"/>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6"/>
    </row>
    <row r="149">
      <c r="A149" s="18"/>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6"/>
    </row>
    <row r="150">
      <c r="A150" s="18"/>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c r="A151" s="18"/>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6"/>
    </row>
    <row r="152">
      <c r="A152" s="18"/>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6"/>
    </row>
    <row r="153">
      <c r="A153" s="18"/>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6"/>
    </row>
    <row r="154">
      <c r="A154" s="18"/>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6"/>
    </row>
    <row r="155">
      <c r="A155" s="18"/>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6"/>
    </row>
    <row r="156">
      <c r="A156" s="18"/>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6"/>
    </row>
    <row r="157">
      <c r="A157" s="18"/>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6"/>
    </row>
    <row r="158">
      <c r="A158" s="18"/>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6"/>
    </row>
    <row r="159">
      <c r="A159" s="18"/>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6"/>
    </row>
    <row r="160">
      <c r="A160" s="18"/>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6"/>
    </row>
    <row r="161">
      <c r="A161" s="18"/>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6"/>
    </row>
    <row r="162">
      <c r="A162" s="18"/>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6"/>
    </row>
    <row r="163">
      <c r="A163" s="18"/>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6"/>
    </row>
    <row r="164">
      <c r="A164" s="18"/>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6"/>
    </row>
    <row r="165">
      <c r="A165" s="18"/>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6"/>
    </row>
    <row r="166">
      <c r="A166" s="18"/>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6"/>
    </row>
    <row r="167">
      <c r="A167" s="18"/>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6"/>
    </row>
    <row r="168">
      <c r="A168" s="18"/>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6"/>
    </row>
    <row r="169">
      <c r="A169" s="18"/>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6"/>
    </row>
    <row r="170">
      <c r="A170" s="18"/>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6"/>
    </row>
    <row r="171">
      <c r="A171" s="18"/>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6"/>
    </row>
    <row r="172">
      <c r="A172" s="18"/>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6"/>
    </row>
    <row r="173">
      <c r="A173" s="18"/>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6"/>
    </row>
    <row r="174">
      <c r="A174" s="18"/>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6"/>
    </row>
    <row r="175">
      <c r="A175" s="18"/>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6"/>
    </row>
    <row r="176">
      <c r="A176" s="18"/>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6"/>
    </row>
    <row r="177">
      <c r="A177" s="18"/>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6"/>
    </row>
    <row r="178">
      <c r="A178" s="18"/>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6"/>
    </row>
    <row r="179">
      <c r="A179" s="18"/>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6"/>
    </row>
    <row r="180">
      <c r="A180" s="18"/>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6"/>
    </row>
    <row r="181">
      <c r="A181" s="18"/>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6"/>
    </row>
    <row r="182">
      <c r="A182" s="18"/>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6"/>
    </row>
    <row r="183">
      <c r="A183" s="18"/>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6"/>
    </row>
    <row r="184">
      <c r="A184" s="18"/>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6"/>
    </row>
    <row r="185">
      <c r="A185" s="18"/>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6"/>
    </row>
    <row r="186">
      <c r="A186" s="18"/>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6"/>
    </row>
    <row r="187">
      <c r="A187" s="18"/>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6"/>
    </row>
    <row r="188">
      <c r="A188" s="18"/>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6"/>
    </row>
    <row r="189">
      <c r="A189" s="18"/>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6"/>
    </row>
    <row r="190">
      <c r="A190" s="18"/>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6"/>
    </row>
    <row r="191">
      <c r="A191" s="18"/>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6"/>
    </row>
    <row r="192">
      <c r="A192" s="18"/>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6"/>
    </row>
    <row r="193">
      <c r="A193" s="18"/>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6"/>
    </row>
    <row r="194">
      <c r="A194" s="18"/>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6"/>
    </row>
    <row r="195">
      <c r="A195" s="18"/>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6"/>
    </row>
    <row r="196">
      <c r="A196" s="18"/>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6"/>
    </row>
    <row r="197">
      <c r="A197" s="18"/>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6"/>
    </row>
    <row r="198">
      <c r="A198" s="18"/>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6"/>
    </row>
    <row r="199">
      <c r="A199" s="18"/>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6"/>
    </row>
    <row r="200">
      <c r="A200" s="18"/>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6"/>
    </row>
    <row r="201">
      <c r="A201" s="18"/>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6"/>
    </row>
    <row r="202">
      <c r="A202" s="18"/>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6"/>
    </row>
    <row r="203">
      <c r="A203" s="18"/>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6"/>
    </row>
    <row r="204">
      <c r="A204" s="18"/>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6"/>
    </row>
    <row r="205">
      <c r="A205" s="18"/>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6"/>
    </row>
    <row r="206">
      <c r="A206" s="18"/>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6"/>
    </row>
    <row r="207">
      <c r="A207" s="18"/>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6"/>
    </row>
    <row r="208">
      <c r="A208" s="18"/>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6"/>
    </row>
    <row r="209">
      <c r="A209" s="18"/>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6"/>
    </row>
    <row r="210">
      <c r="A210" s="18"/>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6"/>
    </row>
    <row r="211">
      <c r="A211" s="18"/>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6"/>
    </row>
    <row r="212">
      <c r="A212" s="18"/>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6"/>
    </row>
    <row r="213">
      <c r="A213" s="18"/>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6"/>
    </row>
    <row r="214">
      <c r="A214" s="18"/>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6"/>
    </row>
    <row r="215">
      <c r="A215" s="18"/>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6"/>
    </row>
    <row r="216">
      <c r="A216" s="18"/>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6"/>
    </row>
    <row r="217">
      <c r="A217" s="18"/>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6"/>
    </row>
    <row r="218">
      <c r="A218" s="18"/>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6"/>
    </row>
    <row r="219">
      <c r="A219" s="18"/>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6"/>
    </row>
    <row r="220">
      <c r="A220" s="18"/>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6"/>
    </row>
    <row r="221">
      <c r="A221" s="18"/>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6"/>
    </row>
    <row r="222">
      <c r="A222" s="18"/>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6"/>
    </row>
    <row r="223">
      <c r="A223" s="18"/>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6"/>
    </row>
    <row r="224">
      <c r="A224" s="18"/>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6"/>
    </row>
    <row r="225">
      <c r="A225" s="18"/>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6"/>
    </row>
    <row r="226">
      <c r="A226" s="18"/>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6"/>
    </row>
    <row r="227">
      <c r="A227" s="18"/>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6"/>
    </row>
    <row r="228">
      <c r="A228" s="18"/>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6"/>
    </row>
    <row r="229">
      <c r="A229" s="18"/>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6"/>
    </row>
    <row r="230">
      <c r="A230" s="18"/>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6"/>
    </row>
    <row r="231">
      <c r="A231" s="18"/>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6"/>
    </row>
    <row r="232">
      <c r="A232" s="18"/>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6"/>
    </row>
    <row r="233">
      <c r="A233" s="18"/>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6"/>
    </row>
    <row r="234">
      <c r="A234" s="18"/>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6"/>
    </row>
    <row r="235">
      <c r="A235" s="18"/>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6"/>
    </row>
    <row r="236">
      <c r="A236" s="18"/>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6"/>
    </row>
    <row r="237">
      <c r="A237" s="18"/>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6"/>
    </row>
    <row r="238">
      <c r="A238" s="18"/>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6"/>
    </row>
    <row r="239">
      <c r="A239" s="18"/>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6"/>
    </row>
    <row r="240">
      <c r="A240" s="18"/>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6"/>
    </row>
    <row r="241">
      <c r="A241" s="18"/>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6"/>
    </row>
    <row r="242">
      <c r="A242" s="18"/>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6"/>
    </row>
    <row r="243">
      <c r="A243" s="18"/>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6"/>
    </row>
    <row r="244">
      <c r="A244" s="18"/>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6"/>
    </row>
    <row r="245">
      <c r="A245" s="18"/>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6"/>
    </row>
    <row r="246">
      <c r="A246" s="18"/>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6"/>
    </row>
    <row r="247">
      <c r="A247" s="18"/>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6"/>
    </row>
    <row r="248">
      <c r="A248" s="18"/>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6"/>
    </row>
    <row r="249">
      <c r="A249" s="18"/>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6"/>
    </row>
    <row r="250">
      <c r="A250" s="18"/>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6"/>
    </row>
    <row r="251">
      <c r="A251" s="18"/>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6"/>
    </row>
    <row r="252">
      <c r="A252" s="18"/>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6"/>
    </row>
    <row r="253">
      <c r="A253" s="18"/>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6"/>
    </row>
    <row r="254">
      <c r="A254" s="18"/>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6"/>
    </row>
    <row r="255">
      <c r="A255" s="18"/>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6"/>
    </row>
    <row r="256">
      <c r="A256" s="18"/>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6"/>
    </row>
    <row r="257">
      <c r="A257" s="18"/>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6"/>
    </row>
    <row r="258">
      <c r="A258" s="18"/>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6"/>
    </row>
    <row r="259">
      <c r="A259" s="18"/>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6"/>
    </row>
    <row r="260">
      <c r="A260" s="18"/>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6"/>
    </row>
    <row r="261">
      <c r="A261" s="18"/>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6"/>
    </row>
    <row r="262">
      <c r="A262" s="18"/>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6"/>
    </row>
    <row r="263">
      <c r="A263" s="18"/>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6"/>
    </row>
    <row r="264">
      <c r="A264" s="18"/>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6"/>
    </row>
    <row r="265">
      <c r="A265" s="18"/>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6"/>
    </row>
    <row r="266">
      <c r="A266" s="18"/>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6"/>
    </row>
    <row r="267">
      <c r="A267" s="18"/>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6"/>
    </row>
    <row r="268">
      <c r="A268" s="18"/>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6"/>
    </row>
    <row r="269">
      <c r="A269" s="18"/>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6"/>
    </row>
    <row r="270">
      <c r="A270" s="18"/>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6"/>
    </row>
    <row r="271">
      <c r="A271" s="18"/>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6"/>
    </row>
    <row r="272">
      <c r="A272" s="18"/>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6"/>
    </row>
    <row r="273">
      <c r="A273" s="18"/>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6"/>
    </row>
    <row r="274">
      <c r="A274" s="18"/>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6"/>
    </row>
    <row r="275">
      <c r="A275" s="18"/>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6"/>
    </row>
    <row r="276">
      <c r="A276" s="18"/>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6"/>
    </row>
    <row r="277">
      <c r="A277" s="18"/>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6"/>
    </row>
    <row r="278">
      <c r="A278" s="18"/>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6"/>
    </row>
    <row r="279">
      <c r="A279" s="18"/>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6"/>
    </row>
    <row r="280">
      <c r="A280" s="18"/>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6"/>
    </row>
    <row r="281">
      <c r="A281" s="18"/>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6"/>
    </row>
    <row r="282">
      <c r="A282" s="18"/>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6"/>
    </row>
    <row r="283">
      <c r="A283" s="18"/>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6"/>
    </row>
    <row r="284">
      <c r="A284" s="18"/>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6"/>
    </row>
    <row r="285">
      <c r="A285" s="18"/>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6"/>
    </row>
    <row r="286">
      <c r="A286" s="18"/>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6"/>
    </row>
    <row r="287">
      <c r="A287" s="18"/>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6"/>
    </row>
    <row r="288">
      <c r="A288" s="18"/>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6"/>
    </row>
    <row r="289">
      <c r="A289" s="18"/>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6"/>
    </row>
    <row r="290">
      <c r="A290" s="18"/>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6"/>
    </row>
    <row r="291">
      <c r="A291" s="18"/>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6"/>
    </row>
    <row r="292">
      <c r="A292" s="18"/>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6"/>
    </row>
    <row r="293">
      <c r="A293" s="18"/>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6"/>
    </row>
    <row r="294">
      <c r="A294" s="18"/>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6"/>
    </row>
    <row r="295">
      <c r="A295" s="18"/>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6"/>
    </row>
    <row r="296">
      <c r="A296" s="18"/>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6"/>
    </row>
    <row r="297">
      <c r="A297" s="18"/>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6"/>
    </row>
    <row r="298">
      <c r="A298" s="18"/>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6"/>
    </row>
    <row r="299">
      <c r="A299" s="18"/>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6"/>
    </row>
    <row r="300">
      <c r="A300" s="18"/>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6"/>
    </row>
    <row r="301">
      <c r="A301" s="18"/>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6"/>
    </row>
    <row r="302">
      <c r="A302" s="18"/>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6"/>
    </row>
    <row r="303">
      <c r="A303" s="18"/>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6"/>
    </row>
    <row r="304">
      <c r="A304" s="18"/>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6"/>
    </row>
    <row r="305">
      <c r="A305" s="18"/>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6"/>
    </row>
    <row r="306">
      <c r="A306" s="18"/>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6"/>
    </row>
    <row r="307">
      <c r="A307" s="18"/>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6"/>
    </row>
    <row r="308">
      <c r="A308" s="18"/>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6"/>
    </row>
    <row r="309">
      <c r="A309" s="18"/>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6"/>
    </row>
    <row r="310">
      <c r="A310" s="18"/>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6"/>
    </row>
    <row r="311">
      <c r="A311" s="18"/>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6"/>
    </row>
    <row r="312">
      <c r="A312" s="18"/>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6"/>
    </row>
    <row r="313">
      <c r="A313" s="18"/>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6"/>
    </row>
    <row r="314">
      <c r="A314" s="18"/>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6"/>
    </row>
    <row r="315">
      <c r="A315" s="18"/>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6"/>
    </row>
    <row r="316">
      <c r="A316" s="18"/>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6"/>
    </row>
    <row r="317">
      <c r="A317" s="18"/>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6"/>
    </row>
    <row r="318">
      <c r="A318" s="18"/>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6"/>
    </row>
    <row r="319">
      <c r="A319" s="18"/>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6"/>
    </row>
    <row r="320">
      <c r="A320" s="18"/>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6"/>
    </row>
    <row r="321">
      <c r="A321" s="18"/>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6"/>
    </row>
    <row r="322">
      <c r="A322" s="18"/>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6"/>
    </row>
    <row r="323">
      <c r="A323" s="18"/>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6"/>
    </row>
    <row r="324">
      <c r="A324" s="18"/>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6"/>
    </row>
    <row r="325">
      <c r="A325" s="18"/>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6"/>
    </row>
    <row r="326">
      <c r="A326" s="18"/>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6"/>
    </row>
    <row r="327">
      <c r="A327" s="18"/>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6"/>
    </row>
    <row r="328">
      <c r="A328" s="18"/>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6"/>
    </row>
    <row r="329">
      <c r="A329" s="18"/>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6"/>
    </row>
    <row r="330">
      <c r="A330" s="18"/>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6"/>
    </row>
    <row r="331">
      <c r="A331" s="18"/>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6"/>
    </row>
    <row r="332">
      <c r="A332" s="18"/>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6"/>
    </row>
    <row r="333">
      <c r="A333" s="18"/>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6"/>
    </row>
    <row r="334">
      <c r="A334" s="18"/>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6"/>
    </row>
    <row r="335">
      <c r="A335" s="18"/>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6"/>
    </row>
    <row r="336">
      <c r="A336" s="18"/>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6"/>
    </row>
    <row r="337">
      <c r="A337" s="18"/>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6"/>
    </row>
    <row r="338">
      <c r="A338" s="18"/>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6"/>
    </row>
    <row r="339">
      <c r="A339" s="18"/>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6"/>
    </row>
    <row r="340">
      <c r="A340" s="18"/>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6"/>
    </row>
    <row r="341">
      <c r="A341" s="18"/>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6"/>
    </row>
    <row r="342">
      <c r="A342" s="18"/>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6"/>
    </row>
    <row r="343">
      <c r="A343" s="18"/>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6"/>
    </row>
    <row r="344">
      <c r="A344" s="18"/>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6"/>
    </row>
    <row r="345">
      <c r="A345" s="18"/>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6"/>
    </row>
    <row r="346">
      <c r="A346" s="18"/>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6"/>
    </row>
    <row r="347">
      <c r="A347" s="18"/>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6"/>
    </row>
    <row r="348">
      <c r="A348" s="18"/>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6"/>
    </row>
    <row r="349">
      <c r="A349" s="18"/>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6"/>
    </row>
    <row r="350">
      <c r="A350" s="18"/>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6"/>
    </row>
    <row r="351">
      <c r="A351" s="18"/>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6"/>
    </row>
    <row r="352">
      <c r="A352" s="18"/>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6"/>
    </row>
    <row r="353">
      <c r="A353" s="18"/>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6"/>
    </row>
    <row r="354">
      <c r="A354" s="18"/>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6"/>
    </row>
    <row r="355">
      <c r="A355" s="18"/>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6"/>
    </row>
    <row r="356">
      <c r="A356" s="18"/>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6"/>
    </row>
    <row r="357">
      <c r="A357" s="18"/>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6"/>
    </row>
    <row r="358">
      <c r="A358" s="18"/>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6"/>
    </row>
    <row r="359">
      <c r="A359" s="18"/>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6"/>
    </row>
    <row r="360">
      <c r="A360" s="18"/>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6"/>
    </row>
    <row r="361">
      <c r="A361" s="18"/>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6"/>
    </row>
    <row r="362">
      <c r="A362" s="18"/>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6"/>
    </row>
    <row r="363">
      <c r="A363" s="18"/>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6"/>
    </row>
    <row r="364">
      <c r="A364" s="18"/>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6"/>
    </row>
    <row r="365">
      <c r="A365" s="18"/>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6"/>
    </row>
    <row r="366">
      <c r="A366" s="18"/>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6"/>
    </row>
    <row r="367">
      <c r="A367" s="18"/>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6"/>
    </row>
    <row r="368">
      <c r="A368" s="18"/>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6"/>
    </row>
    <row r="369">
      <c r="A369" s="18"/>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6"/>
    </row>
    <row r="370">
      <c r="A370" s="18"/>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6"/>
    </row>
    <row r="371">
      <c r="A371" s="18"/>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6"/>
    </row>
    <row r="372">
      <c r="A372" s="18"/>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6"/>
    </row>
    <row r="373">
      <c r="A373" s="18"/>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6"/>
    </row>
    <row r="374">
      <c r="A374" s="18"/>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6"/>
    </row>
    <row r="375">
      <c r="A375" s="18"/>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6"/>
    </row>
    <row r="376">
      <c r="A376" s="18"/>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6"/>
    </row>
    <row r="377">
      <c r="A377" s="18"/>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6"/>
    </row>
    <row r="378">
      <c r="A378" s="18"/>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6"/>
    </row>
    <row r="379">
      <c r="A379" s="18"/>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6"/>
    </row>
    <row r="380">
      <c r="A380" s="18"/>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6"/>
    </row>
    <row r="381">
      <c r="A381" s="18"/>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6"/>
    </row>
    <row r="382">
      <c r="A382" s="18"/>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6"/>
    </row>
    <row r="383">
      <c r="A383" s="18"/>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6"/>
    </row>
    <row r="384">
      <c r="A384" s="18"/>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6"/>
    </row>
    <row r="385">
      <c r="A385" s="18"/>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6"/>
    </row>
    <row r="386">
      <c r="A386" s="18"/>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6"/>
    </row>
    <row r="387">
      <c r="A387" s="18"/>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6"/>
    </row>
    <row r="388">
      <c r="A388" s="18"/>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6"/>
    </row>
    <row r="389">
      <c r="A389" s="18"/>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6"/>
    </row>
    <row r="390">
      <c r="A390" s="18"/>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6"/>
    </row>
    <row r="391">
      <c r="A391" s="18"/>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6"/>
    </row>
    <row r="392">
      <c r="A392" s="18"/>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6"/>
    </row>
    <row r="393">
      <c r="A393" s="18"/>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6"/>
    </row>
    <row r="394">
      <c r="A394" s="18"/>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6"/>
    </row>
    <row r="395">
      <c r="A395" s="18"/>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6"/>
    </row>
    <row r="396">
      <c r="A396" s="18"/>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6"/>
    </row>
    <row r="397">
      <c r="A397" s="18"/>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6"/>
    </row>
    <row r="398">
      <c r="A398" s="18"/>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6"/>
    </row>
    <row r="399">
      <c r="A399" s="18"/>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6"/>
    </row>
    <row r="400">
      <c r="A400" s="18"/>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6"/>
    </row>
    <row r="401">
      <c r="A401" s="18"/>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6"/>
    </row>
    <row r="402">
      <c r="A402" s="18"/>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6"/>
    </row>
    <row r="403">
      <c r="A403" s="18"/>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6"/>
    </row>
    <row r="404">
      <c r="A404" s="18"/>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6"/>
    </row>
    <row r="405">
      <c r="A405" s="18"/>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6"/>
    </row>
    <row r="406">
      <c r="A406" s="18"/>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6"/>
    </row>
    <row r="407">
      <c r="A407" s="18"/>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6"/>
    </row>
    <row r="408">
      <c r="A408" s="18"/>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6"/>
    </row>
    <row r="409">
      <c r="A409" s="18"/>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6"/>
    </row>
    <row r="410">
      <c r="A410" s="18"/>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6"/>
    </row>
    <row r="411">
      <c r="A411" s="18"/>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6"/>
    </row>
    <row r="412">
      <c r="A412" s="18"/>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6"/>
    </row>
    <row r="413">
      <c r="A413" s="18"/>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6"/>
    </row>
    <row r="414">
      <c r="A414" s="18"/>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6"/>
    </row>
    <row r="415">
      <c r="A415" s="18"/>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6"/>
    </row>
    <row r="416">
      <c r="A416" s="18"/>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6"/>
    </row>
    <row r="417">
      <c r="A417" s="18"/>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6"/>
    </row>
    <row r="418">
      <c r="A418" s="18"/>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6"/>
    </row>
    <row r="419">
      <c r="A419" s="18"/>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6"/>
    </row>
    <row r="420">
      <c r="A420" s="18"/>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6"/>
    </row>
    <row r="421">
      <c r="A421" s="18"/>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6"/>
    </row>
    <row r="422">
      <c r="A422" s="18"/>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6"/>
    </row>
    <row r="423">
      <c r="A423" s="18"/>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6"/>
    </row>
    <row r="424">
      <c r="A424" s="18"/>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6"/>
    </row>
    <row r="425">
      <c r="A425" s="18"/>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6"/>
    </row>
    <row r="426">
      <c r="A426" s="18"/>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6"/>
    </row>
    <row r="427">
      <c r="A427" s="18"/>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6"/>
    </row>
    <row r="428">
      <c r="A428" s="18"/>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6"/>
    </row>
    <row r="429">
      <c r="A429" s="18"/>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6"/>
    </row>
    <row r="430">
      <c r="A430" s="18"/>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6"/>
    </row>
    <row r="431">
      <c r="A431" s="18"/>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6"/>
    </row>
    <row r="432">
      <c r="A432" s="18"/>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6"/>
    </row>
    <row r="433">
      <c r="A433" s="18"/>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6"/>
    </row>
    <row r="434">
      <c r="A434" s="18"/>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6"/>
    </row>
    <row r="435">
      <c r="A435" s="18"/>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6"/>
    </row>
    <row r="436">
      <c r="A436" s="18"/>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6"/>
    </row>
    <row r="437">
      <c r="A437" s="18"/>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6"/>
    </row>
    <row r="438">
      <c r="A438" s="18"/>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6"/>
    </row>
    <row r="439">
      <c r="A439" s="18"/>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6"/>
    </row>
    <row r="440">
      <c r="A440" s="18"/>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6"/>
    </row>
    <row r="441">
      <c r="A441" s="18"/>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6"/>
    </row>
    <row r="442">
      <c r="A442" s="18"/>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6"/>
    </row>
    <row r="443">
      <c r="A443" s="18"/>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6"/>
    </row>
    <row r="444">
      <c r="A444" s="18"/>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6"/>
    </row>
    <row r="445">
      <c r="A445" s="18"/>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6"/>
    </row>
    <row r="446">
      <c r="A446" s="18"/>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6"/>
    </row>
    <row r="447">
      <c r="A447" s="18"/>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6"/>
    </row>
    <row r="448">
      <c r="A448" s="18"/>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6"/>
    </row>
    <row r="449">
      <c r="A449" s="18"/>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6"/>
    </row>
    <row r="450">
      <c r="A450" s="18"/>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6"/>
    </row>
    <row r="451">
      <c r="A451" s="18"/>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6"/>
    </row>
    <row r="452">
      <c r="A452" s="18"/>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6"/>
    </row>
    <row r="453">
      <c r="A453" s="18"/>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6"/>
    </row>
    <row r="454">
      <c r="A454" s="18"/>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6"/>
    </row>
    <row r="455">
      <c r="A455" s="18"/>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6"/>
    </row>
    <row r="456">
      <c r="A456" s="18"/>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6"/>
    </row>
    <row r="457">
      <c r="A457" s="18"/>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6"/>
    </row>
    <row r="458">
      <c r="A458" s="18"/>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6"/>
    </row>
    <row r="459">
      <c r="A459" s="18"/>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6"/>
    </row>
    <row r="460">
      <c r="A460" s="18"/>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6"/>
    </row>
    <row r="461">
      <c r="A461" s="18"/>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6"/>
    </row>
    <row r="462">
      <c r="A462" s="18"/>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6"/>
    </row>
    <row r="463">
      <c r="A463" s="18"/>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6"/>
    </row>
    <row r="464">
      <c r="A464" s="18"/>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c r="A465" s="18"/>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6"/>
    </row>
    <row r="466">
      <c r="A466" s="18"/>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c r="A467" s="18"/>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6"/>
    </row>
    <row r="468">
      <c r="A468" s="18"/>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c r="A469" s="18"/>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6"/>
    </row>
    <row r="470">
      <c r="A470" s="18"/>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c r="A471" s="18"/>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6"/>
    </row>
    <row r="472">
      <c r="A472" s="18"/>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c r="A473" s="18"/>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6"/>
    </row>
    <row r="474">
      <c r="A474" s="18"/>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c r="A475" s="18"/>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6"/>
    </row>
    <row r="476">
      <c r="A476" s="18"/>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c r="A477" s="18"/>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6"/>
    </row>
    <row r="478">
      <c r="A478" s="18"/>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c r="A479" s="18"/>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6"/>
    </row>
    <row r="480">
      <c r="A480" s="18"/>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c r="A481" s="18"/>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6"/>
    </row>
    <row r="482">
      <c r="A482" s="18"/>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c r="A483" s="18"/>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6"/>
    </row>
    <row r="484">
      <c r="A484" s="18"/>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c r="A485" s="18"/>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6"/>
    </row>
    <row r="486">
      <c r="A486" s="18"/>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c r="A487" s="18"/>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6"/>
    </row>
    <row r="488">
      <c r="A488" s="18"/>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c r="A489" s="18"/>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6"/>
    </row>
    <row r="490">
      <c r="A490" s="18"/>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c r="A491" s="18"/>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6"/>
    </row>
    <row r="492">
      <c r="A492" s="18"/>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c r="A493" s="18"/>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6"/>
    </row>
    <row r="494">
      <c r="A494" s="18"/>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c r="A495" s="18"/>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6"/>
    </row>
    <row r="496">
      <c r="A496" s="18"/>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c r="A497" s="18"/>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6"/>
    </row>
    <row r="498">
      <c r="A498" s="18"/>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c r="A499" s="18"/>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6"/>
    </row>
    <row r="500">
      <c r="A500" s="18"/>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c r="A501" s="18"/>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6"/>
    </row>
    <row r="502">
      <c r="A502" s="18"/>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c r="A503" s="18"/>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6"/>
    </row>
    <row r="504">
      <c r="A504" s="18"/>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c r="A505" s="18"/>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6"/>
    </row>
    <row r="506">
      <c r="A506" s="18"/>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c r="A507" s="18"/>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6"/>
    </row>
    <row r="508">
      <c r="A508" s="18"/>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c r="A509" s="18"/>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6"/>
    </row>
    <row r="510">
      <c r="A510" s="18"/>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c r="A511" s="18"/>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6"/>
    </row>
    <row r="512">
      <c r="A512" s="18"/>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c r="A513" s="18"/>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6"/>
    </row>
    <row r="514">
      <c r="A514" s="18"/>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c r="A515" s="18"/>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6"/>
    </row>
    <row r="516">
      <c r="A516" s="18"/>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c r="A517" s="18"/>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6"/>
    </row>
    <row r="518">
      <c r="A518" s="18"/>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c r="A519" s="18"/>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6"/>
    </row>
    <row r="520">
      <c r="A520" s="18"/>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c r="A521" s="18"/>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6"/>
    </row>
    <row r="522">
      <c r="A522" s="18"/>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c r="A523" s="18"/>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6"/>
    </row>
    <row r="524">
      <c r="A524" s="18"/>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c r="A525" s="18"/>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6"/>
    </row>
    <row r="526">
      <c r="A526" s="18"/>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c r="A527" s="18"/>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6"/>
    </row>
    <row r="528">
      <c r="A528" s="18"/>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c r="A529" s="18"/>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6"/>
    </row>
    <row r="530">
      <c r="A530" s="18"/>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c r="A531" s="18"/>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6"/>
    </row>
    <row r="532">
      <c r="A532" s="18"/>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c r="A533" s="18"/>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6"/>
    </row>
    <row r="534">
      <c r="A534" s="18"/>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c r="A535" s="18"/>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6"/>
    </row>
    <row r="536">
      <c r="A536" s="18"/>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c r="A537" s="18"/>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6"/>
    </row>
    <row r="538">
      <c r="A538" s="18"/>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c r="A539" s="18"/>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6"/>
    </row>
    <row r="540">
      <c r="A540" s="18"/>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c r="A541" s="18"/>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6"/>
    </row>
    <row r="542">
      <c r="A542" s="18"/>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c r="A543" s="18"/>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6"/>
    </row>
    <row r="544">
      <c r="A544" s="18"/>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c r="A545" s="18"/>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6"/>
    </row>
    <row r="546">
      <c r="A546" s="18"/>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c r="A547" s="18"/>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6"/>
    </row>
    <row r="548">
      <c r="A548" s="18"/>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c r="A549" s="18"/>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6"/>
    </row>
    <row r="550">
      <c r="A550" s="18"/>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c r="A551" s="18"/>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6"/>
    </row>
    <row r="552">
      <c r="A552" s="18"/>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c r="A553" s="18"/>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6"/>
    </row>
    <row r="554">
      <c r="A554" s="18"/>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c r="A555" s="18"/>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6"/>
    </row>
    <row r="556">
      <c r="A556" s="18"/>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c r="A557" s="18"/>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6"/>
    </row>
    <row r="558">
      <c r="A558" s="18"/>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c r="A559" s="18"/>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6"/>
    </row>
    <row r="560">
      <c r="A560" s="18"/>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c r="A561" s="18"/>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6"/>
    </row>
    <row r="562">
      <c r="A562" s="18"/>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c r="A563" s="18"/>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6"/>
    </row>
    <row r="564">
      <c r="A564" s="18"/>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c r="A565" s="18"/>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6"/>
    </row>
    <row r="566">
      <c r="A566" s="18"/>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c r="A567" s="18"/>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6"/>
    </row>
    <row r="568">
      <c r="A568" s="18"/>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c r="A569" s="18"/>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6"/>
    </row>
    <row r="570">
      <c r="A570" s="18"/>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c r="A571" s="18"/>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6"/>
    </row>
    <row r="572">
      <c r="A572" s="18"/>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c r="A573" s="18"/>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6"/>
    </row>
    <row r="574">
      <c r="A574" s="18"/>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c r="A575" s="18"/>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6"/>
    </row>
    <row r="576">
      <c r="A576" s="18"/>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c r="A577" s="18"/>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6"/>
    </row>
    <row r="578">
      <c r="A578" s="18"/>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c r="A579" s="18"/>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6"/>
    </row>
    <row r="580">
      <c r="A580" s="18"/>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c r="A581" s="18"/>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6"/>
    </row>
    <row r="582">
      <c r="A582" s="18"/>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c r="A583" s="18"/>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6"/>
    </row>
    <row r="584">
      <c r="A584" s="18"/>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c r="A585" s="18"/>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6"/>
    </row>
    <row r="586">
      <c r="A586" s="18"/>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c r="A587" s="18"/>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6"/>
    </row>
    <row r="588">
      <c r="A588" s="18"/>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c r="A589" s="18"/>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6"/>
    </row>
    <row r="590">
      <c r="A590" s="18"/>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c r="A591" s="18"/>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6"/>
    </row>
    <row r="592">
      <c r="A592" s="18"/>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c r="A593" s="18"/>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6"/>
    </row>
    <row r="594">
      <c r="A594" s="18"/>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c r="A595" s="18"/>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6"/>
    </row>
    <row r="596">
      <c r="A596" s="18"/>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c r="A597" s="18"/>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6"/>
    </row>
    <row r="598">
      <c r="A598" s="18"/>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c r="A599" s="18"/>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6"/>
    </row>
    <row r="600">
      <c r="A600" s="18"/>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c r="A601" s="18"/>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6"/>
    </row>
    <row r="602">
      <c r="A602" s="18"/>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c r="A603" s="18"/>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6"/>
    </row>
    <row r="604">
      <c r="A604" s="18"/>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c r="A605" s="18"/>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6"/>
    </row>
    <row r="606">
      <c r="A606" s="18"/>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c r="A607" s="18"/>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6"/>
    </row>
    <row r="608">
      <c r="A608" s="18"/>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c r="A609" s="18"/>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6"/>
    </row>
    <row r="610">
      <c r="A610" s="18"/>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c r="A611" s="18"/>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6"/>
    </row>
    <row r="612">
      <c r="A612" s="18"/>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c r="A613" s="18"/>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6"/>
    </row>
    <row r="614">
      <c r="A614" s="18"/>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c r="A615" s="18"/>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6"/>
    </row>
    <row r="616">
      <c r="A616" s="18"/>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c r="A617" s="18"/>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6"/>
    </row>
    <row r="618">
      <c r="A618" s="18"/>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c r="A619" s="18"/>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6"/>
    </row>
    <row r="620">
      <c r="A620" s="18"/>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c r="A621" s="18"/>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6"/>
    </row>
    <row r="622">
      <c r="A622" s="18"/>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c r="A623" s="18"/>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6"/>
    </row>
    <row r="624">
      <c r="A624" s="18"/>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c r="A625" s="18"/>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6"/>
    </row>
    <row r="626">
      <c r="A626" s="18"/>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c r="A627" s="18"/>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6"/>
    </row>
    <row r="628">
      <c r="A628" s="18"/>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c r="A629" s="18"/>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6"/>
    </row>
    <row r="630">
      <c r="A630" s="18"/>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c r="A631" s="18"/>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6"/>
    </row>
    <row r="632">
      <c r="A632" s="18"/>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c r="A633" s="18"/>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6"/>
    </row>
    <row r="634">
      <c r="A634" s="18"/>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c r="A635" s="18"/>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6"/>
    </row>
    <row r="636">
      <c r="A636" s="18"/>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c r="A637" s="18"/>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6"/>
    </row>
    <row r="638">
      <c r="A638" s="18"/>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c r="A639" s="18"/>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6"/>
    </row>
    <row r="640">
      <c r="A640" s="18"/>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c r="A641" s="18"/>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6"/>
    </row>
    <row r="642">
      <c r="A642" s="18"/>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c r="A643" s="18"/>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6"/>
    </row>
    <row r="644">
      <c r="A644" s="18"/>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c r="A645" s="18"/>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6"/>
    </row>
    <row r="646">
      <c r="A646" s="18"/>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c r="A647" s="18"/>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6"/>
    </row>
    <row r="648">
      <c r="A648" s="18"/>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c r="A649" s="18"/>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6"/>
    </row>
    <row r="650">
      <c r="A650" s="18"/>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c r="A651" s="18"/>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6"/>
    </row>
    <row r="652">
      <c r="A652" s="18"/>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c r="A653" s="18"/>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6"/>
    </row>
    <row r="654">
      <c r="A654" s="18"/>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c r="A655" s="18"/>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6"/>
    </row>
    <row r="656">
      <c r="A656" s="18"/>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c r="A657" s="18"/>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6"/>
    </row>
    <row r="658">
      <c r="A658" s="18"/>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c r="A659" s="18"/>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6"/>
    </row>
    <row r="660">
      <c r="A660" s="18"/>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c r="A661" s="18"/>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6"/>
    </row>
    <row r="662">
      <c r="A662" s="18"/>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c r="A663" s="18"/>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6"/>
    </row>
    <row r="664">
      <c r="A664" s="18"/>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c r="A665" s="18"/>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6"/>
    </row>
    <row r="666">
      <c r="A666" s="18"/>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c r="A667" s="18"/>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6"/>
    </row>
    <row r="668">
      <c r="A668" s="18"/>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c r="A669" s="18"/>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6"/>
    </row>
    <row r="670">
      <c r="A670" s="18"/>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c r="A671" s="18"/>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6"/>
    </row>
    <row r="672">
      <c r="A672" s="18"/>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c r="A673" s="18"/>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6"/>
    </row>
    <row r="674">
      <c r="A674" s="18"/>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c r="A675" s="18"/>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6"/>
    </row>
    <row r="676">
      <c r="A676" s="18"/>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c r="A677" s="18"/>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6"/>
    </row>
    <row r="678">
      <c r="A678" s="18"/>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c r="A679" s="18"/>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6"/>
    </row>
    <row r="680">
      <c r="A680" s="18"/>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c r="A681" s="18"/>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6"/>
    </row>
    <row r="682">
      <c r="A682" s="18"/>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c r="A683" s="18"/>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6"/>
    </row>
    <row r="684">
      <c r="A684" s="18"/>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c r="A685" s="18"/>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6"/>
    </row>
    <row r="686">
      <c r="A686" s="18"/>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c r="A687" s="18"/>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6"/>
    </row>
    <row r="688">
      <c r="A688" s="18"/>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c r="A689" s="18"/>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6"/>
    </row>
    <row r="690">
      <c r="A690" s="18"/>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c r="A691" s="18"/>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6"/>
    </row>
    <row r="692">
      <c r="A692" s="18"/>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c r="A693" s="18"/>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6"/>
    </row>
    <row r="694">
      <c r="A694" s="18"/>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c r="A695" s="18"/>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6"/>
    </row>
    <row r="696">
      <c r="A696" s="18"/>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c r="A697" s="18"/>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6"/>
    </row>
    <row r="698">
      <c r="A698" s="18"/>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c r="A699" s="18"/>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6"/>
    </row>
    <row r="700">
      <c r="A700" s="18"/>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c r="A701" s="18"/>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6"/>
    </row>
    <row r="702">
      <c r="A702" s="18"/>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c r="A703" s="18"/>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6"/>
    </row>
    <row r="704">
      <c r="A704" s="18"/>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c r="A705" s="18"/>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6"/>
    </row>
    <row r="706">
      <c r="A706" s="18"/>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c r="A707" s="18"/>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6"/>
    </row>
    <row r="708">
      <c r="A708" s="18"/>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c r="A709" s="18"/>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6"/>
    </row>
    <row r="710">
      <c r="A710" s="18"/>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c r="A711" s="18"/>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6"/>
    </row>
    <row r="712">
      <c r="A712" s="18"/>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c r="A713" s="18"/>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6"/>
    </row>
    <row r="714">
      <c r="A714" s="18"/>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c r="A715" s="18"/>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6"/>
    </row>
    <row r="716">
      <c r="A716" s="18"/>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c r="A717" s="18"/>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6"/>
    </row>
    <row r="718">
      <c r="A718" s="18"/>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c r="A719" s="18"/>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6"/>
    </row>
    <row r="720">
      <c r="A720" s="18"/>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c r="A721" s="18"/>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6"/>
    </row>
    <row r="722">
      <c r="A722" s="18"/>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c r="A723" s="18"/>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6"/>
    </row>
    <row r="724">
      <c r="A724" s="18"/>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c r="A725" s="18"/>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6"/>
    </row>
    <row r="726">
      <c r="A726" s="18"/>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c r="A727" s="18"/>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6"/>
    </row>
    <row r="728">
      <c r="A728" s="18"/>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c r="A729" s="18"/>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6"/>
    </row>
    <row r="730">
      <c r="A730" s="18"/>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c r="A731" s="18"/>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6"/>
    </row>
    <row r="732">
      <c r="A732" s="18"/>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c r="A733" s="18"/>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6"/>
    </row>
    <row r="734">
      <c r="A734" s="18"/>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c r="A735" s="18"/>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6"/>
    </row>
    <row r="736">
      <c r="A736" s="18"/>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c r="A737" s="18"/>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6"/>
    </row>
    <row r="738">
      <c r="A738" s="18"/>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c r="A739" s="18"/>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6"/>
    </row>
    <row r="740">
      <c r="A740" s="18"/>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c r="A741" s="18"/>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6"/>
    </row>
    <row r="742">
      <c r="A742" s="18"/>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c r="A743" s="18"/>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6"/>
    </row>
    <row r="744">
      <c r="A744" s="18"/>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c r="A745" s="18"/>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6"/>
    </row>
    <row r="746">
      <c r="A746" s="18"/>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c r="A747" s="18"/>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6"/>
    </row>
    <row r="748">
      <c r="A748" s="18"/>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c r="A749" s="18"/>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6"/>
    </row>
    <row r="750">
      <c r="A750" s="18"/>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c r="A751" s="18"/>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6"/>
    </row>
    <row r="752">
      <c r="A752" s="18"/>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c r="A753" s="18"/>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6"/>
    </row>
    <row r="754">
      <c r="A754" s="18"/>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c r="A755" s="18"/>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6"/>
    </row>
    <row r="756">
      <c r="A756" s="18"/>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c r="A757" s="18"/>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6"/>
    </row>
    <row r="758">
      <c r="A758" s="18"/>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c r="A759" s="18"/>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6"/>
    </row>
    <row r="760">
      <c r="A760" s="18"/>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c r="A761" s="18"/>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6"/>
    </row>
    <row r="762">
      <c r="A762" s="18"/>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c r="A763" s="18"/>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6"/>
    </row>
    <row r="764">
      <c r="A764" s="18"/>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c r="A765" s="18"/>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6"/>
    </row>
    <row r="766">
      <c r="A766" s="18"/>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c r="A767" s="18"/>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6"/>
    </row>
    <row r="768">
      <c r="A768" s="18"/>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c r="A769" s="18"/>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6"/>
    </row>
    <row r="770">
      <c r="A770" s="18"/>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c r="A771" s="18"/>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6"/>
    </row>
    <row r="772">
      <c r="A772" s="18"/>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c r="A773" s="18"/>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6"/>
    </row>
    <row r="774">
      <c r="A774" s="18"/>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c r="A775" s="18"/>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6"/>
    </row>
    <row r="776">
      <c r="A776" s="18"/>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c r="A777" s="18"/>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6"/>
    </row>
    <row r="778">
      <c r="A778" s="18"/>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c r="A779" s="18"/>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6"/>
    </row>
    <row r="780">
      <c r="A780" s="18"/>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c r="A781" s="18"/>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6"/>
    </row>
    <row r="782">
      <c r="A782" s="18"/>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c r="A783" s="18"/>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6"/>
    </row>
    <row r="784">
      <c r="A784" s="18"/>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c r="A785" s="18"/>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6"/>
    </row>
    <row r="786">
      <c r="A786" s="18"/>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c r="A787" s="18"/>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6"/>
    </row>
    <row r="788">
      <c r="A788" s="18"/>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c r="A789" s="18"/>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6"/>
    </row>
    <row r="790">
      <c r="A790" s="18"/>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c r="A791" s="18"/>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6"/>
    </row>
    <row r="792">
      <c r="A792" s="18"/>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c r="A793" s="18"/>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6"/>
    </row>
    <row r="794">
      <c r="A794" s="18"/>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c r="A795" s="18"/>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6"/>
    </row>
    <row r="796">
      <c r="A796" s="18"/>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c r="A797" s="18"/>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6"/>
    </row>
    <row r="798">
      <c r="A798" s="18"/>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c r="A799" s="18"/>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6"/>
    </row>
    <row r="800">
      <c r="A800" s="18"/>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c r="A801" s="18"/>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6"/>
    </row>
    <row r="802">
      <c r="A802" s="18"/>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c r="A803" s="18"/>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6"/>
    </row>
    <row r="804">
      <c r="A804" s="18"/>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c r="A805" s="18"/>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6"/>
    </row>
    <row r="806">
      <c r="A806" s="18"/>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c r="A807" s="18"/>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6"/>
    </row>
    <row r="808">
      <c r="A808" s="18"/>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c r="A809" s="18"/>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6"/>
    </row>
    <row r="810">
      <c r="A810" s="18"/>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c r="A811" s="18"/>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6"/>
    </row>
    <row r="812">
      <c r="A812" s="18"/>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c r="A813" s="18"/>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6"/>
    </row>
    <row r="814">
      <c r="A814" s="18"/>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c r="A815" s="18"/>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6"/>
    </row>
    <row r="816">
      <c r="A816" s="18"/>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c r="A817" s="18"/>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6"/>
    </row>
    <row r="818">
      <c r="A818" s="18"/>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c r="A819" s="18"/>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6"/>
    </row>
    <row r="820">
      <c r="A820" s="18"/>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c r="A821" s="18"/>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6"/>
    </row>
    <row r="822">
      <c r="A822" s="18"/>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c r="A823" s="18"/>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6"/>
    </row>
    <row r="824">
      <c r="A824" s="18"/>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c r="A825" s="18"/>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6"/>
    </row>
    <row r="826">
      <c r="A826" s="18"/>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c r="A827" s="18"/>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6"/>
    </row>
    <row r="828">
      <c r="A828" s="18"/>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c r="A829" s="18"/>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6"/>
    </row>
    <row r="830">
      <c r="A830" s="18"/>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c r="A831" s="18"/>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6"/>
    </row>
    <row r="832">
      <c r="A832" s="18"/>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c r="A833" s="18"/>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6"/>
    </row>
    <row r="834">
      <c r="A834" s="18"/>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c r="A835" s="18"/>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6"/>
    </row>
    <row r="836">
      <c r="A836" s="18"/>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c r="A837" s="18"/>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6"/>
    </row>
    <row r="838">
      <c r="A838" s="18"/>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c r="A839" s="18"/>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6"/>
    </row>
    <row r="840">
      <c r="A840" s="18"/>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c r="A841" s="18"/>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6"/>
    </row>
    <row r="842">
      <c r="A842" s="18"/>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c r="A843" s="18"/>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6"/>
    </row>
    <row r="844">
      <c r="A844" s="18"/>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c r="A845" s="18"/>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6"/>
    </row>
    <row r="846">
      <c r="A846" s="18"/>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c r="A847" s="18"/>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6"/>
    </row>
    <row r="848">
      <c r="A848" s="18"/>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c r="A849" s="18"/>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6"/>
    </row>
    <row r="850">
      <c r="A850" s="18"/>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c r="A851" s="18"/>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6"/>
    </row>
    <row r="852">
      <c r="A852" s="18"/>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c r="A853" s="18"/>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6"/>
    </row>
    <row r="854">
      <c r="A854" s="18"/>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c r="A855" s="18"/>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6"/>
    </row>
    <row r="856">
      <c r="A856" s="18"/>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c r="A857" s="18"/>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6"/>
    </row>
    <row r="858">
      <c r="A858" s="18"/>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c r="A859" s="18"/>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6"/>
    </row>
    <row r="860">
      <c r="A860" s="18"/>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c r="A861" s="18"/>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6"/>
    </row>
    <row r="862">
      <c r="A862" s="18"/>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c r="A863" s="18"/>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6"/>
    </row>
    <row r="864">
      <c r="A864" s="18"/>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c r="A865" s="18"/>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6"/>
    </row>
    <row r="866">
      <c r="A866" s="18"/>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c r="A867" s="18"/>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6"/>
    </row>
    <row r="868">
      <c r="A868" s="18"/>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c r="A869" s="18"/>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6"/>
    </row>
    <row r="870">
      <c r="A870" s="18"/>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c r="A871" s="18"/>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6"/>
    </row>
    <row r="872">
      <c r="A872" s="18"/>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c r="A873" s="18"/>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6"/>
    </row>
    <row r="874">
      <c r="A874" s="18"/>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c r="A875" s="18"/>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6"/>
    </row>
    <row r="876">
      <c r="A876" s="18"/>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c r="A877" s="18"/>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6"/>
    </row>
    <row r="878">
      <c r="A878" s="18"/>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c r="A879" s="18"/>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6"/>
    </row>
    <row r="880">
      <c r="A880" s="18"/>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c r="A881" s="18"/>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6"/>
    </row>
    <row r="882">
      <c r="A882" s="18"/>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c r="A883" s="18"/>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6"/>
    </row>
    <row r="884">
      <c r="A884" s="18"/>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c r="A885" s="18"/>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6"/>
    </row>
    <row r="886">
      <c r="A886" s="18"/>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c r="A887" s="18"/>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6"/>
    </row>
    <row r="888">
      <c r="A888" s="18"/>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c r="A889" s="18"/>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6"/>
    </row>
    <row r="890">
      <c r="A890" s="18"/>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c r="A891" s="18"/>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6"/>
    </row>
    <row r="892">
      <c r="A892" s="18"/>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c r="A893" s="18"/>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6"/>
    </row>
    <row r="894">
      <c r="A894" s="18"/>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c r="A895" s="18"/>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6"/>
    </row>
    <row r="896">
      <c r="A896" s="18"/>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c r="A897" s="18"/>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6"/>
    </row>
    <row r="898">
      <c r="A898" s="18"/>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c r="A899" s="18"/>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6"/>
    </row>
    <row r="900">
      <c r="A900" s="18"/>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c r="A901" s="18"/>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6"/>
    </row>
    <row r="902">
      <c r="A902" s="18"/>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c r="A903" s="18"/>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6"/>
    </row>
    <row r="904">
      <c r="A904" s="18"/>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c r="A905" s="18"/>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6"/>
    </row>
    <row r="906">
      <c r="A906" s="18"/>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c r="A907" s="18"/>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6"/>
    </row>
    <row r="908">
      <c r="A908" s="18"/>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c r="A909" s="18"/>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6"/>
    </row>
    <row r="910">
      <c r="A910" s="18"/>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c r="A911" s="18"/>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6"/>
    </row>
    <row r="912">
      <c r="A912" s="18"/>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c r="A913" s="18"/>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6"/>
    </row>
    <row r="914">
      <c r="A914" s="18"/>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c r="A915" s="18"/>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6"/>
    </row>
    <row r="916">
      <c r="A916" s="18"/>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c r="A917" s="18"/>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6"/>
    </row>
    <row r="918">
      <c r="A918" s="18"/>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c r="A919" s="18"/>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6"/>
    </row>
    <row r="920">
      <c r="A920" s="18"/>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c r="A921" s="18"/>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6"/>
    </row>
    <row r="922">
      <c r="A922" s="18"/>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c r="A923" s="18"/>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6"/>
    </row>
    <row r="924">
      <c r="A924" s="18"/>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c r="A925" s="18"/>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6"/>
    </row>
    <row r="926">
      <c r="A926" s="18"/>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c r="A927" s="18"/>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6"/>
    </row>
    <row r="928">
      <c r="A928" s="18"/>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c r="A929" s="18"/>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6"/>
    </row>
    <row r="930">
      <c r="A930" s="18"/>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c r="A931" s="18"/>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6"/>
    </row>
    <row r="932">
      <c r="A932" s="18"/>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c r="A933" s="18"/>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6"/>
    </row>
    <row r="934">
      <c r="A934" s="18"/>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c r="A935" s="18"/>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6"/>
    </row>
    <row r="936">
      <c r="A936" s="18"/>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c r="A937" s="18"/>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6"/>
    </row>
    <row r="938">
      <c r="A938" s="18"/>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c r="A939" s="18"/>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6"/>
    </row>
    <row r="940">
      <c r="A940" s="18"/>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c r="A941" s="18"/>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6"/>
    </row>
    <row r="942">
      <c r="A942" s="18"/>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c r="A943" s="18"/>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6"/>
    </row>
    <row r="944">
      <c r="A944" s="18"/>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c r="A945" s="18"/>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6"/>
    </row>
    <row r="946">
      <c r="A946" s="18"/>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c r="A947" s="18"/>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6"/>
    </row>
    <row r="948">
      <c r="A948" s="18"/>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c r="A949" s="18"/>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6"/>
    </row>
    <row r="950">
      <c r="A950" s="18"/>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c r="A951" s="18"/>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6"/>
    </row>
    <row r="952">
      <c r="A952" s="18"/>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c r="A953" s="18"/>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6"/>
    </row>
    <row r="954">
      <c r="A954" s="18"/>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c r="A955" s="18"/>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6"/>
    </row>
    <row r="956">
      <c r="A956" s="18"/>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c r="A957" s="18"/>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6"/>
    </row>
    <row r="958">
      <c r="A958" s="18"/>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c r="A959" s="18"/>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6"/>
    </row>
    <row r="960">
      <c r="A960" s="18"/>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c r="A961" s="18"/>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6"/>
    </row>
    <row r="962">
      <c r="A962" s="18"/>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c r="A963" s="18"/>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6"/>
    </row>
    <row r="964">
      <c r="A964" s="18"/>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c r="A965" s="18"/>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6"/>
    </row>
    <row r="966">
      <c r="A966" s="18"/>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c r="A967" s="18"/>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6"/>
    </row>
    <row r="968">
      <c r="A968" s="18"/>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c r="A969" s="18"/>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6"/>
    </row>
    <row r="970">
      <c r="A970" s="18"/>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c r="A971" s="18"/>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6"/>
    </row>
    <row r="972">
      <c r="A972" s="18"/>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c r="A973" s="18"/>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6"/>
    </row>
    <row r="974">
      <c r="A974" s="18"/>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c r="A975" s="18"/>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6"/>
    </row>
    <row r="976">
      <c r="A976" s="18"/>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c r="A977" s="18"/>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6"/>
    </row>
    <row r="978">
      <c r="A978" s="18"/>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c r="A979" s="18"/>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6"/>
    </row>
    <row r="980">
      <c r="A980" s="18"/>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c r="A981" s="18"/>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6"/>
    </row>
    <row r="982">
      <c r="A982" s="18"/>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c r="A983" s="18"/>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6"/>
    </row>
    <row r="984">
      <c r="A984" s="18"/>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c r="A985" s="18"/>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6"/>
    </row>
    <row r="986">
      <c r="A986" s="18"/>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c r="A987" s="18"/>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6"/>
    </row>
    <row r="988">
      <c r="A988" s="18"/>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c r="A989" s="18"/>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6"/>
    </row>
    <row r="990">
      <c r="A990" s="18"/>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c r="A991" s="18"/>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6"/>
    </row>
    <row r="992">
      <c r="A992" s="18"/>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c r="A993" s="18"/>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6"/>
    </row>
    <row r="994">
      <c r="A994" s="18"/>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c r="A995" s="18"/>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6"/>
    </row>
    <row r="996">
      <c r="A996" s="18"/>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c r="A997" s="18"/>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row r="998">
      <c r="A998" s="18"/>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c r="A999" s="18"/>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6"/>
    </row>
    <row r="1000">
      <c r="A1000" s="19"/>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87.63"/>
    <col customWidth="1" min="3" max="4" width="18.88"/>
    <col customWidth="1" min="5" max="6" width="25.13"/>
    <col customWidth="1" min="7" max="7" width="75.13"/>
    <col customWidth="1" min="8" max="19" width="25.13"/>
    <col customWidth="1" min="20" max="20" width="50.13"/>
  </cols>
  <sheetData>
    <row r="1">
      <c r="A1" s="8" t="s">
        <v>15</v>
      </c>
      <c r="B1" s="9" t="s">
        <v>16</v>
      </c>
      <c r="C1" s="9" t="s">
        <v>17</v>
      </c>
      <c r="D1" s="9" t="s">
        <v>18</v>
      </c>
      <c r="E1" s="9" t="s">
        <v>19</v>
      </c>
      <c r="F1" s="9" t="s">
        <v>20</v>
      </c>
      <c r="G1" s="9" t="s">
        <v>21</v>
      </c>
      <c r="H1" s="9" t="s">
        <v>22</v>
      </c>
      <c r="I1" s="9" t="s">
        <v>23</v>
      </c>
      <c r="J1" s="9" t="s">
        <v>24</v>
      </c>
      <c r="K1" s="9" t="s">
        <v>25</v>
      </c>
      <c r="L1" s="10"/>
      <c r="M1" s="10"/>
      <c r="N1" s="10"/>
      <c r="O1" s="10"/>
      <c r="P1" s="10"/>
      <c r="Q1" s="10"/>
      <c r="R1" s="10"/>
      <c r="S1" s="10"/>
      <c r="T1" s="10"/>
      <c r="U1" s="10"/>
      <c r="V1" s="10"/>
      <c r="W1" s="10"/>
      <c r="X1" s="10"/>
      <c r="Y1" s="10"/>
      <c r="Z1" s="11"/>
    </row>
    <row r="2">
      <c r="A2" s="18"/>
      <c r="B2" s="15"/>
      <c r="C2" s="15"/>
      <c r="D2" s="15"/>
      <c r="E2" s="15"/>
      <c r="F2" s="15"/>
      <c r="G2" s="15"/>
      <c r="H2" s="15"/>
      <c r="I2" s="15"/>
      <c r="J2" s="15"/>
      <c r="K2" s="15"/>
      <c r="L2" s="15"/>
      <c r="M2" s="15"/>
      <c r="N2" s="15"/>
      <c r="O2" s="15"/>
      <c r="P2" s="15"/>
      <c r="Q2" s="15"/>
      <c r="R2" s="15"/>
      <c r="S2" s="15"/>
      <c r="T2" s="15"/>
      <c r="U2" s="15"/>
      <c r="V2" s="15"/>
      <c r="W2" s="15"/>
      <c r="X2" s="15"/>
      <c r="Y2" s="15"/>
      <c r="Z2" s="16"/>
    </row>
    <row r="3">
      <c r="A3" s="18"/>
      <c r="B3" s="15"/>
      <c r="C3" s="15"/>
      <c r="D3" s="15"/>
      <c r="E3" s="15"/>
      <c r="F3" s="15"/>
      <c r="G3" s="15"/>
      <c r="H3" s="15"/>
      <c r="I3" s="15"/>
      <c r="J3" s="15"/>
      <c r="K3" s="15"/>
      <c r="L3" s="15"/>
      <c r="M3" s="15"/>
      <c r="N3" s="15"/>
      <c r="O3" s="15"/>
      <c r="P3" s="15"/>
      <c r="Q3" s="15"/>
      <c r="R3" s="15"/>
      <c r="S3" s="15"/>
      <c r="T3" s="15"/>
      <c r="U3" s="15"/>
      <c r="V3" s="15"/>
      <c r="W3" s="15"/>
      <c r="X3" s="15"/>
      <c r="Y3" s="15"/>
      <c r="Z3" s="16"/>
    </row>
    <row r="4">
      <c r="A4" s="18"/>
      <c r="B4" s="15"/>
      <c r="C4" s="15"/>
      <c r="D4" s="15"/>
      <c r="E4" s="15"/>
      <c r="F4" s="15"/>
      <c r="G4" s="15"/>
      <c r="H4" s="15"/>
      <c r="I4" s="15"/>
      <c r="J4" s="15"/>
      <c r="K4" s="15"/>
      <c r="L4" s="15"/>
      <c r="M4" s="15"/>
      <c r="N4" s="15"/>
      <c r="O4" s="15"/>
      <c r="P4" s="15"/>
      <c r="Q4" s="15"/>
      <c r="R4" s="15"/>
      <c r="S4" s="15"/>
      <c r="T4" s="15"/>
      <c r="U4" s="15"/>
      <c r="V4" s="15"/>
      <c r="W4" s="15"/>
      <c r="X4" s="15"/>
      <c r="Y4" s="15"/>
      <c r="Z4" s="16"/>
    </row>
    <row r="5">
      <c r="A5" s="18"/>
      <c r="B5" s="15"/>
      <c r="C5" s="15"/>
      <c r="D5" s="15"/>
      <c r="E5" s="15"/>
      <c r="F5" s="15"/>
      <c r="G5" s="15"/>
      <c r="H5" s="15"/>
      <c r="I5" s="15"/>
      <c r="J5" s="15"/>
      <c r="K5" s="15"/>
      <c r="L5" s="15"/>
      <c r="M5" s="15"/>
      <c r="N5" s="15"/>
      <c r="O5" s="15"/>
      <c r="P5" s="15"/>
      <c r="Q5" s="15"/>
      <c r="R5" s="15"/>
      <c r="S5" s="15"/>
      <c r="T5" s="15"/>
      <c r="U5" s="15"/>
      <c r="V5" s="15"/>
      <c r="W5" s="15"/>
      <c r="X5" s="15"/>
      <c r="Y5" s="15"/>
      <c r="Z5" s="16"/>
    </row>
    <row r="6">
      <c r="A6" s="18"/>
      <c r="B6" s="15"/>
      <c r="C6" s="15"/>
      <c r="D6" s="15"/>
      <c r="E6" s="15"/>
      <c r="F6" s="15"/>
      <c r="G6" s="15"/>
      <c r="H6" s="15"/>
      <c r="I6" s="15"/>
      <c r="J6" s="15"/>
      <c r="K6" s="15"/>
      <c r="L6" s="15"/>
      <c r="M6" s="15"/>
      <c r="N6" s="15"/>
      <c r="O6" s="15"/>
      <c r="P6" s="15"/>
      <c r="Q6" s="15"/>
      <c r="R6" s="15"/>
      <c r="S6" s="15"/>
      <c r="T6" s="15"/>
      <c r="U6" s="15"/>
      <c r="V6" s="15"/>
      <c r="W6" s="15"/>
      <c r="X6" s="15"/>
      <c r="Y6" s="15"/>
      <c r="Z6" s="16"/>
    </row>
    <row r="7">
      <c r="A7" s="18"/>
      <c r="B7" s="15"/>
      <c r="C7" s="15"/>
      <c r="D7" s="15"/>
      <c r="E7" s="15"/>
      <c r="F7" s="15"/>
      <c r="G7" s="15"/>
      <c r="H7" s="15"/>
      <c r="I7" s="15"/>
      <c r="J7" s="15"/>
      <c r="K7" s="15"/>
      <c r="L7" s="15"/>
      <c r="M7" s="15"/>
      <c r="N7" s="15"/>
      <c r="O7" s="15"/>
      <c r="P7" s="15"/>
      <c r="Q7" s="15"/>
      <c r="R7" s="15"/>
      <c r="S7" s="15"/>
      <c r="T7" s="15"/>
      <c r="U7" s="15"/>
      <c r="V7" s="15"/>
      <c r="W7" s="15"/>
      <c r="X7" s="15"/>
      <c r="Y7" s="15"/>
      <c r="Z7" s="16"/>
    </row>
    <row r="8">
      <c r="A8" s="18"/>
      <c r="B8" s="15"/>
      <c r="C8" s="15"/>
      <c r="D8" s="15"/>
      <c r="E8" s="15"/>
      <c r="F8" s="15"/>
      <c r="G8" s="15"/>
      <c r="H8" s="15"/>
      <c r="I8" s="15"/>
      <c r="J8" s="15"/>
      <c r="K8" s="15"/>
      <c r="L8" s="15"/>
      <c r="M8" s="15"/>
      <c r="N8" s="15"/>
      <c r="O8" s="15"/>
      <c r="P8" s="15"/>
      <c r="Q8" s="15"/>
      <c r="R8" s="15"/>
      <c r="S8" s="15"/>
      <c r="T8" s="15"/>
      <c r="U8" s="15"/>
      <c r="V8" s="15"/>
      <c r="W8" s="15"/>
      <c r="X8" s="15"/>
      <c r="Y8" s="15"/>
      <c r="Z8" s="16"/>
    </row>
    <row r="9">
      <c r="A9" s="18"/>
      <c r="B9" s="15"/>
      <c r="C9" s="15"/>
      <c r="D9" s="15"/>
      <c r="E9" s="15"/>
      <c r="F9" s="15"/>
      <c r="G9" s="15"/>
      <c r="H9" s="15"/>
      <c r="I9" s="15"/>
      <c r="J9" s="15"/>
      <c r="K9" s="15"/>
      <c r="L9" s="15"/>
      <c r="M9" s="15"/>
      <c r="N9" s="15"/>
      <c r="O9" s="15"/>
      <c r="P9" s="15"/>
      <c r="Q9" s="15"/>
      <c r="R9" s="15"/>
      <c r="S9" s="15"/>
      <c r="T9" s="15"/>
      <c r="U9" s="15"/>
      <c r="V9" s="15"/>
      <c r="W9" s="15"/>
      <c r="X9" s="15"/>
      <c r="Y9" s="15"/>
      <c r="Z9" s="16"/>
    </row>
    <row r="10">
      <c r="A10" s="18"/>
      <c r="B10" s="15"/>
      <c r="C10" s="15"/>
      <c r="D10" s="15"/>
      <c r="E10" s="15"/>
      <c r="F10" s="15"/>
      <c r="G10" s="15"/>
      <c r="H10" s="15"/>
      <c r="I10" s="15"/>
      <c r="J10" s="15"/>
      <c r="K10" s="15"/>
      <c r="L10" s="15"/>
      <c r="M10" s="15"/>
      <c r="N10" s="15"/>
      <c r="O10" s="15"/>
      <c r="P10" s="15"/>
      <c r="Q10" s="15"/>
      <c r="R10" s="15"/>
      <c r="S10" s="15"/>
      <c r="T10" s="15"/>
      <c r="U10" s="15"/>
      <c r="V10" s="15"/>
      <c r="W10" s="15"/>
      <c r="X10" s="15"/>
      <c r="Y10" s="15"/>
      <c r="Z10" s="16"/>
    </row>
    <row r="11">
      <c r="A11" s="18"/>
      <c r="B11" s="15"/>
      <c r="C11" s="15"/>
      <c r="D11" s="15"/>
      <c r="E11" s="15"/>
      <c r="F11" s="15"/>
      <c r="G11" s="15"/>
      <c r="H11" s="15"/>
      <c r="I11" s="15"/>
      <c r="J11" s="15"/>
      <c r="K11" s="15"/>
      <c r="L11" s="15"/>
      <c r="M11" s="15"/>
      <c r="N11" s="15"/>
      <c r="O11" s="15"/>
      <c r="P11" s="15"/>
      <c r="Q11" s="15"/>
      <c r="R11" s="15"/>
      <c r="S11" s="15"/>
      <c r="T11" s="15"/>
      <c r="U11" s="15"/>
      <c r="V11" s="15"/>
      <c r="W11" s="15"/>
      <c r="X11" s="15"/>
      <c r="Y11" s="15"/>
      <c r="Z11" s="16"/>
    </row>
    <row r="12">
      <c r="A12" s="18"/>
      <c r="B12" s="15"/>
      <c r="C12" s="15"/>
      <c r="D12" s="15"/>
      <c r="E12" s="15"/>
      <c r="F12" s="15"/>
      <c r="G12" s="15"/>
      <c r="H12" s="15"/>
      <c r="I12" s="15"/>
      <c r="J12" s="15"/>
      <c r="K12" s="15"/>
      <c r="L12" s="15"/>
      <c r="M12" s="15"/>
      <c r="N12" s="15"/>
      <c r="O12" s="15"/>
      <c r="P12" s="15"/>
      <c r="Q12" s="15"/>
      <c r="R12" s="15"/>
      <c r="S12" s="15"/>
      <c r="T12" s="15"/>
      <c r="U12" s="15"/>
      <c r="V12" s="15"/>
      <c r="W12" s="15"/>
      <c r="X12" s="15"/>
      <c r="Y12" s="15"/>
      <c r="Z12" s="16"/>
    </row>
    <row r="13">
      <c r="A13" s="18"/>
      <c r="B13" s="15"/>
      <c r="C13" s="15"/>
      <c r="D13" s="15"/>
      <c r="E13" s="15"/>
      <c r="F13" s="15"/>
      <c r="G13" s="15"/>
      <c r="H13" s="15"/>
      <c r="I13" s="15"/>
      <c r="J13" s="15"/>
      <c r="K13" s="15"/>
      <c r="L13" s="15"/>
      <c r="M13" s="15"/>
      <c r="N13" s="15"/>
      <c r="O13" s="15"/>
      <c r="P13" s="15"/>
      <c r="Q13" s="15"/>
      <c r="R13" s="15"/>
      <c r="S13" s="15"/>
      <c r="T13" s="15"/>
      <c r="U13" s="15"/>
      <c r="V13" s="15"/>
      <c r="W13" s="15"/>
      <c r="X13" s="15"/>
      <c r="Y13" s="15"/>
      <c r="Z13" s="16"/>
    </row>
    <row r="14">
      <c r="A14" s="18"/>
      <c r="B14" s="15"/>
      <c r="C14" s="15"/>
      <c r="D14" s="15"/>
      <c r="E14" s="15"/>
      <c r="F14" s="15"/>
      <c r="G14" s="15"/>
      <c r="H14" s="15"/>
      <c r="I14" s="15"/>
      <c r="J14" s="15"/>
      <c r="K14" s="15"/>
      <c r="L14" s="15"/>
      <c r="M14" s="15"/>
      <c r="N14" s="15"/>
      <c r="O14" s="15"/>
      <c r="P14" s="15"/>
      <c r="Q14" s="15"/>
      <c r="R14" s="15"/>
      <c r="S14" s="15"/>
      <c r="T14" s="15"/>
      <c r="U14" s="15"/>
      <c r="V14" s="15"/>
      <c r="W14" s="15"/>
      <c r="X14" s="15"/>
      <c r="Y14" s="15"/>
      <c r="Z14" s="16"/>
    </row>
    <row r="15">
      <c r="A15" s="18"/>
      <c r="B15" s="15"/>
      <c r="C15" s="15"/>
      <c r="D15" s="15"/>
      <c r="E15" s="15"/>
      <c r="F15" s="15"/>
      <c r="G15" s="15"/>
      <c r="H15" s="15"/>
      <c r="I15" s="15"/>
      <c r="J15" s="15"/>
      <c r="K15" s="15"/>
      <c r="L15" s="15"/>
      <c r="M15" s="15"/>
      <c r="N15" s="15"/>
      <c r="O15" s="15"/>
      <c r="P15" s="15"/>
      <c r="Q15" s="15"/>
      <c r="R15" s="15"/>
      <c r="S15" s="15"/>
      <c r="T15" s="15"/>
      <c r="U15" s="15"/>
      <c r="V15" s="15"/>
      <c r="W15" s="15"/>
      <c r="X15" s="15"/>
      <c r="Y15" s="15"/>
      <c r="Z15" s="16"/>
    </row>
    <row r="16">
      <c r="A16" s="18"/>
      <c r="B16" s="15"/>
      <c r="C16" s="15"/>
      <c r="D16" s="15"/>
      <c r="E16" s="15"/>
      <c r="F16" s="15"/>
      <c r="G16" s="15"/>
      <c r="H16" s="15"/>
      <c r="I16" s="15"/>
      <c r="J16" s="15"/>
      <c r="K16" s="15"/>
      <c r="L16" s="15"/>
      <c r="M16" s="15"/>
      <c r="N16" s="15"/>
      <c r="O16" s="15"/>
      <c r="P16" s="15"/>
      <c r="Q16" s="15"/>
      <c r="R16" s="15"/>
      <c r="S16" s="15"/>
      <c r="T16" s="15"/>
      <c r="U16" s="15"/>
      <c r="V16" s="15"/>
      <c r="W16" s="15"/>
      <c r="X16" s="15"/>
      <c r="Y16" s="15"/>
      <c r="Z16" s="16"/>
    </row>
    <row r="17">
      <c r="A17" s="18"/>
      <c r="B17" s="15"/>
      <c r="C17" s="15"/>
      <c r="D17" s="15"/>
      <c r="E17" s="15"/>
      <c r="F17" s="15"/>
      <c r="G17" s="15"/>
      <c r="H17" s="15"/>
      <c r="I17" s="15"/>
      <c r="J17" s="15"/>
      <c r="K17" s="15"/>
      <c r="L17" s="15"/>
      <c r="M17" s="15"/>
      <c r="N17" s="15"/>
      <c r="O17" s="15"/>
      <c r="P17" s="15"/>
      <c r="Q17" s="15"/>
      <c r="R17" s="15"/>
      <c r="S17" s="15"/>
      <c r="T17" s="15"/>
      <c r="U17" s="15"/>
      <c r="V17" s="15"/>
      <c r="W17" s="15"/>
      <c r="X17" s="15"/>
      <c r="Y17" s="15"/>
      <c r="Z17" s="16"/>
    </row>
    <row r="18">
      <c r="A18" s="18"/>
      <c r="B18" s="15"/>
      <c r="C18" s="15"/>
      <c r="D18" s="15"/>
      <c r="E18" s="15"/>
      <c r="F18" s="15"/>
      <c r="G18" s="15"/>
      <c r="H18" s="15"/>
      <c r="I18" s="15"/>
      <c r="J18" s="15"/>
      <c r="K18" s="15"/>
      <c r="L18" s="15"/>
      <c r="M18" s="15"/>
      <c r="N18" s="15"/>
      <c r="O18" s="15"/>
      <c r="P18" s="15"/>
      <c r="Q18" s="15"/>
      <c r="R18" s="15"/>
      <c r="S18" s="15"/>
      <c r="T18" s="15"/>
      <c r="U18" s="15"/>
      <c r="V18" s="15"/>
      <c r="W18" s="15"/>
      <c r="X18" s="15"/>
      <c r="Y18" s="15"/>
      <c r="Z18" s="16"/>
    </row>
    <row r="19">
      <c r="A19" s="18"/>
      <c r="B19" s="15"/>
      <c r="C19" s="15"/>
      <c r="D19" s="15"/>
      <c r="E19" s="15"/>
      <c r="F19" s="15"/>
      <c r="G19" s="15"/>
      <c r="H19" s="15"/>
      <c r="I19" s="15"/>
      <c r="J19" s="15"/>
      <c r="K19" s="15"/>
      <c r="L19" s="15"/>
      <c r="M19" s="15"/>
      <c r="N19" s="15"/>
      <c r="O19" s="15"/>
      <c r="P19" s="15"/>
      <c r="Q19" s="15"/>
      <c r="R19" s="15"/>
      <c r="S19" s="15"/>
      <c r="T19" s="15"/>
      <c r="U19" s="15"/>
      <c r="V19" s="15"/>
      <c r="W19" s="15"/>
      <c r="X19" s="15"/>
      <c r="Y19" s="15"/>
      <c r="Z19" s="16"/>
    </row>
    <row r="20">
      <c r="A20" s="18"/>
      <c r="B20" s="15"/>
      <c r="C20" s="15"/>
      <c r="D20" s="15"/>
      <c r="E20" s="15"/>
      <c r="F20" s="15"/>
      <c r="G20" s="15"/>
      <c r="H20" s="15"/>
      <c r="I20" s="15"/>
      <c r="J20" s="15"/>
      <c r="K20" s="15"/>
      <c r="L20" s="15"/>
      <c r="M20" s="15"/>
      <c r="N20" s="15"/>
      <c r="O20" s="15"/>
      <c r="P20" s="15"/>
      <c r="Q20" s="15"/>
      <c r="R20" s="15"/>
      <c r="S20" s="15"/>
      <c r="T20" s="15"/>
      <c r="U20" s="15"/>
      <c r="V20" s="15"/>
      <c r="W20" s="15"/>
      <c r="X20" s="15"/>
      <c r="Y20" s="15"/>
      <c r="Z20" s="16"/>
    </row>
    <row r="21">
      <c r="A21" s="18"/>
      <c r="B21" s="15"/>
      <c r="C21" s="15"/>
      <c r="D21" s="15"/>
      <c r="E21" s="15"/>
      <c r="F21" s="15"/>
      <c r="G21" s="15"/>
      <c r="H21" s="15"/>
      <c r="I21" s="15"/>
      <c r="J21" s="15"/>
      <c r="K21" s="15"/>
      <c r="L21" s="15"/>
      <c r="M21" s="15"/>
      <c r="N21" s="15"/>
      <c r="O21" s="15"/>
      <c r="P21" s="15"/>
      <c r="Q21" s="15"/>
      <c r="R21" s="15"/>
      <c r="S21" s="15"/>
      <c r="T21" s="15"/>
      <c r="U21" s="15"/>
      <c r="V21" s="15"/>
      <c r="W21" s="15"/>
      <c r="X21" s="15"/>
      <c r="Y21" s="15"/>
      <c r="Z21" s="16"/>
    </row>
    <row r="22">
      <c r="A22" s="18"/>
      <c r="B22" s="15"/>
      <c r="C22" s="15"/>
      <c r="D22" s="15"/>
      <c r="E22" s="15"/>
      <c r="F22" s="15"/>
      <c r="G22" s="15"/>
      <c r="H22" s="15"/>
      <c r="I22" s="15"/>
      <c r="J22" s="15"/>
      <c r="K22" s="15"/>
      <c r="L22" s="15"/>
      <c r="M22" s="15"/>
      <c r="N22" s="15"/>
      <c r="O22" s="15"/>
      <c r="P22" s="15"/>
      <c r="Q22" s="15"/>
      <c r="R22" s="15"/>
      <c r="S22" s="15"/>
      <c r="T22" s="15"/>
      <c r="U22" s="15"/>
      <c r="V22" s="15"/>
      <c r="W22" s="15"/>
      <c r="X22" s="15"/>
      <c r="Y22" s="15"/>
      <c r="Z22" s="16"/>
    </row>
    <row r="23">
      <c r="A23" s="18"/>
      <c r="B23" s="15"/>
      <c r="C23" s="15"/>
      <c r="D23" s="15"/>
      <c r="E23" s="15"/>
      <c r="F23" s="15"/>
      <c r="G23" s="15"/>
      <c r="H23" s="15"/>
      <c r="I23" s="15"/>
      <c r="J23" s="15"/>
      <c r="K23" s="15"/>
      <c r="L23" s="15"/>
      <c r="M23" s="15"/>
      <c r="N23" s="15"/>
      <c r="O23" s="15"/>
      <c r="P23" s="15"/>
      <c r="Q23" s="15"/>
      <c r="R23" s="15"/>
      <c r="S23" s="15"/>
      <c r="T23" s="15"/>
      <c r="U23" s="15"/>
      <c r="V23" s="15"/>
      <c r="W23" s="15"/>
      <c r="X23" s="15"/>
      <c r="Y23" s="15"/>
      <c r="Z23" s="16"/>
    </row>
    <row r="24">
      <c r="A24" s="18"/>
      <c r="B24" s="15"/>
      <c r="C24" s="15"/>
      <c r="D24" s="15"/>
      <c r="E24" s="15"/>
      <c r="F24" s="15"/>
      <c r="G24" s="15"/>
      <c r="H24" s="15"/>
      <c r="I24" s="15"/>
      <c r="J24" s="15"/>
      <c r="K24" s="15"/>
      <c r="L24" s="15"/>
      <c r="M24" s="15"/>
      <c r="N24" s="15"/>
      <c r="O24" s="15"/>
      <c r="P24" s="15"/>
      <c r="Q24" s="15"/>
      <c r="R24" s="15"/>
      <c r="S24" s="15"/>
      <c r="T24" s="15"/>
      <c r="U24" s="15"/>
      <c r="V24" s="15"/>
      <c r="W24" s="15"/>
      <c r="X24" s="15"/>
      <c r="Y24" s="15"/>
      <c r="Z24" s="16"/>
    </row>
    <row r="25">
      <c r="A25" s="18"/>
      <c r="B25" s="15"/>
      <c r="C25" s="15"/>
      <c r="D25" s="15"/>
      <c r="E25" s="15"/>
      <c r="F25" s="15"/>
      <c r="G25" s="15"/>
      <c r="H25" s="15"/>
      <c r="I25" s="15"/>
      <c r="J25" s="15"/>
      <c r="K25" s="15"/>
      <c r="L25" s="15"/>
      <c r="M25" s="15"/>
      <c r="N25" s="15"/>
      <c r="O25" s="15"/>
      <c r="P25" s="15"/>
      <c r="Q25" s="15"/>
      <c r="R25" s="15"/>
      <c r="S25" s="15"/>
      <c r="T25" s="15"/>
      <c r="U25" s="15"/>
      <c r="V25" s="15"/>
      <c r="W25" s="15"/>
      <c r="X25" s="15"/>
      <c r="Y25" s="15"/>
      <c r="Z25" s="16"/>
    </row>
    <row r="26">
      <c r="A26" s="18"/>
      <c r="B26" s="15"/>
      <c r="C26" s="15"/>
      <c r="D26" s="15"/>
      <c r="E26" s="15"/>
      <c r="F26" s="15"/>
      <c r="G26" s="15"/>
      <c r="H26" s="15"/>
      <c r="I26" s="15"/>
      <c r="J26" s="15"/>
      <c r="K26" s="15"/>
      <c r="L26" s="15"/>
      <c r="M26" s="15"/>
      <c r="N26" s="15"/>
      <c r="O26" s="15"/>
      <c r="P26" s="15"/>
      <c r="Q26" s="15"/>
      <c r="R26" s="15"/>
      <c r="S26" s="15"/>
      <c r="T26" s="15"/>
      <c r="U26" s="15"/>
      <c r="V26" s="15"/>
      <c r="W26" s="15"/>
      <c r="X26" s="15"/>
      <c r="Y26" s="15"/>
      <c r="Z26" s="16"/>
    </row>
    <row r="27">
      <c r="A27" s="18"/>
      <c r="B27" s="15"/>
      <c r="C27" s="15"/>
      <c r="D27" s="15"/>
      <c r="E27" s="15"/>
      <c r="F27" s="15"/>
      <c r="G27" s="15"/>
      <c r="H27" s="15"/>
      <c r="I27" s="15"/>
      <c r="J27" s="15"/>
      <c r="K27" s="15"/>
      <c r="L27" s="15"/>
      <c r="M27" s="15"/>
      <c r="N27" s="15"/>
      <c r="O27" s="15"/>
      <c r="P27" s="15"/>
      <c r="Q27" s="15"/>
      <c r="R27" s="15"/>
      <c r="S27" s="15"/>
      <c r="T27" s="15"/>
      <c r="U27" s="15"/>
      <c r="V27" s="15"/>
      <c r="W27" s="15"/>
      <c r="X27" s="15"/>
      <c r="Y27" s="15"/>
      <c r="Z27" s="16"/>
    </row>
    <row r="28">
      <c r="A28" s="18"/>
      <c r="B28" s="15"/>
      <c r="C28" s="15"/>
      <c r="D28" s="15"/>
      <c r="E28" s="15"/>
      <c r="F28" s="15"/>
      <c r="G28" s="15"/>
      <c r="H28" s="15"/>
      <c r="I28" s="15"/>
      <c r="J28" s="15"/>
      <c r="K28" s="15"/>
      <c r="L28" s="15"/>
      <c r="M28" s="15"/>
      <c r="N28" s="15"/>
      <c r="O28" s="15"/>
      <c r="P28" s="15"/>
      <c r="Q28" s="15"/>
      <c r="R28" s="15"/>
      <c r="S28" s="15"/>
      <c r="T28" s="15"/>
      <c r="U28" s="15"/>
      <c r="V28" s="15"/>
      <c r="W28" s="15"/>
      <c r="X28" s="15"/>
      <c r="Y28" s="15"/>
      <c r="Z28" s="16"/>
    </row>
    <row r="29">
      <c r="A29" s="18"/>
      <c r="B29" s="15"/>
      <c r="C29" s="15"/>
      <c r="D29" s="15"/>
      <c r="E29" s="15"/>
      <c r="F29" s="15"/>
      <c r="G29" s="15"/>
      <c r="H29" s="15"/>
      <c r="I29" s="15"/>
      <c r="J29" s="15"/>
      <c r="K29" s="15"/>
      <c r="L29" s="15"/>
      <c r="M29" s="15"/>
      <c r="N29" s="15"/>
      <c r="O29" s="15"/>
      <c r="P29" s="15"/>
      <c r="Q29" s="15"/>
      <c r="R29" s="15"/>
      <c r="S29" s="15"/>
      <c r="T29" s="15"/>
      <c r="U29" s="15"/>
      <c r="V29" s="15"/>
      <c r="W29" s="15"/>
      <c r="X29" s="15"/>
      <c r="Y29" s="15"/>
      <c r="Z29" s="16"/>
    </row>
    <row r="30">
      <c r="A30" s="18"/>
      <c r="B30" s="15"/>
      <c r="C30" s="15"/>
      <c r="D30" s="15"/>
      <c r="E30" s="15"/>
      <c r="F30" s="15"/>
      <c r="G30" s="15"/>
      <c r="H30" s="15"/>
      <c r="I30" s="15"/>
      <c r="J30" s="15"/>
      <c r="K30" s="15"/>
      <c r="L30" s="15"/>
      <c r="M30" s="15"/>
      <c r="N30" s="15"/>
      <c r="O30" s="15"/>
      <c r="P30" s="15"/>
      <c r="Q30" s="15"/>
      <c r="R30" s="15"/>
      <c r="S30" s="15"/>
      <c r="T30" s="15"/>
      <c r="U30" s="15"/>
      <c r="V30" s="15"/>
      <c r="W30" s="15"/>
      <c r="X30" s="15"/>
      <c r="Y30" s="15"/>
      <c r="Z30" s="16"/>
    </row>
    <row r="31">
      <c r="A31" s="18"/>
      <c r="B31" s="15"/>
      <c r="C31" s="15"/>
      <c r="D31" s="15"/>
      <c r="E31" s="15"/>
      <c r="F31" s="15"/>
      <c r="G31" s="15"/>
      <c r="H31" s="15"/>
      <c r="I31" s="15"/>
      <c r="J31" s="15"/>
      <c r="K31" s="15"/>
      <c r="L31" s="15"/>
      <c r="M31" s="15"/>
      <c r="N31" s="15"/>
      <c r="O31" s="15"/>
      <c r="P31" s="15"/>
      <c r="Q31" s="15"/>
      <c r="R31" s="15"/>
      <c r="S31" s="15"/>
      <c r="T31" s="15"/>
      <c r="U31" s="15"/>
      <c r="V31" s="15"/>
      <c r="W31" s="15"/>
      <c r="X31" s="15"/>
      <c r="Y31" s="15"/>
      <c r="Z31" s="16"/>
    </row>
    <row r="32">
      <c r="A32" s="18"/>
      <c r="B32" s="15"/>
      <c r="C32" s="15"/>
      <c r="D32" s="15"/>
      <c r="E32" s="15"/>
      <c r="F32" s="15"/>
      <c r="G32" s="15"/>
      <c r="H32" s="15"/>
      <c r="I32" s="15"/>
      <c r="J32" s="15"/>
      <c r="K32" s="15"/>
      <c r="L32" s="15"/>
      <c r="M32" s="15"/>
      <c r="N32" s="15"/>
      <c r="O32" s="15"/>
      <c r="P32" s="15"/>
      <c r="Q32" s="15"/>
      <c r="R32" s="15"/>
      <c r="S32" s="15"/>
      <c r="T32" s="15"/>
      <c r="U32" s="15"/>
      <c r="V32" s="15"/>
      <c r="W32" s="15"/>
      <c r="X32" s="15"/>
      <c r="Y32" s="15"/>
      <c r="Z32" s="16"/>
    </row>
    <row r="33">
      <c r="A33" s="18"/>
      <c r="B33" s="15"/>
      <c r="C33" s="15"/>
      <c r="D33" s="15"/>
      <c r="E33" s="15"/>
      <c r="F33" s="15"/>
      <c r="G33" s="15"/>
      <c r="H33" s="15"/>
      <c r="I33" s="15"/>
      <c r="J33" s="15"/>
      <c r="K33" s="15"/>
      <c r="L33" s="15"/>
      <c r="M33" s="15"/>
      <c r="N33" s="15"/>
      <c r="O33" s="15"/>
      <c r="P33" s="15"/>
      <c r="Q33" s="15"/>
      <c r="R33" s="15"/>
      <c r="S33" s="15"/>
      <c r="T33" s="15"/>
      <c r="U33" s="15"/>
      <c r="V33" s="15"/>
      <c r="W33" s="15"/>
      <c r="X33" s="15"/>
      <c r="Y33" s="15"/>
      <c r="Z33" s="16"/>
    </row>
    <row r="34">
      <c r="A34" s="18"/>
      <c r="B34" s="15"/>
      <c r="C34" s="15"/>
      <c r="D34" s="15"/>
      <c r="E34" s="15"/>
      <c r="F34" s="15"/>
      <c r="G34" s="15"/>
      <c r="H34" s="15"/>
      <c r="I34" s="15"/>
      <c r="J34" s="15"/>
      <c r="K34" s="15"/>
      <c r="L34" s="15"/>
      <c r="M34" s="15"/>
      <c r="N34" s="15"/>
      <c r="O34" s="15"/>
      <c r="P34" s="15"/>
      <c r="Q34" s="15"/>
      <c r="R34" s="15"/>
      <c r="S34" s="15"/>
      <c r="T34" s="15"/>
      <c r="U34" s="15"/>
      <c r="V34" s="15"/>
      <c r="W34" s="15"/>
      <c r="X34" s="15"/>
      <c r="Y34" s="15"/>
      <c r="Z34" s="16"/>
    </row>
    <row r="35">
      <c r="A35" s="18"/>
      <c r="B35" s="15"/>
      <c r="C35" s="15"/>
      <c r="D35" s="15"/>
      <c r="E35" s="15"/>
      <c r="F35" s="15"/>
      <c r="G35" s="15"/>
      <c r="H35" s="15"/>
      <c r="I35" s="15"/>
      <c r="J35" s="15"/>
      <c r="K35" s="15"/>
      <c r="L35" s="15"/>
      <c r="M35" s="15"/>
      <c r="N35" s="15"/>
      <c r="O35" s="15"/>
      <c r="P35" s="15"/>
      <c r="Q35" s="15"/>
      <c r="R35" s="15"/>
      <c r="S35" s="15"/>
      <c r="T35" s="15"/>
      <c r="U35" s="15"/>
      <c r="V35" s="15"/>
      <c r="W35" s="15"/>
      <c r="X35" s="15"/>
      <c r="Y35" s="15"/>
      <c r="Z35" s="16"/>
    </row>
    <row r="36">
      <c r="A36" s="18"/>
      <c r="B36" s="15"/>
      <c r="C36" s="15"/>
      <c r="D36" s="15"/>
      <c r="E36" s="15"/>
      <c r="F36" s="15"/>
      <c r="G36" s="15"/>
      <c r="H36" s="15"/>
      <c r="I36" s="15"/>
      <c r="J36" s="15"/>
      <c r="K36" s="15"/>
      <c r="L36" s="15"/>
      <c r="M36" s="15"/>
      <c r="N36" s="15"/>
      <c r="O36" s="15"/>
      <c r="P36" s="15"/>
      <c r="Q36" s="15"/>
      <c r="R36" s="15"/>
      <c r="S36" s="15"/>
      <c r="T36" s="15"/>
      <c r="U36" s="15"/>
      <c r="V36" s="15"/>
      <c r="W36" s="15"/>
      <c r="X36" s="15"/>
      <c r="Y36" s="15"/>
      <c r="Z36" s="16"/>
    </row>
    <row r="37">
      <c r="A37" s="18"/>
      <c r="B37" s="15"/>
      <c r="C37" s="15"/>
      <c r="D37" s="15"/>
      <c r="E37" s="15"/>
      <c r="F37" s="15"/>
      <c r="G37" s="15"/>
      <c r="H37" s="15"/>
      <c r="I37" s="15"/>
      <c r="J37" s="15"/>
      <c r="K37" s="15"/>
      <c r="L37" s="15"/>
      <c r="M37" s="15"/>
      <c r="N37" s="15"/>
      <c r="O37" s="15"/>
      <c r="P37" s="15"/>
      <c r="Q37" s="15"/>
      <c r="R37" s="15"/>
      <c r="S37" s="15"/>
      <c r="T37" s="15"/>
      <c r="U37" s="15"/>
      <c r="V37" s="15"/>
      <c r="W37" s="15"/>
      <c r="X37" s="15"/>
      <c r="Y37" s="15"/>
      <c r="Z37" s="16"/>
    </row>
    <row r="38">
      <c r="A38" s="18"/>
      <c r="B38" s="15"/>
      <c r="C38" s="15"/>
      <c r="D38" s="15"/>
      <c r="E38" s="15"/>
      <c r="F38" s="15"/>
      <c r="G38" s="15"/>
      <c r="H38" s="15"/>
      <c r="I38" s="15"/>
      <c r="J38" s="15"/>
      <c r="K38" s="15"/>
      <c r="L38" s="15"/>
      <c r="M38" s="15"/>
      <c r="N38" s="15"/>
      <c r="O38" s="15"/>
      <c r="P38" s="15"/>
      <c r="Q38" s="15"/>
      <c r="R38" s="15"/>
      <c r="S38" s="15"/>
      <c r="T38" s="15"/>
      <c r="U38" s="15"/>
      <c r="V38" s="15"/>
      <c r="W38" s="15"/>
      <c r="X38" s="15"/>
      <c r="Y38" s="15"/>
      <c r="Z38" s="16"/>
    </row>
    <row r="39">
      <c r="A39" s="18"/>
      <c r="B39" s="15"/>
      <c r="C39" s="15"/>
      <c r="D39" s="15"/>
      <c r="E39" s="15"/>
      <c r="F39" s="15"/>
      <c r="G39" s="15"/>
      <c r="H39" s="15"/>
      <c r="I39" s="15"/>
      <c r="J39" s="15"/>
      <c r="K39" s="15"/>
      <c r="L39" s="15"/>
      <c r="M39" s="15"/>
      <c r="N39" s="15"/>
      <c r="O39" s="15"/>
      <c r="P39" s="15"/>
      <c r="Q39" s="15"/>
      <c r="R39" s="15"/>
      <c r="S39" s="15"/>
      <c r="T39" s="15"/>
      <c r="U39" s="15"/>
      <c r="V39" s="15"/>
      <c r="W39" s="15"/>
      <c r="X39" s="15"/>
      <c r="Y39" s="15"/>
      <c r="Z39" s="16"/>
    </row>
    <row r="40">
      <c r="A40" s="18"/>
      <c r="B40" s="15"/>
      <c r="C40" s="15"/>
      <c r="D40" s="15"/>
      <c r="E40" s="15"/>
      <c r="F40" s="15"/>
      <c r="G40" s="15"/>
      <c r="H40" s="15"/>
      <c r="I40" s="15"/>
      <c r="J40" s="15"/>
      <c r="K40" s="15"/>
      <c r="L40" s="15"/>
      <c r="M40" s="15"/>
      <c r="N40" s="15"/>
      <c r="O40" s="15"/>
      <c r="P40" s="15"/>
      <c r="Q40" s="15"/>
      <c r="R40" s="15"/>
      <c r="S40" s="15"/>
      <c r="T40" s="15"/>
      <c r="U40" s="15"/>
      <c r="V40" s="15"/>
      <c r="W40" s="15"/>
      <c r="X40" s="15"/>
      <c r="Y40" s="15"/>
      <c r="Z40" s="16"/>
    </row>
    <row r="41">
      <c r="A41" s="18"/>
      <c r="B41" s="15"/>
      <c r="C41" s="15"/>
      <c r="D41" s="15"/>
      <c r="E41" s="15"/>
      <c r="F41" s="15"/>
      <c r="G41" s="15"/>
      <c r="H41" s="15"/>
      <c r="I41" s="15"/>
      <c r="J41" s="15"/>
      <c r="K41" s="15"/>
      <c r="L41" s="15"/>
      <c r="M41" s="15"/>
      <c r="N41" s="15"/>
      <c r="O41" s="15"/>
      <c r="P41" s="15"/>
      <c r="Q41" s="15"/>
      <c r="R41" s="15"/>
      <c r="S41" s="15"/>
      <c r="T41" s="15"/>
      <c r="U41" s="15"/>
      <c r="V41" s="15"/>
      <c r="W41" s="15"/>
      <c r="X41" s="15"/>
      <c r="Y41" s="15"/>
      <c r="Z41" s="16"/>
    </row>
    <row r="42">
      <c r="A42" s="18"/>
      <c r="B42" s="15"/>
      <c r="C42" s="15"/>
      <c r="D42" s="15"/>
      <c r="E42" s="15"/>
      <c r="F42" s="15"/>
      <c r="G42" s="15"/>
      <c r="H42" s="15"/>
      <c r="I42" s="15"/>
      <c r="J42" s="15"/>
      <c r="K42" s="15"/>
      <c r="L42" s="15"/>
      <c r="M42" s="15"/>
      <c r="N42" s="15"/>
      <c r="O42" s="15"/>
      <c r="P42" s="15"/>
      <c r="Q42" s="15"/>
      <c r="R42" s="15"/>
      <c r="S42" s="15"/>
      <c r="T42" s="15"/>
      <c r="U42" s="15"/>
      <c r="V42" s="15"/>
      <c r="W42" s="15"/>
      <c r="X42" s="15"/>
      <c r="Y42" s="15"/>
      <c r="Z42" s="16"/>
    </row>
    <row r="43">
      <c r="A43" s="18"/>
      <c r="B43" s="15"/>
      <c r="C43" s="15"/>
      <c r="D43" s="15"/>
      <c r="E43" s="15"/>
      <c r="F43" s="15"/>
      <c r="G43" s="15"/>
      <c r="H43" s="15"/>
      <c r="I43" s="15"/>
      <c r="J43" s="15"/>
      <c r="K43" s="15"/>
      <c r="L43" s="15"/>
      <c r="M43" s="15"/>
      <c r="N43" s="15"/>
      <c r="O43" s="15"/>
      <c r="P43" s="15"/>
      <c r="Q43" s="15"/>
      <c r="R43" s="15"/>
      <c r="S43" s="15"/>
      <c r="T43" s="15"/>
      <c r="U43" s="15"/>
      <c r="V43" s="15"/>
      <c r="W43" s="15"/>
      <c r="X43" s="15"/>
      <c r="Y43" s="15"/>
      <c r="Z43" s="16"/>
    </row>
    <row r="44">
      <c r="A44" s="18"/>
      <c r="B44" s="15"/>
      <c r="C44" s="15"/>
      <c r="D44" s="15"/>
      <c r="E44" s="15"/>
      <c r="F44" s="15"/>
      <c r="G44" s="15"/>
      <c r="H44" s="15"/>
      <c r="I44" s="15"/>
      <c r="J44" s="15"/>
      <c r="K44" s="15"/>
      <c r="L44" s="15"/>
      <c r="M44" s="15"/>
      <c r="N44" s="15"/>
      <c r="O44" s="15"/>
      <c r="P44" s="15"/>
      <c r="Q44" s="15"/>
      <c r="R44" s="15"/>
      <c r="S44" s="15"/>
      <c r="T44" s="15"/>
      <c r="U44" s="15"/>
      <c r="V44" s="15"/>
      <c r="W44" s="15"/>
      <c r="X44" s="15"/>
      <c r="Y44" s="15"/>
      <c r="Z44" s="16"/>
    </row>
    <row r="45">
      <c r="A45" s="18"/>
      <c r="B45" s="15"/>
      <c r="C45" s="15"/>
      <c r="D45" s="15"/>
      <c r="E45" s="15"/>
      <c r="F45" s="15"/>
      <c r="G45" s="15"/>
      <c r="H45" s="15"/>
      <c r="I45" s="15"/>
      <c r="J45" s="15"/>
      <c r="K45" s="15"/>
      <c r="L45" s="15"/>
      <c r="M45" s="15"/>
      <c r="N45" s="15"/>
      <c r="O45" s="15"/>
      <c r="P45" s="15"/>
      <c r="Q45" s="15"/>
      <c r="R45" s="15"/>
      <c r="S45" s="15"/>
      <c r="T45" s="15"/>
      <c r="U45" s="15"/>
      <c r="V45" s="15"/>
      <c r="W45" s="15"/>
      <c r="X45" s="15"/>
      <c r="Y45" s="15"/>
      <c r="Z45" s="16"/>
    </row>
    <row r="46">
      <c r="A46" s="18"/>
      <c r="B46" s="15"/>
      <c r="C46" s="15"/>
      <c r="D46" s="15"/>
      <c r="E46" s="15"/>
      <c r="F46" s="15"/>
      <c r="G46" s="15"/>
      <c r="H46" s="15"/>
      <c r="I46" s="15"/>
      <c r="J46" s="15"/>
      <c r="K46" s="15"/>
      <c r="L46" s="15"/>
      <c r="M46" s="15"/>
      <c r="N46" s="15"/>
      <c r="O46" s="15"/>
      <c r="P46" s="15"/>
      <c r="Q46" s="15"/>
      <c r="R46" s="15"/>
      <c r="S46" s="15"/>
      <c r="T46" s="15"/>
      <c r="U46" s="15"/>
      <c r="V46" s="15"/>
      <c r="W46" s="15"/>
      <c r="X46" s="15"/>
      <c r="Y46" s="15"/>
      <c r="Z46" s="16"/>
    </row>
    <row r="47">
      <c r="A47" s="18"/>
      <c r="B47" s="15"/>
      <c r="C47" s="15"/>
      <c r="D47" s="15"/>
      <c r="E47" s="15"/>
      <c r="F47" s="15"/>
      <c r="G47" s="15"/>
      <c r="H47" s="15"/>
      <c r="I47" s="15"/>
      <c r="J47" s="15"/>
      <c r="K47" s="15"/>
      <c r="L47" s="15"/>
      <c r="M47" s="15"/>
      <c r="N47" s="15"/>
      <c r="O47" s="15"/>
      <c r="P47" s="15"/>
      <c r="Q47" s="15"/>
      <c r="R47" s="15"/>
      <c r="S47" s="15"/>
      <c r="T47" s="15"/>
      <c r="U47" s="15"/>
      <c r="V47" s="15"/>
      <c r="W47" s="15"/>
      <c r="X47" s="15"/>
      <c r="Y47" s="15"/>
      <c r="Z47" s="16"/>
    </row>
    <row r="48">
      <c r="A48" s="18"/>
      <c r="B48" s="15"/>
      <c r="C48" s="15"/>
      <c r="D48" s="15"/>
      <c r="E48" s="15"/>
      <c r="F48" s="15"/>
      <c r="G48" s="15"/>
      <c r="H48" s="15"/>
      <c r="I48" s="15"/>
      <c r="J48" s="15"/>
      <c r="K48" s="15"/>
      <c r="L48" s="15"/>
      <c r="M48" s="15"/>
      <c r="N48" s="15"/>
      <c r="O48" s="15"/>
      <c r="P48" s="15"/>
      <c r="Q48" s="15"/>
      <c r="R48" s="15"/>
      <c r="S48" s="15"/>
      <c r="T48" s="15"/>
      <c r="U48" s="15"/>
      <c r="V48" s="15"/>
      <c r="W48" s="15"/>
      <c r="X48" s="15"/>
      <c r="Y48" s="15"/>
      <c r="Z48" s="16"/>
    </row>
    <row r="49">
      <c r="A49" s="18"/>
      <c r="B49" s="15"/>
      <c r="C49" s="15"/>
      <c r="D49" s="15"/>
      <c r="E49" s="15"/>
      <c r="F49" s="15"/>
      <c r="G49" s="15"/>
      <c r="H49" s="15"/>
      <c r="I49" s="15"/>
      <c r="J49" s="15"/>
      <c r="K49" s="15"/>
      <c r="L49" s="15"/>
      <c r="M49" s="15"/>
      <c r="N49" s="15"/>
      <c r="O49" s="15"/>
      <c r="P49" s="15"/>
      <c r="Q49" s="15"/>
      <c r="R49" s="15"/>
      <c r="S49" s="15"/>
      <c r="T49" s="15"/>
      <c r="U49" s="15"/>
      <c r="V49" s="15"/>
      <c r="W49" s="15"/>
      <c r="X49" s="15"/>
      <c r="Y49" s="15"/>
      <c r="Z49" s="16"/>
    </row>
    <row r="50">
      <c r="A50" s="18"/>
      <c r="B50" s="15"/>
      <c r="C50" s="15"/>
      <c r="D50" s="15"/>
      <c r="E50" s="15"/>
      <c r="F50" s="15"/>
      <c r="G50" s="15"/>
      <c r="H50" s="15"/>
      <c r="I50" s="15"/>
      <c r="J50" s="15"/>
      <c r="K50" s="15"/>
      <c r="L50" s="15"/>
      <c r="M50" s="15"/>
      <c r="N50" s="15"/>
      <c r="O50" s="15"/>
      <c r="P50" s="15"/>
      <c r="Q50" s="15"/>
      <c r="R50" s="15"/>
      <c r="S50" s="15"/>
      <c r="T50" s="15"/>
      <c r="U50" s="15"/>
      <c r="V50" s="15"/>
      <c r="W50" s="15"/>
      <c r="X50" s="15"/>
      <c r="Y50" s="15"/>
      <c r="Z50" s="16"/>
    </row>
    <row r="51">
      <c r="A51" s="18"/>
      <c r="B51" s="15"/>
      <c r="C51" s="15"/>
      <c r="D51" s="15"/>
      <c r="E51" s="15"/>
      <c r="F51" s="15"/>
      <c r="G51" s="15"/>
      <c r="H51" s="15"/>
      <c r="I51" s="15"/>
      <c r="J51" s="15"/>
      <c r="K51" s="15"/>
      <c r="L51" s="15"/>
      <c r="M51" s="15"/>
      <c r="N51" s="15"/>
      <c r="O51" s="15"/>
      <c r="P51" s="15"/>
      <c r="Q51" s="15"/>
      <c r="R51" s="15"/>
      <c r="S51" s="15"/>
      <c r="T51" s="15"/>
      <c r="U51" s="15"/>
      <c r="V51" s="15"/>
      <c r="W51" s="15"/>
      <c r="X51" s="15"/>
      <c r="Y51" s="15"/>
      <c r="Z51" s="16"/>
    </row>
    <row r="52">
      <c r="A52" s="18"/>
      <c r="B52" s="15"/>
      <c r="C52" s="15"/>
      <c r="D52" s="15"/>
      <c r="E52" s="15"/>
      <c r="F52" s="15"/>
      <c r="G52" s="15"/>
      <c r="H52" s="15"/>
      <c r="I52" s="15"/>
      <c r="J52" s="15"/>
      <c r="K52" s="15"/>
      <c r="L52" s="15"/>
      <c r="M52" s="15"/>
      <c r="N52" s="15"/>
      <c r="O52" s="15"/>
      <c r="P52" s="15"/>
      <c r="Q52" s="15"/>
      <c r="R52" s="15"/>
      <c r="S52" s="15"/>
      <c r="T52" s="15"/>
      <c r="U52" s="15"/>
      <c r="V52" s="15"/>
      <c r="W52" s="15"/>
      <c r="X52" s="15"/>
      <c r="Y52" s="15"/>
      <c r="Z52" s="16"/>
    </row>
    <row r="53">
      <c r="A53" s="18"/>
      <c r="B53" s="15"/>
      <c r="C53" s="15"/>
      <c r="D53" s="15"/>
      <c r="E53" s="15"/>
      <c r="F53" s="15"/>
      <c r="G53" s="15"/>
      <c r="H53" s="15"/>
      <c r="I53" s="15"/>
      <c r="J53" s="15"/>
      <c r="K53" s="15"/>
      <c r="L53" s="15"/>
      <c r="M53" s="15"/>
      <c r="N53" s="15"/>
      <c r="O53" s="15"/>
      <c r="P53" s="15"/>
      <c r="Q53" s="15"/>
      <c r="R53" s="15"/>
      <c r="S53" s="15"/>
      <c r="T53" s="15"/>
      <c r="U53" s="15"/>
      <c r="V53" s="15"/>
      <c r="W53" s="15"/>
      <c r="X53" s="15"/>
      <c r="Y53" s="15"/>
      <c r="Z53" s="16"/>
    </row>
    <row r="54">
      <c r="A54" s="18"/>
      <c r="B54" s="15"/>
      <c r="C54" s="15"/>
      <c r="D54" s="15"/>
      <c r="E54" s="15"/>
      <c r="F54" s="15"/>
      <c r="G54" s="15"/>
      <c r="H54" s="15"/>
      <c r="I54" s="15"/>
      <c r="J54" s="15"/>
      <c r="K54" s="15"/>
      <c r="L54" s="15"/>
      <c r="M54" s="15"/>
      <c r="N54" s="15"/>
      <c r="O54" s="15"/>
      <c r="P54" s="15"/>
      <c r="Q54" s="15"/>
      <c r="R54" s="15"/>
      <c r="S54" s="15"/>
      <c r="T54" s="15"/>
      <c r="U54" s="15"/>
      <c r="V54" s="15"/>
      <c r="W54" s="15"/>
      <c r="X54" s="15"/>
      <c r="Y54" s="15"/>
      <c r="Z54" s="16"/>
    </row>
    <row r="55">
      <c r="A55" s="18"/>
      <c r="B55" s="15"/>
      <c r="C55" s="15"/>
      <c r="D55" s="15"/>
      <c r="E55" s="15"/>
      <c r="F55" s="15"/>
      <c r="G55" s="15"/>
      <c r="H55" s="15"/>
      <c r="I55" s="15"/>
      <c r="J55" s="15"/>
      <c r="K55" s="15"/>
      <c r="L55" s="15"/>
      <c r="M55" s="15"/>
      <c r="N55" s="15"/>
      <c r="O55" s="15"/>
      <c r="P55" s="15"/>
      <c r="Q55" s="15"/>
      <c r="R55" s="15"/>
      <c r="S55" s="15"/>
      <c r="T55" s="15"/>
      <c r="U55" s="15"/>
      <c r="V55" s="15"/>
      <c r="W55" s="15"/>
      <c r="X55" s="15"/>
      <c r="Y55" s="15"/>
      <c r="Z55" s="16"/>
    </row>
    <row r="56">
      <c r="A56" s="18"/>
      <c r="B56" s="15"/>
      <c r="C56" s="15"/>
      <c r="D56" s="15"/>
      <c r="E56" s="15"/>
      <c r="F56" s="15"/>
      <c r="G56" s="15"/>
      <c r="H56" s="15"/>
      <c r="I56" s="15"/>
      <c r="J56" s="15"/>
      <c r="K56" s="15"/>
      <c r="L56" s="15"/>
      <c r="M56" s="15"/>
      <c r="N56" s="15"/>
      <c r="O56" s="15"/>
      <c r="P56" s="15"/>
      <c r="Q56" s="15"/>
      <c r="R56" s="15"/>
      <c r="S56" s="15"/>
      <c r="T56" s="15"/>
      <c r="U56" s="15"/>
      <c r="V56" s="15"/>
      <c r="W56" s="15"/>
      <c r="X56" s="15"/>
      <c r="Y56" s="15"/>
      <c r="Z56" s="16"/>
    </row>
    <row r="57">
      <c r="A57" s="18"/>
      <c r="B57" s="15"/>
      <c r="C57" s="15"/>
      <c r="D57" s="15"/>
      <c r="E57" s="15"/>
      <c r="F57" s="15"/>
      <c r="G57" s="15"/>
      <c r="H57" s="15"/>
      <c r="I57" s="15"/>
      <c r="J57" s="15"/>
      <c r="K57" s="15"/>
      <c r="L57" s="15"/>
      <c r="M57" s="15"/>
      <c r="N57" s="15"/>
      <c r="O57" s="15"/>
      <c r="P57" s="15"/>
      <c r="Q57" s="15"/>
      <c r="R57" s="15"/>
      <c r="S57" s="15"/>
      <c r="T57" s="15"/>
      <c r="U57" s="15"/>
      <c r="V57" s="15"/>
      <c r="W57" s="15"/>
      <c r="X57" s="15"/>
      <c r="Y57" s="15"/>
      <c r="Z57" s="16"/>
    </row>
    <row r="58">
      <c r="A58" s="18"/>
      <c r="B58" s="15"/>
      <c r="C58" s="15"/>
      <c r="D58" s="15"/>
      <c r="E58" s="15"/>
      <c r="F58" s="15"/>
      <c r="G58" s="15"/>
      <c r="H58" s="15"/>
      <c r="I58" s="15"/>
      <c r="J58" s="15"/>
      <c r="K58" s="15"/>
      <c r="L58" s="15"/>
      <c r="M58" s="15"/>
      <c r="N58" s="15"/>
      <c r="O58" s="15"/>
      <c r="P58" s="15"/>
      <c r="Q58" s="15"/>
      <c r="R58" s="15"/>
      <c r="S58" s="15"/>
      <c r="T58" s="15"/>
      <c r="U58" s="15"/>
      <c r="V58" s="15"/>
      <c r="W58" s="15"/>
      <c r="X58" s="15"/>
      <c r="Y58" s="15"/>
      <c r="Z58" s="16"/>
    </row>
    <row r="59">
      <c r="A59" s="18"/>
      <c r="B59" s="15"/>
      <c r="C59" s="15"/>
      <c r="D59" s="15"/>
      <c r="E59" s="15"/>
      <c r="F59" s="15"/>
      <c r="G59" s="15"/>
      <c r="H59" s="15"/>
      <c r="I59" s="15"/>
      <c r="J59" s="15"/>
      <c r="K59" s="15"/>
      <c r="L59" s="15"/>
      <c r="M59" s="15"/>
      <c r="N59" s="15"/>
      <c r="O59" s="15"/>
      <c r="P59" s="15"/>
      <c r="Q59" s="15"/>
      <c r="R59" s="15"/>
      <c r="S59" s="15"/>
      <c r="T59" s="15"/>
      <c r="U59" s="15"/>
      <c r="V59" s="15"/>
      <c r="W59" s="15"/>
      <c r="X59" s="15"/>
      <c r="Y59" s="15"/>
      <c r="Z59" s="16"/>
    </row>
    <row r="60">
      <c r="A60" s="18"/>
      <c r="B60" s="15"/>
      <c r="C60" s="15"/>
      <c r="D60" s="15"/>
      <c r="E60" s="15"/>
      <c r="F60" s="15"/>
      <c r="G60" s="15"/>
      <c r="H60" s="15"/>
      <c r="I60" s="15"/>
      <c r="J60" s="15"/>
      <c r="K60" s="15"/>
      <c r="L60" s="15"/>
      <c r="M60" s="15"/>
      <c r="N60" s="15"/>
      <c r="O60" s="15"/>
      <c r="P60" s="15"/>
      <c r="Q60" s="15"/>
      <c r="R60" s="15"/>
      <c r="S60" s="15"/>
      <c r="T60" s="15"/>
      <c r="U60" s="15"/>
      <c r="V60" s="15"/>
      <c r="W60" s="15"/>
      <c r="X60" s="15"/>
      <c r="Y60" s="15"/>
      <c r="Z60" s="16"/>
    </row>
    <row r="61">
      <c r="A61" s="18"/>
      <c r="B61" s="15"/>
      <c r="C61" s="15"/>
      <c r="D61" s="15"/>
      <c r="E61" s="15"/>
      <c r="F61" s="15"/>
      <c r="G61" s="15"/>
      <c r="H61" s="15"/>
      <c r="I61" s="15"/>
      <c r="J61" s="15"/>
      <c r="K61" s="15"/>
      <c r="L61" s="15"/>
      <c r="M61" s="15"/>
      <c r="N61" s="15"/>
      <c r="O61" s="15"/>
      <c r="P61" s="15"/>
      <c r="Q61" s="15"/>
      <c r="R61" s="15"/>
      <c r="S61" s="15"/>
      <c r="T61" s="15"/>
      <c r="U61" s="15"/>
      <c r="V61" s="15"/>
      <c r="W61" s="15"/>
      <c r="X61" s="15"/>
      <c r="Y61" s="15"/>
      <c r="Z61" s="16"/>
    </row>
    <row r="62">
      <c r="A62" s="18"/>
      <c r="B62" s="15"/>
      <c r="C62" s="15"/>
      <c r="D62" s="15"/>
      <c r="E62" s="15"/>
      <c r="F62" s="15"/>
      <c r="G62" s="15"/>
      <c r="H62" s="15"/>
      <c r="I62" s="15"/>
      <c r="J62" s="15"/>
      <c r="K62" s="15"/>
      <c r="L62" s="15"/>
      <c r="M62" s="15"/>
      <c r="N62" s="15"/>
      <c r="O62" s="15"/>
      <c r="P62" s="15"/>
      <c r="Q62" s="15"/>
      <c r="R62" s="15"/>
      <c r="S62" s="15"/>
      <c r="T62" s="15"/>
      <c r="U62" s="15"/>
      <c r="V62" s="15"/>
      <c r="W62" s="15"/>
      <c r="X62" s="15"/>
      <c r="Y62" s="15"/>
      <c r="Z62" s="16"/>
    </row>
    <row r="63">
      <c r="A63" s="18"/>
      <c r="B63" s="15"/>
      <c r="C63" s="15"/>
      <c r="D63" s="15"/>
      <c r="E63" s="15"/>
      <c r="F63" s="15"/>
      <c r="G63" s="15"/>
      <c r="H63" s="15"/>
      <c r="I63" s="15"/>
      <c r="J63" s="15"/>
      <c r="K63" s="15"/>
      <c r="L63" s="15"/>
      <c r="M63" s="15"/>
      <c r="N63" s="15"/>
      <c r="O63" s="15"/>
      <c r="P63" s="15"/>
      <c r="Q63" s="15"/>
      <c r="R63" s="15"/>
      <c r="S63" s="15"/>
      <c r="T63" s="15"/>
      <c r="U63" s="15"/>
      <c r="V63" s="15"/>
      <c r="W63" s="15"/>
      <c r="X63" s="15"/>
      <c r="Y63" s="15"/>
      <c r="Z63" s="16"/>
    </row>
    <row r="64">
      <c r="A64" s="18"/>
      <c r="B64" s="15"/>
      <c r="C64" s="15"/>
      <c r="D64" s="15"/>
      <c r="E64" s="15"/>
      <c r="F64" s="15"/>
      <c r="G64" s="15"/>
      <c r="H64" s="15"/>
      <c r="I64" s="15"/>
      <c r="J64" s="15"/>
      <c r="K64" s="15"/>
      <c r="L64" s="15"/>
      <c r="M64" s="15"/>
      <c r="N64" s="15"/>
      <c r="O64" s="15"/>
      <c r="P64" s="15"/>
      <c r="Q64" s="15"/>
      <c r="R64" s="15"/>
      <c r="S64" s="15"/>
      <c r="T64" s="15"/>
      <c r="U64" s="15"/>
      <c r="V64" s="15"/>
      <c r="W64" s="15"/>
      <c r="X64" s="15"/>
      <c r="Y64" s="15"/>
      <c r="Z64" s="16"/>
    </row>
    <row r="65">
      <c r="A65" s="18"/>
      <c r="B65" s="15"/>
      <c r="C65" s="15"/>
      <c r="D65" s="15"/>
      <c r="E65" s="15"/>
      <c r="F65" s="15"/>
      <c r="G65" s="15"/>
      <c r="H65" s="15"/>
      <c r="I65" s="15"/>
      <c r="J65" s="15"/>
      <c r="K65" s="15"/>
      <c r="L65" s="15"/>
      <c r="M65" s="15"/>
      <c r="N65" s="15"/>
      <c r="O65" s="15"/>
      <c r="P65" s="15"/>
      <c r="Q65" s="15"/>
      <c r="R65" s="15"/>
      <c r="S65" s="15"/>
      <c r="T65" s="15"/>
      <c r="U65" s="15"/>
      <c r="V65" s="15"/>
      <c r="W65" s="15"/>
      <c r="X65" s="15"/>
      <c r="Y65" s="15"/>
      <c r="Z65" s="16"/>
    </row>
    <row r="66">
      <c r="A66" s="18"/>
      <c r="B66" s="15"/>
      <c r="C66" s="15"/>
      <c r="D66" s="15"/>
      <c r="E66" s="15"/>
      <c r="F66" s="15"/>
      <c r="G66" s="15"/>
      <c r="H66" s="15"/>
      <c r="I66" s="15"/>
      <c r="J66" s="15"/>
      <c r="K66" s="15"/>
      <c r="L66" s="15"/>
      <c r="M66" s="15"/>
      <c r="N66" s="15"/>
      <c r="O66" s="15"/>
      <c r="P66" s="15"/>
      <c r="Q66" s="15"/>
      <c r="R66" s="15"/>
      <c r="S66" s="15"/>
      <c r="T66" s="15"/>
      <c r="U66" s="15"/>
      <c r="V66" s="15"/>
      <c r="W66" s="15"/>
      <c r="X66" s="15"/>
      <c r="Y66" s="15"/>
      <c r="Z66" s="16"/>
    </row>
    <row r="67">
      <c r="A67" s="18"/>
      <c r="B67" s="15"/>
      <c r="C67" s="15"/>
      <c r="D67" s="15"/>
      <c r="E67" s="15"/>
      <c r="F67" s="15"/>
      <c r="G67" s="15"/>
      <c r="H67" s="15"/>
      <c r="I67" s="15"/>
      <c r="J67" s="15"/>
      <c r="K67" s="15"/>
      <c r="L67" s="15"/>
      <c r="M67" s="15"/>
      <c r="N67" s="15"/>
      <c r="O67" s="15"/>
      <c r="P67" s="15"/>
      <c r="Q67" s="15"/>
      <c r="R67" s="15"/>
      <c r="S67" s="15"/>
      <c r="T67" s="15"/>
      <c r="U67" s="15"/>
      <c r="V67" s="15"/>
      <c r="W67" s="15"/>
      <c r="X67" s="15"/>
      <c r="Y67" s="15"/>
      <c r="Z67" s="16"/>
    </row>
    <row r="68">
      <c r="A68" s="18"/>
      <c r="B68" s="15"/>
      <c r="C68" s="15"/>
      <c r="D68" s="15"/>
      <c r="E68" s="15"/>
      <c r="F68" s="15"/>
      <c r="G68" s="15"/>
      <c r="H68" s="15"/>
      <c r="I68" s="15"/>
      <c r="J68" s="15"/>
      <c r="K68" s="15"/>
      <c r="L68" s="15"/>
      <c r="M68" s="15"/>
      <c r="N68" s="15"/>
      <c r="O68" s="15"/>
      <c r="P68" s="15"/>
      <c r="Q68" s="15"/>
      <c r="R68" s="15"/>
      <c r="S68" s="15"/>
      <c r="T68" s="15"/>
      <c r="U68" s="15"/>
      <c r="V68" s="15"/>
      <c r="W68" s="15"/>
      <c r="X68" s="15"/>
      <c r="Y68" s="15"/>
      <c r="Z68" s="16"/>
    </row>
    <row r="69">
      <c r="A69" s="18"/>
      <c r="B69" s="15"/>
      <c r="C69" s="15"/>
      <c r="D69" s="15"/>
      <c r="E69" s="15"/>
      <c r="F69" s="15"/>
      <c r="G69" s="15"/>
      <c r="H69" s="15"/>
      <c r="I69" s="15"/>
      <c r="J69" s="15"/>
      <c r="K69" s="15"/>
      <c r="L69" s="15"/>
      <c r="M69" s="15"/>
      <c r="N69" s="15"/>
      <c r="O69" s="15"/>
      <c r="P69" s="15"/>
      <c r="Q69" s="15"/>
      <c r="R69" s="15"/>
      <c r="S69" s="15"/>
      <c r="T69" s="15"/>
      <c r="U69" s="15"/>
      <c r="V69" s="15"/>
      <c r="W69" s="15"/>
      <c r="X69" s="15"/>
      <c r="Y69" s="15"/>
      <c r="Z69" s="16"/>
    </row>
    <row r="70">
      <c r="A70" s="18"/>
      <c r="B70" s="15"/>
      <c r="C70" s="15"/>
      <c r="D70" s="15"/>
      <c r="E70" s="15"/>
      <c r="F70" s="15"/>
      <c r="G70" s="15"/>
      <c r="H70" s="15"/>
      <c r="I70" s="15"/>
      <c r="J70" s="15"/>
      <c r="K70" s="15"/>
      <c r="L70" s="15"/>
      <c r="M70" s="15"/>
      <c r="N70" s="15"/>
      <c r="O70" s="15"/>
      <c r="P70" s="15"/>
      <c r="Q70" s="15"/>
      <c r="R70" s="15"/>
      <c r="S70" s="15"/>
      <c r="T70" s="15"/>
      <c r="U70" s="15"/>
      <c r="V70" s="15"/>
      <c r="W70" s="15"/>
      <c r="X70" s="15"/>
      <c r="Y70" s="15"/>
      <c r="Z70" s="16"/>
    </row>
    <row r="71">
      <c r="A71" s="18"/>
      <c r="B71" s="15"/>
      <c r="C71" s="15"/>
      <c r="D71" s="15"/>
      <c r="E71" s="15"/>
      <c r="F71" s="15"/>
      <c r="G71" s="15"/>
      <c r="H71" s="15"/>
      <c r="I71" s="15"/>
      <c r="J71" s="15"/>
      <c r="K71" s="15"/>
      <c r="L71" s="15"/>
      <c r="M71" s="15"/>
      <c r="N71" s="15"/>
      <c r="O71" s="15"/>
      <c r="P71" s="15"/>
      <c r="Q71" s="15"/>
      <c r="R71" s="15"/>
      <c r="S71" s="15"/>
      <c r="T71" s="15"/>
      <c r="U71" s="15"/>
      <c r="V71" s="15"/>
      <c r="W71" s="15"/>
      <c r="X71" s="15"/>
      <c r="Y71" s="15"/>
      <c r="Z71" s="16"/>
    </row>
    <row r="72">
      <c r="A72" s="18"/>
      <c r="B72" s="15"/>
      <c r="C72" s="15"/>
      <c r="D72" s="15"/>
      <c r="E72" s="15"/>
      <c r="F72" s="15"/>
      <c r="G72" s="15"/>
      <c r="H72" s="15"/>
      <c r="I72" s="15"/>
      <c r="J72" s="15"/>
      <c r="K72" s="15"/>
      <c r="L72" s="15"/>
      <c r="M72" s="15"/>
      <c r="N72" s="15"/>
      <c r="O72" s="15"/>
      <c r="P72" s="15"/>
      <c r="Q72" s="15"/>
      <c r="R72" s="15"/>
      <c r="S72" s="15"/>
      <c r="T72" s="15"/>
      <c r="U72" s="15"/>
      <c r="V72" s="15"/>
      <c r="W72" s="15"/>
      <c r="X72" s="15"/>
      <c r="Y72" s="15"/>
      <c r="Z72" s="16"/>
    </row>
    <row r="73">
      <c r="A73" s="18"/>
      <c r="B73" s="15"/>
      <c r="C73" s="15"/>
      <c r="D73" s="15"/>
      <c r="E73" s="15"/>
      <c r="F73" s="15"/>
      <c r="G73" s="15"/>
      <c r="H73" s="15"/>
      <c r="I73" s="15"/>
      <c r="J73" s="15"/>
      <c r="K73" s="15"/>
      <c r="L73" s="15"/>
      <c r="M73" s="15"/>
      <c r="N73" s="15"/>
      <c r="O73" s="15"/>
      <c r="P73" s="15"/>
      <c r="Q73" s="15"/>
      <c r="R73" s="15"/>
      <c r="S73" s="15"/>
      <c r="T73" s="15"/>
      <c r="U73" s="15"/>
      <c r="V73" s="15"/>
      <c r="W73" s="15"/>
      <c r="X73" s="15"/>
      <c r="Y73" s="15"/>
      <c r="Z73" s="16"/>
    </row>
    <row r="74">
      <c r="A74" s="18"/>
      <c r="B74" s="15"/>
      <c r="C74" s="15"/>
      <c r="D74" s="15"/>
      <c r="E74" s="15"/>
      <c r="F74" s="15"/>
      <c r="G74" s="15"/>
      <c r="H74" s="15"/>
      <c r="I74" s="15"/>
      <c r="J74" s="15"/>
      <c r="K74" s="15"/>
      <c r="L74" s="15"/>
      <c r="M74" s="15"/>
      <c r="N74" s="15"/>
      <c r="O74" s="15"/>
      <c r="P74" s="15"/>
      <c r="Q74" s="15"/>
      <c r="R74" s="15"/>
      <c r="S74" s="15"/>
      <c r="T74" s="15"/>
      <c r="U74" s="15"/>
      <c r="V74" s="15"/>
      <c r="W74" s="15"/>
      <c r="X74" s="15"/>
      <c r="Y74" s="15"/>
      <c r="Z74" s="16"/>
    </row>
    <row r="75">
      <c r="A75" s="18"/>
      <c r="B75" s="15"/>
      <c r="C75" s="15"/>
      <c r="D75" s="15"/>
      <c r="E75" s="15"/>
      <c r="F75" s="15"/>
      <c r="G75" s="15"/>
      <c r="H75" s="15"/>
      <c r="I75" s="15"/>
      <c r="J75" s="15"/>
      <c r="K75" s="15"/>
      <c r="L75" s="15"/>
      <c r="M75" s="15"/>
      <c r="N75" s="15"/>
      <c r="O75" s="15"/>
      <c r="P75" s="15"/>
      <c r="Q75" s="15"/>
      <c r="R75" s="15"/>
      <c r="S75" s="15"/>
      <c r="T75" s="15"/>
      <c r="U75" s="15"/>
      <c r="V75" s="15"/>
      <c r="W75" s="15"/>
      <c r="X75" s="15"/>
      <c r="Y75" s="15"/>
      <c r="Z75" s="16"/>
    </row>
    <row r="76">
      <c r="A76" s="18"/>
      <c r="B76" s="15"/>
      <c r="C76" s="15"/>
      <c r="D76" s="15"/>
      <c r="E76" s="15"/>
      <c r="F76" s="15"/>
      <c r="G76" s="15"/>
      <c r="H76" s="15"/>
      <c r="I76" s="15"/>
      <c r="J76" s="15"/>
      <c r="K76" s="15"/>
      <c r="L76" s="15"/>
      <c r="M76" s="15"/>
      <c r="N76" s="15"/>
      <c r="O76" s="15"/>
      <c r="P76" s="15"/>
      <c r="Q76" s="15"/>
      <c r="R76" s="15"/>
      <c r="S76" s="15"/>
      <c r="T76" s="15"/>
      <c r="U76" s="15"/>
      <c r="V76" s="15"/>
      <c r="W76" s="15"/>
      <c r="X76" s="15"/>
      <c r="Y76" s="15"/>
      <c r="Z76" s="16"/>
    </row>
    <row r="77">
      <c r="A77" s="18"/>
      <c r="B77" s="15"/>
      <c r="C77" s="15"/>
      <c r="D77" s="15"/>
      <c r="E77" s="15"/>
      <c r="F77" s="15"/>
      <c r="G77" s="15"/>
      <c r="H77" s="15"/>
      <c r="I77" s="15"/>
      <c r="J77" s="15"/>
      <c r="K77" s="15"/>
      <c r="L77" s="15"/>
      <c r="M77" s="15"/>
      <c r="N77" s="15"/>
      <c r="O77" s="15"/>
      <c r="P77" s="15"/>
      <c r="Q77" s="15"/>
      <c r="R77" s="15"/>
      <c r="S77" s="15"/>
      <c r="T77" s="15"/>
      <c r="U77" s="15"/>
      <c r="V77" s="15"/>
      <c r="W77" s="15"/>
      <c r="X77" s="15"/>
      <c r="Y77" s="15"/>
      <c r="Z77" s="16"/>
    </row>
    <row r="78">
      <c r="A78" s="18"/>
      <c r="B78" s="15"/>
      <c r="C78" s="15"/>
      <c r="D78" s="15"/>
      <c r="E78" s="15"/>
      <c r="F78" s="15"/>
      <c r="G78" s="15"/>
      <c r="H78" s="15"/>
      <c r="I78" s="15"/>
      <c r="J78" s="15"/>
      <c r="K78" s="15"/>
      <c r="L78" s="15"/>
      <c r="M78" s="15"/>
      <c r="N78" s="15"/>
      <c r="O78" s="15"/>
      <c r="P78" s="15"/>
      <c r="Q78" s="15"/>
      <c r="R78" s="15"/>
      <c r="S78" s="15"/>
      <c r="T78" s="15"/>
      <c r="U78" s="15"/>
      <c r="V78" s="15"/>
      <c r="W78" s="15"/>
      <c r="X78" s="15"/>
      <c r="Y78" s="15"/>
      <c r="Z78" s="16"/>
    </row>
    <row r="79">
      <c r="A79" s="18"/>
      <c r="B79" s="15"/>
      <c r="C79" s="15"/>
      <c r="D79" s="15"/>
      <c r="E79" s="15"/>
      <c r="F79" s="15"/>
      <c r="G79" s="15"/>
      <c r="H79" s="15"/>
      <c r="I79" s="15"/>
      <c r="J79" s="15"/>
      <c r="K79" s="15"/>
      <c r="L79" s="15"/>
      <c r="M79" s="15"/>
      <c r="N79" s="15"/>
      <c r="O79" s="15"/>
      <c r="P79" s="15"/>
      <c r="Q79" s="15"/>
      <c r="R79" s="15"/>
      <c r="S79" s="15"/>
      <c r="T79" s="15"/>
      <c r="U79" s="15"/>
      <c r="V79" s="15"/>
      <c r="W79" s="15"/>
      <c r="X79" s="15"/>
      <c r="Y79" s="15"/>
      <c r="Z79" s="16"/>
    </row>
    <row r="80">
      <c r="A80" s="18"/>
      <c r="B80" s="15"/>
      <c r="C80" s="15"/>
      <c r="D80" s="15"/>
      <c r="E80" s="15"/>
      <c r="F80" s="15"/>
      <c r="G80" s="15"/>
      <c r="H80" s="15"/>
      <c r="I80" s="15"/>
      <c r="J80" s="15"/>
      <c r="K80" s="15"/>
      <c r="L80" s="15"/>
      <c r="M80" s="15"/>
      <c r="N80" s="15"/>
      <c r="O80" s="15"/>
      <c r="P80" s="15"/>
      <c r="Q80" s="15"/>
      <c r="R80" s="15"/>
      <c r="S80" s="15"/>
      <c r="T80" s="15"/>
      <c r="U80" s="15"/>
      <c r="V80" s="15"/>
      <c r="W80" s="15"/>
      <c r="X80" s="15"/>
      <c r="Y80" s="15"/>
      <c r="Z80" s="16"/>
    </row>
    <row r="81">
      <c r="A81" s="18"/>
      <c r="B81" s="15"/>
      <c r="C81" s="15"/>
      <c r="D81" s="15"/>
      <c r="E81" s="15"/>
      <c r="F81" s="15"/>
      <c r="G81" s="15"/>
      <c r="H81" s="15"/>
      <c r="I81" s="15"/>
      <c r="J81" s="15"/>
      <c r="K81" s="15"/>
      <c r="L81" s="15"/>
      <c r="M81" s="15"/>
      <c r="N81" s="15"/>
      <c r="O81" s="15"/>
      <c r="P81" s="15"/>
      <c r="Q81" s="15"/>
      <c r="R81" s="15"/>
      <c r="S81" s="15"/>
      <c r="T81" s="15"/>
      <c r="U81" s="15"/>
      <c r="V81" s="15"/>
      <c r="W81" s="15"/>
      <c r="X81" s="15"/>
      <c r="Y81" s="15"/>
      <c r="Z81" s="16"/>
    </row>
    <row r="82">
      <c r="A82" s="18"/>
      <c r="B82" s="15"/>
      <c r="C82" s="15"/>
      <c r="D82" s="15"/>
      <c r="E82" s="15"/>
      <c r="F82" s="15"/>
      <c r="G82" s="15"/>
      <c r="H82" s="15"/>
      <c r="I82" s="15"/>
      <c r="J82" s="15"/>
      <c r="K82" s="15"/>
      <c r="L82" s="15"/>
      <c r="M82" s="15"/>
      <c r="N82" s="15"/>
      <c r="O82" s="15"/>
      <c r="P82" s="15"/>
      <c r="Q82" s="15"/>
      <c r="R82" s="15"/>
      <c r="S82" s="15"/>
      <c r="T82" s="15"/>
      <c r="U82" s="15"/>
      <c r="V82" s="15"/>
      <c r="W82" s="15"/>
      <c r="X82" s="15"/>
      <c r="Y82" s="15"/>
      <c r="Z82" s="16"/>
    </row>
    <row r="83">
      <c r="A83" s="18"/>
      <c r="B83" s="15"/>
      <c r="C83" s="15"/>
      <c r="D83" s="15"/>
      <c r="E83" s="15"/>
      <c r="F83" s="15"/>
      <c r="G83" s="15"/>
      <c r="H83" s="15"/>
      <c r="I83" s="15"/>
      <c r="J83" s="15"/>
      <c r="K83" s="15"/>
      <c r="L83" s="15"/>
      <c r="M83" s="15"/>
      <c r="N83" s="15"/>
      <c r="O83" s="15"/>
      <c r="P83" s="15"/>
      <c r="Q83" s="15"/>
      <c r="R83" s="15"/>
      <c r="S83" s="15"/>
      <c r="T83" s="15"/>
      <c r="U83" s="15"/>
      <c r="V83" s="15"/>
      <c r="W83" s="15"/>
      <c r="X83" s="15"/>
      <c r="Y83" s="15"/>
      <c r="Z83" s="16"/>
    </row>
    <row r="84">
      <c r="A84" s="18"/>
      <c r="B84" s="15"/>
      <c r="C84" s="15"/>
      <c r="D84" s="15"/>
      <c r="E84" s="15"/>
      <c r="F84" s="15"/>
      <c r="G84" s="15"/>
      <c r="H84" s="15"/>
      <c r="I84" s="15"/>
      <c r="J84" s="15"/>
      <c r="K84" s="15"/>
      <c r="L84" s="15"/>
      <c r="M84" s="15"/>
      <c r="N84" s="15"/>
      <c r="O84" s="15"/>
      <c r="P84" s="15"/>
      <c r="Q84" s="15"/>
      <c r="R84" s="15"/>
      <c r="S84" s="15"/>
      <c r="T84" s="15"/>
      <c r="U84" s="15"/>
      <c r="V84" s="15"/>
      <c r="W84" s="15"/>
      <c r="X84" s="15"/>
      <c r="Y84" s="15"/>
      <c r="Z84" s="16"/>
    </row>
    <row r="85">
      <c r="A85" s="18"/>
      <c r="B85" s="15"/>
      <c r="C85" s="15"/>
      <c r="D85" s="15"/>
      <c r="E85" s="15"/>
      <c r="F85" s="15"/>
      <c r="G85" s="15"/>
      <c r="H85" s="15"/>
      <c r="I85" s="15"/>
      <c r="J85" s="15"/>
      <c r="K85" s="15"/>
      <c r="L85" s="15"/>
      <c r="M85" s="15"/>
      <c r="N85" s="15"/>
      <c r="O85" s="15"/>
      <c r="P85" s="15"/>
      <c r="Q85" s="15"/>
      <c r="R85" s="15"/>
      <c r="S85" s="15"/>
      <c r="T85" s="15"/>
      <c r="U85" s="15"/>
      <c r="V85" s="15"/>
      <c r="W85" s="15"/>
      <c r="X85" s="15"/>
      <c r="Y85" s="15"/>
      <c r="Z85" s="16"/>
    </row>
    <row r="86">
      <c r="A86" s="18"/>
      <c r="B86" s="15"/>
      <c r="C86" s="15"/>
      <c r="D86" s="15"/>
      <c r="E86" s="15"/>
      <c r="F86" s="15"/>
      <c r="G86" s="15"/>
      <c r="H86" s="15"/>
      <c r="I86" s="15"/>
      <c r="J86" s="15"/>
      <c r="K86" s="15"/>
      <c r="L86" s="15"/>
      <c r="M86" s="15"/>
      <c r="N86" s="15"/>
      <c r="O86" s="15"/>
      <c r="P86" s="15"/>
      <c r="Q86" s="15"/>
      <c r="R86" s="15"/>
      <c r="S86" s="15"/>
      <c r="T86" s="15"/>
      <c r="U86" s="15"/>
      <c r="V86" s="15"/>
      <c r="W86" s="15"/>
      <c r="X86" s="15"/>
      <c r="Y86" s="15"/>
      <c r="Z86" s="16"/>
    </row>
    <row r="87">
      <c r="A87" s="18"/>
      <c r="B87" s="15"/>
      <c r="C87" s="15"/>
      <c r="D87" s="15"/>
      <c r="E87" s="15"/>
      <c r="F87" s="15"/>
      <c r="G87" s="15"/>
      <c r="H87" s="15"/>
      <c r="I87" s="15"/>
      <c r="J87" s="15"/>
      <c r="K87" s="15"/>
      <c r="L87" s="15"/>
      <c r="M87" s="15"/>
      <c r="N87" s="15"/>
      <c r="O87" s="15"/>
      <c r="P87" s="15"/>
      <c r="Q87" s="15"/>
      <c r="R87" s="15"/>
      <c r="S87" s="15"/>
      <c r="T87" s="15"/>
      <c r="U87" s="15"/>
      <c r="V87" s="15"/>
      <c r="W87" s="15"/>
      <c r="X87" s="15"/>
      <c r="Y87" s="15"/>
      <c r="Z87" s="16"/>
    </row>
    <row r="88">
      <c r="A88" s="18"/>
      <c r="B88" s="15"/>
      <c r="C88" s="15"/>
      <c r="D88" s="15"/>
      <c r="E88" s="15"/>
      <c r="F88" s="15"/>
      <c r="G88" s="15"/>
      <c r="H88" s="15"/>
      <c r="I88" s="15"/>
      <c r="J88" s="15"/>
      <c r="K88" s="15"/>
      <c r="L88" s="15"/>
      <c r="M88" s="15"/>
      <c r="N88" s="15"/>
      <c r="O88" s="15"/>
      <c r="P88" s="15"/>
      <c r="Q88" s="15"/>
      <c r="R88" s="15"/>
      <c r="S88" s="15"/>
      <c r="T88" s="15"/>
      <c r="U88" s="15"/>
      <c r="V88" s="15"/>
      <c r="W88" s="15"/>
      <c r="X88" s="15"/>
      <c r="Y88" s="15"/>
      <c r="Z88" s="16"/>
    </row>
    <row r="89">
      <c r="A89" s="18"/>
      <c r="B89" s="15"/>
      <c r="C89" s="15"/>
      <c r="D89" s="15"/>
      <c r="E89" s="15"/>
      <c r="F89" s="15"/>
      <c r="G89" s="15"/>
      <c r="H89" s="15"/>
      <c r="I89" s="15"/>
      <c r="J89" s="15"/>
      <c r="K89" s="15"/>
      <c r="L89" s="15"/>
      <c r="M89" s="15"/>
      <c r="N89" s="15"/>
      <c r="O89" s="15"/>
      <c r="P89" s="15"/>
      <c r="Q89" s="15"/>
      <c r="R89" s="15"/>
      <c r="S89" s="15"/>
      <c r="T89" s="15"/>
      <c r="U89" s="15"/>
      <c r="V89" s="15"/>
      <c r="W89" s="15"/>
      <c r="X89" s="15"/>
      <c r="Y89" s="15"/>
      <c r="Z89" s="16"/>
    </row>
    <row r="90">
      <c r="A90" s="18"/>
      <c r="B90" s="15"/>
      <c r="C90" s="15"/>
      <c r="D90" s="15"/>
      <c r="E90" s="15"/>
      <c r="F90" s="15"/>
      <c r="G90" s="15"/>
      <c r="H90" s="15"/>
      <c r="I90" s="15"/>
      <c r="J90" s="15"/>
      <c r="K90" s="15"/>
      <c r="L90" s="15"/>
      <c r="M90" s="15"/>
      <c r="N90" s="15"/>
      <c r="O90" s="15"/>
      <c r="P90" s="15"/>
      <c r="Q90" s="15"/>
      <c r="R90" s="15"/>
      <c r="S90" s="15"/>
      <c r="T90" s="15"/>
      <c r="U90" s="15"/>
      <c r="V90" s="15"/>
      <c r="W90" s="15"/>
      <c r="X90" s="15"/>
      <c r="Y90" s="15"/>
      <c r="Z90" s="16"/>
    </row>
    <row r="91">
      <c r="A91" s="18"/>
      <c r="B91" s="15"/>
      <c r="C91" s="15"/>
      <c r="D91" s="15"/>
      <c r="E91" s="15"/>
      <c r="F91" s="15"/>
      <c r="G91" s="15"/>
      <c r="H91" s="15"/>
      <c r="I91" s="15"/>
      <c r="J91" s="15"/>
      <c r="K91" s="15"/>
      <c r="L91" s="15"/>
      <c r="M91" s="15"/>
      <c r="N91" s="15"/>
      <c r="O91" s="15"/>
      <c r="P91" s="15"/>
      <c r="Q91" s="15"/>
      <c r="R91" s="15"/>
      <c r="S91" s="15"/>
      <c r="T91" s="15"/>
      <c r="U91" s="15"/>
      <c r="V91" s="15"/>
      <c r="W91" s="15"/>
      <c r="X91" s="15"/>
      <c r="Y91" s="15"/>
      <c r="Z91" s="16"/>
    </row>
    <row r="92">
      <c r="A92" s="18"/>
      <c r="B92" s="15"/>
      <c r="C92" s="15"/>
      <c r="D92" s="15"/>
      <c r="E92" s="15"/>
      <c r="F92" s="15"/>
      <c r="G92" s="15"/>
      <c r="H92" s="15"/>
      <c r="I92" s="15"/>
      <c r="J92" s="15"/>
      <c r="K92" s="15"/>
      <c r="L92" s="15"/>
      <c r="M92" s="15"/>
      <c r="N92" s="15"/>
      <c r="O92" s="15"/>
      <c r="P92" s="15"/>
      <c r="Q92" s="15"/>
      <c r="R92" s="15"/>
      <c r="S92" s="15"/>
      <c r="T92" s="15"/>
      <c r="U92" s="15"/>
      <c r="V92" s="15"/>
      <c r="W92" s="15"/>
      <c r="X92" s="15"/>
      <c r="Y92" s="15"/>
      <c r="Z92" s="16"/>
    </row>
    <row r="93">
      <c r="A93" s="18"/>
      <c r="B93" s="15"/>
      <c r="C93" s="15"/>
      <c r="D93" s="15"/>
      <c r="E93" s="15"/>
      <c r="F93" s="15"/>
      <c r="G93" s="15"/>
      <c r="H93" s="15"/>
      <c r="I93" s="15"/>
      <c r="J93" s="15"/>
      <c r="K93" s="15"/>
      <c r="L93" s="15"/>
      <c r="M93" s="15"/>
      <c r="N93" s="15"/>
      <c r="O93" s="15"/>
      <c r="P93" s="15"/>
      <c r="Q93" s="15"/>
      <c r="R93" s="15"/>
      <c r="S93" s="15"/>
      <c r="T93" s="15"/>
      <c r="U93" s="15"/>
      <c r="V93" s="15"/>
      <c r="W93" s="15"/>
      <c r="X93" s="15"/>
      <c r="Y93" s="15"/>
      <c r="Z93" s="16"/>
    </row>
    <row r="94">
      <c r="A94" s="18"/>
      <c r="B94" s="15"/>
      <c r="C94" s="15"/>
      <c r="D94" s="15"/>
      <c r="E94" s="15"/>
      <c r="F94" s="15"/>
      <c r="G94" s="15"/>
      <c r="H94" s="15"/>
      <c r="I94" s="15"/>
      <c r="J94" s="15"/>
      <c r="K94" s="15"/>
      <c r="L94" s="15"/>
      <c r="M94" s="15"/>
      <c r="N94" s="15"/>
      <c r="O94" s="15"/>
      <c r="P94" s="15"/>
      <c r="Q94" s="15"/>
      <c r="R94" s="15"/>
      <c r="S94" s="15"/>
      <c r="T94" s="15"/>
      <c r="U94" s="15"/>
      <c r="V94" s="15"/>
      <c r="W94" s="15"/>
      <c r="X94" s="15"/>
      <c r="Y94" s="15"/>
      <c r="Z94" s="16"/>
    </row>
    <row r="95">
      <c r="A95" s="18"/>
      <c r="B95" s="15"/>
      <c r="C95" s="15"/>
      <c r="D95" s="15"/>
      <c r="E95" s="15"/>
      <c r="F95" s="15"/>
      <c r="G95" s="15"/>
      <c r="H95" s="15"/>
      <c r="I95" s="15"/>
      <c r="J95" s="15"/>
      <c r="K95" s="15"/>
      <c r="L95" s="15"/>
      <c r="M95" s="15"/>
      <c r="N95" s="15"/>
      <c r="O95" s="15"/>
      <c r="P95" s="15"/>
      <c r="Q95" s="15"/>
      <c r="R95" s="15"/>
      <c r="S95" s="15"/>
      <c r="T95" s="15"/>
      <c r="U95" s="15"/>
      <c r="V95" s="15"/>
      <c r="W95" s="15"/>
      <c r="X95" s="15"/>
      <c r="Y95" s="15"/>
      <c r="Z95" s="16"/>
    </row>
    <row r="96">
      <c r="A96" s="18"/>
      <c r="B96" s="15"/>
      <c r="C96" s="15"/>
      <c r="D96" s="15"/>
      <c r="E96" s="15"/>
      <c r="F96" s="15"/>
      <c r="G96" s="15"/>
      <c r="H96" s="15"/>
      <c r="I96" s="15"/>
      <c r="J96" s="15"/>
      <c r="K96" s="15"/>
      <c r="L96" s="15"/>
      <c r="M96" s="15"/>
      <c r="N96" s="15"/>
      <c r="O96" s="15"/>
      <c r="P96" s="15"/>
      <c r="Q96" s="15"/>
      <c r="R96" s="15"/>
      <c r="S96" s="15"/>
      <c r="T96" s="15"/>
      <c r="U96" s="15"/>
      <c r="V96" s="15"/>
      <c r="W96" s="15"/>
      <c r="X96" s="15"/>
      <c r="Y96" s="15"/>
      <c r="Z96" s="16"/>
    </row>
    <row r="97">
      <c r="A97" s="18"/>
      <c r="B97" s="15"/>
      <c r="C97" s="15"/>
      <c r="D97" s="15"/>
      <c r="E97" s="15"/>
      <c r="F97" s="15"/>
      <c r="G97" s="15"/>
      <c r="H97" s="15"/>
      <c r="I97" s="15"/>
      <c r="J97" s="15"/>
      <c r="K97" s="15"/>
      <c r="L97" s="15"/>
      <c r="M97" s="15"/>
      <c r="N97" s="15"/>
      <c r="O97" s="15"/>
      <c r="P97" s="15"/>
      <c r="Q97" s="15"/>
      <c r="R97" s="15"/>
      <c r="S97" s="15"/>
      <c r="T97" s="15"/>
      <c r="U97" s="15"/>
      <c r="V97" s="15"/>
      <c r="W97" s="15"/>
      <c r="X97" s="15"/>
      <c r="Y97" s="15"/>
      <c r="Z97" s="16"/>
    </row>
    <row r="98">
      <c r="A98" s="18"/>
      <c r="B98" s="15"/>
      <c r="C98" s="15"/>
      <c r="D98" s="15"/>
      <c r="E98" s="15"/>
      <c r="F98" s="15"/>
      <c r="G98" s="15"/>
      <c r="H98" s="15"/>
      <c r="I98" s="15"/>
      <c r="J98" s="15"/>
      <c r="K98" s="15"/>
      <c r="L98" s="15"/>
      <c r="M98" s="15"/>
      <c r="N98" s="15"/>
      <c r="O98" s="15"/>
      <c r="P98" s="15"/>
      <c r="Q98" s="15"/>
      <c r="R98" s="15"/>
      <c r="S98" s="15"/>
      <c r="T98" s="15"/>
      <c r="U98" s="15"/>
      <c r="V98" s="15"/>
      <c r="W98" s="15"/>
      <c r="X98" s="15"/>
      <c r="Y98" s="15"/>
      <c r="Z98" s="16"/>
    </row>
    <row r="99">
      <c r="A99" s="18"/>
      <c r="B99" s="15"/>
      <c r="C99" s="15"/>
      <c r="D99" s="15"/>
      <c r="E99" s="15"/>
      <c r="F99" s="15"/>
      <c r="G99" s="15"/>
      <c r="H99" s="15"/>
      <c r="I99" s="15"/>
      <c r="J99" s="15"/>
      <c r="K99" s="15"/>
      <c r="L99" s="15"/>
      <c r="M99" s="15"/>
      <c r="N99" s="15"/>
      <c r="O99" s="15"/>
      <c r="P99" s="15"/>
      <c r="Q99" s="15"/>
      <c r="R99" s="15"/>
      <c r="S99" s="15"/>
      <c r="T99" s="15"/>
      <c r="U99" s="15"/>
      <c r="V99" s="15"/>
      <c r="W99" s="15"/>
      <c r="X99" s="15"/>
      <c r="Y99" s="15"/>
      <c r="Z99" s="16"/>
    </row>
    <row r="100">
      <c r="A100" s="18"/>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6"/>
    </row>
    <row r="101">
      <c r="A101" s="18"/>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6"/>
    </row>
    <row r="102">
      <c r="A102" s="18"/>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6"/>
    </row>
    <row r="103">
      <c r="A103" s="18"/>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6"/>
    </row>
    <row r="104">
      <c r="A104" s="18"/>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6"/>
    </row>
    <row r="105">
      <c r="A105" s="18"/>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6"/>
    </row>
    <row r="106">
      <c r="A106" s="18"/>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6"/>
    </row>
    <row r="107">
      <c r="A107" s="18"/>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6"/>
    </row>
    <row r="108">
      <c r="A108" s="18"/>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6"/>
    </row>
    <row r="109">
      <c r="A109" s="18"/>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6"/>
    </row>
    <row r="110">
      <c r="A110" s="18"/>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6"/>
    </row>
    <row r="111">
      <c r="A111" s="18"/>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6"/>
    </row>
    <row r="112">
      <c r="A112" s="18"/>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6"/>
    </row>
    <row r="113">
      <c r="A113" s="18"/>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6"/>
    </row>
    <row r="114">
      <c r="A114" s="18"/>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6"/>
    </row>
    <row r="115">
      <c r="A115" s="18"/>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6"/>
    </row>
    <row r="116">
      <c r="A116" s="18"/>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6"/>
    </row>
    <row r="117">
      <c r="A117" s="18"/>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6"/>
    </row>
    <row r="118">
      <c r="A118" s="18"/>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6"/>
    </row>
    <row r="119">
      <c r="A119" s="18"/>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6"/>
    </row>
    <row r="120">
      <c r="A120" s="18"/>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6"/>
    </row>
    <row r="121">
      <c r="A121" s="18"/>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6"/>
    </row>
    <row r="122">
      <c r="A122" s="18"/>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6"/>
    </row>
    <row r="123">
      <c r="A123" s="18"/>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6"/>
    </row>
    <row r="124">
      <c r="A124" s="18"/>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6"/>
    </row>
    <row r="125">
      <c r="A125" s="18"/>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6"/>
    </row>
    <row r="126">
      <c r="A126" s="18"/>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6"/>
    </row>
    <row r="127">
      <c r="A127" s="18"/>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6"/>
    </row>
    <row r="128">
      <c r="A128" s="18"/>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6"/>
    </row>
    <row r="129">
      <c r="A129" s="18"/>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6"/>
    </row>
    <row r="130">
      <c r="A130" s="18"/>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6"/>
    </row>
    <row r="131">
      <c r="A131" s="18"/>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6"/>
    </row>
    <row r="132">
      <c r="A132" s="18"/>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6"/>
    </row>
    <row r="133">
      <c r="A133" s="18"/>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6"/>
    </row>
    <row r="134">
      <c r="A134" s="18"/>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6"/>
    </row>
    <row r="135">
      <c r="A135" s="18"/>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6"/>
    </row>
    <row r="136">
      <c r="A136" s="18"/>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6"/>
    </row>
    <row r="137">
      <c r="A137" s="18"/>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6"/>
    </row>
    <row r="138">
      <c r="A138" s="18"/>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6"/>
    </row>
    <row r="139">
      <c r="A139" s="18"/>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6"/>
    </row>
    <row r="140">
      <c r="A140" s="18"/>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6"/>
    </row>
    <row r="141">
      <c r="A141" s="18"/>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6"/>
    </row>
    <row r="142">
      <c r="A142" s="18"/>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6"/>
    </row>
    <row r="143">
      <c r="A143" s="18"/>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6"/>
    </row>
    <row r="144">
      <c r="A144" s="18"/>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6"/>
    </row>
    <row r="145">
      <c r="A145" s="18"/>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6"/>
    </row>
    <row r="146">
      <c r="A146" s="18"/>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6"/>
    </row>
    <row r="147">
      <c r="A147" s="18"/>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6"/>
    </row>
    <row r="148">
      <c r="A148" s="18"/>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6"/>
    </row>
    <row r="149">
      <c r="A149" s="18"/>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6"/>
    </row>
    <row r="150">
      <c r="A150" s="18"/>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c r="A151" s="18"/>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6"/>
    </row>
    <row r="152">
      <c r="A152" s="18"/>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6"/>
    </row>
    <row r="153">
      <c r="A153" s="18"/>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6"/>
    </row>
    <row r="154">
      <c r="A154" s="18"/>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6"/>
    </row>
    <row r="155">
      <c r="A155" s="18"/>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6"/>
    </row>
    <row r="156">
      <c r="A156" s="18"/>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6"/>
    </row>
    <row r="157">
      <c r="A157" s="18"/>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6"/>
    </row>
    <row r="158">
      <c r="A158" s="18"/>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6"/>
    </row>
    <row r="159">
      <c r="A159" s="18"/>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6"/>
    </row>
    <row r="160">
      <c r="A160" s="18"/>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6"/>
    </row>
    <row r="161">
      <c r="A161" s="18"/>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6"/>
    </row>
    <row r="162">
      <c r="A162" s="18"/>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6"/>
    </row>
    <row r="163">
      <c r="A163" s="18"/>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6"/>
    </row>
    <row r="164">
      <c r="A164" s="18"/>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6"/>
    </row>
    <row r="165">
      <c r="A165" s="18"/>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6"/>
    </row>
    <row r="166">
      <c r="A166" s="18"/>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6"/>
    </row>
    <row r="167">
      <c r="A167" s="18"/>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6"/>
    </row>
    <row r="168">
      <c r="A168" s="18"/>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6"/>
    </row>
    <row r="169">
      <c r="A169" s="18"/>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6"/>
    </row>
    <row r="170">
      <c r="A170" s="18"/>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6"/>
    </row>
    <row r="171">
      <c r="A171" s="18"/>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6"/>
    </row>
    <row r="172">
      <c r="A172" s="18"/>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6"/>
    </row>
    <row r="173">
      <c r="A173" s="18"/>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6"/>
    </row>
    <row r="174">
      <c r="A174" s="18"/>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6"/>
    </row>
    <row r="175">
      <c r="A175" s="18"/>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6"/>
    </row>
    <row r="176">
      <c r="A176" s="18"/>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6"/>
    </row>
    <row r="177">
      <c r="A177" s="18"/>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6"/>
    </row>
    <row r="178">
      <c r="A178" s="18"/>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6"/>
    </row>
    <row r="179">
      <c r="A179" s="18"/>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6"/>
    </row>
    <row r="180">
      <c r="A180" s="18"/>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6"/>
    </row>
    <row r="181">
      <c r="A181" s="18"/>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6"/>
    </row>
    <row r="182">
      <c r="A182" s="18"/>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6"/>
    </row>
    <row r="183">
      <c r="A183" s="18"/>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6"/>
    </row>
    <row r="184">
      <c r="A184" s="18"/>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6"/>
    </row>
    <row r="185">
      <c r="A185" s="18"/>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6"/>
    </row>
    <row r="186">
      <c r="A186" s="18"/>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6"/>
    </row>
    <row r="187">
      <c r="A187" s="18"/>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6"/>
    </row>
    <row r="188">
      <c r="A188" s="18"/>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6"/>
    </row>
    <row r="189">
      <c r="A189" s="18"/>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6"/>
    </row>
    <row r="190">
      <c r="A190" s="18"/>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6"/>
    </row>
    <row r="191">
      <c r="A191" s="18"/>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6"/>
    </row>
    <row r="192">
      <c r="A192" s="18"/>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6"/>
    </row>
    <row r="193">
      <c r="A193" s="18"/>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6"/>
    </row>
    <row r="194">
      <c r="A194" s="18"/>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6"/>
    </row>
    <row r="195">
      <c r="A195" s="18"/>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6"/>
    </row>
    <row r="196">
      <c r="A196" s="18"/>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6"/>
    </row>
    <row r="197">
      <c r="A197" s="18"/>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6"/>
    </row>
    <row r="198">
      <c r="A198" s="18"/>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6"/>
    </row>
    <row r="199">
      <c r="A199" s="18"/>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6"/>
    </row>
    <row r="200">
      <c r="A200" s="18"/>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6"/>
    </row>
    <row r="201">
      <c r="A201" s="18"/>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6"/>
    </row>
    <row r="202">
      <c r="A202" s="18"/>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6"/>
    </row>
    <row r="203">
      <c r="A203" s="18"/>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6"/>
    </row>
    <row r="204">
      <c r="A204" s="18"/>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6"/>
    </row>
    <row r="205">
      <c r="A205" s="18"/>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6"/>
    </row>
    <row r="206">
      <c r="A206" s="18"/>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6"/>
    </row>
    <row r="207">
      <c r="A207" s="18"/>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6"/>
    </row>
    <row r="208">
      <c r="A208" s="18"/>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6"/>
    </row>
    <row r="209">
      <c r="A209" s="18"/>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6"/>
    </row>
    <row r="210">
      <c r="A210" s="18"/>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6"/>
    </row>
    <row r="211">
      <c r="A211" s="18"/>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6"/>
    </row>
    <row r="212">
      <c r="A212" s="18"/>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6"/>
    </row>
    <row r="213">
      <c r="A213" s="18"/>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6"/>
    </row>
    <row r="214">
      <c r="A214" s="18"/>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6"/>
    </row>
    <row r="215">
      <c r="A215" s="18"/>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6"/>
    </row>
    <row r="216">
      <c r="A216" s="18"/>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6"/>
    </row>
    <row r="217">
      <c r="A217" s="18"/>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6"/>
    </row>
    <row r="218">
      <c r="A218" s="18"/>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6"/>
    </row>
    <row r="219">
      <c r="A219" s="18"/>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6"/>
    </row>
    <row r="220">
      <c r="A220" s="18"/>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6"/>
    </row>
    <row r="221">
      <c r="A221" s="18"/>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6"/>
    </row>
    <row r="222">
      <c r="A222" s="18"/>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6"/>
    </row>
    <row r="223">
      <c r="A223" s="18"/>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6"/>
    </row>
    <row r="224">
      <c r="A224" s="18"/>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6"/>
    </row>
    <row r="225">
      <c r="A225" s="18"/>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6"/>
    </row>
    <row r="226">
      <c r="A226" s="18"/>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6"/>
    </row>
    <row r="227">
      <c r="A227" s="18"/>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6"/>
    </row>
    <row r="228">
      <c r="A228" s="18"/>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6"/>
    </row>
    <row r="229">
      <c r="A229" s="18"/>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6"/>
    </row>
    <row r="230">
      <c r="A230" s="18"/>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6"/>
    </row>
    <row r="231">
      <c r="A231" s="18"/>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6"/>
    </row>
    <row r="232">
      <c r="A232" s="18"/>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6"/>
    </row>
    <row r="233">
      <c r="A233" s="18"/>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6"/>
    </row>
    <row r="234">
      <c r="A234" s="18"/>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6"/>
    </row>
    <row r="235">
      <c r="A235" s="18"/>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6"/>
    </row>
    <row r="236">
      <c r="A236" s="18"/>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6"/>
    </row>
    <row r="237">
      <c r="A237" s="18"/>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6"/>
    </row>
    <row r="238">
      <c r="A238" s="18"/>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6"/>
    </row>
    <row r="239">
      <c r="A239" s="18"/>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6"/>
    </row>
    <row r="240">
      <c r="A240" s="18"/>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6"/>
    </row>
    <row r="241">
      <c r="A241" s="18"/>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6"/>
    </row>
    <row r="242">
      <c r="A242" s="18"/>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6"/>
    </row>
    <row r="243">
      <c r="A243" s="18"/>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6"/>
    </row>
    <row r="244">
      <c r="A244" s="18"/>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6"/>
    </row>
    <row r="245">
      <c r="A245" s="18"/>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6"/>
    </row>
    <row r="246">
      <c r="A246" s="18"/>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6"/>
    </row>
    <row r="247">
      <c r="A247" s="18"/>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6"/>
    </row>
    <row r="248">
      <c r="A248" s="18"/>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6"/>
    </row>
    <row r="249">
      <c r="A249" s="18"/>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6"/>
    </row>
    <row r="250">
      <c r="A250" s="18"/>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6"/>
    </row>
    <row r="251">
      <c r="A251" s="18"/>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6"/>
    </row>
    <row r="252">
      <c r="A252" s="18"/>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6"/>
    </row>
    <row r="253">
      <c r="A253" s="18"/>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6"/>
    </row>
    <row r="254">
      <c r="A254" s="18"/>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6"/>
    </row>
    <row r="255">
      <c r="A255" s="18"/>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6"/>
    </row>
    <row r="256">
      <c r="A256" s="18"/>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6"/>
    </row>
    <row r="257">
      <c r="A257" s="18"/>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6"/>
    </row>
    <row r="258">
      <c r="A258" s="18"/>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6"/>
    </row>
    <row r="259">
      <c r="A259" s="18"/>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6"/>
    </row>
    <row r="260">
      <c r="A260" s="18"/>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6"/>
    </row>
    <row r="261">
      <c r="A261" s="18"/>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6"/>
    </row>
    <row r="262">
      <c r="A262" s="18"/>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6"/>
    </row>
    <row r="263">
      <c r="A263" s="18"/>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6"/>
    </row>
    <row r="264">
      <c r="A264" s="18"/>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6"/>
    </row>
    <row r="265">
      <c r="A265" s="18"/>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6"/>
    </row>
    <row r="266">
      <c r="A266" s="18"/>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6"/>
    </row>
    <row r="267">
      <c r="A267" s="18"/>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6"/>
    </row>
    <row r="268">
      <c r="A268" s="18"/>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6"/>
    </row>
    <row r="269">
      <c r="A269" s="18"/>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6"/>
    </row>
    <row r="270">
      <c r="A270" s="18"/>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6"/>
    </row>
    <row r="271">
      <c r="A271" s="18"/>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6"/>
    </row>
    <row r="272">
      <c r="A272" s="18"/>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6"/>
    </row>
    <row r="273">
      <c r="A273" s="18"/>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6"/>
    </row>
    <row r="274">
      <c r="A274" s="18"/>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6"/>
    </row>
    <row r="275">
      <c r="A275" s="18"/>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6"/>
    </row>
    <row r="276">
      <c r="A276" s="18"/>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6"/>
    </row>
    <row r="277">
      <c r="A277" s="18"/>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6"/>
    </row>
    <row r="278">
      <c r="A278" s="18"/>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6"/>
    </row>
    <row r="279">
      <c r="A279" s="18"/>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6"/>
    </row>
    <row r="280">
      <c r="A280" s="18"/>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6"/>
    </row>
    <row r="281">
      <c r="A281" s="18"/>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6"/>
    </row>
    <row r="282">
      <c r="A282" s="18"/>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6"/>
    </row>
    <row r="283">
      <c r="A283" s="18"/>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6"/>
    </row>
    <row r="284">
      <c r="A284" s="18"/>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6"/>
    </row>
    <row r="285">
      <c r="A285" s="18"/>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6"/>
    </row>
    <row r="286">
      <c r="A286" s="18"/>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6"/>
    </row>
    <row r="287">
      <c r="A287" s="18"/>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6"/>
    </row>
    <row r="288">
      <c r="A288" s="18"/>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6"/>
    </row>
    <row r="289">
      <c r="A289" s="18"/>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6"/>
    </row>
    <row r="290">
      <c r="A290" s="18"/>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6"/>
    </row>
    <row r="291">
      <c r="A291" s="18"/>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6"/>
    </row>
    <row r="292">
      <c r="A292" s="18"/>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6"/>
    </row>
    <row r="293">
      <c r="A293" s="18"/>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6"/>
    </row>
    <row r="294">
      <c r="A294" s="18"/>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6"/>
    </row>
    <row r="295">
      <c r="A295" s="18"/>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6"/>
    </row>
    <row r="296">
      <c r="A296" s="18"/>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6"/>
    </row>
    <row r="297">
      <c r="A297" s="18"/>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6"/>
    </row>
    <row r="298">
      <c r="A298" s="18"/>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6"/>
    </row>
    <row r="299">
      <c r="A299" s="18"/>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6"/>
    </row>
    <row r="300">
      <c r="A300" s="18"/>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6"/>
    </row>
    <row r="301">
      <c r="A301" s="18"/>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6"/>
    </row>
    <row r="302">
      <c r="A302" s="18"/>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6"/>
    </row>
    <row r="303">
      <c r="A303" s="18"/>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6"/>
    </row>
    <row r="304">
      <c r="A304" s="18"/>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6"/>
    </row>
    <row r="305">
      <c r="A305" s="18"/>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6"/>
    </row>
    <row r="306">
      <c r="A306" s="18"/>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6"/>
    </row>
    <row r="307">
      <c r="A307" s="18"/>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6"/>
    </row>
    <row r="308">
      <c r="A308" s="18"/>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6"/>
    </row>
    <row r="309">
      <c r="A309" s="18"/>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6"/>
    </row>
    <row r="310">
      <c r="A310" s="18"/>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6"/>
    </row>
    <row r="311">
      <c r="A311" s="18"/>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6"/>
    </row>
    <row r="312">
      <c r="A312" s="18"/>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6"/>
    </row>
    <row r="313">
      <c r="A313" s="18"/>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6"/>
    </row>
    <row r="314">
      <c r="A314" s="18"/>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6"/>
    </row>
    <row r="315">
      <c r="A315" s="18"/>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6"/>
    </row>
    <row r="316">
      <c r="A316" s="18"/>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6"/>
    </row>
    <row r="317">
      <c r="A317" s="18"/>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6"/>
    </row>
    <row r="318">
      <c r="A318" s="18"/>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6"/>
    </row>
    <row r="319">
      <c r="A319" s="18"/>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6"/>
    </row>
    <row r="320">
      <c r="A320" s="18"/>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6"/>
    </row>
    <row r="321">
      <c r="A321" s="18"/>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6"/>
    </row>
    <row r="322">
      <c r="A322" s="18"/>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6"/>
    </row>
    <row r="323">
      <c r="A323" s="18"/>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6"/>
    </row>
    <row r="324">
      <c r="A324" s="18"/>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6"/>
    </row>
    <row r="325">
      <c r="A325" s="18"/>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6"/>
    </row>
    <row r="326">
      <c r="A326" s="18"/>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6"/>
    </row>
    <row r="327">
      <c r="A327" s="18"/>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6"/>
    </row>
    <row r="328">
      <c r="A328" s="18"/>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6"/>
    </row>
    <row r="329">
      <c r="A329" s="18"/>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6"/>
    </row>
    <row r="330">
      <c r="A330" s="18"/>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6"/>
    </row>
    <row r="331">
      <c r="A331" s="18"/>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6"/>
    </row>
    <row r="332">
      <c r="A332" s="18"/>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6"/>
    </row>
    <row r="333">
      <c r="A333" s="18"/>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6"/>
    </row>
    <row r="334">
      <c r="A334" s="18"/>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6"/>
    </row>
    <row r="335">
      <c r="A335" s="18"/>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6"/>
    </row>
    <row r="336">
      <c r="A336" s="18"/>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6"/>
    </row>
    <row r="337">
      <c r="A337" s="18"/>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6"/>
    </row>
    <row r="338">
      <c r="A338" s="18"/>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6"/>
    </row>
    <row r="339">
      <c r="A339" s="18"/>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6"/>
    </row>
    <row r="340">
      <c r="A340" s="18"/>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6"/>
    </row>
    <row r="341">
      <c r="A341" s="18"/>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6"/>
    </row>
    <row r="342">
      <c r="A342" s="18"/>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6"/>
    </row>
    <row r="343">
      <c r="A343" s="18"/>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6"/>
    </row>
    <row r="344">
      <c r="A344" s="18"/>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6"/>
    </row>
    <row r="345">
      <c r="A345" s="18"/>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6"/>
    </row>
    <row r="346">
      <c r="A346" s="18"/>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6"/>
    </row>
    <row r="347">
      <c r="A347" s="18"/>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6"/>
    </row>
    <row r="348">
      <c r="A348" s="18"/>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6"/>
    </row>
    <row r="349">
      <c r="A349" s="18"/>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6"/>
    </row>
    <row r="350">
      <c r="A350" s="18"/>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6"/>
    </row>
    <row r="351">
      <c r="A351" s="18"/>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6"/>
    </row>
    <row r="352">
      <c r="A352" s="18"/>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6"/>
    </row>
    <row r="353">
      <c r="A353" s="18"/>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6"/>
    </row>
    <row r="354">
      <c r="A354" s="18"/>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6"/>
    </row>
    <row r="355">
      <c r="A355" s="18"/>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6"/>
    </row>
    <row r="356">
      <c r="A356" s="18"/>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6"/>
    </row>
    <row r="357">
      <c r="A357" s="18"/>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6"/>
    </row>
    <row r="358">
      <c r="A358" s="18"/>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6"/>
    </row>
    <row r="359">
      <c r="A359" s="18"/>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6"/>
    </row>
    <row r="360">
      <c r="A360" s="18"/>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6"/>
    </row>
    <row r="361">
      <c r="A361" s="18"/>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6"/>
    </row>
    <row r="362">
      <c r="A362" s="18"/>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6"/>
    </row>
    <row r="363">
      <c r="A363" s="18"/>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6"/>
    </row>
    <row r="364">
      <c r="A364" s="18"/>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6"/>
    </row>
    <row r="365">
      <c r="A365" s="18"/>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6"/>
    </row>
    <row r="366">
      <c r="A366" s="18"/>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6"/>
    </row>
    <row r="367">
      <c r="A367" s="18"/>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6"/>
    </row>
    <row r="368">
      <c r="A368" s="18"/>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6"/>
    </row>
    <row r="369">
      <c r="A369" s="18"/>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6"/>
    </row>
    <row r="370">
      <c r="A370" s="18"/>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6"/>
    </row>
    <row r="371">
      <c r="A371" s="18"/>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6"/>
    </row>
    <row r="372">
      <c r="A372" s="18"/>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6"/>
    </row>
    <row r="373">
      <c r="A373" s="18"/>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6"/>
    </row>
    <row r="374">
      <c r="A374" s="18"/>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6"/>
    </row>
    <row r="375">
      <c r="A375" s="18"/>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6"/>
    </row>
    <row r="376">
      <c r="A376" s="18"/>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6"/>
    </row>
    <row r="377">
      <c r="A377" s="18"/>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6"/>
    </row>
    <row r="378">
      <c r="A378" s="18"/>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6"/>
    </row>
    <row r="379">
      <c r="A379" s="18"/>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6"/>
    </row>
    <row r="380">
      <c r="A380" s="18"/>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6"/>
    </row>
    <row r="381">
      <c r="A381" s="18"/>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6"/>
    </row>
    <row r="382">
      <c r="A382" s="18"/>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6"/>
    </row>
    <row r="383">
      <c r="A383" s="18"/>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6"/>
    </row>
    <row r="384">
      <c r="A384" s="18"/>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6"/>
    </row>
    <row r="385">
      <c r="A385" s="18"/>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6"/>
    </row>
    <row r="386">
      <c r="A386" s="18"/>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6"/>
    </row>
    <row r="387">
      <c r="A387" s="18"/>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6"/>
    </row>
    <row r="388">
      <c r="A388" s="18"/>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6"/>
    </row>
    <row r="389">
      <c r="A389" s="18"/>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6"/>
    </row>
    <row r="390">
      <c r="A390" s="18"/>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6"/>
    </row>
    <row r="391">
      <c r="A391" s="18"/>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6"/>
    </row>
    <row r="392">
      <c r="A392" s="18"/>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6"/>
    </row>
    <row r="393">
      <c r="A393" s="18"/>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6"/>
    </row>
    <row r="394">
      <c r="A394" s="18"/>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6"/>
    </row>
    <row r="395">
      <c r="A395" s="18"/>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6"/>
    </row>
    <row r="396">
      <c r="A396" s="18"/>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6"/>
    </row>
    <row r="397">
      <c r="A397" s="18"/>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6"/>
    </row>
    <row r="398">
      <c r="A398" s="18"/>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6"/>
    </row>
    <row r="399">
      <c r="A399" s="18"/>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6"/>
    </row>
    <row r="400">
      <c r="A400" s="18"/>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6"/>
    </row>
    <row r="401">
      <c r="A401" s="18"/>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6"/>
    </row>
    <row r="402">
      <c r="A402" s="18"/>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6"/>
    </row>
    <row r="403">
      <c r="A403" s="18"/>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6"/>
    </row>
    <row r="404">
      <c r="A404" s="18"/>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6"/>
    </row>
    <row r="405">
      <c r="A405" s="18"/>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6"/>
    </row>
    <row r="406">
      <c r="A406" s="18"/>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6"/>
    </row>
    <row r="407">
      <c r="A407" s="18"/>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6"/>
    </row>
    <row r="408">
      <c r="A408" s="18"/>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6"/>
    </row>
    <row r="409">
      <c r="A409" s="18"/>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6"/>
    </row>
    <row r="410">
      <c r="A410" s="18"/>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6"/>
    </row>
    <row r="411">
      <c r="A411" s="18"/>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6"/>
    </row>
    <row r="412">
      <c r="A412" s="18"/>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6"/>
    </row>
    <row r="413">
      <c r="A413" s="18"/>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6"/>
    </row>
    <row r="414">
      <c r="A414" s="18"/>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6"/>
    </row>
    <row r="415">
      <c r="A415" s="18"/>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6"/>
    </row>
    <row r="416">
      <c r="A416" s="18"/>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6"/>
    </row>
    <row r="417">
      <c r="A417" s="18"/>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6"/>
    </row>
    <row r="418">
      <c r="A418" s="18"/>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6"/>
    </row>
    <row r="419">
      <c r="A419" s="18"/>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6"/>
    </row>
    <row r="420">
      <c r="A420" s="18"/>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6"/>
    </row>
    <row r="421">
      <c r="A421" s="18"/>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6"/>
    </row>
    <row r="422">
      <c r="A422" s="18"/>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6"/>
    </row>
    <row r="423">
      <c r="A423" s="18"/>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6"/>
    </row>
    <row r="424">
      <c r="A424" s="18"/>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6"/>
    </row>
    <row r="425">
      <c r="A425" s="18"/>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6"/>
    </row>
    <row r="426">
      <c r="A426" s="18"/>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6"/>
    </row>
    <row r="427">
      <c r="A427" s="18"/>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6"/>
    </row>
    <row r="428">
      <c r="A428" s="18"/>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6"/>
    </row>
    <row r="429">
      <c r="A429" s="18"/>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6"/>
    </row>
    <row r="430">
      <c r="A430" s="18"/>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6"/>
    </row>
    <row r="431">
      <c r="A431" s="18"/>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6"/>
    </row>
    <row r="432">
      <c r="A432" s="18"/>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6"/>
    </row>
    <row r="433">
      <c r="A433" s="18"/>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6"/>
    </row>
    <row r="434">
      <c r="A434" s="18"/>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6"/>
    </row>
    <row r="435">
      <c r="A435" s="18"/>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6"/>
    </row>
    <row r="436">
      <c r="A436" s="18"/>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6"/>
    </row>
    <row r="437">
      <c r="A437" s="18"/>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6"/>
    </row>
    <row r="438">
      <c r="A438" s="18"/>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6"/>
    </row>
    <row r="439">
      <c r="A439" s="18"/>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6"/>
    </row>
    <row r="440">
      <c r="A440" s="18"/>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6"/>
    </row>
    <row r="441">
      <c r="A441" s="18"/>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6"/>
    </row>
    <row r="442">
      <c r="A442" s="18"/>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6"/>
    </row>
    <row r="443">
      <c r="A443" s="18"/>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6"/>
    </row>
    <row r="444">
      <c r="A444" s="18"/>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6"/>
    </row>
    <row r="445">
      <c r="A445" s="18"/>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6"/>
    </row>
    <row r="446">
      <c r="A446" s="18"/>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6"/>
    </row>
    <row r="447">
      <c r="A447" s="18"/>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6"/>
    </row>
    <row r="448">
      <c r="A448" s="18"/>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6"/>
    </row>
    <row r="449">
      <c r="A449" s="18"/>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6"/>
    </row>
    <row r="450">
      <c r="A450" s="18"/>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6"/>
    </row>
    <row r="451">
      <c r="A451" s="18"/>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6"/>
    </row>
    <row r="452">
      <c r="A452" s="18"/>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6"/>
    </row>
    <row r="453">
      <c r="A453" s="18"/>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6"/>
    </row>
    <row r="454">
      <c r="A454" s="18"/>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6"/>
    </row>
    <row r="455">
      <c r="A455" s="18"/>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6"/>
    </row>
    <row r="456">
      <c r="A456" s="18"/>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6"/>
    </row>
    <row r="457">
      <c r="A457" s="18"/>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6"/>
    </row>
    <row r="458">
      <c r="A458" s="18"/>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6"/>
    </row>
    <row r="459">
      <c r="A459" s="18"/>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6"/>
    </row>
    <row r="460">
      <c r="A460" s="18"/>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6"/>
    </row>
    <row r="461">
      <c r="A461" s="18"/>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6"/>
    </row>
    <row r="462">
      <c r="A462" s="18"/>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6"/>
    </row>
    <row r="463">
      <c r="A463" s="18"/>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6"/>
    </row>
    <row r="464">
      <c r="A464" s="18"/>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c r="A465" s="18"/>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6"/>
    </row>
    <row r="466">
      <c r="A466" s="18"/>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c r="A467" s="18"/>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6"/>
    </row>
    <row r="468">
      <c r="A468" s="18"/>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c r="A469" s="18"/>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6"/>
    </row>
    <row r="470">
      <c r="A470" s="18"/>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c r="A471" s="18"/>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6"/>
    </row>
    <row r="472">
      <c r="A472" s="18"/>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c r="A473" s="18"/>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6"/>
    </row>
    <row r="474">
      <c r="A474" s="18"/>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c r="A475" s="18"/>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6"/>
    </row>
    <row r="476">
      <c r="A476" s="18"/>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c r="A477" s="18"/>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6"/>
    </row>
    <row r="478">
      <c r="A478" s="18"/>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c r="A479" s="18"/>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6"/>
    </row>
    <row r="480">
      <c r="A480" s="18"/>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c r="A481" s="18"/>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6"/>
    </row>
    <row r="482">
      <c r="A482" s="18"/>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c r="A483" s="18"/>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6"/>
    </row>
    <row r="484">
      <c r="A484" s="18"/>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c r="A485" s="18"/>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6"/>
    </row>
    <row r="486">
      <c r="A486" s="18"/>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c r="A487" s="18"/>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6"/>
    </row>
    <row r="488">
      <c r="A488" s="18"/>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c r="A489" s="18"/>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6"/>
    </row>
    <row r="490">
      <c r="A490" s="18"/>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c r="A491" s="18"/>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6"/>
    </row>
    <row r="492">
      <c r="A492" s="18"/>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c r="A493" s="18"/>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6"/>
    </row>
    <row r="494">
      <c r="A494" s="18"/>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c r="A495" s="18"/>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6"/>
    </row>
    <row r="496">
      <c r="A496" s="18"/>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c r="A497" s="18"/>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6"/>
    </row>
    <row r="498">
      <c r="A498" s="18"/>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c r="A499" s="18"/>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6"/>
    </row>
    <row r="500">
      <c r="A500" s="18"/>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c r="A501" s="18"/>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6"/>
    </row>
    <row r="502">
      <c r="A502" s="18"/>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c r="A503" s="18"/>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6"/>
    </row>
    <row r="504">
      <c r="A504" s="18"/>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c r="A505" s="18"/>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6"/>
    </row>
    <row r="506">
      <c r="A506" s="18"/>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c r="A507" s="18"/>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6"/>
    </row>
    <row r="508">
      <c r="A508" s="18"/>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c r="A509" s="18"/>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6"/>
    </row>
    <row r="510">
      <c r="A510" s="18"/>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c r="A511" s="18"/>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6"/>
    </row>
    <row r="512">
      <c r="A512" s="18"/>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c r="A513" s="18"/>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6"/>
    </row>
    <row r="514">
      <c r="A514" s="18"/>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c r="A515" s="18"/>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6"/>
    </row>
    <row r="516">
      <c r="A516" s="18"/>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c r="A517" s="18"/>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6"/>
    </row>
    <row r="518">
      <c r="A518" s="18"/>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c r="A519" s="18"/>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6"/>
    </row>
    <row r="520">
      <c r="A520" s="18"/>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c r="A521" s="18"/>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6"/>
    </row>
    <row r="522">
      <c r="A522" s="18"/>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c r="A523" s="18"/>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6"/>
    </row>
    <row r="524">
      <c r="A524" s="18"/>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c r="A525" s="18"/>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6"/>
    </row>
    <row r="526">
      <c r="A526" s="18"/>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c r="A527" s="18"/>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6"/>
    </row>
    <row r="528">
      <c r="A528" s="18"/>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c r="A529" s="18"/>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6"/>
    </row>
    <row r="530">
      <c r="A530" s="18"/>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c r="A531" s="18"/>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6"/>
    </row>
    <row r="532">
      <c r="A532" s="18"/>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c r="A533" s="18"/>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6"/>
    </row>
    <row r="534">
      <c r="A534" s="18"/>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c r="A535" s="18"/>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6"/>
    </row>
    <row r="536">
      <c r="A536" s="18"/>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c r="A537" s="18"/>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6"/>
    </row>
    <row r="538">
      <c r="A538" s="18"/>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c r="A539" s="18"/>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6"/>
    </row>
    <row r="540">
      <c r="A540" s="18"/>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c r="A541" s="18"/>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6"/>
    </row>
    <row r="542">
      <c r="A542" s="18"/>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c r="A543" s="18"/>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6"/>
    </row>
    <row r="544">
      <c r="A544" s="18"/>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c r="A545" s="18"/>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6"/>
    </row>
    <row r="546">
      <c r="A546" s="18"/>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c r="A547" s="18"/>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6"/>
    </row>
    <row r="548">
      <c r="A548" s="18"/>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c r="A549" s="18"/>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6"/>
    </row>
    <row r="550">
      <c r="A550" s="18"/>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c r="A551" s="18"/>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6"/>
    </row>
    <row r="552">
      <c r="A552" s="18"/>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c r="A553" s="18"/>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6"/>
    </row>
    <row r="554">
      <c r="A554" s="18"/>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c r="A555" s="18"/>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6"/>
    </row>
    <row r="556">
      <c r="A556" s="18"/>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c r="A557" s="18"/>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6"/>
    </row>
    <row r="558">
      <c r="A558" s="18"/>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c r="A559" s="18"/>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6"/>
    </row>
    <row r="560">
      <c r="A560" s="18"/>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c r="A561" s="18"/>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6"/>
    </row>
    <row r="562">
      <c r="A562" s="18"/>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c r="A563" s="18"/>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6"/>
    </row>
    <row r="564">
      <c r="A564" s="18"/>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c r="A565" s="18"/>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6"/>
    </row>
    <row r="566">
      <c r="A566" s="18"/>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c r="A567" s="18"/>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6"/>
    </row>
    <row r="568">
      <c r="A568" s="18"/>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c r="A569" s="18"/>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6"/>
    </row>
    <row r="570">
      <c r="A570" s="18"/>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c r="A571" s="18"/>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6"/>
    </row>
    <row r="572">
      <c r="A572" s="18"/>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c r="A573" s="18"/>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6"/>
    </row>
    <row r="574">
      <c r="A574" s="18"/>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c r="A575" s="18"/>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6"/>
    </row>
    <row r="576">
      <c r="A576" s="18"/>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c r="A577" s="18"/>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6"/>
    </row>
    <row r="578">
      <c r="A578" s="18"/>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c r="A579" s="18"/>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6"/>
    </row>
    <row r="580">
      <c r="A580" s="18"/>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c r="A581" s="18"/>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6"/>
    </row>
    <row r="582">
      <c r="A582" s="18"/>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c r="A583" s="18"/>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6"/>
    </row>
    <row r="584">
      <c r="A584" s="18"/>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c r="A585" s="18"/>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6"/>
    </row>
    <row r="586">
      <c r="A586" s="18"/>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c r="A587" s="18"/>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6"/>
    </row>
    <row r="588">
      <c r="A588" s="18"/>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c r="A589" s="18"/>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6"/>
    </row>
    <row r="590">
      <c r="A590" s="18"/>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c r="A591" s="18"/>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6"/>
    </row>
    <row r="592">
      <c r="A592" s="18"/>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c r="A593" s="18"/>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6"/>
    </row>
    <row r="594">
      <c r="A594" s="18"/>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c r="A595" s="18"/>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6"/>
    </row>
    <row r="596">
      <c r="A596" s="18"/>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c r="A597" s="18"/>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6"/>
    </row>
    <row r="598">
      <c r="A598" s="18"/>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c r="A599" s="18"/>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6"/>
    </row>
    <row r="600">
      <c r="A600" s="18"/>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c r="A601" s="18"/>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6"/>
    </row>
    <row r="602">
      <c r="A602" s="18"/>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c r="A603" s="18"/>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6"/>
    </row>
    <row r="604">
      <c r="A604" s="18"/>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c r="A605" s="18"/>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6"/>
    </row>
    <row r="606">
      <c r="A606" s="18"/>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c r="A607" s="18"/>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6"/>
    </row>
    <row r="608">
      <c r="A608" s="18"/>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c r="A609" s="18"/>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6"/>
    </row>
    <row r="610">
      <c r="A610" s="18"/>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c r="A611" s="18"/>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6"/>
    </row>
    <row r="612">
      <c r="A612" s="18"/>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c r="A613" s="18"/>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6"/>
    </row>
    <row r="614">
      <c r="A614" s="18"/>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c r="A615" s="18"/>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6"/>
    </row>
    <row r="616">
      <c r="A616" s="18"/>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c r="A617" s="18"/>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6"/>
    </row>
    <row r="618">
      <c r="A618" s="18"/>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c r="A619" s="18"/>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6"/>
    </row>
    <row r="620">
      <c r="A620" s="18"/>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c r="A621" s="18"/>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6"/>
    </row>
    <row r="622">
      <c r="A622" s="18"/>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c r="A623" s="18"/>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6"/>
    </row>
    <row r="624">
      <c r="A624" s="18"/>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c r="A625" s="18"/>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6"/>
    </row>
    <row r="626">
      <c r="A626" s="18"/>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c r="A627" s="18"/>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6"/>
    </row>
    <row r="628">
      <c r="A628" s="18"/>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c r="A629" s="18"/>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6"/>
    </row>
    <row r="630">
      <c r="A630" s="18"/>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c r="A631" s="18"/>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6"/>
    </row>
    <row r="632">
      <c r="A632" s="18"/>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c r="A633" s="18"/>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6"/>
    </row>
    <row r="634">
      <c r="A634" s="18"/>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c r="A635" s="18"/>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6"/>
    </row>
    <row r="636">
      <c r="A636" s="18"/>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c r="A637" s="18"/>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6"/>
    </row>
    <row r="638">
      <c r="A638" s="18"/>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c r="A639" s="18"/>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6"/>
    </row>
    <row r="640">
      <c r="A640" s="18"/>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c r="A641" s="18"/>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6"/>
    </row>
    <row r="642">
      <c r="A642" s="18"/>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c r="A643" s="18"/>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6"/>
    </row>
    <row r="644">
      <c r="A644" s="18"/>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c r="A645" s="18"/>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6"/>
    </row>
    <row r="646">
      <c r="A646" s="18"/>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c r="A647" s="18"/>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6"/>
    </row>
    <row r="648">
      <c r="A648" s="18"/>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c r="A649" s="18"/>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6"/>
    </row>
    <row r="650">
      <c r="A650" s="18"/>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c r="A651" s="18"/>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6"/>
    </row>
    <row r="652">
      <c r="A652" s="18"/>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c r="A653" s="18"/>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6"/>
    </row>
    <row r="654">
      <c r="A654" s="18"/>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c r="A655" s="18"/>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6"/>
    </row>
    <row r="656">
      <c r="A656" s="18"/>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c r="A657" s="18"/>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6"/>
    </row>
    <row r="658">
      <c r="A658" s="18"/>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c r="A659" s="18"/>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6"/>
    </row>
    <row r="660">
      <c r="A660" s="18"/>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c r="A661" s="18"/>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6"/>
    </row>
    <row r="662">
      <c r="A662" s="18"/>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c r="A663" s="18"/>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6"/>
    </row>
    <row r="664">
      <c r="A664" s="18"/>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c r="A665" s="18"/>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6"/>
    </row>
    <row r="666">
      <c r="A666" s="18"/>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c r="A667" s="18"/>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6"/>
    </row>
    <row r="668">
      <c r="A668" s="18"/>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c r="A669" s="18"/>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6"/>
    </row>
    <row r="670">
      <c r="A670" s="18"/>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c r="A671" s="18"/>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6"/>
    </row>
    <row r="672">
      <c r="A672" s="18"/>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c r="A673" s="18"/>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6"/>
    </row>
    <row r="674">
      <c r="A674" s="18"/>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c r="A675" s="18"/>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6"/>
    </row>
    <row r="676">
      <c r="A676" s="18"/>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c r="A677" s="18"/>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6"/>
    </row>
    <row r="678">
      <c r="A678" s="18"/>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c r="A679" s="18"/>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6"/>
    </row>
    <row r="680">
      <c r="A680" s="18"/>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c r="A681" s="18"/>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6"/>
    </row>
    <row r="682">
      <c r="A682" s="18"/>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c r="A683" s="18"/>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6"/>
    </row>
    <row r="684">
      <c r="A684" s="18"/>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c r="A685" s="18"/>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6"/>
    </row>
    <row r="686">
      <c r="A686" s="18"/>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c r="A687" s="18"/>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6"/>
    </row>
    <row r="688">
      <c r="A688" s="18"/>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c r="A689" s="18"/>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6"/>
    </row>
    <row r="690">
      <c r="A690" s="18"/>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c r="A691" s="18"/>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6"/>
    </row>
    <row r="692">
      <c r="A692" s="18"/>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c r="A693" s="18"/>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6"/>
    </row>
    <row r="694">
      <c r="A694" s="18"/>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c r="A695" s="18"/>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6"/>
    </row>
    <row r="696">
      <c r="A696" s="18"/>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c r="A697" s="18"/>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6"/>
    </row>
    <row r="698">
      <c r="A698" s="18"/>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c r="A699" s="18"/>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6"/>
    </row>
    <row r="700">
      <c r="A700" s="18"/>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c r="A701" s="18"/>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6"/>
    </row>
    <row r="702">
      <c r="A702" s="18"/>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c r="A703" s="18"/>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6"/>
    </row>
    <row r="704">
      <c r="A704" s="18"/>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c r="A705" s="18"/>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6"/>
    </row>
    <row r="706">
      <c r="A706" s="18"/>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c r="A707" s="18"/>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6"/>
    </row>
    <row r="708">
      <c r="A708" s="18"/>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c r="A709" s="18"/>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6"/>
    </row>
    <row r="710">
      <c r="A710" s="18"/>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c r="A711" s="18"/>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6"/>
    </row>
    <row r="712">
      <c r="A712" s="18"/>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c r="A713" s="18"/>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6"/>
    </row>
    <row r="714">
      <c r="A714" s="18"/>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c r="A715" s="18"/>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6"/>
    </row>
    <row r="716">
      <c r="A716" s="18"/>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c r="A717" s="18"/>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6"/>
    </row>
    <row r="718">
      <c r="A718" s="18"/>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c r="A719" s="18"/>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6"/>
    </row>
    <row r="720">
      <c r="A720" s="18"/>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c r="A721" s="18"/>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6"/>
    </row>
    <row r="722">
      <c r="A722" s="18"/>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c r="A723" s="18"/>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6"/>
    </row>
    <row r="724">
      <c r="A724" s="18"/>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c r="A725" s="18"/>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6"/>
    </row>
    <row r="726">
      <c r="A726" s="18"/>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c r="A727" s="18"/>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6"/>
    </row>
    <row r="728">
      <c r="A728" s="18"/>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c r="A729" s="18"/>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6"/>
    </row>
    <row r="730">
      <c r="A730" s="18"/>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c r="A731" s="18"/>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6"/>
    </row>
    <row r="732">
      <c r="A732" s="18"/>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c r="A733" s="18"/>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6"/>
    </row>
    <row r="734">
      <c r="A734" s="18"/>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c r="A735" s="18"/>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6"/>
    </row>
    <row r="736">
      <c r="A736" s="18"/>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c r="A737" s="18"/>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6"/>
    </row>
    <row r="738">
      <c r="A738" s="18"/>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c r="A739" s="18"/>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6"/>
    </row>
    <row r="740">
      <c r="A740" s="18"/>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c r="A741" s="18"/>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6"/>
    </row>
    <row r="742">
      <c r="A742" s="18"/>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c r="A743" s="18"/>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6"/>
    </row>
    <row r="744">
      <c r="A744" s="18"/>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c r="A745" s="18"/>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6"/>
    </row>
    <row r="746">
      <c r="A746" s="18"/>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c r="A747" s="18"/>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6"/>
    </row>
    <row r="748">
      <c r="A748" s="18"/>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c r="A749" s="18"/>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6"/>
    </row>
    <row r="750">
      <c r="A750" s="18"/>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c r="A751" s="18"/>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6"/>
    </row>
    <row r="752">
      <c r="A752" s="18"/>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c r="A753" s="18"/>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6"/>
    </row>
    <row r="754">
      <c r="A754" s="18"/>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c r="A755" s="18"/>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6"/>
    </row>
    <row r="756">
      <c r="A756" s="18"/>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c r="A757" s="18"/>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6"/>
    </row>
    <row r="758">
      <c r="A758" s="18"/>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c r="A759" s="18"/>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6"/>
    </row>
    <row r="760">
      <c r="A760" s="18"/>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c r="A761" s="18"/>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6"/>
    </row>
    <row r="762">
      <c r="A762" s="18"/>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c r="A763" s="18"/>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6"/>
    </row>
    <row r="764">
      <c r="A764" s="18"/>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c r="A765" s="18"/>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6"/>
    </row>
    <row r="766">
      <c r="A766" s="18"/>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c r="A767" s="18"/>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6"/>
    </row>
    <row r="768">
      <c r="A768" s="18"/>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c r="A769" s="18"/>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6"/>
    </row>
    <row r="770">
      <c r="A770" s="18"/>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c r="A771" s="18"/>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6"/>
    </row>
    <row r="772">
      <c r="A772" s="18"/>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c r="A773" s="18"/>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6"/>
    </row>
    <row r="774">
      <c r="A774" s="18"/>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c r="A775" s="18"/>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6"/>
    </row>
    <row r="776">
      <c r="A776" s="18"/>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c r="A777" s="18"/>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6"/>
    </row>
    <row r="778">
      <c r="A778" s="18"/>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c r="A779" s="18"/>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6"/>
    </row>
    <row r="780">
      <c r="A780" s="18"/>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c r="A781" s="18"/>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6"/>
    </row>
    <row r="782">
      <c r="A782" s="18"/>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c r="A783" s="18"/>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6"/>
    </row>
    <row r="784">
      <c r="A784" s="18"/>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c r="A785" s="18"/>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6"/>
    </row>
    <row r="786">
      <c r="A786" s="18"/>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c r="A787" s="18"/>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6"/>
    </row>
    <row r="788">
      <c r="A788" s="18"/>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c r="A789" s="18"/>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6"/>
    </row>
    <row r="790">
      <c r="A790" s="18"/>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c r="A791" s="18"/>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6"/>
    </row>
    <row r="792">
      <c r="A792" s="18"/>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c r="A793" s="18"/>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6"/>
    </row>
    <row r="794">
      <c r="A794" s="18"/>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c r="A795" s="18"/>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6"/>
    </row>
    <row r="796">
      <c r="A796" s="18"/>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c r="A797" s="18"/>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6"/>
    </row>
    <row r="798">
      <c r="A798" s="18"/>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c r="A799" s="18"/>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6"/>
    </row>
    <row r="800">
      <c r="A800" s="18"/>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c r="A801" s="18"/>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6"/>
    </row>
    <row r="802">
      <c r="A802" s="18"/>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c r="A803" s="18"/>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6"/>
    </row>
    <row r="804">
      <c r="A804" s="18"/>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c r="A805" s="18"/>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6"/>
    </row>
    <row r="806">
      <c r="A806" s="18"/>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c r="A807" s="18"/>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6"/>
    </row>
    <row r="808">
      <c r="A808" s="18"/>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c r="A809" s="18"/>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6"/>
    </row>
    <row r="810">
      <c r="A810" s="18"/>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c r="A811" s="18"/>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6"/>
    </row>
    <row r="812">
      <c r="A812" s="18"/>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c r="A813" s="18"/>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6"/>
    </row>
    <row r="814">
      <c r="A814" s="18"/>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c r="A815" s="18"/>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6"/>
    </row>
    <row r="816">
      <c r="A816" s="18"/>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c r="A817" s="18"/>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6"/>
    </row>
    <row r="818">
      <c r="A818" s="18"/>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c r="A819" s="18"/>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6"/>
    </row>
    <row r="820">
      <c r="A820" s="18"/>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c r="A821" s="18"/>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6"/>
    </row>
    <row r="822">
      <c r="A822" s="18"/>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c r="A823" s="18"/>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6"/>
    </row>
    <row r="824">
      <c r="A824" s="18"/>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c r="A825" s="18"/>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6"/>
    </row>
    <row r="826">
      <c r="A826" s="18"/>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c r="A827" s="18"/>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6"/>
    </row>
    <row r="828">
      <c r="A828" s="18"/>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c r="A829" s="18"/>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6"/>
    </row>
    <row r="830">
      <c r="A830" s="18"/>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c r="A831" s="18"/>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6"/>
    </row>
    <row r="832">
      <c r="A832" s="18"/>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c r="A833" s="18"/>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6"/>
    </row>
    <row r="834">
      <c r="A834" s="18"/>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c r="A835" s="18"/>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6"/>
    </row>
    <row r="836">
      <c r="A836" s="18"/>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c r="A837" s="18"/>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6"/>
    </row>
    <row r="838">
      <c r="A838" s="18"/>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c r="A839" s="18"/>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6"/>
    </row>
    <row r="840">
      <c r="A840" s="18"/>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c r="A841" s="18"/>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6"/>
    </row>
    <row r="842">
      <c r="A842" s="18"/>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c r="A843" s="18"/>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6"/>
    </row>
    <row r="844">
      <c r="A844" s="18"/>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c r="A845" s="18"/>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6"/>
    </row>
    <row r="846">
      <c r="A846" s="18"/>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c r="A847" s="18"/>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6"/>
    </row>
    <row r="848">
      <c r="A848" s="18"/>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c r="A849" s="18"/>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6"/>
    </row>
    <row r="850">
      <c r="A850" s="18"/>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c r="A851" s="18"/>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6"/>
    </row>
    <row r="852">
      <c r="A852" s="18"/>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c r="A853" s="18"/>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6"/>
    </row>
    <row r="854">
      <c r="A854" s="18"/>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c r="A855" s="18"/>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6"/>
    </row>
    <row r="856">
      <c r="A856" s="18"/>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c r="A857" s="18"/>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6"/>
    </row>
    <row r="858">
      <c r="A858" s="18"/>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c r="A859" s="18"/>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6"/>
    </row>
    <row r="860">
      <c r="A860" s="18"/>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c r="A861" s="18"/>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6"/>
    </row>
    <row r="862">
      <c r="A862" s="18"/>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c r="A863" s="18"/>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6"/>
    </row>
    <row r="864">
      <c r="A864" s="18"/>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c r="A865" s="18"/>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6"/>
    </row>
    <row r="866">
      <c r="A866" s="18"/>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c r="A867" s="18"/>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6"/>
    </row>
    <row r="868">
      <c r="A868" s="18"/>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c r="A869" s="18"/>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6"/>
    </row>
    <row r="870">
      <c r="A870" s="18"/>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c r="A871" s="18"/>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6"/>
    </row>
    <row r="872">
      <c r="A872" s="18"/>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c r="A873" s="18"/>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6"/>
    </row>
    <row r="874">
      <c r="A874" s="18"/>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c r="A875" s="18"/>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6"/>
    </row>
    <row r="876">
      <c r="A876" s="18"/>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c r="A877" s="18"/>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6"/>
    </row>
    <row r="878">
      <c r="A878" s="18"/>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c r="A879" s="18"/>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6"/>
    </row>
    <row r="880">
      <c r="A880" s="18"/>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c r="A881" s="18"/>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6"/>
    </row>
    <row r="882">
      <c r="A882" s="18"/>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c r="A883" s="18"/>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6"/>
    </row>
    <row r="884">
      <c r="A884" s="18"/>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c r="A885" s="18"/>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6"/>
    </row>
    <row r="886">
      <c r="A886" s="18"/>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c r="A887" s="18"/>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6"/>
    </row>
    <row r="888">
      <c r="A888" s="18"/>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c r="A889" s="18"/>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6"/>
    </row>
    <row r="890">
      <c r="A890" s="18"/>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c r="A891" s="18"/>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6"/>
    </row>
    <row r="892">
      <c r="A892" s="18"/>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c r="A893" s="18"/>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6"/>
    </row>
    <row r="894">
      <c r="A894" s="18"/>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c r="A895" s="18"/>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6"/>
    </row>
    <row r="896">
      <c r="A896" s="18"/>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c r="A897" s="18"/>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6"/>
    </row>
    <row r="898">
      <c r="A898" s="18"/>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c r="A899" s="18"/>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6"/>
    </row>
    <row r="900">
      <c r="A900" s="18"/>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c r="A901" s="18"/>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6"/>
    </row>
    <row r="902">
      <c r="A902" s="18"/>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c r="A903" s="18"/>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6"/>
    </row>
    <row r="904">
      <c r="A904" s="18"/>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c r="A905" s="18"/>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6"/>
    </row>
    <row r="906">
      <c r="A906" s="18"/>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c r="A907" s="18"/>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6"/>
    </row>
    <row r="908">
      <c r="A908" s="18"/>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c r="A909" s="18"/>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6"/>
    </row>
    <row r="910">
      <c r="A910" s="18"/>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c r="A911" s="18"/>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6"/>
    </row>
    <row r="912">
      <c r="A912" s="18"/>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c r="A913" s="18"/>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6"/>
    </row>
    <row r="914">
      <c r="A914" s="18"/>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c r="A915" s="18"/>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6"/>
    </row>
    <row r="916">
      <c r="A916" s="18"/>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c r="A917" s="18"/>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6"/>
    </row>
    <row r="918">
      <c r="A918" s="18"/>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c r="A919" s="18"/>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6"/>
    </row>
    <row r="920">
      <c r="A920" s="18"/>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c r="A921" s="18"/>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6"/>
    </row>
    <row r="922">
      <c r="A922" s="18"/>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c r="A923" s="18"/>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6"/>
    </row>
    <row r="924">
      <c r="A924" s="18"/>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c r="A925" s="18"/>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6"/>
    </row>
    <row r="926">
      <c r="A926" s="18"/>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c r="A927" s="18"/>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6"/>
    </row>
    <row r="928">
      <c r="A928" s="18"/>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c r="A929" s="18"/>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6"/>
    </row>
    <row r="930">
      <c r="A930" s="18"/>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c r="A931" s="18"/>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6"/>
    </row>
    <row r="932">
      <c r="A932" s="18"/>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c r="A933" s="18"/>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6"/>
    </row>
    <row r="934">
      <c r="A934" s="18"/>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c r="A935" s="18"/>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6"/>
    </row>
    <row r="936">
      <c r="A936" s="18"/>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c r="A937" s="18"/>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6"/>
    </row>
    <row r="938">
      <c r="A938" s="18"/>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c r="A939" s="18"/>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6"/>
    </row>
    <row r="940">
      <c r="A940" s="18"/>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c r="A941" s="18"/>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6"/>
    </row>
    <row r="942">
      <c r="A942" s="18"/>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c r="A943" s="18"/>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6"/>
    </row>
    <row r="944">
      <c r="A944" s="18"/>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c r="A945" s="18"/>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6"/>
    </row>
    <row r="946">
      <c r="A946" s="18"/>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c r="A947" s="18"/>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6"/>
    </row>
    <row r="948">
      <c r="A948" s="18"/>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c r="A949" s="18"/>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6"/>
    </row>
    <row r="950">
      <c r="A950" s="18"/>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c r="A951" s="18"/>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6"/>
    </row>
    <row r="952">
      <c r="A952" s="18"/>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c r="A953" s="18"/>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6"/>
    </row>
    <row r="954">
      <c r="A954" s="18"/>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c r="A955" s="18"/>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6"/>
    </row>
    <row r="956">
      <c r="A956" s="18"/>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c r="A957" s="18"/>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6"/>
    </row>
    <row r="958">
      <c r="A958" s="18"/>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c r="A959" s="18"/>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6"/>
    </row>
    <row r="960">
      <c r="A960" s="18"/>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c r="A961" s="18"/>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6"/>
    </row>
    <row r="962">
      <c r="A962" s="18"/>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c r="A963" s="18"/>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6"/>
    </row>
    <row r="964">
      <c r="A964" s="18"/>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c r="A965" s="18"/>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6"/>
    </row>
    <row r="966">
      <c r="A966" s="18"/>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c r="A967" s="18"/>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6"/>
    </row>
    <row r="968">
      <c r="A968" s="18"/>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c r="A969" s="18"/>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6"/>
    </row>
    <row r="970">
      <c r="A970" s="18"/>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c r="A971" s="18"/>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6"/>
    </row>
    <row r="972">
      <c r="A972" s="18"/>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c r="A973" s="18"/>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6"/>
    </row>
    <row r="974">
      <c r="A974" s="18"/>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c r="A975" s="18"/>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6"/>
    </row>
    <row r="976">
      <c r="A976" s="18"/>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c r="A977" s="18"/>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6"/>
    </row>
    <row r="978">
      <c r="A978" s="18"/>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c r="A979" s="18"/>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6"/>
    </row>
    <row r="980">
      <c r="A980" s="18"/>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c r="A981" s="18"/>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6"/>
    </row>
    <row r="982">
      <c r="A982" s="18"/>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c r="A983" s="18"/>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6"/>
    </row>
    <row r="984">
      <c r="A984" s="18"/>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c r="A985" s="18"/>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6"/>
    </row>
    <row r="986">
      <c r="A986" s="18"/>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c r="A987" s="18"/>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6"/>
    </row>
    <row r="988">
      <c r="A988" s="18"/>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c r="A989" s="18"/>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6"/>
    </row>
    <row r="990">
      <c r="A990" s="18"/>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c r="A991" s="18"/>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6"/>
    </row>
    <row r="992">
      <c r="A992" s="18"/>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c r="A993" s="18"/>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6"/>
    </row>
    <row r="994">
      <c r="A994" s="18"/>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c r="A995" s="18"/>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6"/>
    </row>
    <row r="996">
      <c r="A996" s="18"/>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c r="A997" s="18"/>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row r="998">
      <c r="A998" s="18"/>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c r="A999" s="18"/>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6"/>
    </row>
    <row r="1000">
      <c r="A1000" s="19"/>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65.5"/>
    <col customWidth="1" min="3" max="3" width="25.13"/>
    <col customWidth="1" min="4" max="4" width="33.88"/>
    <col customWidth="1" min="5" max="6" width="25.13"/>
    <col customWidth="1" min="7" max="7" width="120.0"/>
    <col customWidth="1" min="8" max="19" width="25.13"/>
    <col customWidth="1" min="20" max="20" width="50.13"/>
  </cols>
  <sheetData>
    <row r="1">
      <c r="A1" s="22" t="str">
        <f>IFERROR(__xludf.DUMMYFUNCTION("IMPORTRANGE(""15BX58HiiNjdl6KmgBu5JAYRxy4lAzKXPvayptgSltKs"", ""data!A:K"")"),"tagged_set_id")</f>
        <v>tagged_set_id</v>
      </c>
      <c r="B1" s="23" t="str">
        <f>IFERROR(__xludf.DUMMYFUNCTION("""COMPUTED_VALUE"""),"tagged_set_name")</f>
        <v>tagged_set_name</v>
      </c>
      <c r="C1" s="23" t="str">
        <f>IFERROR(__xludf.DUMMYFUNCTION("""COMPUTED_VALUE"""),"purpose_od")</f>
        <v>purpose_od</v>
      </c>
      <c r="D1" s="23" t="str">
        <f>IFERROR(__xludf.DUMMYFUNCTION("""COMPUTED_VALUE"""),"purpose_dc")</f>
        <v>purpose_dc</v>
      </c>
      <c r="E1" s="23" t="str">
        <f>IFERROR(__xludf.DUMMYFUNCTION("""COMPUTED_VALUE"""),"num_of_images")</f>
        <v>num_of_images</v>
      </c>
      <c r="F1" s="23" t="str">
        <f>IFERROR(__xludf.DUMMYFUNCTION("""COMPUTED_VALUE"""),"image_format")</f>
        <v>image_format</v>
      </c>
      <c r="G1" s="23" t="str">
        <f>IFERROR(__xludf.DUMMYFUNCTION("""COMPUTED_VALUE"""),"labels")</f>
        <v>labels</v>
      </c>
      <c r="H1" s="23" t="str">
        <f>IFERROR(__xludf.DUMMYFUNCTION("""COMPUTED_VALUE"""),"horizon")</f>
        <v>horizon</v>
      </c>
      <c r="I1" s="23" t="str">
        <f>IFERROR(__xludf.DUMMYFUNCTION("""COMPUTED_VALUE"""),"lowest_point_of_hood")</f>
        <v>lowest_point_of_hood</v>
      </c>
      <c r="J1" s="23" t="str">
        <f>IFERROR(__xludf.DUMMYFUNCTION("""COMPUTED_VALUE"""),"highest_point_of_hood")</f>
        <v>highest_point_of_hood</v>
      </c>
      <c r="K1" s="24" t="str">
        <f>IFERROR(__xludf.DUMMYFUNCTION("""COMPUTED_VALUE"""),"update_gt_date")</f>
        <v>update_gt_date</v>
      </c>
    </row>
    <row r="2">
      <c r="A2" s="18" t="str">
        <f>IFERROR(__xludf.DUMMYFUNCTION("""COMPUTED_VALUE"""),"63b538c22426700446cd21b3")</f>
        <v>63b538c22426700446cd21b3</v>
      </c>
      <c r="B2" s="15" t="str">
        <f>IFERROR(__xludf.DUMMYFUNCTION("""COMPUTED_VALUE"""),"official_batch_1_yochen_mfc520_for_train_updated")</f>
        <v>official_batch_1_yochen_mfc520_for_train_updated</v>
      </c>
      <c r="C2" s="15" t="str">
        <f>IFERROR(__xludf.DUMMYFUNCTION("""COMPUTED_VALUE"""),"train")</f>
        <v>train</v>
      </c>
      <c r="D2" s="15" t="str">
        <f>IFERROR(__xludf.DUMMYFUNCTION("""COMPUTED_VALUE"""),"train")</f>
        <v>train</v>
      </c>
      <c r="E2" s="15">
        <f>IFERROR(__xludf.DUMMYFUNCTION("""COMPUTED_VALUE"""),257.0)</f>
        <v>257</v>
      </c>
      <c r="F2" s="15" t="str">
        <f>IFERROR(__xludf.DUMMYFUNCTION("""COMPUTED_VALUE"""),"QUAD")</f>
        <v>QUAD</v>
      </c>
      <c r="G2" s="15" t="str">
        <f>IFERROR(__xludf.DUMMYFUNCTION("""COMPUTED_VALUE"""),"EUROPE, CLEAR, CLOUDY, DAY")</f>
        <v>EUROPE, CLEAR, CLOUDY, DAY</v>
      </c>
      <c r="H2" s="15">
        <f>IFERROR(__xludf.DUMMYFUNCTION("""COMPUTED_VALUE"""),950.0)</f>
        <v>950</v>
      </c>
      <c r="I2" s="15">
        <f>IFERROR(__xludf.DUMMYFUNCTION("""COMPUTED_VALUE"""),1675.0)</f>
        <v>1675</v>
      </c>
      <c r="J2" s="15">
        <f>IFERROR(__xludf.DUMMYFUNCTION("""COMPUTED_VALUE"""),1585.0)</f>
        <v>1585</v>
      </c>
      <c r="K2" s="16" t="str">
        <f>IFERROR(__xludf.DUMMYFUNCTION("""COMPUTED_VALUE"""),"21/08/2023, 17:23:55")</f>
        <v>21/08/2023, 17:23:55</v>
      </c>
    </row>
    <row r="3">
      <c r="A3" s="18" t="str">
        <f>IFERROR(__xludf.DUMMYFUNCTION("""COMPUTED_VALUE"""),"63b59fad2426700446ce6d3d")</f>
        <v>63b59fad2426700446ce6d3d</v>
      </c>
      <c r="B3" s="15" t="str">
        <f>IFERROR(__xludf.DUMMYFUNCTION("""COMPUTED_VALUE"""),"official_batch_2_yochen_mfc520_for_train_updated")</f>
        <v>official_batch_2_yochen_mfc520_for_train_updated</v>
      </c>
      <c r="C3" s="15" t="str">
        <f>IFERROR(__xludf.DUMMYFUNCTION("""COMPUTED_VALUE"""),"train")</f>
        <v>train</v>
      </c>
      <c r="D3" s="15" t="str">
        <f>IFERROR(__xludf.DUMMYFUNCTION("""COMPUTED_VALUE"""),"train")</f>
        <v>train</v>
      </c>
      <c r="E3" s="15">
        <f>IFERROR(__xludf.DUMMYFUNCTION("""COMPUTED_VALUE"""),307.0)</f>
        <v>307</v>
      </c>
      <c r="F3" s="15" t="str">
        <f>IFERROR(__xludf.DUMMYFUNCTION("""COMPUTED_VALUE"""),"QUAD")</f>
        <v>QUAD</v>
      </c>
      <c r="G3" s="15" t="str">
        <f>IFERROR(__xludf.DUMMYFUNCTION("""COMPUTED_VALUE"""),"EUROPE, CLEAR, CLOUDY, DAY")</f>
        <v>EUROPE, CLEAR, CLOUDY, DAY</v>
      </c>
      <c r="H3" s="15">
        <f>IFERROR(__xludf.DUMMYFUNCTION("""COMPUTED_VALUE"""),950.0)</f>
        <v>950</v>
      </c>
      <c r="I3" s="15">
        <f>IFERROR(__xludf.DUMMYFUNCTION("""COMPUTED_VALUE"""),1675.0)</f>
        <v>1675</v>
      </c>
      <c r="J3" s="15">
        <f>IFERROR(__xludf.DUMMYFUNCTION("""COMPUTED_VALUE"""),1585.0)</f>
        <v>1585</v>
      </c>
      <c r="K3" s="16" t="str">
        <f>IFERROR(__xludf.DUMMYFUNCTION("""COMPUTED_VALUE"""),"21/08/2023, 17:23:59")</f>
        <v>21/08/2023, 17:23:59</v>
      </c>
    </row>
    <row r="4">
      <c r="A4" s="18" t="str">
        <f>IFERROR(__xludf.DUMMYFUNCTION("""COMPUTED_VALUE"""),"63b5a0092426700446ce6d9c")</f>
        <v>63b5a0092426700446ce6d9c</v>
      </c>
      <c r="B4" s="15" t="str">
        <f>IFERROR(__xludf.DUMMYFUNCTION("""COMPUTED_VALUE"""),"official_batch_3_yochen_mfc520_for_train_updated")</f>
        <v>official_batch_3_yochen_mfc520_for_train_updated</v>
      </c>
      <c r="C4" s="15" t="str">
        <f>IFERROR(__xludf.DUMMYFUNCTION("""COMPUTED_VALUE"""),"train")</f>
        <v>train</v>
      </c>
      <c r="D4" s="15" t="str">
        <f>IFERROR(__xludf.DUMMYFUNCTION("""COMPUTED_VALUE"""),"train")</f>
        <v>train</v>
      </c>
      <c r="E4" s="15">
        <f>IFERROR(__xludf.DUMMYFUNCTION("""COMPUTED_VALUE"""),521.0)</f>
        <v>521</v>
      </c>
      <c r="F4" s="15" t="str">
        <f>IFERROR(__xludf.DUMMYFUNCTION("""COMPUTED_VALUE"""),"QUAD")</f>
        <v>QUAD</v>
      </c>
      <c r="G4" s="15" t="str">
        <f>IFERROR(__xludf.DUMMYFUNCTION("""COMPUTED_VALUE"""),"EUROPE, CLEAR, CLOUDY, DAY")</f>
        <v>EUROPE, CLEAR, CLOUDY, DAY</v>
      </c>
      <c r="H4" s="15">
        <f>IFERROR(__xludf.DUMMYFUNCTION("""COMPUTED_VALUE"""),950.0)</f>
        <v>950</v>
      </c>
      <c r="I4" s="15">
        <f>IFERROR(__xludf.DUMMYFUNCTION("""COMPUTED_VALUE"""),1675.0)</f>
        <v>1675</v>
      </c>
      <c r="J4" s="15">
        <f>IFERROR(__xludf.DUMMYFUNCTION("""COMPUTED_VALUE"""),1585.0)</f>
        <v>1585</v>
      </c>
      <c r="K4" s="16" t="str">
        <f>IFERROR(__xludf.DUMMYFUNCTION("""COMPUTED_VALUE"""),"21/08/2023, 17:24:03")</f>
        <v>21/08/2023, 17:24:03</v>
      </c>
    </row>
    <row r="5">
      <c r="A5" s="18" t="str">
        <f>IFERROR(__xludf.DUMMYFUNCTION("""COMPUTED_VALUE"""),"63b5a0522426700446ce6de7")</f>
        <v>63b5a0522426700446ce6de7</v>
      </c>
      <c r="B5" s="15" t="str">
        <f>IFERROR(__xludf.DUMMYFUNCTION("""COMPUTED_VALUE"""),"official_batch_4_yochen_mfc520_for_train_updated")</f>
        <v>official_batch_4_yochen_mfc520_for_train_updated</v>
      </c>
      <c r="C5" s="15" t="str">
        <f>IFERROR(__xludf.DUMMYFUNCTION("""COMPUTED_VALUE"""),"train")</f>
        <v>train</v>
      </c>
      <c r="D5" s="15" t="str">
        <f>IFERROR(__xludf.DUMMYFUNCTION("""COMPUTED_VALUE"""),"train")</f>
        <v>train</v>
      </c>
      <c r="E5" s="15">
        <f>IFERROR(__xludf.DUMMYFUNCTION("""COMPUTED_VALUE"""),507.0)</f>
        <v>507</v>
      </c>
      <c r="F5" s="15" t="str">
        <f>IFERROR(__xludf.DUMMYFUNCTION("""COMPUTED_VALUE"""),"QUAD")</f>
        <v>QUAD</v>
      </c>
      <c r="G5" s="15" t="str">
        <f>IFERROR(__xludf.DUMMYFUNCTION("""COMPUTED_VALUE"""),"EUROPE, CLEAR, DAY")</f>
        <v>EUROPE, CLEAR, DAY</v>
      </c>
      <c r="H5" s="15">
        <f>IFERROR(__xludf.DUMMYFUNCTION("""COMPUTED_VALUE"""),950.0)</f>
        <v>950</v>
      </c>
      <c r="I5" s="15">
        <f>IFERROR(__xludf.DUMMYFUNCTION("""COMPUTED_VALUE"""),1675.0)</f>
        <v>1675</v>
      </c>
      <c r="J5" s="15">
        <f>IFERROR(__xludf.DUMMYFUNCTION("""COMPUTED_VALUE"""),1585.0)</f>
        <v>1585</v>
      </c>
      <c r="K5" s="16" t="str">
        <f>IFERROR(__xludf.DUMMYFUNCTION("""COMPUTED_VALUE"""),"21/08/2023, 17:24:06")</f>
        <v>21/08/2023, 17:24:06</v>
      </c>
    </row>
    <row r="6">
      <c r="A6" s="18" t="str">
        <f>IFERROR(__xludf.DUMMYFUNCTION("""COMPUTED_VALUE"""),"63b5a1132426700446ce6ead")</f>
        <v>63b5a1132426700446ce6ead</v>
      </c>
      <c r="B6" s="15" t="str">
        <f>IFERROR(__xludf.DUMMYFUNCTION("""COMPUTED_VALUE"""),"official_batch_5_yochen_mfc520_for_train_updated")</f>
        <v>official_batch_5_yochen_mfc520_for_train_updated</v>
      </c>
      <c r="C6" s="15" t="str">
        <f>IFERROR(__xludf.DUMMYFUNCTION("""COMPUTED_VALUE"""),"train")</f>
        <v>train</v>
      </c>
      <c r="D6" s="15" t="str">
        <f>IFERROR(__xludf.DUMMYFUNCTION("""COMPUTED_VALUE"""),"train")</f>
        <v>train</v>
      </c>
      <c r="E6" s="15">
        <f>IFERROR(__xludf.DUMMYFUNCTION("""COMPUTED_VALUE"""),1069.0)</f>
        <v>1069</v>
      </c>
      <c r="F6" s="15" t="str">
        <f>IFERROR(__xludf.DUMMYFUNCTION("""COMPUTED_VALUE"""),"QUAD")</f>
        <v>QUAD</v>
      </c>
      <c r="G6" s="15" t="str">
        <f>IFERROR(__xludf.DUMMYFUNCTION("""COMPUTED_VALUE"""),"EUROPE, CLEAR, CLOUDY, DAY")</f>
        <v>EUROPE, CLEAR, CLOUDY, DAY</v>
      </c>
      <c r="H6" s="15">
        <f>IFERROR(__xludf.DUMMYFUNCTION("""COMPUTED_VALUE"""),950.0)</f>
        <v>950</v>
      </c>
      <c r="I6" s="15">
        <f>IFERROR(__xludf.DUMMYFUNCTION("""COMPUTED_VALUE"""),1675.0)</f>
        <v>1675</v>
      </c>
      <c r="J6" s="15">
        <f>IFERROR(__xludf.DUMMYFUNCTION("""COMPUTED_VALUE"""),1585.0)</f>
        <v>1585</v>
      </c>
      <c r="K6" s="16" t="str">
        <f>IFERROR(__xludf.DUMMYFUNCTION("""COMPUTED_VALUE"""),"21/08/2023, 17:24:10")</f>
        <v>21/08/2023, 17:24:10</v>
      </c>
    </row>
    <row r="7">
      <c r="A7" s="18" t="str">
        <f>IFERROR(__xludf.DUMMYFUNCTION("""COMPUTED_VALUE"""),"63b5a2402426700446ce7002")</f>
        <v>63b5a2402426700446ce7002</v>
      </c>
      <c r="B7" s="15" t="str">
        <f>IFERROR(__xludf.DUMMYFUNCTION("""COMPUTED_VALUE"""),"official_batch_7_yochen_mfc520_for_train_updated")</f>
        <v>official_batch_7_yochen_mfc520_for_train_updated</v>
      </c>
      <c r="C7" s="15" t="str">
        <f>IFERROR(__xludf.DUMMYFUNCTION("""COMPUTED_VALUE"""),"train")</f>
        <v>train</v>
      </c>
      <c r="D7" s="15" t="str">
        <f>IFERROR(__xludf.DUMMYFUNCTION("""COMPUTED_VALUE"""),"train")</f>
        <v>train</v>
      </c>
      <c r="E7" s="15">
        <f>IFERROR(__xludf.DUMMYFUNCTION("""COMPUTED_VALUE"""),1205.0)</f>
        <v>1205</v>
      </c>
      <c r="F7" s="15" t="str">
        <f>IFERROR(__xludf.DUMMYFUNCTION("""COMPUTED_VALUE"""),"QUAD")</f>
        <v>QUAD</v>
      </c>
      <c r="G7" s="15" t="str">
        <f>IFERROR(__xludf.DUMMYFUNCTION("""COMPUTED_VALUE"""),"unknown, unknown, unknown, unknown")</f>
        <v>unknown, unknown, unknown, unknown</v>
      </c>
      <c r="H7" s="15">
        <f>IFERROR(__xludf.DUMMYFUNCTION("""COMPUTED_VALUE"""),950.0)</f>
        <v>950</v>
      </c>
      <c r="I7" s="15">
        <f>IFERROR(__xludf.DUMMYFUNCTION("""COMPUTED_VALUE"""),1675.0)</f>
        <v>1675</v>
      </c>
      <c r="J7" s="15">
        <f>IFERROR(__xludf.DUMMYFUNCTION("""COMPUTED_VALUE"""),1585.0)</f>
        <v>1585</v>
      </c>
      <c r="K7" s="16" t="str">
        <f>IFERROR(__xludf.DUMMYFUNCTION("""COMPUTED_VALUE"""),"21/08/2023, 17:24:19")</f>
        <v>21/08/2023, 17:24:19</v>
      </c>
    </row>
    <row r="8">
      <c r="A8" s="18" t="str">
        <f>IFERROR(__xludf.DUMMYFUNCTION("""COMPUTED_VALUE"""),"63b5a2a62426700446ce7076")</f>
        <v>63b5a2a62426700446ce7076</v>
      </c>
      <c r="B8" s="15" t="str">
        <f>IFERROR(__xludf.DUMMYFUNCTION("""COMPUTED_VALUE"""),"official_batch_8_yochen_mfc520_for_train_updated")</f>
        <v>official_batch_8_yochen_mfc520_for_train_updated</v>
      </c>
      <c r="C8" s="15" t="str">
        <f>IFERROR(__xludf.DUMMYFUNCTION("""COMPUTED_VALUE"""),"train")</f>
        <v>train</v>
      </c>
      <c r="D8" s="15" t="str">
        <f>IFERROR(__xludf.DUMMYFUNCTION("""COMPUTED_VALUE"""),"train")</f>
        <v>train</v>
      </c>
      <c r="E8" s="15">
        <f>IFERROR(__xludf.DUMMYFUNCTION("""COMPUTED_VALUE"""),1143.0)</f>
        <v>1143</v>
      </c>
      <c r="F8" s="15" t="str">
        <f>IFERROR(__xludf.DUMMYFUNCTION("""COMPUTED_VALUE"""),"QUAD")</f>
        <v>QUAD</v>
      </c>
      <c r="G8" s="15" t="str">
        <f>IFERROR(__xludf.DUMMYFUNCTION("""COMPUTED_VALUE"""),"unknown, unknown, unknown, unknown")</f>
        <v>unknown, unknown, unknown, unknown</v>
      </c>
      <c r="H8" s="15">
        <f>IFERROR(__xludf.DUMMYFUNCTION("""COMPUTED_VALUE"""),950.0)</f>
        <v>950</v>
      </c>
      <c r="I8" s="15">
        <f>IFERROR(__xludf.DUMMYFUNCTION("""COMPUTED_VALUE"""),1675.0)</f>
        <v>1675</v>
      </c>
      <c r="J8" s="15">
        <f>IFERROR(__xludf.DUMMYFUNCTION("""COMPUTED_VALUE"""),1585.0)</f>
        <v>1585</v>
      </c>
      <c r="K8" s="16" t="str">
        <f>IFERROR(__xludf.DUMMYFUNCTION("""COMPUTED_VALUE"""),"21/08/2023, 17:24:22")</f>
        <v>21/08/2023, 17:24:22</v>
      </c>
    </row>
    <row r="9">
      <c r="A9" s="18" t="str">
        <f>IFERROR(__xludf.DUMMYFUNCTION("""COMPUTED_VALUE"""),"63b5a3022426700446ce70e4")</f>
        <v>63b5a3022426700446ce70e4</v>
      </c>
      <c r="B9" s="15" t="str">
        <f>IFERROR(__xludf.DUMMYFUNCTION("""COMPUTED_VALUE"""),"official_batch_9_yochen_mfc520_for_train_updated")</f>
        <v>official_batch_9_yochen_mfc520_for_train_updated</v>
      </c>
      <c r="C9" s="15" t="str">
        <f>IFERROR(__xludf.DUMMYFUNCTION("""COMPUTED_VALUE"""),"train")</f>
        <v>train</v>
      </c>
      <c r="D9" s="15" t="str">
        <f>IFERROR(__xludf.DUMMYFUNCTION("""COMPUTED_VALUE"""),"train")</f>
        <v>train</v>
      </c>
      <c r="E9" s="15">
        <f>IFERROR(__xludf.DUMMYFUNCTION("""COMPUTED_VALUE"""),978.0)</f>
        <v>978</v>
      </c>
      <c r="F9" s="15" t="str">
        <f>IFERROR(__xludf.DUMMYFUNCTION("""COMPUTED_VALUE"""),"QUAD")</f>
        <v>QUAD</v>
      </c>
      <c r="G9" s="15" t="str">
        <f>IFERROR(__xludf.DUMMYFUNCTION("""COMPUTED_VALUE"""),"unknown, unknown, unknown, unknown")</f>
        <v>unknown, unknown, unknown, unknown</v>
      </c>
      <c r="H9" s="15">
        <f>IFERROR(__xludf.DUMMYFUNCTION("""COMPUTED_VALUE"""),950.0)</f>
        <v>950</v>
      </c>
      <c r="I9" s="15">
        <f>IFERROR(__xludf.DUMMYFUNCTION("""COMPUTED_VALUE"""),1675.0)</f>
        <v>1675</v>
      </c>
      <c r="J9" s="15">
        <f>IFERROR(__xludf.DUMMYFUNCTION("""COMPUTED_VALUE"""),1585.0)</f>
        <v>1585</v>
      </c>
      <c r="K9" s="16" t="str">
        <f>IFERROR(__xludf.DUMMYFUNCTION("""COMPUTED_VALUE"""),"21/08/2023, 17:24:26")</f>
        <v>21/08/2023, 17:24:26</v>
      </c>
    </row>
    <row r="10">
      <c r="A10" s="18" t="str">
        <f>IFERROR(__xludf.DUMMYFUNCTION("""COMPUTED_VALUE"""),"63b5a3472426700446ce713d")</f>
        <v>63b5a3472426700446ce713d</v>
      </c>
      <c r="B10" s="15" t="str">
        <f>IFERROR(__xludf.DUMMYFUNCTION("""COMPUTED_VALUE"""),"official_batch_10_yochen_mfc520_for_train_updated")</f>
        <v>official_batch_10_yochen_mfc520_for_train_updated</v>
      </c>
      <c r="C10" s="15" t="str">
        <f>IFERROR(__xludf.DUMMYFUNCTION("""COMPUTED_VALUE"""),"train")</f>
        <v>train</v>
      </c>
      <c r="D10" s="15" t="str">
        <f>IFERROR(__xludf.DUMMYFUNCTION("""COMPUTED_VALUE"""),"train")</f>
        <v>train</v>
      </c>
      <c r="E10" s="15">
        <f>IFERROR(__xludf.DUMMYFUNCTION("""COMPUTED_VALUE"""),646.0)</f>
        <v>646</v>
      </c>
      <c r="F10" s="15" t="str">
        <f>IFERROR(__xludf.DUMMYFUNCTION("""COMPUTED_VALUE"""),"QUAD")</f>
        <v>QUAD</v>
      </c>
      <c r="G10" s="15" t="str">
        <f>IFERROR(__xludf.DUMMYFUNCTION("""COMPUTED_VALUE"""),"unknown, unknown, unknown, unknown")</f>
        <v>unknown, unknown, unknown, unknown</v>
      </c>
      <c r="H10" s="15">
        <f>IFERROR(__xludf.DUMMYFUNCTION("""COMPUTED_VALUE"""),950.0)</f>
        <v>950</v>
      </c>
      <c r="I10" s="15">
        <f>IFERROR(__xludf.DUMMYFUNCTION("""COMPUTED_VALUE"""),1675.0)</f>
        <v>1675</v>
      </c>
      <c r="J10" s="15">
        <f>IFERROR(__xludf.DUMMYFUNCTION("""COMPUTED_VALUE"""),1585.0)</f>
        <v>1585</v>
      </c>
      <c r="K10" s="16" t="str">
        <f>IFERROR(__xludf.DUMMYFUNCTION("""COMPUTED_VALUE"""),"21/08/2023, 17:24:29")</f>
        <v>21/08/2023, 17:24:29</v>
      </c>
    </row>
    <row r="11">
      <c r="A11" s="18" t="str">
        <f>IFERROR(__xludf.DUMMYFUNCTION("""COMPUTED_VALUE"""),"63b5a3a72426700446ce71ad")</f>
        <v>63b5a3a72426700446ce71ad</v>
      </c>
      <c r="B11" s="15" t="str">
        <f>IFERROR(__xludf.DUMMYFUNCTION("""COMPUTED_VALUE"""),"official_batch_1_kramer_conti_mfc520_day_japan_for_train_updated")</f>
        <v>official_batch_1_kramer_conti_mfc520_day_japan_for_train_updated</v>
      </c>
      <c r="C11" s="15" t="str">
        <f>IFERROR(__xludf.DUMMYFUNCTION("""COMPUTED_VALUE"""),"train")</f>
        <v>train</v>
      </c>
      <c r="D11" s="15" t="str">
        <f>IFERROR(__xludf.DUMMYFUNCTION("""COMPUTED_VALUE"""),"train")</f>
        <v>train</v>
      </c>
      <c r="E11" s="15">
        <f>IFERROR(__xludf.DUMMYFUNCTION("""COMPUTED_VALUE"""),1000.0)</f>
        <v>1000</v>
      </c>
      <c r="F11" s="15" t="str">
        <f>IFERROR(__xludf.DUMMYFUNCTION("""COMPUTED_VALUE"""),"QUAD")</f>
        <v>QUAD</v>
      </c>
      <c r="G11" s="15" t="str">
        <f>IFERROR(__xludf.DUMMYFUNCTION("""COMPUTED_VALUE"""),"unknown, unknown, unknown, unknown")</f>
        <v>unknown, unknown, unknown, unknown</v>
      </c>
      <c r="H11" s="15">
        <f>IFERROR(__xludf.DUMMYFUNCTION("""COMPUTED_VALUE"""),950.0)</f>
        <v>950</v>
      </c>
      <c r="I11" s="15">
        <f>IFERROR(__xludf.DUMMYFUNCTION("""COMPUTED_VALUE"""),1675.0)</f>
        <v>1675</v>
      </c>
      <c r="J11" s="15">
        <f>IFERROR(__xludf.DUMMYFUNCTION("""COMPUTED_VALUE"""),1585.0)</f>
        <v>1585</v>
      </c>
      <c r="K11" s="16" t="str">
        <f>IFERROR(__xludf.DUMMYFUNCTION("""COMPUTED_VALUE"""),"21/08/2023, 17:24:32")</f>
        <v>21/08/2023, 17:24:32</v>
      </c>
    </row>
    <row r="12">
      <c r="A12" s="18" t="str">
        <f>IFERROR(__xludf.DUMMYFUNCTION("""COMPUTED_VALUE"""),"63b5a3fe2426700446ce7224")</f>
        <v>63b5a3fe2426700446ce7224</v>
      </c>
      <c r="B12" s="15" t="str">
        <f>IFERROR(__xludf.DUMMYFUNCTION("""COMPUTED_VALUE"""),"official_batch_2_kramer_conti_mfc520_day_japan_for_train_updated")</f>
        <v>official_batch_2_kramer_conti_mfc520_day_japan_for_train_updated</v>
      </c>
      <c r="C12" s="15" t="str">
        <f>IFERROR(__xludf.DUMMYFUNCTION("""COMPUTED_VALUE"""),"train")</f>
        <v>train</v>
      </c>
      <c r="D12" s="15" t="str">
        <f>IFERROR(__xludf.DUMMYFUNCTION("""COMPUTED_VALUE"""),"train")</f>
        <v>train</v>
      </c>
      <c r="E12" s="15">
        <f>IFERROR(__xludf.DUMMYFUNCTION("""COMPUTED_VALUE"""),1000.0)</f>
        <v>1000</v>
      </c>
      <c r="F12" s="15" t="str">
        <f>IFERROR(__xludf.DUMMYFUNCTION("""COMPUTED_VALUE"""),"QUAD")</f>
        <v>QUAD</v>
      </c>
      <c r="G12" s="15" t="str">
        <f>IFERROR(__xludf.DUMMYFUNCTION("""COMPUTED_VALUE"""),"unknown, unknown, unknown, unknown")</f>
        <v>unknown, unknown, unknown, unknown</v>
      </c>
      <c r="H12" s="15">
        <f>IFERROR(__xludf.DUMMYFUNCTION("""COMPUTED_VALUE"""),950.0)</f>
        <v>950</v>
      </c>
      <c r="I12" s="15">
        <f>IFERROR(__xludf.DUMMYFUNCTION("""COMPUTED_VALUE"""),1675.0)</f>
        <v>1675</v>
      </c>
      <c r="J12" s="15">
        <f>IFERROR(__xludf.DUMMYFUNCTION("""COMPUTED_VALUE"""),1585.0)</f>
        <v>1585</v>
      </c>
      <c r="K12" s="16" t="str">
        <f>IFERROR(__xludf.DUMMYFUNCTION("""COMPUTED_VALUE"""),"21/08/2023, 17:24:36")</f>
        <v>21/08/2023, 17:24:36</v>
      </c>
    </row>
    <row r="13">
      <c r="A13" s="18" t="str">
        <f>IFERROR(__xludf.DUMMYFUNCTION("""COMPUTED_VALUE"""),"63b5a43b2426700446ce7272")</f>
        <v>63b5a43b2426700446ce7272</v>
      </c>
      <c r="B13" s="15" t="str">
        <f>IFERROR(__xludf.DUMMYFUNCTION("""COMPUTED_VALUE"""),"official_batch_3_kramer_conti_mfc520_day_japan_for_train_updated")</f>
        <v>official_batch_3_kramer_conti_mfc520_day_japan_for_train_updated</v>
      </c>
      <c r="C13" s="15" t="str">
        <f>IFERROR(__xludf.DUMMYFUNCTION("""COMPUTED_VALUE"""),"train")</f>
        <v>train</v>
      </c>
      <c r="D13" s="15" t="str">
        <f>IFERROR(__xludf.DUMMYFUNCTION("""COMPUTED_VALUE"""),"train")</f>
        <v>train</v>
      </c>
      <c r="E13" s="15">
        <f>IFERROR(__xludf.DUMMYFUNCTION("""COMPUTED_VALUE"""),500.0)</f>
        <v>500</v>
      </c>
      <c r="F13" s="15" t="str">
        <f>IFERROR(__xludf.DUMMYFUNCTION("""COMPUTED_VALUE"""),"QUAD")</f>
        <v>QUAD</v>
      </c>
      <c r="G13" s="15" t="str">
        <f>IFERROR(__xludf.DUMMYFUNCTION("""COMPUTED_VALUE"""),"unknown, unknown, unknown, unknown")</f>
        <v>unknown, unknown, unknown, unknown</v>
      </c>
      <c r="H13" s="15">
        <f>IFERROR(__xludf.DUMMYFUNCTION("""COMPUTED_VALUE"""),950.0)</f>
        <v>950</v>
      </c>
      <c r="I13" s="15">
        <f>IFERROR(__xludf.DUMMYFUNCTION("""COMPUTED_VALUE"""),1675.0)</f>
        <v>1675</v>
      </c>
      <c r="J13" s="15">
        <f>IFERROR(__xludf.DUMMYFUNCTION("""COMPUTED_VALUE"""),1585.0)</f>
        <v>1585</v>
      </c>
      <c r="K13" s="16" t="str">
        <f>IFERROR(__xludf.DUMMYFUNCTION("""COMPUTED_VALUE"""),"21/08/2023, 17:24:38")</f>
        <v>21/08/2023, 17:24:38</v>
      </c>
    </row>
    <row r="14">
      <c r="A14" s="18" t="str">
        <f>IFERROR(__xludf.DUMMYFUNCTION("""COMPUTED_VALUE"""),"63b5a7332426700446ce7570")</f>
        <v>63b5a7332426700446ce7570</v>
      </c>
      <c r="B14" s="15" t="str">
        <f>IFERROR(__xludf.DUMMYFUNCTION("""COMPUTED_VALUE"""),"official_batch_1_george_conti_mfc520_japan_day_for_train_updated")</f>
        <v>official_batch_1_george_conti_mfc520_japan_day_for_train_updated</v>
      </c>
      <c r="C14" s="15" t="str">
        <f>IFERROR(__xludf.DUMMYFUNCTION("""COMPUTED_VALUE"""),"train")</f>
        <v>train</v>
      </c>
      <c r="D14" s="15" t="str">
        <f>IFERROR(__xludf.DUMMYFUNCTION("""COMPUTED_VALUE"""),"train")</f>
        <v>train</v>
      </c>
      <c r="E14" s="15">
        <f>IFERROR(__xludf.DUMMYFUNCTION("""COMPUTED_VALUE"""),1000.0)</f>
        <v>1000</v>
      </c>
      <c r="F14" s="15" t="str">
        <f>IFERROR(__xludf.DUMMYFUNCTION("""COMPUTED_VALUE"""),"QUAD")</f>
        <v>QUAD</v>
      </c>
      <c r="G14" s="15" t="str">
        <f>IFERROR(__xludf.DUMMYFUNCTION("""COMPUTED_VALUE"""),"unknown, unknown, unknown, unknown")</f>
        <v>unknown, unknown, unknown, unknown</v>
      </c>
      <c r="H14" s="15">
        <f>IFERROR(__xludf.DUMMYFUNCTION("""COMPUTED_VALUE"""),950.0)</f>
        <v>950</v>
      </c>
      <c r="I14" s="15">
        <f>IFERROR(__xludf.DUMMYFUNCTION("""COMPUTED_VALUE"""),1675.0)</f>
        <v>1675</v>
      </c>
      <c r="J14" s="15">
        <f>IFERROR(__xludf.DUMMYFUNCTION("""COMPUTED_VALUE"""),1585.0)</f>
        <v>1585</v>
      </c>
      <c r="K14" s="16" t="str">
        <f>IFERROR(__xludf.DUMMYFUNCTION("""COMPUTED_VALUE"""),"21/08/2023, 17:24:42")</f>
        <v>21/08/2023, 17:24:42</v>
      </c>
    </row>
    <row r="15">
      <c r="A15" s="18" t="str">
        <f>IFERROR(__xludf.DUMMYFUNCTION("""COMPUTED_VALUE"""),"63b5a7902426700446ce75e8")</f>
        <v>63b5a7902426700446ce75e8</v>
      </c>
      <c r="B15" s="15" t="str">
        <f>IFERROR(__xludf.DUMMYFUNCTION("""COMPUTED_VALUE"""),"official_batch_2_george_conti_mfc520_japan_day_for_train_updated")</f>
        <v>official_batch_2_george_conti_mfc520_japan_day_for_train_updated</v>
      </c>
      <c r="C15" s="15" t="str">
        <f>IFERROR(__xludf.DUMMYFUNCTION("""COMPUTED_VALUE"""),"train")</f>
        <v>train</v>
      </c>
      <c r="D15" s="15" t="str">
        <f>IFERROR(__xludf.DUMMYFUNCTION("""COMPUTED_VALUE"""),"train")</f>
        <v>train</v>
      </c>
      <c r="E15" s="15">
        <f>IFERROR(__xludf.DUMMYFUNCTION("""COMPUTED_VALUE"""),998.0)</f>
        <v>998</v>
      </c>
      <c r="F15" s="15" t="str">
        <f>IFERROR(__xludf.DUMMYFUNCTION("""COMPUTED_VALUE"""),"QUAD")</f>
        <v>QUAD</v>
      </c>
      <c r="G15" s="15" t="str">
        <f>IFERROR(__xludf.DUMMYFUNCTION("""COMPUTED_VALUE"""),"unknown, unknown, unknown, unknown")</f>
        <v>unknown, unknown, unknown, unknown</v>
      </c>
      <c r="H15" s="15">
        <f>IFERROR(__xludf.DUMMYFUNCTION("""COMPUTED_VALUE"""),950.0)</f>
        <v>950</v>
      </c>
      <c r="I15" s="15">
        <f>IFERROR(__xludf.DUMMYFUNCTION("""COMPUTED_VALUE"""),1675.0)</f>
        <v>1675</v>
      </c>
      <c r="J15" s="15">
        <f>IFERROR(__xludf.DUMMYFUNCTION("""COMPUTED_VALUE"""),1585.0)</f>
        <v>1585</v>
      </c>
      <c r="K15" s="16" t="str">
        <f>IFERROR(__xludf.DUMMYFUNCTION("""COMPUTED_VALUE"""),"21/08/2023, 17:24:45")</f>
        <v>21/08/2023, 17:24:45</v>
      </c>
    </row>
    <row r="16">
      <c r="A16" s="18" t="str">
        <f>IFERROR(__xludf.DUMMYFUNCTION("""COMPUTED_VALUE"""),"63b5a7fc2426700446ce7671")</f>
        <v>63b5a7fc2426700446ce7671</v>
      </c>
      <c r="B16" s="15" t="str">
        <f>IFERROR(__xludf.DUMMYFUNCTION("""COMPUTED_VALUE"""),"official_batch_3_george_conti_mfc520_japan_day_for_train_updated")</f>
        <v>official_batch_3_george_conti_mfc520_japan_day_for_train_updated</v>
      </c>
      <c r="C16" s="15" t="str">
        <f>IFERROR(__xludf.DUMMYFUNCTION("""COMPUTED_VALUE"""),"train")</f>
        <v>train</v>
      </c>
      <c r="D16" s="15" t="str">
        <f>IFERROR(__xludf.DUMMYFUNCTION("""COMPUTED_VALUE"""),"train")</f>
        <v>train</v>
      </c>
      <c r="E16" s="15">
        <f>IFERROR(__xludf.DUMMYFUNCTION("""COMPUTED_VALUE"""),1000.0)</f>
        <v>1000</v>
      </c>
      <c r="F16" s="15" t="str">
        <f>IFERROR(__xludf.DUMMYFUNCTION("""COMPUTED_VALUE"""),"QUAD")</f>
        <v>QUAD</v>
      </c>
      <c r="G16" s="15" t="str">
        <f>IFERROR(__xludf.DUMMYFUNCTION("""COMPUTED_VALUE"""),"unknown, unknown, unknown, unknown")</f>
        <v>unknown, unknown, unknown, unknown</v>
      </c>
      <c r="H16" s="15">
        <f>IFERROR(__xludf.DUMMYFUNCTION("""COMPUTED_VALUE"""),950.0)</f>
        <v>950</v>
      </c>
      <c r="I16" s="15">
        <f>IFERROR(__xludf.DUMMYFUNCTION("""COMPUTED_VALUE"""),1675.0)</f>
        <v>1675</v>
      </c>
      <c r="J16" s="15">
        <f>IFERROR(__xludf.DUMMYFUNCTION("""COMPUTED_VALUE"""),1585.0)</f>
        <v>1585</v>
      </c>
      <c r="K16" s="16" t="str">
        <f>IFERROR(__xludf.DUMMYFUNCTION("""COMPUTED_VALUE"""),"21/08/2023, 17:24:49")</f>
        <v>21/08/2023, 17:24:49</v>
      </c>
    </row>
    <row r="17">
      <c r="A17" s="18" t="str">
        <f>IFERROR(__xludf.DUMMYFUNCTION("""COMPUTED_VALUE"""),"63b67fba2426700446d0237b")</f>
        <v>63b67fba2426700446d0237b</v>
      </c>
      <c r="B17" s="15" t="str">
        <f>IFERROR(__xludf.DUMMYFUNCTION("""COMPUTED_VALUE"""),"official_batch_4_george_conti_mfc520_japan_day_for_train_updated")</f>
        <v>official_batch_4_george_conti_mfc520_japan_day_for_train_updated</v>
      </c>
      <c r="C17" s="15" t="str">
        <f>IFERROR(__xludf.DUMMYFUNCTION("""COMPUTED_VALUE"""),"train")</f>
        <v>train</v>
      </c>
      <c r="D17" s="15" t="str">
        <f>IFERROR(__xludf.DUMMYFUNCTION("""COMPUTED_VALUE"""),"train")</f>
        <v>train</v>
      </c>
      <c r="E17" s="15">
        <f>IFERROR(__xludf.DUMMYFUNCTION("""COMPUTED_VALUE"""),996.0)</f>
        <v>996</v>
      </c>
      <c r="F17" s="15" t="str">
        <f>IFERROR(__xludf.DUMMYFUNCTION("""COMPUTED_VALUE"""),"QUAD")</f>
        <v>QUAD</v>
      </c>
      <c r="G17" s="15" t="str">
        <f>IFERROR(__xludf.DUMMYFUNCTION("""COMPUTED_VALUE"""),"unknown, unknown, unknown, unknown")</f>
        <v>unknown, unknown, unknown, unknown</v>
      </c>
      <c r="H17" s="15">
        <f>IFERROR(__xludf.DUMMYFUNCTION("""COMPUTED_VALUE"""),950.0)</f>
        <v>950</v>
      </c>
      <c r="I17" s="15">
        <f>IFERROR(__xludf.DUMMYFUNCTION("""COMPUTED_VALUE"""),1675.0)</f>
        <v>1675</v>
      </c>
      <c r="J17" s="15">
        <f>IFERROR(__xludf.DUMMYFUNCTION("""COMPUTED_VALUE"""),1585.0)</f>
        <v>1585</v>
      </c>
      <c r="K17" s="16" t="str">
        <f>IFERROR(__xludf.DUMMYFUNCTION("""COMPUTED_VALUE"""),"21/08/2023, 17:24:52")</f>
        <v>21/08/2023, 17:24:52</v>
      </c>
    </row>
    <row r="18">
      <c r="A18" s="18" t="str">
        <f>IFERROR(__xludf.DUMMYFUNCTION("""COMPUTED_VALUE"""),"63b680352426700446d02414")</f>
        <v>63b680352426700446d02414</v>
      </c>
      <c r="B18" s="15" t="str">
        <f>IFERROR(__xludf.DUMMYFUNCTION("""COMPUTED_VALUE"""),"official_batch_5_george_conti_mfc520_japan_day_for_train_updated")</f>
        <v>official_batch_5_george_conti_mfc520_japan_day_for_train_updated</v>
      </c>
      <c r="C18" s="15" t="str">
        <f>IFERROR(__xludf.DUMMYFUNCTION("""COMPUTED_VALUE"""),"train")</f>
        <v>train</v>
      </c>
      <c r="D18" s="15" t="str">
        <f>IFERROR(__xludf.DUMMYFUNCTION("""COMPUTED_VALUE"""),"train")</f>
        <v>train</v>
      </c>
      <c r="E18" s="15">
        <f>IFERROR(__xludf.DUMMYFUNCTION("""COMPUTED_VALUE"""),556.0)</f>
        <v>556</v>
      </c>
      <c r="F18" s="15" t="str">
        <f>IFERROR(__xludf.DUMMYFUNCTION("""COMPUTED_VALUE"""),"QUAD")</f>
        <v>QUAD</v>
      </c>
      <c r="G18" s="15" t="str">
        <f>IFERROR(__xludf.DUMMYFUNCTION("""COMPUTED_VALUE"""),"unknown, unknown, unknown, unknown")</f>
        <v>unknown, unknown, unknown, unknown</v>
      </c>
      <c r="H18" s="15">
        <f>IFERROR(__xludf.DUMMYFUNCTION("""COMPUTED_VALUE"""),950.0)</f>
        <v>950</v>
      </c>
      <c r="I18" s="15">
        <f>IFERROR(__xludf.DUMMYFUNCTION("""COMPUTED_VALUE"""),1675.0)</f>
        <v>1675</v>
      </c>
      <c r="J18" s="15">
        <f>IFERROR(__xludf.DUMMYFUNCTION("""COMPUTED_VALUE"""),1585.0)</f>
        <v>1585</v>
      </c>
      <c r="K18" s="16" t="str">
        <f>IFERROR(__xludf.DUMMYFUNCTION("""COMPUTED_VALUE"""),"21/08/2023, 17:24:55")</f>
        <v>21/08/2023, 17:24:55</v>
      </c>
    </row>
    <row r="19">
      <c r="A19" s="18" t="str">
        <f>IFERROR(__xludf.DUMMYFUNCTION("""COMPUTED_VALUE"""),"63b680e12426700446d024e8")</f>
        <v>63b680e12426700446d024e8</v>
      </c>
      <c r="B19" s="15" t="str">
        <f>IFERROR(__xludf.DUMMYFUNCTION("""COMPUTED_VALUE"""),"official_batch_6_george_conti_mfc520_japan_day_for_train_updated")</f>
        <v>official_batch_6_george_conti_mfc520_japan_day_for_train_updated</v>
      </c>
      <c r="C19" s="15" t="str">
        <f>IFERROR(__xludf.DUMMYFUNCTION("""COMPUTED_VALUE"""),"train")</f>
        <v>train</v>
      </c>
      <c r="D19" s="15" t="str">
        <f>IFERROR(__xludf.DUMMYFUNCTION("""COMPUTED_VALUE"""),"train")</f>
        <v>train</v>
      </c>
      <c r="E19" s="15">
        <f>IFERROR(__xludf.DUMMYFUNCTION("""COMPUTED_VALUE"""),1991.0)</f>
        <v>1991</v>
      </c>
      <c r="F19" s="15" t="str">
        <f>IFERROR(__xludf.DUMMYFUNCTION("""COMPUTED_VALUE"""),"QUAD")</f>
        <v>QUAD</v>
      </c>
      <c r="G19" s="15" t="str">
        <f>IFERROR(__xludf.DUMMYFUNCTION("""COMPUTED_VALUE"""),"unknown, unknown, unknown, unknown")</f>
        <v>unknown, unknown, unknown, unknown</v>
      </c>
      <c r="H19" s="15">
        <f>IFERROR(__xludf.DUMMYFUNCTION("""COMPUTED_VALUE"""),950.0)</f>
        <v>950</v>
      </c>
      <c r="I19" s="15">
        <f>IFERROR(__xludf.DUMMYFUNCTION("""COMPUTED_VALUE"""),1675.0)</f>
        <v>1675</v>
      </c>
      <c r="J19" s="15">
        <f>IFERROR(__xludf.DUMMYFUNCTION("""COMPUTED_VALUE"""),1585.0)</f>
        <v>1585</v>
      </c>
      <c r="K19" s="16" t="str">
        <f>IFERROR(__xludf.DUMMYFUNCTION("""COMPUTED_VALUE"""),"21/08/2023, 17:24:59")</f>
        <v>21/08/2023, 17:24:59</v>
      </c>
    </row>
    <row r="20">
      <c r="A20" s="18" t="str">
        <f>IFERROR(__xludf.DUMMYFUNCTION("""COMPUTED_VALUE"""),"63b6812b2426700446d02559")</f>
        <v>63b6812b2426700446d02559</v>
      </c>
      <c r="B20" s="15" t="str">
        <f>IFERROR(__xludf.DUMMYFUNCTION("""COMPUTED_VALUE"""),"official_batch_7_george_conti_mfc520_japan_day_for_train_updated")</f>
        <v>official_batch_7_george_conti_mfc520_japan_day_for_train_updated</v>
      </c>
      <c r="C20" s="15" t="str">
        <f>IFERROR(__xludf.DUMMYFUNCTION("""COMPUTED_VALUE"""),"train")</f>
        <v>train</v>
      </c>
      <c r="D20" s="15" t="str">
        <f>IFERROR(__xludf.DUMMYFUNCTION("""COMPUTED_VALUE"""),"train")</f>
        <v>train</v>
      </c>
      <c r="E20" s="15">
        <f>IFERROR(__xludf.DUMMYFUNCTION("""COMPUTED_VALUE"""),490.0)</f>
        <v>490</v>
      </c>
      <c r="F20" s="15" t="str">
        <f>IFERROR(__xludf.DUMMYFUNCTION("""COMPUTED_VALUE"""),"QUAD")</f>
        <v>QUAD</v>
      </c>
      <c r="G20" s="15" t="str">
        <f>IFERROR(__xludf.DUMMYFUNCTION("""COMPUTED_VALUE"""),"unknown, unknown, unknown, unknown")</f>
        <v>unknown, unknown, unknown, unknown</v>
      </c>
      <c r="H20" s="15">
        <f>IFERROR(__xludf.DUMMYFUNCTION("""COMPUTED_VALUE"""),950.0)</f>
        <v>950</v>
      </c>
      <c r="I20" s="15">
        <f>IFERROR(__xludf.DUMMYFUNCTION("""COMPUTED_VALUE"""),1675.0)</f>
        <v>1675</v>
      </c>
      <c r="J20" s="15">
        <f>IFERROR(__xludf.DUMMYFUNCTION("""COMPUTED_VALUE"""),1585.0)</f>
        <v>1585</v>
      </c>
      <c r="K20" s="16" t="str">
        <f>IFERROR(__xludf.DUMMYFUNCTION("""COMPUTED_VALUE"""),"21/08/2023, 17:25:02")</f>
        <v>21/08/2023, 17:25:02</v>
      </c>
    </row>
    <row r="21">
      <c r="A21" s="18" t="str">
        <f>IFERROR(__xludf.DUMMYFUNCTION("""COMPUTED_VALUE"""),"63b682442426700446d026a8")</f>
        <v>63b682442426700446d026a8</v>
      </c>
      <c r="B21" s="15" t="str">
        <f>IFERROR(__xludf.DUMMYFUNCTION("""COMPUTED_VALUE"""),"official_batch_8_george_conti_mfc520_japan_day_for_train_updated")</f>
        <v>official_batch_8_george_conti_mfc520_japan_day_for_train_updated</v>
      </c>
      <c r="C21" s="15" t="str">
        <f>IFERROR(__xludf.DUMMYFUNCTION("""COMPUTED_VALUE"""),"train")</f>
        <v>train</v>
      </c>
      <c r="D21" s="15" t="str">
        <f>IFERROR(__xludf.DUMMYFUNCTION("""COMPUTED_VALUE"""),"train")</f>
        <v>train</v>
      </c>
      <c r="E21" s="15">
        <f>IFERROR(__xludf.DUMMYFUNCTION("""COMPUTED_VALUE"""),998.0)</f>
        <v>998</v>
      </c>
      <c r="F21" s="15" t="str">
        <f>IFERROR(__xludf.DUMMYFUNCTION("""COMPUTED_VALUE"""),"QUAD")</f>
        <v>QUAD</v>
      </c>
      <c r="G21" s="15" t="str">
        <f>IFERROR(__xludf.DUMMYFUNCTION("""COMPUTED_VALUE"""),"unknown, unknown, unknown, unknown")</f>
        <v>unknown, unknown, unknown, unknown</v>
      </c>
      <c r="H21" s="15">
        <f>IFERROR(__xludf.DUMMYFUNCTION("""COMPUTED_VALUE"""),950.0)</f>
        <v>950</v>
      </c>
      <c r="I21" s="15">
        <f>IFERROR(__xludf.DUMMYFUNCTION("""COMPUTED_VALUE"""),1675.0)</f>
        <v>1675</v>
      </c>
      <c r="J21" s="15">
        <f>IFERROR(__xludf.DUMMYFUNCTION("""COMPUTED_VALUE"""),1585.0)</f>
        <v>1585</v>
      </c>
      <c r="K21" s="16" t="str">
        <f>IFERROR(__xludf.DUMMYFUNCTION("""COMPUTED_VALUE"""),"21/08/2023, 17:25:05")</f>
        <v>21/08/2023, 17:25:05</v>
      </c>
    </row>
    <row r="22">
      <c r="A22" s="18" t="str">
        <f>IFERROR(__xludf.DUMMYFUNCTION("""COMPUTED_VALUE"""),"63b682982426700446d02720")</f>
        <v>63b682982426700446d02720</v>
      </c>
      <c r="B22" s="15" t="str">
        <f>IFERROR(__xludf.DUMMYFUNCTION("""COMPUTED_VALUE"""),"official_batch_9_george_conti_mfc520_japan_day_for_train_updated")</f>
        <v>official_batch_9_george_conti_mfc520_japan_day_for_train_updated</v>
      </c>
      <c r="C22" s="15" t="str">
        <f>IFERROR(__xludf.DUMMYFUNCTION("""COMPUTED_VALUE"""),"train")</f>
        <v>train</v>
      </c>
      <c r="D22" s="15" t="str">
        <f>IFERROR(__xludf.DUMMYFUNCTION("""COMPUTED_VALUE"""),"train")</f>
        <v>train</v>
      </c>
      <c r="E22" s="15">
        <f>IFERROR(__xludf.DUMMYFUNCTION("""COMPUTED_VALUE"""),1013.0)</f>
        <v>1013</v>
      </c>
      <c r="F22" s="15" t="str">
        <f>IFERROR(__xludf.DUMMYFUNCTION("""COMPUTED_VALUE"""),"QUAD")</f>
        <v>QUAD</v>
      </c>
      <c r="G22" s="15" t="str">
        <f>IFERROR(__xludf.DUMMYFUNCTION("""COMPUTED_VALUE"""),"unknown, unknown, unknown, unknown")</f>
        <v>unknown, unknown, unknown, unknown</v>
      </c>
      <c r="H22" s="15">
        <f>IFERROR(__xludf.DUMMYFUNCTION("""COMPUTED_VALUE"""),950.0)</f>
        <v>950</v>
      </c>
      <c r="I22" s="15">
        <f>IFERROR(__xludf.DUMMYFUNCTION("""COMPUTED_VALUE"""),1675.0)</f>
        <v>1675</v>
      </c>
      <c r="J22" s="15">
        <f>IFERROR(__xludf.DUMMYFUNCTION("""COMPUTED_VALUE"""),1585.0)</f>
        <v>1585</v>
      </c>
      <c r="K22" s="16" t="str">
        <f>IFERROR(__xludf.DUMMYFUNCTION("""COMPUTED_VALUE"""),"21/08/2023, 17:25:09")</f>
        <v>21/08/2023, 17:25:09</v>
      </c>
    </row>
    <row r="23">
      <c r="A23" s="18" t="str">
        <f>IFERROR(__xludf.DUMMYFUNCTION("""COMPUTED_VALUE"""),"63b682fd2426700446d027ae")</f>
        <v>63b682fd2426700446d027ae</v>
      </c>
      <c r="B23" s="15" t="str">
        <f>IFERROR(__xludf.DUMMYFUNCTION("""COMPUTED_VALUE"""),"official_batch_10_george_conti_mfc520_japan_day_for_train_updated")</f>
        <v>official_batch_10_george_conti_mfc520_japan_day_for_train_updated</v>
      </c>
      <c r="C23" s="15" t="str">
        <f>IFERROR(__xludf.DUMMYFUNCTION("""COMPUTED_VALUE"""),"train")</f>
        <v>train</v>
      </c>
      <c r="D23" s="15" t="str">
        <f>IFERROR(__xludf.DUMMYFUNCTION("""COMPUTED_VALUE"""),"train")</f>
        <v>train</v>
      </c>
      <c r="E23" s="15">
        <f>IFERROR(__xludf.DUMMYFUNCTION("""COMPUTED_VALUE"""),1000.0)</f>
        <v>1000</v>
      </c>
      <c r="F23" s="15" t="str">
        <f>IFERROR(__xludf.DUMMYFUNCTION("""COMPUTED_VALUE"""),"QUAD")</f>
        <v>QUAD</v>
      </c>
      <c r="G23" s="15" t="str">
        <f>IFERROR(__xludf.DUMMYFUNCTION("""COMPUTED_VALUE"""),"unknown, unknown, unknown, unknown")</f>
        <v>unknown, unknown, unknown, unknown</v>
      </c>
      <c r="H23" s="15">
        <f>IFERROR(__xludf.DUMMYFUNCTION("""COMPUTED_VALUE"""),950.0)</f>
        <v>950</v>
      </c>
      <c r="I23" s="15">
        <f>IFERROR(__xludf.DUMMYFUNCTION("""COMPUTED_VALUE"""),1675.0)</f>
        <v>1675</v>
      </c>
      <c r="J23" s="15">
        <f>IFERROR(__xludf.DUMMYFUNCTION("""COMPUTED_VALUE"""),1585.0)</f>
        <v>1585</v>
      </c>
      <c r="K23" s="16" t="str">
        <f>IFERROR(__xludf.DUMMYFUNCTION("""COMPUTED_VALUE"""),"21/08/2023, 17:25:12")</f>
        <v>21/08/2023, 17:25:12</v>
      </c>
    </row>
    <row r="24">
      <c r="A24" s="18" t="str">
        <f>IFERROR(__xludf.DUMMYFUNCTION("""COMPUTED_VALUE"""),"63b683322426700446d02808")</f>
        <v>63b683322426700446d02808</v>
      </c>
      <c r="B24" s="15" t="str">
        <f>IFERROR(__xludf.DUMMYFUNCTION("""COMPUTED_VALUE"""),"official_batch_11_george_conti_mfc520_japan_day_for_train_updated")</f>
        <v>official_batch_11_george_conti_mfc520_japan_day_for_train_updated</v>
      </c>
      <c r="C24" s="15" t="str">
        <f>IFERROR(__xludf.DUMMYFUNCTION("""COMPUTED_VALUE"""),"train")</f>
        <v>train</v>
      </c>
      <c r="D24" s="15" t="str">
        <f>IFERROR(__xludf.DUMMYFUNCTION("""COMPUTED_VALUE"""),"train")</f>
        <v>train</v>
      </c>
      <c r="E24" s="15">
        <f>IFERROR(__xludf.DUMMYFUNCTION("""COMPUTED_VALUE"""),467.0)</f>
        <v>467</v>
      </c>
      <c r="F24" s="15" t="str">
        <f>IFERROR(__xludf.DUMMYFUNCTION("""COMPUTED_VALUE"""),"QUAD")</f>
        <v>QUAD</v>
      </c>
      <c r="G24" s="15" t="str">
        <f>IFERROR(__xludf.DUMMYFUNCTION("""COMPUTED_VALUE"""),"unknown, unknown, unknown, unknown")</f>
        <v>unknown, unknown, unknown, unknown</v>
      </c>
      <c r="H24" s="15">
        <f>IFERROR(__xludf.DUMMYFUNCTION("""COMPUTED_VALUE"""),950.0)</f>
        <v>950</v>
      </c>
      <c r="I24" s="15">
        <f>IFERROR(__xludf.DUMMYFUNCTION("""COMPUTED_VALUE"""),1675.0)</f>
        <v>1675</v>
      </c>
      <c r="J24" s="15">
        <f>IFERROR(__xludf.DUMMYFUNCTION("""COMPUTED_VALUE"""),1585.0)</f>
        <v>1585</v>
      </c>
      <c r="K24" s="16" t="str">
        <f>IFERROR(__xludf.DUMMYFUNCTION("""COMPUTED_VALUE"""),"21/08/2023, 17:25:16")</f>
        <v>21/08/2023, 17:25:16</v>
      </c>
    </row>
    <row r="25">
      <c r="A25" s="18" t="str">
        <f>IFERROR(__xludf.DUMMYFUNCTION("""COMPUTED_VALUE"""),"63b683c22426700446d028c8")</f>
        <v>63b683c22426700446d028c8</v>
      </c>
      <c r="B25" s="15" t="str">
        <f>IFERROR(__xludf.DUMMYFUNCTION("""COMPUTED_VALUE"""),"official_batch_12_george_conti_mfc520_japan_day_for_train_updated")</f>
        <v>official_batch_12_george_conti_mfc520_japan_day_for_train_updated</v>
      </c>
      <c r="C25" s="15" t="str">
        <f>IFERROR(__xludf.DUMMYFUNCTION("""COMPUTED_VALUE"""),"train")</f>
        <v>train</v>
      </c>
      <c r="D25" s="15" t="str">
        <f>IFERROR(__xludf.DUMMYFUNCTION("""COMPUTED_VALUE"""),"train")</f>
        <v>train</v>
      </c>
      <c r="E25" s="15">
        <f>IFERROR(__xludf.DUMMYFUNCTION("""COMPUTED_VALUE"""),1483.0)</f>
        <v>1483</v>
      </c>
      <c r="F25" s="15" t="str">
        <f>IFERROR(__xludf.DUMMYFUNCTION("""COMPUTED_VALUE"""),"QUAD")</f>
        <v>QUAD</v>
      </c>
      <c r="G25" s="15" t="str">
        <f>IFERROR(__xludf.DUMMYFUNCTION("""COMPUTED_VALUE"""),"unknown, unknown, unknown, unknown")</f>
        <v>unknown, unknown, unknown, unknown</v>
      </c>
      <c r="H25" s="15">
        <f>IFERROR(__xludf.DUMMYFUNCTION("""COMPUTED_VALUE"""),950.0)</f>
        <v>950</v>
      </c>
      <c r="I25" s="15">
        <f>IFERROR(__xludf.DUMMYFUNCTION("""COMPUTED_VALUE"""),1675.0)</f>
        <v>1675</v>
      </c>
      <c r="J25" s="15">
        <f>IFERROR(__xludf.DUMMYFUNCTION("""COMPUTED_VALUE"""),1585.0)</f>
        <v>1585</v>
      </c>
      <c r="K25" s="16" t="str">
        <f>IFERROR(__xludf.DUMMYFUNCTION("""COMPUTED_VALUE"""),"21/08/2023, 17:25:19")</f>
        <v>21/08/2023, 17:25:19</v>
      </c>
    </row>
    <row r="26">
      <c r="A26" s="18" t="str">
        <f>IFERROR(__xludf.DUMMYFUNCTION("""COMPUTED_VALUE"""),"63b684542426700446d0295b")</f>
        <v>63b684542426700446d0295b</v>
      </c>
      <c r="B26" s="15" t="str">
        <f>IFERROR(__xludf.DUMMYFUNCTION("""COMPUTED_VALUE"""),"official_batch_13_george_conti_mfc520_japan_day_for_train_updated")</f>
        <v>official_batch_13_george_conti_mfc520_japan_day_for_train_updated</v>
      </c>
      <c r="C26" s="15" t="str">
        <f>IFERROR(__xludf.DUMMYFUNCTION("""COMPUTED_VALUE"""),"train")</f>
        <v>train</v>
      </c>
      <c r="D26" s="15" t="str">
        <f>IFERROR(__xludf.DUMMYFUNCTION("""COMPUTED_VALUE"""),"train")</f>
        <v>train</v>
      </c>
      <c r="E26" s="15">
        <f>IFERROR(__xludf.DUMMYFUNCTION("""COMPUTED_VALUE"""),1614.0)</f>
        <v>1614</v>
      </c>
      <c r="F26" s="15" t="str">
        <f>IFERROR(__xludf.DUMMYFUNCTION("""COMPUTED_VALUE"""),"QUAD")</f>
        <v>QUAD</v>
      </c>
      <c r="G26" s="15" t="str">
        <f>IFERROR(__xludf.DUMMYFUNCTION("""COMPUTED_VALUE"""),"unknown, unknown, unknown, unknown")</f>
        <v>unknown, unknown, unknown, unknown</v>
      </c>
      <c r="H26" s="15">
        <f>IFERROR(__xludf.DUMMYFUNCTION("""COMPUTED_VALUE"""),950.0)</f>
        <v>950</v>
      </c>
      <c r="I26" s="15">
        <f>IFERROR(__xludf.DUMMYFUNCTION("""COMPUTED_VALUE"""),1675.0)</f>
        <v>1675</v>
      </c>
      <c r="J26" s="15">
        <f>IFERROR(__xludf.DUMMYFUNCTION("""COMPUTED_VALUE"""),1585.0)</f>
        <v>1585</v>
      </c>
      <c r="K26" s="16" t="str">
        <f>IFERROR(__xludf.DUMMYFUNCTION("""COMPUTED_VALUE"""),"21/08/2023, 17:25:23")</f>
        <v>21/08/2023, 17:25:23</v>
      </c>
    </row>
    <row r="27">
      <c r="A27" s="18" t="str">
        <f>IFERROR(__xludf.DUMMYFUNCTION("""COMPUTED_VALUE"""),"63b69c0f2426700446d17be2")</f>
        <v>63b69c0f2426700446d17be2</v>
      </c>
      <c r="B27" s="15" t="str">
        <f>IFERROR(__xludf.DUMMYFUNCTION("""COMPUTED_VALUE"""),"official_batch_14_george_conti_mfc520_japan_day_for_train_updated")</f>
        <v>official_batch_14_george_conti_mfc520_japan_day_for_train_updated</v>
      </c>
      <c r="C27" s="15" t="str">
        <f>IFERROR(__xludf.DUMMYFUNCTION("""COMPUTED_VALUE"""),"train")</f>
        <v>train</v>
      </c>
      <c r="D27" s="15" t="str">
        <f>IFERROR(__xludf.DUMMYFUNCTION("""COMPUTED_VALUE"""),"train")</f>
        <v>train</v>
      </c>
      <c r="E27" s="15">
        <f>IFERROR(__xludf.DUMMYFUNCTION("""COMPUTED_VALUE"""),2230.0)</f>
        <v>2230</v>
      </c>
      <c r="F27" s="15" t="str">
        <f>IFERROR(__xludf.DUMMYFUNCTION("""COMPUTED_VALUE"""),"QUAD")</f>
        <v>QUAD</v>
      </c>
      <c r="G27" s="15" t="str">
        <f>IFERROR(__xludf.DUMMYFUNCTION("""COMPUTED_VALUE"""),"unknown, unknown, unknown, unknown")</f>
        <v>unknown, unknown, unknown, unknown</v>
      </c>
      <c r="H27" s="15">
        <f>IFERROR(__xludf.DUMMYFUNCTION("""COMPUTED_VALUE"""),950.0)</f>
        <v>950</v>
      </c>
      <c r="I27" s="15">
        <f>IFERROR(__xludf.DUMMYFUNCTION("""COMPUTED_VALUE"""),1675.0)</f>
        <v>1675</v>
      </c>
      <c r="J27" s="15">
        <f>IFERROR(__xludf.DUMMYFUNCTION("""COMPUTED_VALUE"""),1585.0)</f>
        <v>1585</v>
      </c>
      <c r="K27" s="16" t="str">
        <f>IFERROR(__xludf.DUMMYFUNCTION("""COMPUTED_VALUE"""),"21/08/2023, 17:25:27")</f>
        <v>21/08/2023, 17:25:27</v>
      </c>
    </row>
    <row r="28">
      <c r="A28" s="18" t="str">
        <f>IFERROR(__xludf.DUMMYFUNCTION("""COMPUTED_VALUE"""),"63b69e162426700446d18094")</f>
        <v>63b69e162426700446d18094</v>
      </c>
      <c r="B28" s="15" t="str">
        <f>IFERROR(__xludf.DUMMYFUNCTION("""COMPUTED_VALUE"""),"official_batch_15_george_conti_mfc520_japan_day_for_train_updated")</f>
        <v>official_batch_15_george_conti_mfc520_japan_day_for_train_updated</v>
      </c>
      <c r="C28" s="15" t="str">
        <f>IFERROR(__xludf.DUMMYFUNCTION("""COMPUTED_VALUE"""),"train")</f>
        <v>train</v>
      </c>
      <c r="D28" s="15" t="str">
        <f>IFERROR(__xludf.DUMMYFUNCTION("""COMPUTED_VALUE"""),"train")</f>
        <v>train</v>
      </c>
      <c r="E28" s="15">
        <f>IFERROR(__xludf.DUMMYFUNCTION("""COMPUTED_VALUE"""),2012.0)</f>
        <v>2012</v>
      </c>
      <c r="F28" s="15" t="str">
        <f>IFERROR(__xludf.DUMMYFUNCTION("""COMPUTED_VALUE"""),"QUAD")</f>
        <v>QUAD</v>
      </c>
      <c r="G28" s="15" t="str">
        <f>IFERROR(__xludf.DUMMYFUNCTION("""COMPUTED_VALUE"""),"unknown, unknown, unknown, unknown")</f>
        <v>unknown, unknown, unknown, unknown</v>
      </c>
      <c r="H28" s="15">
        <f>IFERROR(__xludf.DUMMYFUNCTION("""COMPUTED_VALUE"""),950.0)</f>
        <v>950</v>
      </c>
      <c r="I28" s="15">
        <f>IFERROR(__xludf.DUMMYFUNCTION("""COMPUTED_VALUE"""),1675.0)</f>
        <v>1675</v>
      </c>
      <c r="J28" s="15">
        <f>IFERROR(__xludf.DUMMYFUNCTION("""COMPUTED_VALUE"""),1585.0)</f>
        <v>1585</v>
      </c>
      <c r="K28" s="16" t="str">
        <f>IFERROR(__xludf.DUMMYFUNCTION("""COMPUTED_VALUE"""),"21/08/2023, 17:25:31")</f>
        <v>21/08/2023, 17:25:31</v>
      </c>
    </row>
    <row r="29">
      <c r="A29" s="18" t="str">
        <f>IFERROR(__xludf.DUMMYFUNCTION("""COMPUTED_VALUE"""),"63b69f4d2426700446d1905f")</f>
        <v>63b69f4d2426700446d1905f</v>
      </c>
      <c r="B29" s="15" t="str">
        <f>IFERROR(__xludf.DUMMYFUNCTION("""COMPUTED_VALUE"""),"official_batch_16_george_conti_mfc520_japan_day_for_train_updated")</f>
        <v>official_batch_16_george_conti_mfc520_japan_day_for_train_updated</v>
      </c>
      <c r="C29" s="15" t="str">
        <f>IFERROR(__xludf.DUMMYFUNCTION("""COMPUTED_VALUE"""),"train")</f>
        <v>train</v>
      </c>
      <c r="D29" s="15" t="str">
        <f>IFERROR(__xludf.DUMMYFUNCTION("""COMPUTED_VALUE"""),"train")</f>
        <v>train</v>
      </c>
      <c r="E29" s="15">
        <f>IFERROR(__xludf.DUMMYFUNCTION("""COMPUTED_VALUE"""),1156.0)</f>
        <v>1156</v>
      </c>
      <c r="F29" s="15" t="str">
        <f>IFERROR(__xludf.DUMMYFUNCTION("""COMPUTED_VALUE"""),"QUAD")</f>
        <v>QUAD</v>
      </c>
      <c r="G29" s="15" t="str">
        <f>IFERROR(__xludf.DUMMYFUNCTION("""COMPUTED_VALUE"""),"unknown, unknown, unknown, unknown")</f>
        <v>unknown, unknown, unknown, unknown</v>
      </c>
      <c r="H29" s="15">
        <f>IFERROR(__xludf.DUMMYFUNCTION("""COMPUTED_VALUE"""),950.0)</f>
        <v>950</v>
      </c>
      <c r="I29" s="15">
        <f>IFERROR(__xludf.DUMMYFUNCTION("""COMPUTED_VALUE"""),1675.0)</f>
        <v>1675</v>
      </c>
      <c r="J29" s="15">
        <f>IFERROR(__xludf.DUMMYFUNCTION("""COMPUTED_VALUE"""),1585.0)</f>
        <v>1585</v>
      </c>
      <c r="K29" s="16" t="str">
        <f>IFERROR(__xludf.DUMMYFUNCTION("""COMPUTED_VALUE"""),"21/08/2023, 17:25:34")</f>
        <v>21/08/2023, 17:25:34</v>
      </c>
    </row>
    <row r="30">
      <c r="A30" s="18" t="str">
        <f>IFERROR(__xludf.DUMMYFUNCTION("""COMPUTED_VALUE"""),"63b6a0572426700446d1cd39")</f>
        <v>63b6a0572426700446d1cd39</v>
      </c>
      <c r="B30" s="15" t="str">
        <f>IFERROR(__xludf.DUMMYFUNCTION("""COMPUTED_VALUE"""),"official_batch_1_hiroshima_day_fas_issues_for_train_updated")</f>
        <v>official_batch_1_hiroshima_day_fas_issues_for_train_updated</v>
      </c>
      <c r="C30" s="15" t="str">
        <f>IFERROR(__xludf.DUMMYFUNCTION("""COMPUTED_VALUE"""),"train")</f>
        <v>train</v>
      </c>
      <c r="D30" s="15" t="str">
        <f>IFERROR(__xludf.DUMMYFUNCTION("""COMPUTED_VALUE"""),"train")</f>
        <v>train</v>
      </c>
      <c r="E30" s="15">
        <f>IFERROR(__xludf.DUMMYFUNCTION("""COMPUTED_VALUE"""),288.0)</f>
        <v>288</v>
      </c>
      <c r="F30" s="15" t="str">
        <f>IFERROR(__xludf.DUMMYFUNCTION("""COMPUTED_VALUE"""),"QUAD")</f>
        <v>QUAD</v>
      </c>
      <c r="G30" s="15" t="str">
        <f>IFERROR(__xludf.DUMMYFUNCTION("""COMPUTED_VALUE"""),"unknown, unknown, unknown, unknown")</f>
        <v>unknown, unknown, unknown, unknown</v>
      </c>
      <c r="H30" s="15">
        <f>IFERROR(__xludf.DUMMYFUNCTION("""COMPUTED_VALUE"""),950.0)</f>
        <v>950</v>
      </c>
      <c r="I30" s="15">
        <f>IFERROR(__xludf.DUMMYFUNCTION("""COMPUTED_VALUE"""),1675.0)</f>
        <v>1675</v>
      </c>
      <c r="J30" s="15">
        <f>IFERROR(__xludf.DUMMYFUNCTION("""COMPUTED_VALUE"""),1585.0)</f>
        <v>1585</v>
      </c>
      <c r="K30" s="16" t="str">
        <f>IFERROR(__xludf.DUMMYFUNCTION("""COMPUTED_VALUE"""),"21/08/2023, 17:25:37")</f>
        <v>21/08/2023, 17:25:37</v>
      </c>
    </row>
    <row r="31">
      <c r="A31" s="18" t="str">
        <f>IFERROR(__xludf.DUMMYFUNCTION("""COMPUTED_VALUE"""),"63b6a0772426700446d1d407")</f>
        <v>63b6a0772426700446d1d407</v>
      </c>
      <c r="B31" s="15" t="str">
        <f>IFERROR(__xludf.DUMMYFUNCTION("""COMPUTED_VALUE"""),"official_batch_2_hiroshima_day_fas_issues_for_train_updated")</f>
        <v>official_batch_2_hiroshima_day_fas_issues_for_train_updated</v>
      </c>
      <c r="C31" s="15" t="str">
        <f>IFERROR(__xludf.DUMMYFUNCTION("""COMPUTED_VALUE"""),"train")</f>
        <v>train</v>
      </c>
      <c r="D31" s="15" t="str">
        <f>IFERROR(__xludf.DUMMYFUNCTION("""COMPUTED_VALUE"""),"train")</f>
        <v>train</v>
      </c>
      <c r="E31" s="15">
        <f>IFERROR(__xludf.DUMMYFUNCTION("""COMPUTED_VALUE"""),136.0)</f>
        <v>136</v>
      </c>
      <c r="F31" s="15" t="str">
        <f>IFERROR(__xludf.DUMMYFUNCTION("""COMPUTED_VALUE"""),"QUAD")</f>
        <v>QUAD</v>
      </c>
      <c r="G31" s="15" t="str">
        <f>IFERROR(__xludf.DUMMYFUNCTION("""COMPUTED_VALUE"""),"unknown, unknown, unknown, unknown")</f>
        <v>unknown, unknown, unknown, unknown</v>
      </c>
      <c r="H31" s="15">
        <f>IFERROR(__xludf.DUMMYFUNCTION("""COMPUTED_VALUE"""),950.0)</f>
        <v>950</v>
      </c>
      <c r="I31" s="15">
        <f>IFERROR(__xludf.DUMMYFUNCTION("""COMPUTED_VALUE"""),1675.0)</f>
        <v>1675</v>
      </c>
      <c r="J31" s="15">
        <f>IFERROR(__xludf.DUMMYFUNCTION("""COMPUTED_VALUE"""),1585.0)</f>
        <v>1585</v>
      </c>
      <c r="K31" s="16" t="str">
        <f>IFERROR(__xludf.DUMMYFUNCTION("""COMPUTED_VALUE"""),"21/08/2023, 17:25:40")</f>
        <v>21/08/2023, 17:25:40</v>
      </c>
    </row>
    <row r="32">
      <c r="A32" s="18" t="str">
        <f>IFERROR(__xludf.DUMMYFUNCTION("""COMPUTED_VALUE"""),"63b6a0902426700446d1d9a3")</f>
        <v>63b6a0902426700446d1d9a3</v>
      </c>
      <c r="B32" s="15" t="str">
        <f>IFERROR(__xludf.DUMMYFUNCTION("""COMPUTED_VALUE"""),"official_batch_3_hiroshima_day_fas_issues_for_train_updated")</f>
        <v>official_batch_3_hiroshima_day_fas_issues_for_train_updated</v>
      </c>
      <c r="C32" s="15" t="str">
        <f>IFERROR(__xludf.DUMMYFUNCTION("""COMPUTED_VALUE"""),"train")</f>
        <v>train</v>
      </c>
      <c r="D32" s="15" t="str">
        <f>IFERROR(__xludf.DUMMYFUNCTION("""COMPUTED_VALUE"""),"train")</f>
        <v>train</v>
      </c>
      <c r="E32" s="15">
        <f>IFERROR(__xludf.DUMMYFUNCTION("""COMPUTED_VALUE"""),176.0)</f>
        <v>176</v>
      </c>
      <c r="F32" s="15" t="str">
        <f>IFERROR(__xludf.DUMMYFUNCTION("""COMPUTED_VALUE"""),"QUAD")</f>
        <v>QUAD</v>
      </c>
      <c r="G32" s="15" t="str">
        <f>IFERROR(__xludf.DUMMYFUNCTION("""COMPUTED_VALUE"""),"unknown, unknown, unknown, unknown")</f>
        <v>unknown, unknown, unknown, unknown</v>
      </c>
      <c r="H32" s="15">
        <f>IFERROR(__xludf.DUMMYFUNCTION("""COMPUTED_VALUE"""),950.0)</f>
        <v>950</v>
      </c>
      <c r="I32" s="15">
        <f>IFERROR(__xludf.DUMMYFUNCTION("""COMPUTED_VALUE"""),1675.0)</f>
        <v>1675</v>
      </c>
      <c r="J32" s="15">
        <f>IFERROR(__xludf.DUMMYFUNCTION("""COMPUTED_VALUE"""),1585.0)</f>
        <v>1585</v>
      </c>
      <c r="K32" s="16" t="str">
        <f>IFERROR(__xludf.DUMMYFUNCTION("""COMPUTED_VALUE"""),"21/08/2023, 17:25:43")</f>
        <v>21/08/2023, 17:25:43</v>
      </c>
    </row>
    <row r="33">
      <c r="A33" s="18" t="str">
        <f>IFERROR(__xludf.DUMMYFUNCTION("""COMPUTED_VALUE"""),"63b6a0cd2426700446d1e6dd")</f>
        <v>63b6a0cd2426700446d1e6dd</v>
      </c>
      <c r="B33" s="15" t="str">
        <f>IFERROR(__xludf.DUMMYFUNCTION("""COMPUTED_VALUE"""),"official_batch_4_hiroshima_day_fas_issues_for_train_updated")</f>
        <v>official_batch_4_hiroshima_day_fas_issues_for_train_updated</v>
      </c>
      <c r="C33" s="15" t="str">
        <f>IFERROR(__xludf.DUMMYFUNCTION("""COMPUTED_VALUE"""),"train")</f>
        <v>train</v>
      </c>
      <c r="D33" s="15" t="str">
        <f>IFERROR(__xludf.DUMMYFUNCTION("""COMPUTED_VALUE"""),"train")</f>
        <v>train</v>
      </c>
      <c r="E33" s="15">
        <f>IFERROR(__xludf.DUMMYFUNCTION("""COMPUTED_VALUE"""),545.0)</f>
        <v>545</v>
      </c>
      <c r="F33" s="15" t="str">
        <f>IFERROR(__xludf.DUMMYFUNCTION("""COMPUTED_VALUE"""),"QUAD")</f>
        <v>QUAD</v>
      </c>
      <c r="G33" s="15" t="str">
        <f>IFERROR(__xludf.DUMMYFUNCTION("""COMPUTED_VALUE"""),"unknown, unknown, unknown, unknown")</f>
        <v>unknown, unknown, unknown, unknown</v>
      </c>
      <c r="H33" s="15">
        <f>IFERROR(__xludf.DUMMYFUNCTION("""COMPUTED_VALUE"""),950.0)</f>
        <v>950</v>
      </c>
      <c r="I33" s="15">
        <f>IFERROR(__xludf.DUMMYFUNCTION("""COMPUTED_VALUE"""),1675.0)</f>
        <v>1675</v>
      </c>
      <c r="J33" s="15">
        <f>IFERROR(__xludf.DUMMYFUNCTION("""COMPUTED_VALUE"""),1585.0)</f>
        <v>1585</v>
      </c>
      <c r="K33" s="16" t="str">
        <f>IFERROR(__xludf.DUMMYFUNCTION("""COMPUTED_VALUE"""),"21/08/2023, 17:25:46")</f>
        <v>21/08/2023, 17:25:46</v>
      </c>
    </row>
    <row r="34">
      <c r="A34" s="18" t="str">
        <f>IFERROR(__xludf.DUMMYFUNCTION("""COMPUTED_VALUE"""),"63b6a2432426700446d1f156")</f>
        <v>63b6a2432426700446d1f156</v>
      </c>
      <c r="B34" s="15" t="str">
        <f>IFERROR(__xludf.DUMMYFUNCTION("""COMPUTED_VALUE"""),"official_batch_5_hiroshima_day_fas_issues_for_train_updated")</f>
        <v>official_batch_5_hiroshima_day_fas_issues_for_train_updated</v>
      </c>
      <c r="C34" s="15" t="str">
        <f>IFERROR(__xludf.DUMMYFUNCTION("""COMPUTED_VALUE"""),"train")</f>
        <v>train</v>
      </c>
      <c r="D34" s="15" t="str">
        <f>IFERROR(__xludf.DUMMYFUNCTION("""COMPUTED_VALUE"""),"train")</f>
        <v>train</v>
      </c>
      <c r="E34" s="15">
        <f>IFERROR(__xludf.DUMMYFUNCTION("""COMPUTED_VALUE"""),684.0)</f>
        <v>684</v>
      </c>
      <c r="F34" s="15" t="str">
        <f>IFERROR(__xludf.DUMMYFUNCTION("""COMPUTED_VALUE"""),"QUAD")</f>
        <v>QUAD</v>
      </c>
      <c r="G34" s="15" t="str">
        <f>IFERROR(__xludf.DUMMYFUNCTION("""COMPUTED_VALUE"""),"unknown, unknown, unknown, unknown")</f>
        <v>unknown, unknown, unknown, unknown</v>
      </c>
      <c r="H34" s="15">
        <f>IFERROR(__xludf.DUMMYFUNCTION("""COMPUTED_VALUE"""),950.0)</f>
        <v>950</v>
      </c>
      <c r="I34" s="15">
        <f>IFERROR(__xludf.DUMMYFUNCTION("""COMPUTED_VALUE"""),1675.0)</f>
        <v>1675</v>
      </c>
      <c r="J34" s="15">
        <f>IFERROR(__xludf.DUMMYFUNCTION("""COMPUTED_VALUE"""),1585.0)</f>
        <v>1585</v>
      </c>
      <c r="K34" s="16" t="str">
        <f>IFERROR(__xludf.DUMMYFUNCTION("""COMPUTED_VALUE"""),"21/08/2023, 17:25:49")</f>
        <v>21/08/2023, 17:25:49</v>
      </c>
    </row>
    <row r="35">
      <c r="A35" s="18" t="str">
        <f>IFERROR(__xludf.DUMMYFUNCTION("""COMPUTED_VALUE"""),"63b6a29d2426700446d1f1e5")</f>
        <v>63b6a29d2426700446d1f1e5</v>
      </c>
      <c r="B35" s="15" t="str">
        <f>IFERROR(__xludf.DUMMYFUNCTION("""COMPUTED_VALUE"""),"official_batch_6_hiroshima_day_fas_issues_for_train_updated")</f>
        <v>official_batch_6_hiroshima_day_fas_issues_for_train_updated</v>
      </c>
      <c r="C35" s="15" t="str">
        <f>IFERROR(__xludf.DUMMYFUNCTION("""COMPUTED_VALUE"""),"train")</f>
        <v>train</v>
      </c>
      <c r="D35" s="15" t="str">
        <f>IFERROR(__xludf.DUMMYFUNCTION("""COMPUTED_VALUE"""),"train")</f>
        <v>train</v>
      </c>
      <c r="E35" s="15">
        <f>IFERROR(__xludf.DUMMYFUNCTION("""COMPUTED_VALUE"""),713.0)</f>
        <v>713</v>
      </c>
      <c r="F35" s="15" t="str">
        <f>IFERROR(__xludf.DUMMYFUNCTION("""COMPUTED_VALUE"""),"QUAD")</f>
        <v>QUAD</v>
      </c>
      <c r="G35" s="15" t="str">
        <f>IFERROR(__xludf.DUMMYFUNCTION("""COMPUTED_VALUE"""),"unknown, unknown, unknown, unknown")</f>
        <v>unknown, unknown, unknown, unknown</v>
      </c>
      <c r="H35" s="15">
        <f>IFERROR(__xludf.DUMMYFUNCTION("""COMPUTED_VALUE"""),950.0)</f>
        <v>950</v>
      </c>
      <c r="I35" s="15">
        <f>IFERROR(__xludf.DUMMYFUNCTION("""COMPUTED_VALUE"""),1675.0)</f>
        <v>1675</v>
      </c>
      <c r="J35" s="15">
        <f>IFERROR(__xludf.DUMMYFUNCTION("""COMPUTED_VALUE"""),1585.0)</f>
        <v>1585</v>
      </c>
      <c r="K35" s="16" t="str">
        <f>IFERROR(__xludf.DUMMYFUNCTION("""COMPUTED_VALUE"""),"21/08/2023, 17:25:52")</f>
        <v>21/08/2023, 17:25:52</v>
      </c>
    </row>
    <row r="36">
      <c r="A36" s="18" t="str">
        <f>IFERROR(__xludf.DUMMYFUNCTION("""COMPUTED_VALUE"""),"63b6a32a2426700446d1f2a3")</f>
        <v>63b6a32a2426700446d1f2a3</v>
      </c>
      <c r="B36" s="15" t="str">
        <f>IFERROR(__xludf.DUMMYFUNCTION("""COMPUTED_VALUE"""),"official_batch_7_hiroshima_day_fas_issues_for_train_updated")</f>
        <v>official_batch_7_hiroshima_day_fas_issues_for_train_updated</v>
      </c>
      <c r="C36" s="15" t="str">
        <f>IFERROR(__xludf.DUMMYFUNCTION("""COMPUTED_VALUE"""),"train")</f>
        <v>train</v>
      </c>
      <c r="D36" s="15" t="str">
        <f>IFERROR(__xludf.DUMMYFUNCTION("""COMPUTED_VALUE"""),"train")</f>
        <v>train</v>
      </c>
      <c r="E36" s="15">
        <f>IFERROR(__xludf.DUMMYFUNCTION("""COMPUTED_VALUE"""),598.0)</f>
        <v>598</v>
      </c>
      <c r="F36" s="15" t="str">
        <f>IFERROR(__xludf.DUMMYFUNCTION("""COMPUTED_VALUE"""),"QUAD")</f>
        <v>QUAD</v>
      </c>
      <c r="G36" s="15" t="str">
        <f>IFERROR(__xludf.DUMMYFUNCTION("""COMPUTED_VALUE"""),"unknown, unknown, unknown, unknown")</f>
        <v>unknown, unknown, unknown, unknown</v>
      </c>
      <c r="H36" s="15">
        <f>IFERROR(__xludf.DUMMYFUNCTION("""COMPUTED_VALUE"""),950.0)</f>
        <v>950</v>
      </c>
      <c r="I36" s="15">
        <f>IFERROR(__xludf.DUMMYFUNCTION("""COMPUTED_VALUE"""),1675.0)</f>
        <v>1675</v>
      </c>
      <c r="J36" s="15">
        <f>IFERROR(__xludf.DUMMYFUNCTION("""COMPUTED_VALUE"""),1585.0)</f>
        <v>1585</v>
      </c>
      <c r="K36" s="16" t="str">
        <f>IFERROR(__xludf.DUMMYFUNCTION("""COMPUTED_VALUE"""),"21/08/2023, 17:25:55")</f>
        <v>21/08/2023, 17:25:55</v>
      </c>
    </row>
    <row r="37">
      <c r="A37" s="18" t="str">
        <f>IFERROR(__xludf.DUMMYFUNCTION("""COMPUTED_VALUE"""),"63b6a3a32426700446d1f342")</f>
        <v>63b6a3a32426700446d1f342</v>
      </c>
      <c r="B37" s="15" t="str">
        <f>IFERROR(__xludf.DUMMYFUNCTION("""COMPUTED_VALUE"""),"official_batch_8_hiroshima_day_fas_issues_for_train_updated")</f>
        <v>official_batch_8_hiroshima_day_fas_issues_for_train_updated</v>
      </c>
      <c r="C37" s="15" t="str">
        <f>IFERROR(__xludf.DUMMYFUNCTION("""COMPUTED_VALUE"""),"train")</f>
        <v>train</v>
      </c>
      <c r="D37" s="15" t="str">
        <f>IFERROR(__xludf.DUMMYFUNCTION("""COMPUTED_VALUE"""),"train")</f>
        <v>train</v>
      </c>
      <c r="E37" s="15">
        <f>IFERROR(__xludf.DUMMYFUNCTION("""COMPUTED_VALUE"""),1336.0)</f>
        <v>1336</v>
      </c>
      <c r="F37" s="15" t="str">
        <f>IFERROR(__xludf.DUMMYFUNCTION("""COMPUTED_VALUE"""),"QUAD")</f>
        <v>QUAD</v>
      </c>
      <c r="G37" s="15" t="str">
        <f>IFERROR(__xludf.DUMMYFUNCTION("""COMPUTED_VALUE"""),"unknown, unknown, unknown, unknown")</f>
        <v>unknown, unknown, unknown, unknown</v>
      </c>
      <c r="H37" s="15">
        <f>IFERROR(__xludf.DUMMYFUNCTION("""COMPUTED_VALUE"""),950.0)</f>
        <v>950</v>
      </c>
      <c r="I37" s="15">
        <f>IFERROR(__xludf.DUMMYFUNCTION("""COMPUTED_VALUE"""),1675.0)</f>
        <v>1675</v>
      </c>
      <c r="J37" s="15">
        <f>IFERROR(__xludf.DUMMYFUNCTION("""COMPUTED_VALUE"""),1585.0)</f>
        <v>1585</v>
      </c>
      <c r="K37" s="16" t="str">
        <f>IFERROR(__xludf.DUMMYFUNCTION("""COMPUTED_VALUE"""),"21/08/2023, 17:25:59")</f>
        <v>21/08/2023, 17:25:59</v>
      </c>
    </row>
    <row r="38">
      <c r="A38" s="18" t="str">
        <f>IFERROR(__xludf.DUMMYFUNCTION("""COMPUTED_VALUE"""),"63b6a6632426700446d1f73b")</f>
        <v>63b6a6632426700446d1f73b</v>
      </c>
      <c r="B38" s="15" t="str">
        <f>IFERROR(__xludf.DUMMYFUNCTION("""COMPUTED_VALUE"""),"official_batch_9_hiroshima_day_fas_issues_for_train_updated")</f>
        <v>official_batch_9_hiroshima_day_fas_issues_for_train_updated</v>
      </c>
      <c r="C38" s="15" t="str">
        <f>IFERROR(__xludf.DUMMYFUNCTION("""COMPUTED_VALUE"""),"train")</f>
        <v>train</v>
      </c>
      <c r="D38" s="15" t="str">
        <f>IFERROR(__xludf.DUMMYFUNCTION("""COMPUTED_VALUE"""),"train")</f>
        <v>train</v>
      </c>
      <c r="E38" s="15">
        <f>IFERROR(__xludf.DUMMYFUNCTION("""COMPUTED_VALUE"""),219.0)</f>
        <v>219</v>
      </c>
      <c r="F38" s="15" t="str">
        <f>IFERROR(__xludf.DUMMYFUNCTION("""COMPUTED_VALUE"""),"QUAD")</f>
        <v>QUAD</v>
      </c>
      <c r="G38" s="15" t="str">
        <f>IFERROR(__xludf.DUMMYFUNCTION("""COMPUTED_VALUE"""),"unknown, unknown, unknown, unknown")</f>
        <v>unknown, unknown, unknown, unknown</v>
      </c>
      <c r="H38" s="15">
        <f>IFERROR(__xludf.DUMMYFUNCTION("""COMPUTED_VALUE"""),950.0)</f>
        <v>950</v>
      </c>
      <c r="I38" s="15">
        <f>IFERROR(__xludf.DUMMYFUNCTION("""COMPUTED_VALUE"""),1675.0)</f>
        <v>1675</v>
      </c>
      <c r="J38" s="15">
        <f>IFERROR(__xludf.DUMMYFUNCTION("""COMPUTED_VALUE"""),1585.0)</f>
        <v>1585</v>
      </c>
      <c r="K38" s="16" t="str">
        <f>IFERROR(__xludf.DUMMYFUNCTION("""COMPUTED_VALUE"""),"21/08/2023, 17:26:02")</f>
        <v>21/08/2023, 17:26:02</v>
      </c>
    </row>
    <row r="39">
      <c r="A39" s="18" t="str">
        <f>IFERROR(__xludf.DUMMYFUNCTION("""COMPUTED_VALUE"""),"63b6a6de2426700446d1f9c9")</f>
        <v>63b6a6de2426700446d1f9c9</v>
      </c>
      <c r="B39" s="15" t="str">
        <f>IFERROR(__xludf.DUMMYFUNCTION("""COMPUTED_VALUE"""),"official_batch_10_hiroshima_day_fas_issues_for_train_updated")</f>
        <v>official_batch_10_hiroshima_day_fas_issues_for_train_updated</v>
      </c>
      <c r="C39" s="15" t="str">
        <f>IFERROR(__xludf.DUMMYFUNCTION("""COMPUTED_VALUE"""),"train")</f>
        <v>train</v>
      </c>
      <c r="D39" s="15" t="str">
        <f>IFERROR(__xludf.DUMMYFUNCTION("""COMPUTED_VALUE"""),"train")</f>
        <v>train</v>
      </c>
      <c r="E39" s="15">
        <f>IFERROR(__xludf.DUMMYFUNCTION("""COMPUTED_VALUE"""),937.0)</f>
        <v>937</v>
      </c>
      <c r="F39" s="15" t="str">
        <f>IFERROR(__xludf.DUMMYFUNCTION("""COMPUTED_VALUE"""),"QUAD")</f>
        <v>QUAD</v>
      </c>
      <c r="G39" s="15" t="str">
        <f>IFERROR(__xludf.DUMMYFUNCTION("""COMPUTED_VALUE"""),"unknown, unknown, unknown, unknown")</f>
        <v>unknown, unknown, unknown, unknown</v>
      </c>
      <c r="H39" s="15">
        <f>IFERROR(__xludf.DUMMYFUNCTION("""COMPUTED_VALUE"""),950.0)</f>
        <v>950</v>
      </c>
      <c r="I39" s="15">
        <f>IFERROR(__xludf.DUMMYFUNCTION("""COMPUTED_VALUE"""),1675.0)</f>
        <v>1675</v>
      </c>
      <c r="J39" s="15">
        <f>IFERROR(__xludf.DUMMYFUNCTION("""COMPUTED_VALUE"""),1585.0)</f>
        <v>1585</v>
      </c>
      <c r="K39" s="16" t="str">
        <f>IFERROR(__xludf.DUMMYFUNCTION("""COMPUTED_VALUE"""),"21/08/2023, 17:26:05")</f>
        <v>21/08/2023, 17:26:05</v>
      </c>
    </row>
    <row r="40">
      <c r="A40" s="18" t="str">
        <f>IFERROR(__xludf.DUMMYFUNCTION("""COMPUTED_VALUE"""),"63b6a70c2426700446d1fa0a")</f>
        <v>63b6a70c2426700446d1fa0a</v>
      </c>
      <c r="B40" s="15" t="str">
        <f>IFERROR(__xludf.DUMMYFUNCTION("""COMPUTED_VALUE"""),"official_batch_11_hiroshima_day_fas_issues_for_train_updated")</f>
        <v>official_batch_11_hiroshima_day_fas_issues_for_train_updated</v>
      </c>
      <c r="C40" s="15" t="str">
        <f>IFERROR(__xludf.DUMMYFUNCTION("""COMPUTED_VALUE"""),"train")</f>
        <v>train</v>
      </c>
      <c r="D40" s="15" t="str">
        <f>IFERROR(__xludf.DUMMYFUNCTION("""COMPUTED_VALUE"""),"train")</f>
        <v>train</v>
      </c>
      <c r="E40" s="15">
        <f>IFERROR(__xludf.DUMMYFUNCTION("""COMPUTED_VALUE"""),442.0)</f>
        <v>442</v>
      </c>
      <c r="F40" s="15" t="str">
        <f>IFERROR(__xludf.DUMMYFUNCTION("""COMPUTED_VALUE"""),"QUAD")</f>
        <v>QUAD</v>
      </c>
      <c r="G40" s="15" t="str">
        <f>IFERROR(__xludf.DUMMYFUNCTION("""COMPUTED_VALUE"""),"unknown, unknown, unknown, unknown")</f>
        <v>unknown, unknown, unknown, unknown</v>
      </c>
      <c r="H40" s="15">
        <f>IFERROR(__xludf.DUMMYFUNCTION("""COMPUTED_VALUE"""),950.0)</f>
        <v>950</v>
      </c>
      <c r="I40" s="15">
        <f>IFERROR(__xludf.DUMMYFUNCTION("""COMPUTED_VALUE"""),1675.0)</f>
        <v>1675</v>
      </c>
      <c r="J40" s="15">
        <f>IFERROR(__xludf.DUMMYFUNCTION("""COMPUTED_VALUE"""),1585.0)</f>
        <v>1585</v>
      </c>
      <c r="K40" s="16" t="str">
        <f>IFERROR(__xludf.DUMMYFUNCTION("""COMPUTED_VALUE"""),"21/08/2023, 17:26:08")</f>
        <v>21/08/2023, 17:26:08</v>
      </c>
    </row>
    <row r="41">
      <c r="A41" s="18" t="str">
        <f>IFERROR(__xludf.DUMMYFUNCTION("""COMPUTED_VALUE"""),"63b6a7642426700446d1fa57")</f>
        <v>63b6a7642426700446d1fa57</v>
      </c>
      <c r="B41" s="15" t="str">
        <f>IFERROR(__xludf.DUMMYFUNCTION("""COMPUTED_VALUE"""),"official_batch_1_homer_conti_mfc520_korea_day_for_train_updated")</f>
        <v>official_batch_1_homer_conti_mfc520_korea_day_for_train_updated</v>
      </c>
      <c r="C41" s="15" t="str">
        <f>IFERROR(__xludf.DUMMYFUNCTION("""COMPUTED_VALUE"""),"train")</f>
        <v>train</v>
      </c>
      <c r="D41" s="15" t="str">
        <f>IFERROR(__xludf.DUMMYFUNCTION("""COMPUTED_VALUE"""),"train")</f>
        <v>train</v>
      </c>
      <c r="E41" s="15">
        <f>IFERROR(__xludf.DUMMYFUNCTION("""COMPUTED_VALUE"""),997.0)</f>
        <v>997</v>
      </c>
      <c r="F41" s="15" t="str">
        <f>IFERROR(__xludf.DUMMYFUNCTION("""COMPUTED_VALUE"""),"QUAD")</f>
        <v>QUAD</v>
      </c>
      <c r="G41" s="15" t="str">
        <f>IFERROR(__xludf.DUMMYFUNCTION("""COMPUTED_VALUE"""),"unknown, unknown, unknown, unknown")</f>
        <v>unknown, unknown, unknown, unknown</v>
      </c>
      <c r="H41" s="15">
        <f>IFERROR(__xludf.DUMMYFUNCTION("""COMPUTED_VALUE"""),950.0)</f>
        <v>950</v>
      </c>
      <c r="I41" s="15">
        <f>IFERROR(__xludf.DUMMYFUNCTION("""COMPUTED_VALUE"""),1675.0)</f>
        <v>1675</v>
      </c>
      <c r="J41" s="15">
        <f>IFERROR(__xludf.DUMMYFUNCTION("""COMPUTED_VALUE"""),1585.0)</f>
        <v>1585</v>
      </c>
      <c r="K41" s="16" t="str">
        <f>IFERROR(__xludf.DUMMYFUNCTION("""COMPUTED_VALUE"""),"21/08/2023, 17:26:12")</f>
        <v>21/08/2023, 17:26:12</v>
      </c>
    </row>
    <row r="42">
      <c r="A42" s="18" t="str">
        <f>IFERROR(__xludf.DUMMYFUNCTION("""COMPUTED_VALUE"""),"63b6a7b52426700446d1fadb")</f>
        <v>63b6a7b52426700446d1fadb</v>
      </c>
      <c r="B42" s="15" t="str">
        <f>IFERROR(__xludf.DUMMYFUNCTION("""COMPUTED_VALUE"""),"official_batch_2_homer_conti_mfc520_korea_day_for_train_updated")</f>
        <v>official_batch_2_homer_conti_mfc520_korea_day_for_train_updated</v>
      </c>
      <c r="C42" s="15" t="str">
        <f>IFERROR(__xludf.DUMMYFUNCTION("""COMPUTED_VALUE"""),"train")</f>
        <v>train</v>
      </c>
      <c r="D42" s="15" t="str">
        <f>IFERROR(__xludf.DUMMYFUNCTION("""COMPUTED_VALUE"""),"train")</f>
        <v>train</v>
      </c>
      <c r="E42" s="15">
        <f>IFERROR(__xludf.DUMMYFUNCTION("""COMPUTED_VALUE"""),992.0)</f>
        <v>992</v>
      </c>
      <c r="F42" s="15" t="str">
        <f>IFERROR(__xludf.DUMMYFUNCTION("""COMPUTED_VALUE"""),"QUAD")</f>
        <v>QUAD</v>
      </c>
      <c r="G42" s="15" t="str">
        <f>IFERROR(__xludf.DUMMYFUNCTION("""COMPUTED_VALUE"""),"unknown, unknown, unknown, unknown")</f>
        <v>unknown, unknown, unknown, unknown</v>
      </c>
      <c r="H42" s="15">
        <f>IFERROR(__xludf.DUMMYFUNCTION("""COMPUTED_VALUE"""),950.0)</f>
        <v>950</v>
      </c>
      <c r="I42" s="15">
        <f>IFERROR(__xludf.DUMMYFUNCTION("""COMPUTED_VALUE"""),1675.0)</f>
        <v>1675</v>
      </c>
      <c r="J42" s="15">
        <f>IFERROR(__xludf.DUMMYFUNCTION("""COMPUTED_VALUE"""),1585.0)</f>
        <v>1585</v>
      </c>
      <c r="K42" s="16" t="str">
        <f>IFERROR(__xludf.DUMMYFUNCTION("""COMPUTED_VALUE"""),"21/08/2023, 17:26:15")</f>
        <v>21/08/2023, 17:26:15</v>
      </c>
    </row>
    <row r="43">
      <c r="A43" s="18" t="str">
        <f>IFERROR(__xludf.DUMMYFUNCTION("""COMPUTED_VALUE"""),"63b6a8172426700446d1fb6d")</f>
        <v>63b6a8172426700446d1fb6d</v>
      </c>
      <c r="B43" s="15" t="str">
        <f>IFERROR(__xludf.DUMMYFUNCTION("""COMPUTED_VALUE"""),"official_batch_3_homer_conti_mfc520_korea_day_for_train_updated")</f>
        <v>official_batch_3_homer_conti_mfc520_korea_day_for_train_updated</v>
      </c>
      <c r="C43" s="15" t="str">
        <f>IFERROR(__xludf.DUMMYFUNCTION("""COMPUTED_VALUE"""),"train")</f>
        <v>train</v>
      </c>
      <c r="D43" s="15" t="str">
        <f>IFERROR(__xludf.DUMMYFUNCTION("""COMPUTED_VALUE"""),"train")</f>
        <v>train</v>
      </c>
      <c r="E43" s="15">
        <f>IFERROR(__xludf.DUMMYFUNCTION("""COMPUTED_VALUE"""),998.0)</f>
        <v>998</v>
      </c>
      <c r="F43" s="15" t="str">
        <f>IFERROR(__xludf.DUMMYFUNCTION("""COMPUTED_VALUE"""),"QUAD")</f>
        <v>QUAD</v>
      </c>
      <c r="G43" s="15" t="str">
        <f>IFERROR(__xludf.DUMMYFUNCTION("""COMPUTED_VALUE"""),"unknown, unknown, unknown, unknown")</f>
        <v>unknown, unknown, unknown, unknown</v>
      </c>
      <c r="H43" s="15">
        <f>IFERROR(__xludf.DUMMYFUNCTION("""COMPUTED_VALUE"""),950.0)</f>
        <v>950</v>
      </c>
      <c r="I43" s="15">
        <f>IFERROR(__xludf.DUMMYFUNCTION("""COMPUTED_VALUE"""),1675.0)</f>
        <v>1675</v>
      </c>
      <c r="J43" s="15">
        <f>IFERROR(__xludf.DUMMYFUNCTION("""COMPUTED_VALUE"""),1585.0)</f>
        <v>1585</v>
      </c>
      <c r="K43" s="16" t="str">
        <f>IFERROR(__xludf.DUMMYFUNCTION("""COMPUTED_VALUE"""),"21/08/2023, 17:26:18")</f>
        <v>21/08/2023, 17:26:18</v>
      </c>
    </row>
    <row r="44">
      <c r="A44" s="18" t="str">
        <f>IFERROR(__xludf.DUMMYFUNCTION("""COMPUTED_VALUE"""),"63b6a8742426700446d1fbfd")</f>
        <v>63b6a8742426700446d1fbfd</v>
      </c>
      <c r="B44" s="15" t="str">
        <f>IFERROR(__xludf.DUMMYFUNCTION("""COMPUTED_VALUE"""),"official_batch_4_homer_conti_mfc520_korea_day_for_train_updated")</f>
        <v>official_batch_4_homer_conti_mfc520_korea_day_for_train_updated</v>
      </c>
      <c r="C44" s="15" t="str">
        <f>IFERROR(__xludf.DUMMYFUNCTION("""COMPUTED_VALUE"""),"train")</f>
        <v>train</v>
      </c>
      <c r="D44" s="15" t="str">
        <f>IFERROR(__xludf.DUMMYFUNCTION("""COMPUTED_VALUE"""),"train")</f>
        <v>train</v>
      </c>
      <c r="E44" s="15">
        <f>IFERROR(__xludf.DUMMYFUNCTION("""COMPUTED_VALUE"""),999.0)</f>
        <v>999</v>
      </c>
      <c r="F44" s="15" t="str">
        <f>IFERROR(__xludf.DUMMYFUNCTION("""COMPUTED_VALUE"""),"QUAD")</f>
        <v>QUAD</v>
      </c>
      <c r="G44" s="15" t="str">
        <f>IFERROR(__xludf.DUMMYFUNCTION("""COMPUTED_VALUE"""),"unknown, unknown, unknown, unknown")</f>
        <v>unknown, unknown, unknown, unknown</v>
      </c>
      <c r="H44" s="15">
        <f>IFERROR(__xludf.DUMMYFUNCTION("""COMPUTED_VALUE"""),950.0)</f>
        <v>950</v>
      </c>
      <c r="I44" s="15">
        <f>IFERROR(__xludf.DUMMYFUNCTION("""COMPUTED_VALUE"""),1675.0)</f>
        <v>1675</v>
      </c>
      <c r="J44" s="15">
        <f>IFERROR(__xludf.DUMMYFUNCTION("""COMPUTED_VALUE"""),1585.0)</f>
        <v>1585</v>
      </c>
      <c r="K44" s="16" t="str">
        <f>IFERROR(__xludf.DUMMYFUNCTION("""COMPUTED_VALUE"""),"21/08/2023, 17:26:22")</f>
        <v>21/08/2023, 17:26:22</v>
      </c>
    </row>
    <row r="45">
      <c r="A45" s="18" t="str">
        <f>IFERROR(__xludf.DUMMYFUNCTION("""COMPUTED_VALUE"""),"63b6a8d82426700446d1fc92")</f>
        <v>63b6a8d82426700446d1fc92</v>
      </c>
      <c r="B45" s="15" t="str">
        <f>IFERROR(__xludf.DUMMYFUNCTION("""COMPUTED_VALUE"""),"official_batch_5_homer_conti_mfc520_korea_day_for_train_updated")</f>
        <v>official_batch_5_homer_conti_mfc520_korea_day_for_train_updated</v>
      </c>
      <c r="C45" s="15" t="str">
        <f>IFERROR(__xludf.DUMMYFUNCTION("""COMPUTED_VALUE"""),"train")</f>
        <v>train</v>
      </c>
      <c r="D45" s="15" t="str">
        <f>IFERROR(__xludf.DUMMYFUNCTION("""COMPUTED_VALUE"""),"train")</f>
        <v>train</v>
      </c>
      <c r="E45" s="15">
        <f>IFERROR(__xludf.DUMMYFUNCTION("""COMPUTED_VALUE"""),997.0)</f>
        <v>997</v>
      </c>
      <c r="F45" s="15" t="str">
        <f>IFERROR(__xludf.DUMMYFUNCTION("""COMPUTED_VALUE"""),"QUAD")</f>
        <v>QUAD</v>
      </c>
      <c r="G45" s="15" t="str">
        <f>IFERROR(__xludf.DUMMYFUNCTION("""COMPUTED_VALUE"""),"unknown, unknown, unknown, unknown")</f>
        <v>unknown, unknown, unknown, unknown</v>
      </c>
      <c r="H45" s="15">
        <f>IFERROR(__xludf.DUMMYFUNCTION("""COMPUTED_VALUE"""),950.0)</f>
        <v>950</v>
      </c>
      <c r="I45" s="15">
        <f>IFERROR(__xludf.DUMMYFUNCTION("""COMPUTED_VALUE"""),1675.0)</f>
        <v>1675</v>
      </c>
      <c r="J45" s="15">
        <f>IFERROR(__xludf.DUMMYFUNCTION("""COMPUTED_VALUE"""),1585.0)</f>
        <v>1585</v>
      </c>
      <c r="K45" s="16" t="str">
        <f>IFERROR(__xludf.DUMMYFUNCTION("""COMPUTED_VALUE"""),"21/08/2023, 17:26:25")</f>
        <v>21/08/2023, 17:26:25</v>
      </c>
    </row>
    <row r="46">
      <c r="A46" s="18" t="str">
        <f>IFERROR(__xludf.DUMMYFUNCTION("""COMPUTED_VALUE"""),"63b6a93e2426700446d1fd33")</f>
        <v>63b6a93e2426700446d1fd33</v>
      </c>
      <c r="B46" s="15" t="str">
        <f>IFERROR(__xludf.DUMMYFUNCTION("""COMPUTED_VALUE"""),"official_batch_6_homer_conti_mfc520_korea_day_for_train_updated")</f>
        <v>official_batch_6_homer_conti_mfc520_korea_day_for_train_updated</v>
      </c>
      <c r="C46" s="15" t="str">
        <f>IFERROR(__xludf.DUMMYFUNCTION("""COMPUTED_VALUE"""),"train")</f>
        <v>train</v>
      </c>
      <c r="D46" s="15" t="str">
        <f>IFERROR(__xludf.DUMMYFUNCTION("""COMPUTED_VALUE"""),"train")</f>
        <v>train</v>
      </c>
      <c r="E46" s="15">
        <f>IFERROR(__xludf.DUMMYFUNCTION("""COMPUTED_VALUE"""),994.0)</f>
        <v>994</v>
      </c>
      <c r="F46" s="15" t="str">
        <f>IFERROR(__xludf.DUMMYFUNCTION("""COMPUTED_VALUE"""),"QUAD")</f>
        <v>QUAD</v>
      </c>
      <c r="G46" s="15" t="str">
        <f>IFERROR(__xludf.DUMMYFUNCTION("""COMPUTED_VALUE"""),"unknown, unknown, unknown, unknown")</f>
        <v>unknown, unknown, unknown, unknown</v>
      </c>
      <c r="H46" s="15">
        <f>IFERROR(__xludf.DUMMYFUNCTION("""COMPUTED_VALUE"""),950.0)</f>
        <v>950</v>
      </c>
      <c r="I46" s="15">
        <f>IFERROR(__xludf.DUMMYFUNCTION("""COMPUTED_VALUE"""),1675.0)</f>
        <v>1675</v>
      </c>
      <c r="J46" s="15">
        <f>IFERROR(__xludf.DUMMYFUNCTION("""COMPUTED_VALUE"""),1585.0)</f>
        <v>1585</v>
      </c>
      <c r="K46" s="16" t="str">
        <f>IFERROR(__xludf.DUMMYFUNCTION("""COMPUTED_VALUE"""),"21/08/2023, 17:26:28")</f>
        <v>21/08/2023, 17:26:28</v>
      </c>
    </row>
    <row r="47">
      <c r="A47" s="18" t="str">
        <f>IFERROR(__xludf.DUMMYFUNCTION("""COMPUTED_VALUE"""),"63b6aa582426700446d1fe7d")</f>
        <v>63b6aa582426700446d1fe7d</v>
      </c>
      <c r="B47" s="15" t="str">
        <f>IFERROR(__xludf.DUMMYFUNCTION("""COMPUTED_VALUE"""),"official_construction_cones_batch_1_for_train_updated")</f>
        <v>official_construction_cones_batch_1_for_train_updated</v>
      </c>
      <c r="C47" s="15" t="str">
        <f>IFERROR(__xludf.DUMMYFUNCTION("""COMPUTED_VALUE"""),"train")</f>
        <v>train</v>
      </c>
      <c r="D47" s="15" t="str">
        <f>IFERROR(__xludf.DUMMYFUNCTION("""COMPUTED_VALUE"""),"train")</f>
        <v>train</v>
      </c>
      <c r="E47" s="15">
        <f>IFERROR(__xludf.DUMMYFUNCTION("""COMPUTED_VALUE"""),938.0)</f>
        <v>938</v>
      </c>
      <c r="F47" s="15" t="str">
        <f>IFERROR(__xludf.DUMMYFUNCTION("""COMPUTED_VALUE"""),"QUAD")</f>
        <v>QUAD</v>
      </c>
      <c r="G47" s="15" t="str">
        <f>IFERROR(__xludf.DUMMYFUNCTION("""COMPUTED_VALUE"""),"unknown, unknown, unknown, unknown")</f>
        <v>unknown, unknown, unknown, unknown</v>
      </c>
      <c r="H47" s="15">
        <f>IFERROR(__xludf.DUMMYFUNCTION("""COMPUTED_VALUE"""),950.0)</f>
        <v>950</v>
      </c>
      <c r="I47" s="15">
        <f>IFERROR(__xludf.DUMMYFUNCTION("""COMPUTED_VALUE"""),1675.0)</f>
        <v>1675</v>
      </c>
      <c r="J47" s="15">
        <f>IFERROR(__xludf.DUMMYFUNCTION("""COMPUTED_VALUE"""),1585.0)</f>
        <v>1585</v>
      </c>
      <c r="K47" s="16" t="str">
        <f>IFERROR(__xludf.DUMMYFUNCTION("""COMPUTED_VALUE"""),"21/08/2023, 17:26:32")</f>
        <v>21/08/2023, 17:26:32</v>
      </c>
    </row>
    <row r="48">
      <c r="A48" s="18" t="str">
        <f>IFERROR(__xludf.DUMMYFUNCTION("""COMPUTED_VALUE"""),"63b6be492426700446d26ebd")</f>
        <v>63b6be492426700446d26ebd</v>
      </c>
      <c r="B48" s="15" t="str">
        <f>IFERROR(__xludf.DUMMYFUNCTION("""COMPUTED_VALUE"""),"official_batch1_peds_2w_ratio_stabilizer_for_train_updated")</f>
        <v>official_batch1_peds_2w_ratio_stabilizer_for_train_updated</v>
      </c>
      <c r="C48" s="15" t="str">
        <f>IFERROR(__xludf.DUMMYFUNCTION("""COMPUTED_VALUE"""),"train")</f>
        <v>train</v>
      </c>
      <c r="D48" s="15" t="str">
        <f>IFERROR(__xludf.DUMMYFUNCTION("""COMPUTED_VALUE"""),"train")</f>
        <v>train</v>
      </c>
      <c r="E48" s="15">
        <f>IFERROR(__xludf.DUMMYFUNCTION("""COMPUTED_VALUE"""),1078.0)</f>
        <v>1078</v>
      </c>
      <c r="F48" s="15" t="str">
        <f>IFERROR(__xludf.DUMMYFUNCTION("""COMPUTED_VALUE"""),"QUAD")</f>
        <v>QUAD</v>
      </c>
      <c r="G48" s="15" t="str">
        <f>IFERROR(__xludf.DUMMYFUNCTION("""COMPUTED_VALUE"""),"unknown, unknown, unknown, unknown")</f>
        <v>unknown, unknown, unknown, unknown</v>
      </c>
      <c r="H48" s="15">
        <f>IFERROR(__xludf.DUMMYFUNCTION("""COMPUTED_VALUE"""),950.0)</f>
        <v>950</v>
      </c>
      <c r="I48" s="15">
        <f>IFERROR(__xludf.DUMMYFUNCTION("""COMPUTED_VALUE"""),1675.0)</f>
        <v>1675</v>
      </c>
      <c r="J48" s="15">
        <f>IFERROR(__xludf.DUMMYFUNCTION("""COMPUTED_VALUE"""),1585.0)</f>
        <v>1585</v>
      </c>
      <c r="K48" s="16" t="str">
        <f>IFERROR(__xludf.DUMMYFUNCTION("""COMPUTED_VALUE"""),"21/08/2023, 17:26:48")</f>
        <v>21/08/2023, 17:26:48</v>
      </c>
    </row>
    <row r="49">
      <c r="A49" s="18" t="str">
        <f>IFERROR(__xludf.DUMMYFUNCTION("""COMPUTED_VALUE"""),"63b6bef72426700446d26f9b")</f>
        <v>63b6bef72426700446d26f9b</v>
      </c>
      <c r="B49" s="15" t="str">
        <f>IFERROR(__xludf.DUMMYFUNCTION("""COMPUTED_VALUE"""),"official_batch2_peds_2w_ratio_stabilizer_for_train_updated")</f>
        <v>official_batch2_peds_2w_ratio_stabilizer_for_train_updated</v>
      </c>
      <c r="C49" s="15" t="str">
        <f>IFERROR(__xludf.DUMMYFUNCTION("""COMPUTED_VALUE"""),"train")</f>
        <v>train</v>
      </c>
      <c r="D49" s="15" t="str">
        <f>IFERROR(__xludf.DUMMYFUNCTION("""COMPUTED_VALUE"""),"train")</f>
        <v>train</v>
      </c>
      <c r="E49" s="15">
        <f>IFERROR(__xludf.DUMMYFUNCTION("""COMPUTED_VALUE"""),1000.0)</f>
        <v>1000</v>
      </c>
      <c r="F49" s="15" t="str">
        <f>IFERROR(__xludf.DUMMYFUNCTION("""COMPUTED_VALUE"""),"QUAD")</f>
        <v>QUAD</v>
      </c>
      <c r="G49" s="15" t="str">
        <f>IFERROR(__xludf.DUMMYFUNCTION("""COMPUTED_VALUE"""),"unknown, unknown, unknown, unknown")</f>
        <v>unknown, unknown, unknown, unknown</v>
      </c>
      <c r="H49" s="15">
        <f>IFERROR(__xludf.DUMMYFUNCTION("""COMPUTED_VALUE"""),950.0)</f>
        <v>950</v>
      </c>
      <c r="I49" s="15">
        <f>IFERROR(__xludf.DUMMYFUNCTION("""COMPUTED_VALUE"""),1675.0)</f>
        <v>1675</v>
      </c>
      <c r="J49" s="15">
        <f>IFERROR(__xludf.DUMMYFUNCTION("""COMPUTED_VALUE"""),1585.0)</f>
        <v>1585</v>
      </c>
      <c r="K49" s="16" t="str">
        <f>IFERROR(__xludf.DUMMYFUNCTION("""COMPUTED_VALUE"""),"21/08/2023, 17:26:52")</f>
        <v>21/08/2023, 17:26:52</v>
      </c>
    </row>
    <row r="50">
      <c r="A50" s="18" t="str">
        <f>IFERROR(__xludf.DUMMYFUNCTION("""COMPUTED_VALUE"""),"63b6c0232426700446d270ab")</f>
        <v>63b6c0232426700446d270ab</v>
      </c>
      <c r="B50" s="15" t="str">
        <f>IFERROR(__xludf.DUMMYFUNCTION("""COMPUTED_VALUE"""),"official_batch1_highway_fas_for_train_updated")</f>
        <v>official_batch1_highway_fas_for_train_updated</v>
      </c>
      <c r="C50" s="15" t="str">
        <f>IFERROR(__xludf.DUMMYFUNCTION("""COMPUTED_VALUE"""),"train")</f>
        <v>train</v>
      </c>
      <c r="D50" s="15" t="str">
        <f>IFERROR(__xludf.DUMMYFUNCTION("""COMPUTED_VALUE"""),"train")</f>
        <v>train</v>
      </c>
      <c r="E50" s="15">
        <f>IFERROR(__xludf.DUMMYFUNCTION("""COMPUTED_VALUE"""),1065.0)</f>
        <v>1065</v>
      </c>
      <c r="F50" s="15" t="str">
        <f>IFERROR(__xludf.DUMMYFUNCTION("""COMPUTED_VALUE"""),"QUAD")</f>
        <v>QUAD</v>
      </c>
      <c r="G50" s="15" t="str">
        <f>IFERROR(__xludf.DUMMYFUNCTION("""COMPUTED_VALUE"""),"unknown, unknown, unknown, unknown")</f>
        <v>unknown, unknown, unknown, unknown</v>
      </c>
      <c r="H50" s="15">
        <f>IFERROR(__xludf.DUMMYFUNCTION("""COMPUTED_VALUE"""),950.0)</f>
        <v>950</v>
      </c>
      <c r="I50" s="15">
        <f>IFERROR(__xludf.DUMMYFUNCTION("""COMPUTED_VALUE"""),1675.0)</f>
        <v>1675</v>
      </c>
      <c r="J50" s="15">
        <f>IFERROR(__xludf.DUMMYFUNCTION("""COMPUTED_VALUE"""),1585.0)</f>
        <v>1585</v>
      </c>
      <c r="K50" s="16" t="str">
        <f>IFERROR(__xludf.DUMMYFUNCTION("""COMPUTED_VALUE"""),"21/08/2023, 17:26:56")</f>
        <v>21/08/2023, 17:26:56</v>
      </c>
    </row>
    <row r="51">
      <c r="A51" s="18" t="str">
        <f>IFERROR(__xludf.DUMMYFUNCTION("""COMPUTED_VALUE"""),"63b6c0732426700446d27109")</f>
        <v>63b6c0732426700446d27109</v>
      </c>
      <c r="B51" s="15" t="str">
        <f>IFERROR(__xludf.DUMMYFUNCTION("""COMPUTED_VALUE"""),"official_batch2_highway_fas_for_train_updated")</f>
        <v>official_batch2_highway_fas_for_train_updated</v>
      </c>
      <c r="C51" s="15" t="str">
        <f>IFERROR(__xludf.DUMMYFUNCTION("""COMPUTED_VALUE"""),"train")</f>
        <v>train</v>
      </c>
      <c r="D51" s="15" t="str">
        <f>IFERROR(__xludf.DUMMYFUNCTION("""COMPUTED_VALUE"""),"train")</f>
        <v>train</v>
      </c>
      <c r="E51" s="15">
        <f>IFERROR(__xludf.DUMMYFUNCTION("""COMPUTED_VALUE"""),1050.0)</f>
        <v>1050</v>
      </c>
      <c r="F51" s="15" t="str">
        <f>IFERROR(__xludf.DUMMYFUNCTION("""COMPUTED_VALUE"""),"QUAD")</f>
        <v>QUAD</v>
      </c>
      <c r="G51" s="15" t="str">
        <f>IFERROR(__xludf.DUMMYFUNCTION("""COMPUTED_VALUE"""),"unknown, unknown, unknown, unknown")</f>
        <v>unknown, unknown, unknown, unknown</v>
      </c>
      <c r="H51" s="15">
        <f>IFERROR(__xludf.DUMMYFUNCTION("""COMPUTED_VALUE"""),950.0)</f>
        <v>950</v>
      </c>
      <c r="I51" s="15">
        <f>IFERROR(__xludf.DUMMYFUNCTION("""COMPUTED_VALUE"""),1675.0)</f>
        <v>1675</v>
      </c>
      <c r="J51" s="15">
        <f>IFERROR(__xludf.DUMMYFUNCTION("""COMPUTED_VALUE"""),1585.0)</f>
        <v>1585</v>
      </c>
      <c r="K51" s="16" t="str">
        <f>IFERROR(__xludf.DUMMYFUNCTION("""COMPUTED_VALUE"""),"21/08/2023, 17:26:59")</f>
        <v>21/08/2023, 17:26:59</v>
      </c>
    </row>
    <row r="52">
      <c r="A52" s="18" t="str">
        <f>IFERROR(__xludf.DUMMYFUNCTION("""COMPUTED_VALUE"""),"63b6c0c72426700446d27172")</f>
        <v>63b6c0c72426700446d27172</v>
      </c>
      <c r="B52" s="15" t="str">
        <f>IFERROR(__xludf.DUMMYFUNCTION("""COMPUTED_VALUE"""),"official_2w_motor_overtaking_trucks_leftovers_for_train_updated")</f>
        <v>official_2w_motor_overtaking_trucks_leftovers_for_train_updated</v>
      </c>
      <c r="C52" s="15" t="str">
        <f>IFERROR(__xludf.DUMMYFUNCTION("""COMPUTED_VALUE"""),"train")</f>
        <v>train</v>
      </c>
      <c r="D52" s="15" t="str">
        <f>IFERROR(__xludf.DUMMYFUNCTION("""COMPUTED_VALUE"""),"train")</f>
        <v>train</v>
      </c>
      <c r="E52" s="15">
        <f>IFERROR(__xludf.DUMMYFUNCTION("""COMPUTED_VALUE"""),917.0)</f>
        <v>917</v>
      </c>
      <c r="F52" s="15" t="str">
        <f>IFERROR(__xludf.DUMMYFUNCTION("""COMPUTED_VALUE"""),"QUAD")</f>
        <v>QUAD</v>
      </c>
      <c r="G52" s="15" t="str">
        <f>IFERROR(__xludf.DUMMYFUNCTION("""COMPUTED_VALUE"""),"unknown, unknown, unknown, unknown")</f>
        <v>unknown, unknown, unknown, unknown</v>
      </c>
      <c r="H52" s="15">
        <f>IFERROR(__xludf.DUMMYFUNCTION("""COMPUTED_VALUE"""),950.0)</f>
        <v>950</v>
      </c>
      <c r="I52" s="15">
        <f>IFERROR(__xludf.DUMMYFUNCTION("""COMPUTED_VALUE"""),1675.0)</f>
        <v>1675</v>
      </c>
      <c r="J52" s="15">
        <f>IFERROR(__xludf.DUMMYFUNCTION("""COMPUTED_VALUE"""),1585.0)</f>
        <v>1585</v>
      </c>
      <c r="K52" s="16" t="str">
        <f>IFERROR(__xludf.DUMMYFUNCTION("""COMPUTED_VALUE"""),"21/08/2023, 17:27:02")</f>
        <v>21/08/2023, 17:27:02</v>
      </c>
    </row>
    <row r="53">
      <c r="A53" s="18" t="str">
        <f>IFERROR(__xludf.DUMMYFUNCTION("""COMPUTED_VALUE"""),"63b6c1722426700446d27311")</f>
        <v>63b6c1722426700446d27311</v>
      </c>
      <c r="B53" s="15" t="str">
        <f>IFERROR(__xludf.DUMMYFUNCTION("""COMPUTED_VALUE"""),"official_overtaking_trucks_batch_2_for_train_updated")</f>
        <v>official_overtaking_trucks_batch_2_for_train_updated</v>
      </c>
      <c r="C53" s="15" t="str">
        <f>IFERROR(__xludf.DUMMYFUNCTION("""COMPUTED_VALUE"""),"train")</f>
        <v>train</v>
      </c>
      <c r="D53" s="15" t="str">
        <f>IFERROR(__xludf.DUMMYFUNCTION("""COMPUTED_VALUE"""),"train")</f>
        <v>train</v>
      </c>
      <c r="E53" s="15">
        <f>IFERROR(__xludf.DUMMYFUNCTION("""COMPUTED_VALUE"""),1003.0)</f>
        <v>1003</v>
      </c>
      <c r="F53" s="15" t="str">
        <f>IFERROR(__xludf.DUMMYFUNCTION("""COMPUTED_VALUE"""),"QUAD")</f>
        <v>QUAD</v>
      </c>
      <c r="G53" s="15" t="str">
        <f>IFERROR(__xludf.DUMMYFUNCTION("""COMPUTED_VALUE"""),"unknown, unknown, unknown, unknown")</f>
        <v>unknown, unknown, unknown, unknown</v>
      </c>
      <c r="H53" s="15">
        <f>IFERROR(__xludf.DUMMYFUNCTION("""COMPUTED_VALUE"""),950.0)</f>
        <v>950</v>
      </c>
      <c r="I53" s="15">
        <f>IFERROR(__xludf.DUMMYFUNCTION("""COMPUTED_VALUE"""),1675.0)</f>
        <v>1675</v>
      </c>
      <c r="J53" s="15">
        <f>IFERROR(__xludf.DUMMYFUNCTION("""COMPUTED_VALUE"""),1585.0)</f>
        <v>1585</v>
      </c>
      <c r="K53" s="16" t="str">
        <f>IFERROR(__xludf.DUMMYFUNCTION("""COMPUTED_VALUE"""),"21/08/2023, 17:27:06")</f>
        <v>21/08/2023, 17:27:06</v>
      </c>
    </row>
    <row r="54">
      <c r="A54" s="18" t="str">
        <f>IFERROR(__xludf.DUMMYFUNCTION("""COMPUTED_VALUE"""),"63b6c1d02426700446d2745a")</f>
        <v>63b6c1d02426700446d2745a</v>
      </c>
      <c r="B54" s="15" t="str">
        <f>IFERROR(__xludf.DUMMYFUNCTION("""COMPUTED_VALUE"""),"official_2w_motor_overtaking_trucks_leftovers_batch_2_for_train_updated")</f>
        <v>official_2w_motor_overtaking_trucks_leftovers_batch_2_for_train_updated</v>
      </c>
      <c r="C54" s="15" t="str">
        <f>IFERROR(__xludf.DUMMYFUNCTION("""COMPUTED_VALUE"""),"train")</f>
        <v>train</v>
      </c>
      <c r="D54" s="15" t="str">
        <f>IFERROR(__xludf.DUMMYFUNCTION("""COMPUTED_VALUE"""),"train")</f>
        <v>train</v>
      </c>
      <c r="E54" s="15">
        <f>IFERROR(__xludf.DUMMYFUNCTION("""COMPUTED_VALUE"""),672.0)</f>
        <v>672</v>
      </c>
      <c r="F54" s="15" t="str">
        <f>IFERROR(__xludf.DUMMYFUNCTION("""COMPUTED_VALUE"""),"QUAD")</f>
        <v>QUAD</v>
      </c>
      <c r="G54" s="15" t="str">
        <f>IFERROR(__xludf.DUMMYFUNCTION("""COMPUTED_VALUE"""),"unknown, unknown, unknown, unknown")</f>
        <v>unknown, unknown, unknown, unknown</v>
      </c>
      <c r="H54" s="15">
        <f>IFERROR(__xludf.DUMMYFUNCTION("""COMPUTED_VALUE"""),950.0)</f>
        <v>950</v>
      </c>
      <c r="I54" s="15">
        <f>IFERROR(__xludf.DUMMYFUNCTION("""COMPUTED_VALUE"""),1675.0)</f>
        <v>1675</v>
      </c>
      <c r="J54" s="15">
        <f>IFERROR(__xludf.DUMMYFUNCTION("""COMPUTED_VALUE"""),1585.0)</f>
        <v>1585</v>
      </c>
      <c r="K54" s="16" t="str">
        <f>IFERROR(__xludf.DUMMYFUNCTION("""COMPUTED_VALUE"""),"21/08/2023, 17:27:10")</f>
        <v>21/08/2023, 17:27:10</v>
      </c>
    </row>
    <row r="55">
      <c r="A55" s="18" t="str">
        <f>IFERROR(__xludf.DUMMYFUNCTION("""COMPUTED_VALUE"""),"63b6c2b52426700446d2772b")</f>
        <v>63b6c2b52426700446d2772b</v>
      </c>
      <c r="B55" s="15" t="str">
        <f>IFERROR(__xludf.DUMMYFUNCTION("""COMPUTED_VALUE"""),"official_overtaking_trucks_batch_1_for_train_updated")</f>
        <v>official_overtaking_trucks_batch_1_for_train_updated</v>
      </c>
      <c r="C55" s="15" t="str">
        <f>IFERROR(__xludf.DUMMYFUNCTION("""COMPUTED_VALUE"""),"train")</f>
        <v>train</v>
      </c>
      <c r="D55" s="15" t="str">
        <f>IFERROR(__xludf.DUMMYFUNCTION("""COMPUTED_VALUE"""),"train")</f>
        <v>train</v>
      </c>
      <c r="E55" s="15">
        <f>IFERROR(__xludf.DUMMYFUNCTION("""COMPUTED_VALUE"""),2129.0)</f>
        <v>2129</v>
      </c>
      <c r="F55" s="15" t="str">
        <f>IFERROR(__xludf.DUMMYFUNCTION("""COMPUTED_VALUE"""),"QUAD")</f>
        <v>QUAD</v>
      </c>
      <c r="G55" s="15" t="str">
        <f>IFERROR(__xludf.DUMMYFUNCTION("""COMPUTED_VALUE"""),"unknown, unknown, unknown, unknown")</f>
        <v>unknown, unknown, unknown, unknown</v>
      </c>
      <c r="H55" s="15">
        <f>IFERROR(__xludf.DUMMYFUNCTION("""COMPUTED_VALUE"""),950.0)</f>
        <v>950</v>
      </c>
      <c r="I55" s="15">
        <f>IFERROR(__xludf.DUMMYFUNCTION("""COMPUTED_VALUE"""),1675.0)</f>
        <v>1675</v>
      </c>
      <c r="J55" s="15">
        <f>IFERROR(__xludf.DUMMYFUNCTION("""COMPUTED_VALUE"""),1585.0)</f>
        <v>1585</v>
      </c>
      <c r="K55" s="16" t="str">
        <f>IFERROR(__xludf.DUMMYFUNCTION("""COMPUTED_VALUE"""),"21/08/2023, 17:27:14")</f>
        <v>21/08/2023, 17:27:14</v>
      </c>
    </row>
    <row r="56">
      <c r="A56" s="18" t="str">
        <f>IFERROR(__xludf.DUMMYFUNCTION("""COMPUTED_VALUE"""),"63b6c7432426700446d2b19a")</f>
        <v>63b6c7432426700446d2b19a</v>
      </c>
      <c r="B56" s="15" t="str">
        <f>IFERROR(__xludf.DUMMYFUNCTION("""COMPUTED_VALUE"""),"official_batch1_dummy_train_set_filtered_1_for_train_updated")</f>
        <v>official_batch1_dummy_train_set_filtered_1_for_train_updated</v>
      </c>
      <c r="C56" s="15" t="str">
        <f>IFERROR(__xludf.DUMMYFUNCTION("""COMPUTED_VALUE"""),"train")</f>
        <v>train</v>
      </c>
      <c r="D56" s="15" t="str">
        <f>IFERROR(__xludf.DUMMYFUNCTION("""COMPUTED_VALUE"""),"train")</f>
        <v>train</v>
      </c>
      <c r="E56" s="15">
        <f>IFERROR(__xludf.DUMMYFUNCTION("""COMPUTED_VALUE"""),245.0)</f>
        <v>245</v>
      </c>
      <c r="F56" s="15" t="str">
        <f>IFERROR(__xludf.DUMMYFUNCTION("""COMPUTED_VALUE"""),"QUAD")</f>
        <v>QUAD</v>
      </c>
      <c r="G56" s="15" t="str">
        <f>IFERROR(__xludf.DUMMYFUNCTION("""COMPUTED_VALUE"""),"unknown, unknown, unknown, unknown")</f>
        <v>unknown, unknown, unknown, unknown</v>
      </c>
      <c r="H56" s="15">
        <f>IFERROR(__xludf.DUMMYFUNCTION("""COMPUTED_VALUE"""),950.0)</f>
        <v>950</v>
      </c>
      <c r="I56" s="15">
        <f>IFERROR(__xludf.DUMMYFUNCTION("""COMPUTED_VALUE"""),1675.0)</f>
        <v>1675</v>
      </c>
      <c r="J56" s="15">
        <f>IFERROR(__xludf.DUMMYFUNCTION("""COMPUTED_VALUE"""),1585.0)</f>
        <v>1585</v>
      </c>
      <c r="K56" s="16" t="str">
        <f>IFERROR(__xludf.DUMMYFUNCTION("""COMPUTED_VALUE"""),"21/08/2023, 17:27:17")</f>
        <v>21/08/2023, 17:27:17</v>
      </c>
    </row>
    <row r="57">
      <c r="A57" s="18" t="str">
        <f>IFERROR(__xludf.DUMMYFUNCTION("""COMPUTED_VALUE"""),"63b6c7c22426700446d2cd1e")</f>
        <v>63b6c7c22426700446d2cd1e</v>
      </c>
      <c r="B57" s="15" t="str">
        <f>IFERROR(__xludf.DUMMYFUNCTION("""COMPUTED_VALUE"""),"official_batch2_vans_for_psa_drives_for_train_updated")</f>
        <v>official_batch2_vans_for_psa_drives_for_train_updated</v>
      </c>
      <c r="C57" s="15" t="str">
        <f>IFERROR(__xludf.DUMMYFUNCTION("""COMPUTED_VALUE"""),"train")</f>
        <v>train</v>
      </c>
      <c r="D57" s="15" t="str">
        <f>IFERROR(__xludf.DUMMYFUNCTION("""COMPUTED_VALUE"""),"train")</f>
        <v>train</v>
      </c>
      <c r="E57" s="15">
        <f>IFERROR(__xludf.DUMMYFUNCTION("""COMPUTED_VALUE"""),1170.0)</f>
        <v>1170</v>
      </c>
      <c r="F57" s="15" t="str">
        <f>IFERROR(__xludf.DUMMYFUNCTION("""COMPUTED_VALUE"""),"QUAD")</f>
        <v>QUAD</v>
      </c>
      <c r="G57" s="15" t="str">
        <f>IFERROR(__xludf.DUMMYFUNCTION("""COMPUTED_VALUE"""),"unknown, unknown, unknown, unknown")</f>
        <v>unknown, unknown, unknown, unknown</v>
      </c>
      <c r="H57" s="15">
        <f>IFERROR(__xludf.DUMMYFUNCTION("""COMPUTED_VALUE"""),950.0)</f>
        <v>950</v>
      </c>
      <c r="I57" s="15">
        <f>IFERROR(__xludf.DUMMYFUNCTION("""COMPUTED_VALUE"""),1675.0)</f>
        <v>1675</v>
      </c>
      <c r="J57" s="15">
        <f>IFERROR(__xludf.DUMMYFUNCTION("""COMPUTED_VALUE"""),1585.0)</f>
        <v>1585</v>
      </c>
      <c r="K57" s="16" t="str">
        <f>IFERROR(__xludf.DUMMYFUNCTION("""COMPUTED_VALUE"""),"21/08/2023, 17:27:21")</f>
        <v>21/08/2023, 17:27:21</v>
      </c>
    </row>
    <row r="58">
      <c r="A58" s="18" t="str">
        <f>IFERROR(__xludf.DUMMYFUNCTION("""COMPUTED_VALUE"""),"63b6c9642426700446d2d08a")</f>
        <v>63b6c9642426700446d2d08a</v>
      </c>
      <c r="B58" s="15" t="str">
        <f>IFERROR(__xludf.DUMMYFUNCTION("""COMPUTED_VALUE"""),"official_yellow_vest_batch_1_for_train_updated")</f>
        <v>official_yellow_vest_batch_1_for_train_updated</v>
      </c>
      <c r="C58" s="15" t="str">
        <f>IFERROR(__xludf.DUMMYFUNCTION("""COMPUTED_VALUE"""),"train")</f>
        <v>train</v>
      </c>
      <c r="D58" s="15" t="str">
        <f>IFERROR(__xludf.DUMMYFUNCTION("""COMPUTED_VALUE"""),"train")</f>
        <v>train</v>
      </c>
      <c r="E58" s="15">
        <f>IFERROR(__xludf.DUMMYFUNCTION("""COMPUTED_VALUE"""),1078.0)</f>
        <v>1078</v>
      </c>
      <c r="F58" s="15" t="str">
        <f>IFERROR(__xludf.DUMMYFUNCTION("""COMPUTED_VALUE"""),"QUAD")</f>
        <v>QUAD</v>
      </c>
      <c r="G58" s="15" t="str">
        <f>IFERROR(__xludf.DUMMYFUNCTION("""COMPUTED_VALUE"""),"unknown, unknown, unknown, unknown")</f>
        <v>unknown, unknown, unknown, unknown</v>
      </c>
      <c r="H58" s="15">
        <f>IFERROR(__xludf.DUMMYFUNCTION("""COMPUTED_VALUE"""),950.0)</f>
        <v>950</v>
      </c>
      <c r="I58" s="15">
        <f>IFERROR(__xludf.DUMMYFUNCTION("""COMPUTED_VALUE"""),1675.0)</f>
        <v>1675</v>
      </c>
      <c r="J58" s="15">
        <f>IFERROR(__xludf.DUMMYFUNCTION("""COMPUTED_VALUE"""),1585.0)</f>
        <v>1585</v>
      </c>
      <c r="K58" s="16" t="str">
        <f>IFERROR(__xludf.DUMMYFUNCTION("""COMPUTED_VALUE"""),"21/08/2023, 17:27:25")</f>
        <v>21/08/2023, 17:27:25</v>
      </c>
    </row>
    <row r="59">
      <c r="A59" s="18" t="str">
        <f>IFERROR(__xludf.DUMMYFUNCTION("""COMPUTED_VALUE"""),"63b6c9a82426700446d2d0e1")</f>
        <v>63b6c9a82426700446d2d0e1</v>
      </c>
      <c r="B59" s="15" t="str">
        <f>IFERROR(__xludf.DUMMYFUNCTION("""COMPUTED_VALUE"""),"official_yellow_vest_batch_2_for_train_updated")</f>
        <v>official_yellow_vest_batch_2_for_train_updated</v>
      </c>
      <c r="C59" s="15" t="str">
        <f>IFERROR(__xludf.DUMMYFUNCTION("""COMPUTED_VALUE"""),"train")</f>
        <v>train</v>
      </c>
      <c r="D59" s="15" t="str">
        <f>IFERROR(__xludf.DUMMYFUNCTION("""COMPUTED_VALUE"""),"train")</f>
        <v>train</v>
      </c>
      <c r="E59" s="15">
        <f>IFERROR(__xludf.DUMMYFUNCTION("""COMPUTED_VALUE"""),567.0)</f>
        <v>567</v>
      </c>
      <c r="F59" s="15" t="str">
        <f>IFERROR(__xludf.DUMMYFUNCTION("""COMPUTED_VALUE"""),"QUAD")</f>
        <v>QUAD</v>
      </c>
      <c r="G59" s="15" t="str">
        <f>IFERROR(__xludf.DUMMYFUNCTION("""COMPUTED_VALUE"""),"unknown, unknown, unknown, unknown")</f>
        <v>unknown, unknown, unknown, unknown</v>
      </c>
      <c r="H59" s="15">
        <f>IFERROR(__xludf.DUMMYFUNCTION("""COMPUTED_VALUE"""),950.0)</f>
        <v>950</v>
      </c>
      <c r="I59" s="15">
        <f>IFERROR(__xludf.DUMMYFUNCTION("""COMPUTED_VALUE"""),1675.0)</f>
        <v>1675</v>
      </c>
      <c r="J59" s="15">
        <f>IFERROR(__xludf.DUMMYFUNCTION("""COMPUTED_VALUE"""),1585.0)</f>
        <v>1585</v>
      </c>
      <c r="K59" s="16" t="str">
        <f>IFERROR(__xludf.DUMMYFUNCTION("""COMPUTED_VALUE"""),"21/08/2023, 17:27:28")</f>
        <v>21/08/2023, 17:27:28</v>
      </c>
    </row>
    <row r="60">
      <c r="A60" s="18" t="str">
        <f>IFERROR(__xludf.DUMMYFUNCTION("""COMPUTED_VALUE"""),"63b6ca042426700446d2d13a")</f>
        <v>63b6ca042426700446d2d13a</v>
      </c>
      <c r="B60" s="15" t="str">
        <f>IFERROR(__xludf.DUMMYFUNCTION("""COMPUTED_VALUE"""),"official_renault_continental_test_yellow_vest_for_train_updated")</f>
        <v>official_renault_continental_test_yellow_vest_for_train_updated</v>
      </c>
      <c r="C60" s="15" t="str">
        <f>IFERROR(__xludf.DUMMYFUNCTION("""COMPUTED_VALUE"""),"train")</f>
        <v>train</v>
      </c>
      <c r="D60" s="15" t="str">
        <f>IFERROR(__xludf.DUMMYFUNCTION("""COMPUTED_VALUE"""),"train")</f>
        <v>train</v>
      </c>
      <c r="E60" s="15">
        <f>IFERROR(__xludf.DUMMYFUNCTION("""COMPUTED_VALUE"""),451.0)</f>
        <v>451</v>
      </c>
      <c r="F60" s="15" t="str">
        <f>IFERROR(__xludf.DUMMYFUNCTION("""COMPUTED_VALUE"""),"QUAD")</f>
        <v>QUAD</v>
      </c>
      <c r="G60" s="15" t="str">
        <f>IFERROR(__xludf.DUMMYFUNCTION("""COMPUTED_VALUE"""),"unknown, unknown, unknown, unknown")</f>
        <v>unknown, unknown, unknown, unknown</v>
      </c>
      <c r="H60" s="15">
        <f>IFERROR(__xludf.DUMMYFUNCTION("""COMPUTED_VALUE"""),950.0)</f>
        <v>950</v>
      </c>
      <c r="I60" s="15">
        <f>IFERROR(__xludf.DUMMYFUNCTION("""COMPUTED_VALUE"""),1675.0)</f>
        <v>1675</v>
      </c>
      <c r="J60" s="15">
        <f>IFERROR(__xludf.DUMMYFUNCTION("""COMPUTED_VALUE"""),1585.0)</f>
        <v>1585</v>
      </c>
      <c r="K60" s="16" t="str">
        <f>IFERROR(__xludf.DUMMYFUNCTION("""COMPUTED_VALUE"""),"21/08/2023, 17:27:31")</f>
        <v>21/08/2023, 17:27:31</v>
      </c>
    </row>
    <row r="61">
      <c r="A61" s="18" t="str">
        <f>IFERROR(__xludf.DUMMYFUNCTION("""COMPUTED_VALUE"""),"63b6ca682426700446d2d195")</f>
        <v>63b6ca682426700446d2d195</v>
      </c>
      <c r="B61" s="15" t="str">
        <f>IFERROR(__xludf.DUMMYFUNCTION("""COMPUTED_VALUE"""),"official_grid_yellow_vest_for_train_updated")</f>
        <v>official_grid_yellow_vest_for_train_updated</v>
      </c>
      <c r="C61" s="15" t="str">
        <f>IFERROR(__xludf.DUMMYFUNCTION("""COMPUTED_VALUE"""),"train")</f>
        <v>train</v>
      </c>
      <c r="D61" s="15" t="str">
        <f>IFERROR(__xludf.DUMMYFUNCTION("""COMPUTED_VALUE"""),"train")</f>
        <v>train</v>
      </c>
      <c r="E61" s="15">
        <f>IFERROR(__xludf.DUMMYFUNCTION("""COMPUTED_VALUE"""),185.0)</f>
        <v>185</v>
      </c>
      <c r="F61" s="15" t="str">
        <f>IFERROR(__xludf.DUMMYFUNCTION("""COMPUTED_VALUE"""),"QUAD")</f>
        <v>QUAD</v>
      </c>
      <c r="G61" s="15" t="str">
        <f>IFERROR(__xludf.DUMMYFUNCTION("""COMPUTED_VALUE"""),"unknown, unknown, unknown, unknown")</f>
        <v>unknown, unknown, unknown, unknown</v>
      </c>
      <c r="H61" s="15">
        <f>IFERROR(__xludf.DUMMYFUNCTION("""COMPUTED_VALUE"""),950.0)</f>
        <v>950</v>
      </c>
      <c r="I61" s="15">
        <f>IFERROR(__xludf.DUMMYFUNCTION("""COMPUTED_VALUE"""),1675.0)</f>
        <v>1675</v>
      </c>
      <c r="J61" s="15">
        <f>IFERROR(__xludf.DUMMYFUNCTION("""COMPUTED_VALUE"""),1585.0)</f>
        <v>1585</v>
      </c>
      <c r="K61" s="16" t="str">
        <f>IFERROR(__xludf.DUMMYFUNCTION("""COMPUTED_VALUE"""),"21/08/2023, 17:27:34")</f>
        <v>21/08/2023, 17:27:34</v>
      </c>
    </row>
    <row r="62">
      <c r="A62" s="18" t="str">
        <f>IFERROR(__xludf.DUMMYFUNCTION("""COMPUTED_VALUE"""),"63b6cc882426700446d2d2a8")</f>
        <v>63b6cc882426700446d2d2a8</v>
      </c>
      <c r="B62" s="15" t="str">
        <f>IFERROR(__xludf.DUMMYFUNCTION("""COMPUTED_VALUE"""),"official_big_set_2w_rider_for_train_updated")</f>
        <v>official_big_set_2w_rider_for_train_updated</v>
      </c>
      <c r="C62" s="15" t="str">
        <f>IFERROR(__xludf.DUMMYFUNCTION("""COMPUTED_VALUE"""),"train")</f>
        <v>train</v>
      </c>
      <c r="D62" s="15" t="str">
        <f>IFERROR(__xludf.DUMMYFUNCTION("""COMPUTED_VALUE"""),"train")</f>
        <v>train</v>
      </c>
      <c r="E62" s="15">
        <f>IFERROR(__xludf.DUMMYFUNCTION("""COMPUTED_VALUE"""),768.0)</f>
        <v>768</v>
      </c>
      <c r="F62" s="15" t="str">
        <f>IFERROR(__xludf.DUMMYFUNCTION("""COMPUTED_VALUE"""),"QUAD")</f>
        <v>QUAD</v>
      </c>
      <c r="G62" s="15" t="str">
        <f>IFERROR(__xludf.DUMMYFUNCTION("""COMPUTED_VALUE"""),"unknown, unknown, unknown, unknown")</f>
        <v>unknown, unknown, unknown, unknown</v>
      </c>
      <c r="H62" s="15">
        <f>IFERROR(__xludf.DUMMYFUNCTION("""COMPUTED_VALUE"""),950.0)</f>
        <v>950</v>
      </c>
      <c r="I62" s="15">
        <f>IFERROR(__xludf.DUMMYFUNCTION("""COMPUTED_VALUE"""),1675.0)</f>
        <v>1675</v>
      </c>
      <c r="J62" s="15">
        <f>IFERROR(__xludf.DUMMYFUNCTION("""COMPUTED_VALUE"""),1585.0)</f>
        <v>1585</v>
      </c>
      <c r="K62" s="16" t="str">
        <f>IFERROR(__xludf.DUMMYFUNCTION("""COMPUTED_VALUE"""),"21/08/2023, 17:27:37")</f>
        <v>21/08/2023, 17:27:37</v>
      </c>
    </row>
    <row r="63">
      <c r="A63" s="18" t="str">
        <f>IFERROR(__xludf.DUMMYFUNCTION("""COMPUTED_VALUE"""),"63b6cd952426700446d2d3ba")</f>
        <v>63b6cd952426700446d2d3ba</v>
      </c>
      <c r="B63" s="15" t="str">
        <f>IFERROR(__xludf.DUMMYFUNCTION("""COMPUTED_VALUE"""),"official_big_set_2w_rider_04_for_train_updated")</f>
        <v>official_big_set_2w_rider_04_for_train_updated</v>
      </c>
      <c r="C63" s="15" t="str">
        <f>IFERROR(__xludf.DUMMYFUNCTION("""COMPUTED_VALUE"""),"train")</f>
        <v>train</v>
      </c>
      <c r="D63" s="15" t="str">
        <f>IFERROR(__xludf.DUMMYFUNCTION("""COMPUTED_VALUE"""),"train")</f>
        <v>train</v>
      </c>
      <c r="E63" s="15">
        <f>IFERROR(__xludf.DUMMYFUNCTION("""COMPUTED_VALUE"""),409.0)</f>
        <v>409</v>
      </c>
      <c r="F63" s="15" t="str">
        <f>IFERROR(__xludf.DUMMYFUNCTION("""COMPUTED_VALUE"""),"QUAD")</f>
        <v>QUAD</v>
      </c>
      <c r="G63" s="15" t="str">
        <f>IFERROR(__xludf.DUMMYFUNCTION("""COMPUTED_VALUE"""),"unknown, unknown, unknown, unknown")</f>
        <v>unknown, unknown, unknown, unknown</v>
      </c>
      <c r="H63" s="15">
        <f>IFERROR(__xludf.DUMMYFUNCTION("""COMPUTED_VALUE"""),950.0)</f>
        <v>950</v>
      </c>
      <c r="I63" s="15">
        <f>IFERROR(__xludf.DUMMYFUNCTION("""COMPUTED_VALUE"""),1675.0)</f>
        <v>1675</v>
      </c>
      <c r="J63" s="15">
        <f>IFERROR(__xludf.DUMMYFUNCTION("""COMPUTED_VALUE"""),1585.0)</f>
        <v>1585</v>
      </c>
      <c r="K63" s="16" t="str">
        <f>IFERROR(__xludf.DUMMYFUNCTION("""COMPUTED_VALUE"""),"21/08/2023, 17:27:48")</f>
        <v>21/08/2023, 17:27:48</v>
      </c>
    </row>
    <row r="64">
      <c r="A64" s="18" t="str">
        <f>IFERROR(__xludf.DUMMYFUNCTION("""COMPUTED_VALUE"""),"63b6cde72426700446d2d416")</f>
        <v>63b6cde72426700446d2d416</v>
      </c>
      <c r="B64" s="15" t="str">
        <f>IFERROR(__xludf.DUMMYFUNCTION("""COMPUTED_VALUE"""),"official_big_set_2w_rider_05_for_train_updated")</f>
        <v>official_big_set_2w_rider_05_for_train_updated</v>
      </c>
      <c r="C64" s="15" t="str">
        <f>IFERROR(__xludf.DUMMYFUNCTION("""COMPUTED_VALUE"""),"train")</f>
        <v>train</v>
      </c>
      <c r="D64" s="15" t="str">
        <f>IFERROR(__xludf.DUMMYFUNCTION("""COMPUTED_VALUE"""),"train")</f>
        <v>train</v>
      </c>
      <c r="E64" s="15">
        <f>IFERROR(__xludf.DUMMYFUNCTION("""COMPUTED_VALUE"""),746.0)</f>
        <v>746</v>
      </c>
      <c r="F64" s="15" t="str">
        <f>IFERROR(__xludf.DUMMYFUNCTION("""COMPUTED_VALUE"""),"QUAD")</f>
        <v>QUAD</v>
      </c>
      <c r="G64" s="15" t="str">
        <f>IFERROR(__xludf.DUMMYFUNCTION("""COMPUTED_VALUE"""),"unknown, unknown, unknown, unknown")</f>
        <v>unknown, unknown, unknown, unknown</v>
      </c>
      <c r="H64" s="15">
        <f>IFERROR(__xludf.DUMMYFUNCTION("""COMPUTED_VALUE"""),950.0)</f>
        <v>950</v>
      </c>
      <c r="I64" s="15">
        <f>IFERROR(__xludf.DUMMYFUNCTION("""COMPUTED_VALUE"""),1675.0)</f>
        <v>1675</v>
      </c>
      <c r="J64" s="15">
        <f>IFERROR(__xludf.DUMMYFUNCTION("""COMPUTED_VALUE"""),1585.0)</f>
        <v>1585</v>
      </c>
      <c r="K64" s="16" t="str">
        <f>IFERROR(__xludf.DUMMYFUNCTION("""COMPUTED_VALUE"""),"21/08/2023, 17:27:51")</f>
        <v>21/08/2023, 17:27:51</v>
      </c>
    </row>
    <row r="65">
      <c r="A65" s="18" t="str">
        <f>IFERROR(__xludf.DUMMYFUNCTION("""COMPUTED_VALUE"""),"63b6cecc2426700446d2d47e")</f>
        <v>63b6cecc2426700446d2d47e</v>
      </c>
      <c r="B65" s="15" t="str">
        <f>IFERROR(__xludf.DUMMYFUNCTION("""COMPUTED_VALUE"""),"official_big_set_2w_rider_06_for_train_updated")</f>
        <v>official_big_set_2w_rider_06_for_train_updated</v>
      </c>
      <c r="C65" s="15" t="str">
        <f>IFERROR(__xludf.DUMMYFUNCTION("""COMPUTED_VALUE"""),"train")</f>
        <v>train</v>
      </c>
      <c r="D65" s="15" t="str">
        <f>IFERROR(__xludf.DUMMYFUNCTION("""COMPUTED_VALUE"""),"train")</f>
        <v>train</v>
      </c>
      <c r="E65" s="15">
        <f>IFERROR(__xludf.DUMMYFUNCTION("""COMPUTED_VALUE"""),1838.0)</f>
        <v>1838</v>
      </c>
      <c r="F65" s="15" t="str">
        <f>IFERROR(__xludf.DUMMYFUNCTION("""COMPUTED_VALUE"""),"QUAD")</f>
        <v>QUAD</v>
      </c>
      <c r="G65" s="15" t="str">
        <f>IFERROR(__xludf.DUMMYFUNCTION("""COMPUTED_VALUE"""),"unknown, unknown, unknown, unknown")</f>
        <v>unknown, unknown, unknown, unknown</v>
      </c>
      <c r="H65" s="15">
        <f>IFERROR(__xludf.DUMMYFUNCTION("""COMPUTED_VALUE"""),950.0)</f>
        <v>950</v>
      </c>
      <c r="I65" s="15">
        <f>IFERROR(__xludf.DUMMYFUNCTION("""COMPUTED_VALUE"""),1675.0)</f>
        <v>1675</v>
      </c>
      <c r="J65" s="15">
        <f>IFERROR(__xludf.DUMMYFUNCTION("""COMPUTED_VALUE"""),1585.0)</f>
        <v>1585</v>
      </c>
      <c r="K65" s="16" t="str">
        <f>IFERROR(__xludf.DUMMYFUNCTION("""COMPUTED_VALUE"""),"21/08/2023, 17:27:56")</f>
        <v>21/08/2023, 17:27:56</v>
      </c>
    </row>
    <row r="66">
      <c r="A66" s="18" t="str">
        <f>IFERROR(__xludf.DUMMYFUNCTION("""COMPUTED_VALUE"""),"63b6cf372426700446d2d4df")</f>
        <v>63b6cf372426700446d2d4df</v>
      </c>
      <c r="B66" s="15" t="str">
        <f>IFERROR(__xludf.DUMMYFUNCTION("""COMPUTED_VALUE"""),"official_big_set_2w_rider_07_for_train_updated")</f>
        <v>official_big_set_2w_rider_07_for_train_updated</v>
      </c>
      <c r="C66" s="15" t="str">
        <f>IFERROR(__xludf.DUMMYFUNCTION("""COMPUTED_VALUE"""),"train")</f>
        <v>train</v>
      </c>
      <c r="D66" s="15" t="str">
        <f>IFERROR(__xludf.DUMMYFUNCTION("""COMPUTED_VALUE"""),"train")</f>
        <v>train</v>
      </c>
      <c r="E66" s="15">
        <f>IFERROR(__xludf.DUMMYFUNCTION("""COMPUTED_VALUE"""),829.0)</f>
        <v>829</v>
      </c>
      <c r="F66" s="15" t="str">
        <f>IFERROR(__xludf.DUMMYFUNCTION("""COMPUTED_VALUE"""),"QUAD")</f>
        <v>QUAD</v>
      </c>
      <c r="G66" s="15" t="str">
        <f>IFERROR(__xludf.DUMMYFUNCTION("""COMPUTED_VALUE"""),"unknown, unknown, unknown, unknown")</f>
        <v>unknown, unknown, unknown, unknown</v>
      </c>
      <c r="H66" s="15">
        <f>IFERROR(__xludf.DUMMYFUNCTION("""COMPUTED_VALUE"""),950.0)</f>
        <v>950</v>
      </c>
      <c r="I66" s="15">
        <f>IFERROR(__xludf.DUMMYFUNCTION("""COMPUTED_VALUE"""),1675.0)</f>
        <v>1675</v>
      </c>
      <c r="J66" s="15">
        <f>IFERROR(__xludf.DUMMYFUNCTION("""COMPUTED_VALUE"""),1585.0)</f>
        <v>1585</v>
      </c>
      <c r="K66" s="16" t="str">
        <f>IFERROR(__xludf.DUMMYFUNCTION("""COMPUTED_VALUE"""),"21/08/2023, 17:27:59")</f>
        <v>21/08/2023, 17:27:59</v>
      </c>
    </row>
    <row r="67">
      <c r="A67" s="18" t="str">
        <f>IFERROR(__xludf.DUMMYFUNCTION("""COMPUTED_VALUE"""),"63b6cf912426700446d2d53b")</f>
        <v>63b6cf912426700446d2d53b</v>
      </c>
      <c r="B67" s="15" t="str">
        <f>IFERROR(__xludf.DUMMYFUNCTION("""COMPUTED_VALUE"""),"official_2w_germany_general_issues_for_train_updated")</f>
        <v>official_2w_germany_general_issues_for_train_updated</v>
      </c>
      <c r="C67" s="15" t="str">
        <f>IFERROR(__xludf.DUMMYFUNCTION("""COMPUTED_VALUE"""),"train")</f>
        <v>train</v>
      </c>
      <c r="D67" s="15" t="str">
        <f>IFERROR(__xludf.DUMMYFUNCTION("""COMPUTED_VALUE"""),"train")</f>
        <v>train</v>
      </c>
      <c r="E67" s="15">
        <f>IFERROR(__xludf.DUMMYFUNCTION("""COMPUTED_VALUE"""),277.0)</f>
        <v>277</v>
      </c>
      <c r="F67" s="15" t="str">
        <f>IFERROR(__xludf.DUMMYFUNCTION("""COMPUTED_VALUE"""),"QUAD")</f>
        <v>QUAD</v>
      </c>
      <c r="G67" s="15" t="str">
        <f>IFERROR(__xludf.DUMMYFUNCTION("""COMPUTED_VALUE"""),"unknown, unknown, unknown, unknown")</f>
        <v>unknown, unknown, unknown, unknown</v>
      </c>
      <c r="H67" s="15">
        <f>IFERROR(__xludf.DUMMYFUNCTION("""COMPUTED_VALUE"""),950.0)</f>
        <v>950</v>
      </c>
      <c r="I67" s="15">
        <f>IFERROR(__xludf.DUMMYFUNCTION("""COMPUTED_VALUE"""),1675.0)</f>
        <v>1675</v>
      </c>
      <c r="J67" s="15">
        <f>IFERROR(__xludf.DUMMYFUNCTION("""COMPUTED_VALUE"""),1585.0)</f>
        <v>1585</v>
      </c>
      <c r="K67" s="16" t="str">
        <f>IFERROR(__xludf.DUMMYFUNCTION("""COMPUTED_VALUE"""),"21/08/2023, 17:28:02")</f>
        <v>21/08/2023, 17:28:02</v>
      </c>
    </row>
    <row r="68">
      <c r="A68" s="18" t="str">
        <f>IFERROR(__xludf.DUMMYFUNCTION("""COMPUTED_VALUE"""),"63b6cff92426700446d2d5ad")</f>
        <v>63b6cff92426700446d2d5ad</v>
      </c>
      <c r="B68" s="15" t="str">
        <f>IFERROR(__xludf.DUMMYFUNCTION("""COMPUTED_VALUE"""),"official_batch1_2w_rider_germany_for_train_updated")</f>
        <v>official_batch1_2w_rider_germany_for_train_updated</v>
      </c>
      <c r="C68" s="15" t="str">
        <f>IFERROR(__xludf.DUMMYFUNCTION("""COMPUTED_VALUE"""),"train")</f>
        <v>train</v>
      </c>
      <c r="D68" s="15" t="str">
        <f>IFERROR(__xludf.DUMMYFUNCTION("""COMPUTED_VALUE"""),"train")</f>
        <v>train</v>
      </c>
      <c r="E68" s="15">
        <f>IFERROR(__xludf.DUMMYFUNCTION("""COMPUTED_VALUE"""),593.0)</f>
        <v>593</v>
      </c>
      <c r="F68" s="15" t="str">
        <f>IFERROR(__xludf.DUMMYFUNCTION("""COMPUTED_VALUE"""),"QUAD")</f>
        <v>QUAD</v>
      </c>
      <c r="G68" s="15" t="str">
        <f>IFERROR(__xludf.DUMMYFUNCTION("""COMPUTED_VALUE"""),"unknown, unknown, unknown, unknown")</f>
        <v>unknown, unknown, unknown, unknown</v>
      </c>
      <c r="H68" s="15">
        <f>IFERROR(__xludf.DUMMYFUNCTION("""COMPUTED_VALUE"""),950.0)</f>
        <v>950</v>
      </c>
      <c r="I68" s="15">
        <f>IFERROR(__xludf.DUMMYFUNCTION("""COMPUTED_VALUE"""),1675.0)</f>
        <v>1675</v>
      </c>
      <c r="J68" s="15">
        <f>IFERROR(__xludf.DUMMYFUNCTION("""COMPUTED_VALUE"""),1585.0)</f>
        <v>1585</v>
      </c>
      <c r="K68" s="16" t="str">
        <f>IFERROR(__xludf.DUMMYFUNCTION("""COMPUTED_VALUE"""),"21/08/2023, 17:28:05")</f>
        <v>21/08/2023, 17:28:05</v>
      </c>
    </row>
    <row r="69">
      <c r="A69" s="18" t="str">
        <f>IFERROR(__xludf.DUMMYFUNCTION("""COMPUTED_VALUE"""),"63b6d0822426700446d2d647")</f>
        <v>63b6d0822426700446d2d647</v>
      </c>
      <c r="B69" s="15" t="str">
        <f>IFERROR(__xludf.DUMMYFUNCTION("""COMPUTED_VALUE"""),"official_batch1_2w_rider_general_issues_for_train_updated")</f>
        <v>official_batch1_2w_rider_general_issues_for_train_updated</v>
      </c>
      <c r="C69" s="15" t="str">
        <f>IFERROR(__xludf.DUMMYFUNCTION("""COMPUTED_VALUE"""),"train")</f>
        <v>train</v>
      </c>
      <c r="D69" s="15" t="str">
        <f>IFERROR(__xludf.DUMMYFUNCTION("""COMPUTED_VALUE"""),"train")</f>
        <v>train</v>
      </c>
      <c r="E69" s="15">
        <f>IFERROR(__xludf.DUMMYFUNCTION("""COMPUTED_VALUE"""),720.0)</f>
        <v>720</v>
      </c>
      <c r="F69" s="15" t="str">
        <f>IFERROR(__xludf.DUMMYFUNCTION("""COMPUTED_VALUE"""),"QUAD")</f>
        <v>QUAD</v>
      </c>
      <c r="G69" s="15" t="str">
        <f>IFERROR(__xludf.DUMMYFUNCTION("""COMPUTED_VALUE"""),"unknown, unknown, unknown, unknown")</f>
        <v>unknown, unknown, unknown, unknown</v>
      </c>
      <c r="H69" s="15">
        <f>IFERROR(__xludf.DUMMYFUNCTION("""COMPUTED_VALUE"""),950.0)</f>
        <v>950</v>
      </c>
      <c r="I69" s="15">
        <f>IFERROR(__xludf.DUMMYFUNCTION("""COMPUTED_VALUE"""),1675.0)</f>
        <v>1675</v>
      </c>
      <c r="J69" s="15">
        <f>IFERROR(__xludf.DUMMYFUNCTION("""COMPUTED_VALUE"""),1585.0)</f>
        <v>1585</v>
      </c>
      <c r="K69" s="16" t="str">
        <f>IFERROR(__xludf.DUMMYFUNCTION("""COMPUTED_VALUE"""),"21/08/2023, 17:28:09")</f>
        <v>21/08/2023, 17:28:09</v>
      </c>
    </row>
    <row r="70">
      <c r="A70" s="18" t="str">
        <f>IFERROR(__xludf.DUMMYFUNCTION("""COMPUTED_VALUE"""),"63b6d30f2426700446d2d9c7")</f>
        <v>63b6d30f2426700446d2d9c7</v>
      </c>
      <c r="B70" s="15" t="str">
        <f>IFERROR(__xludf.DUMMYFUNCTION("""COMPUTED_VALUE"""),"official_open_road_2w_data_from_july22_germany_workshop_for_train_updated")</f>
        <v>official_open_road_2w_data_from_july22_germany_workshop_for_train_updated</v>
      </c>
      <c r="C70" s="15" t="str">
        <f>IFERROR(__xludf.DUMMYFUNCTION("""COMPUTED_VALUE"""),"train")</f>
        <v>train</v>
      </c>
      <c r="D70" s="15" t="str">
        <f>IFERROR(__xludf.DUMMYFUNCTION("""COMPUTED_VALUE"""),"train")</f>
        <v>train</v>
      </c>
      <c r="E70" s="15">
        <f>IFERROR(__xludf.DUMMYFUNCTION("""COMPUTED_VALUE"""),318.0)</f>
        <v>318</v>
      </c>
      <c r="F70" s="15" t="str">
        <f>IFERROR(__xludf.DUMMYFUNCTION("""COMPUTED_VALUE"""),"QUAD")</f>
        <v>QUAD</v>
      </c>
      <c r="G70" s="15" t="str">
        <f>IFERROR(__xludf.DUMMYFUNCTION("""COMPUTED_VALUE"""),"unknown, unknown, unknown, unknown")</f>
        <v>unknown, unknown, unknown, unknown</v>
      </c>
      <c r="H70" s="15">
        <f>IFERROR(__xludf.DUMMYFUNCTION("""COMPUTED_VALUE"""),950.0)</f>
        <v>950</v>
      </c>
      <c r="I70" s="15">
        <f>IFERROR(__xludf.DUMMYFUNCTION("""COMPUTED_VALUE"""),1675.0)</f>
        <v>1675</v>
      </c>
      <c r="J70" s="15">
        <f>IFERROR(__xludf.DUMMYFUNCTION("""COMPUTED_VALUE"""),1585.0)</f>
        <v>1585</v>
      </c>
      <c r="K70" s="16" t="str">
        <f>IFERROR(__xludf.DUMMYFUNCTION("""COMPUTED_VALUE"""),"21/08/2023, 17:28:12")</f>
        <v>21/08/2023, 17:28:12</v>
      </c>
    </row>
    <row r="71">
      <c r="A71" s="18" t="str">
        <f>IFERROR(__xludf.DUMMYFUNCTION("""COMPUTED_VALUE"""),"63b6d3442426700446d2da2b")</f>
        <v>63b6d3442426700446d2da2b</v>
      </c>
      <c r="B71" s="15" t="str">
        <f>IFERROR(__xludf.DUMMYFUNCTION("""COMPUTED_VALUE"""),"official_open_road_2w_data_from_july22_germany_workshop_batch2_for_train_updated")</f>
        <v>official_open_road_2w_data_from_july22_germany_workshop_batch2_for_train_updated</v>
      </c>
      <c r="C71" s="15" t="str">
        <f>IFERROR(__xludf.DUMMYFUNCTION("""COMPUTED_VALUE"""),"train")</f>
        <v>train</v>
      </c>
      <c r="D71" s="15" t="str">
        <f>IFERROR(__xludf.DUMMYFUNCTION("""COMPUTED_VALUE"""),"train")</f>
        <v>train</v>
      </c>
      <c r="E71" s="15">
        <f>IFERROR(__xludf.DUMMYFUNCTION("""COMPUTED_VALUE"""),383.0)</f>
        <v>383</v>
      </c>
      <c r="F71" s="15" t="str">
        <f>IFERROR(__xludf.DUMMYFUNCTION("""COMPUTED_VALUE"""),"QUAD")</f>
        <v>QUAD</v>
      </c>
      <c r="G71" s="15" t="str">
        <f>IFERROR(__xludf.DUMMYFUNCTION("""COMPUTED_VALUE"""),"unknown, unknown, unknown, unknown")</f>
        <v>unknown, unknown, unknown, unknown</v>
      </c>
      <c r="H71" s="15">
        <f>IFERROR(__xludf.DUMMYFUNCTION("""COMPUTED_VALUE"""),950.0)</f>
        <v>950</v>
      </c>
      <c r="I71" s="15">
        <f>IFERROR(__xludf.DUMMYFUNCTION("""COMPUTED_VALUE"""),1675.0)</f>
        <v>1675</v>
      </c>
      <c r="J71" s="15">
        <f>IFERROR(__xludf.DUMMYFUNCTION("""COMPUTED_VALUE"""),1585.0)</f>
        <v>1585</v>
      </c>
      <c r="K71" s="16" t="str">
        <f>IFERROR(__xludf.DUMMYFUNCTION("""COMPUTED_VALUE"""),"21/08/2023, 17:28:15")</f>
        <v>21/08/2023, 17:28:15</v>
      </c>
    </row>
    <row r="72">
      <c r="A72" s="18" t="str">
        <f>IFERROR(__xludf.DUMMYFUNCTION("""COMPUTED_VALUE"""),"63b6d3672426700446d2da8a")</f>
        <v>63b6d3672426700446d2da8a</v>
      </c>
      <c r="B72" s="15" t="str">
        <f>IFERROR(__xludf.DUMMYFUNCTION("""COMPUTED_VALUE"""),"official_open_road_2w_data_from_july_germany_workshop_for_train_updated")</f>
        <v>official_open_road_2w_data_from_july_germany_workshop_for_train_updated</v>
      </c>
      <c r="C72" s="15" t="str">
        <f>IFERROR(__xludf.DUMMYFUNCTION("""COMPUTED_VALUE"""),"train")</f>
        <v>train</v>
      </c>
      <c r="D72" s="15" t="str">
        <f>IFERROR(__xludf.DUMMYFUNCTION("""COMPUTED_VALUE"""),"train")</f>
        <v>train</v>
      </c>
      <c r="E72" s="15">
        <f>IFERROR(__xludf.DUMMYFUNCTION("""COMPUTED_VALUE"""),57.0)</f>
        <v>57</v>
      </c>
      <c r="F72" s="15" t="str">
        <f>IFERROR(__xludf.DUMMYFUNCTION("""COMPUTED_VALUE"""),"QUAD")</f>
        <v>QUAD</v>
      </c>
      <c r="G72" s="15" t="str">
        <f>IFERROR(__xludf.DUMMYFUNCTION("""COMPUTED_VALUE"""),"unknown, unknown, unknown, unknown")</f>
        <v>unknown, unknown, unknown, unknown</v>
      </c>
      <c r="H72" s="15">
        <f>IFERROR(__xludf.DUMMYFUNCTION("""COMPUTED_VALUE"""),950.0)</f>
        <v>950</v>
      </c>
      <c r="I72" s="15">
        <f>IFERROR(__xludf.DUMMYFUNCTION("""COMPUTED_VALUE"""),1675.0)</f>
        <v>1675</v>
      </c>
      <c r="J72" s="15">
        <f>IFERROR(__xludf.DUMMYFUNCTION("""COMPUTED_VALUE"""),1585.0)</f>
        <v>1585</v>
      </c>
      <c r="K72" s="16" t="str">
        <f>IFERROR(__xludf.DUMMYFUNCTION("""COMPUTED_VALUE"""),"21/08/2023, 17:28:17")</f>
        <v>21/08/2023, 17:28:17</v>
      </c>
    </row>
    <row r="73">
      <c r="A73" s="18" t="str">
        <f>IFERROR(__xludf.DUMMYFUNCTION("""COMPUTED_VALUE"""),"63b6d3992426700446d2daf6")</f>
        <v>63b6d3992426700446d2daf6</v>
      </c>
      <c r="B73" s="15" t="str">
        <f>IFERROR(__xludf.DUMMYFUNCTION("""COMPUTED_VALUE"""),"official_2w_longi_urbanic_for_train_updated")</f>
        <v>official_2w_longi_urbanic_for_train_updated</v>
      </c>
      <c r="C73" s="15" t="str">
        <f>IFERROR(__xludf.DUMMYFUNCTION("""COMPUTED_VALUE"""),"train")</f>
        <v>train</v>
      </c>
      <c r="D73" s="15" t="str">
        <f>IFERROR(__xludf.DUMMYFUNCTION("""COMPUTED_VALUE"""),"train")</f>
        <v>train</v>
      </c>
      <c r="E73" s="15">
        <f>IFERROR(__xludf.DUMMYFUNCTION("""COMPUTED_VALUE"""),262.0)</f>
        <v>262</v>
      </c>
      <c r="F73" s="15" t="str">
        <f>IFERROR(__xludf.DUMMYFUNCTION("""COMPUTED_VALUE"""),"QUAD")</f>
        <v>QUAD</v>
      </c>
      <c r="G73" s="15" t="str">
        <f>IFERROR(__xludf.DUMMYFUNCTION("""COMPUTED_VALUE"""),"unknown, unknown, unknown, unknown")</f>
        <v>unknown, unknown, unknown, unknown</v>
      </c>
      <c r="H73" s="15">
        <f>IFERROR(__xludf.DUMMYFUNCTION("""COMPUTED_VALUE"""),950.0)</f>
        <v>950</v>
      </c>
      <c r="I73" s="15">
        <f>IFERROR(__xludf.DUMMYFUNCTION("""COMPUTED_VALUE"""),1675.0)</f>
        <v>1675</v>
      </c>
      <c r="J73" s="15">
        <f>IFERROR(__xludf.DUMMYFUNCTION("""COMPUTED_VALUE"""),1585.0)</f>
        <v>1585</v>
      </c>
      <c r="K73" s="16" t="str">
        <f>IFERROR(__xludf.DUMMYFUNCTION("""COMPUTED_VALUE"""),"21/08/2023, 17:28:20")</f>
        <v>21/08/2023, 17:28:20</v>
      </c>
    </row>
    <row r="74">
      <c r="A74" s="18" t="str">
        <f>IFERROR(__xludf.DUMMYFUNCTION("""COMPUTED_VALUE"""),"63b6d41f2426700446d2dbbc")</f>
        <v>63b6d41f2426700446d2dbbc</v>
      </c>
      <c r="B74" s="15" t="str">
        <f>IFERROR(__xludf.DUMMYFUNCTION("""COMPUTED_VALUE"""),"official_truncated_peds_in_center_from_preliminary_for_train_updated")</f>
        <v>official_truncated_peds_in_center_from_preliminary_for_train_updated</v>
      </c>
      <c r="C74" s="15" t="str">
        <f>IFERROR(__xludf.DUMMYFUNCTION("""COMPUTED_VALUE"""),"train")</f>
        <v>train</v>
      </c>
      <c r="D74" s="15" t="str">
        <f>IFERROR(__xludf.DUMMYFUNCTION("""COMPUTED_VALUE"""),"train")</f>
        <v>train</v>
      </c>
      <c r="E74" s="15">
        <f>IFERROR(__xludf.DUMMYFUNCTION("""COMPUTED_VALUE"""),378.0)</f>
        <v>378</v>
      </c>
      <c r="F74" s="15" t="str">
        <f>IFERROR(__xludf.DUMMYFUNCTION("""COMPUTED_VALUE"""),"QUAD")</f>
        <v>QUAD</v>
      </c>
      <c r="G74" s="15" t="str">
        <f>IFERROR(__xludf.DUMMYFUNCTION("""COMPUTED_VALUE"""),"unknown, unknown, unknown, unknown")</f>
        <v>unknown, unknown, unknown, unknown</v>
      </c>
      <c r="H74" s="15">
        <f>IFERROR(__xludf.DUMMYFUNCTION("""COMPUTED_VALUE"""),950.0)</f>
        <v>950</v>
      </c>
      <c r="I74" s="15">
        <f>IFERROR(__xludf.DUMMYFUNCTION("""COMPUTED_VALUE"""),1675.0)</f>
        <v>1675</v>
      </c>
      <c r="J74" s="15">
        <f>IFERROR(__xludf.DUMMYFUNCTION("""COMPUTED_VALUE"""),1585.0)</f>
        <v>1585</v>
      </c>
      <c r="K74" s="16" t="str">
        <f>IFERROR(__xludf.DUMMYFUNCTION("""COMPUTED_VALUE"""),"21/08/2023, 17:28:23")</f>
        <v>21/08/2023, 17:28:23</v>
      </c>
    </row>
    <row r="75">
      <c r="A75" s="18" t="str">
        <f>IFERROR(__xludf.DUMMYFUNCTION("""COMPUTED_VALUE"""),"63b6d4cc2426700446d2dc42")</f>
        <v>63b6d4cc2426700446d2dc42</v>
      </c>
      <c r="B75" s="15" t="str">
        <f>IFERROR(__xludf.DUMMYFUNCTION("""COMPUTED_VALUE"""),"official_truncated_valid_set_for_train_updated")</f>
        <v>official_truncated_valid_set_for_train_updated</v>
      </c>
      <c r="C75" s="15" t="str">
        <f>IFERROR(__xludf.DUMMYFUNCTION("""COMPUTED_VALUE"""),"train")</f>
        <v>train</v>
      </c>
      <c r="D75" s="15" t="str">
        <f>IFERROR(__xludf.DUMMYFUNCTION("""COMPUTED_VALUE"""),"train")</f>
        <v>train</v>
      </c>
      <c r="E75" s="15">
        <f>IFERROR(__xludf.DUMMYFUNCTION("""COMPUTED_VALUE"""),1971.0)</f>
        <v>1971</v>
      </c>
      <c r="F75" s="15" t="str">
        <f>IFERROR(__xludf.DUMMYFUNCTION("""COMPUTED_VALUE"""),"QUAD")</f>
        <v>QUAD</v>
      </c>
      <c r="G75" s="15" t="str">
        <f>IFERROR(__xludf.DUMMYFUNCTION("""COMPUTED_VALUE"""),"unknown, unknown, unknown, unknown")</f>
        <v>unknown, unknown, unknown, unknown</v>
      </c>
      <c r="H75" s="15">
        <f>IFERROR(__xludf.DUMMYFUNCTION("""COMPUTED_VALUE"""),950.0)</f>
        <v>950</v>
      </c>
      <c r="I75" s="15">
        <f>IFERROR(__xludf.DUMMYFUNCTION("""COMPUTED_VALUE"""),1675.0)</f>
        <v>1675</v>
      </c>
      <c r="J75" s="15">
        <f>IFERROR(__xludf.DUMMYFUNCTION("""COMPUTED_VALUE"""),1585.0)</f>
        <v>1585</v>
      </c>
      <c r="K75" s="16" t="str">
        <f>IFERROR(__xludf.DUMMYFUNCTION("""COMPUTED_VALUE"""),"21/08/2023, 17:28:28")</f>
        <v>21/08/2023, 17:28:28</v>
      </c>
    </row>
    <row r="76">
      <c r="A76" s="18" t="str">
        <f>IFERROR(__xludf.DUMMYFUNCTION("""COMPUTED_VALUE"""),"63b6d5b12426700446d2dcd8")</f>
        <v>63b6d5b12426700446d2dcd8</v>
      </c>
      <c r="B76" s="15" t="str">
        <f>IFERROR(__xludf.DUMMYFUNCTION("""COMPUTED_VALUE"""),"official_fas_random_23_set_for_train_updated")</f>
        <v>official_fas_random_23_set_for_train_updated</v>
      </c>
      <c r="C76" s="15" t="str">
        <f>IFERROR(__xludf.DUMMYFUNCTION("""COMPUTED_VALUE"""),"train")</f>
        <v>train</v>
      </c>
      <c r="D76" s="15" t="str">
        <f>IFERROR(__xludf.DUMMYFUNCTION("""COMPUTED_VALUE"""),"train")</f>
        <v>train</v>
      </c>
      <c r="E76" s="15">
        <f>IFERROR(__xludf.DUMMYFUNCTION("""COMPUTED_VALUE"""),1116.0)</f>
        <v>1116</v>
      </c>
      <c r="F76" s="15" t="str">
        <f>IFERROR(__xludf.DUMMYFUNCTION("""COMPUTED_VALUE"""),"QUAD")</f>
        <v>QUAD</v>
      </c>
      <c r="G76" s="15" t="str">
        <f>IFERROR(__xludf.DUMMYFUNCTION("""COMPUTED_VALUE"""),"unknown, unknown, unknown, unknown")</f>
        <v>unknown, unknown, unknown, unknown</v>
      </c>
      <c r="H76" s="15">
        <f>IFERROR(__xludf.DUMMYFUNCTION("""COMPUTED_VALUE"""),950.0)</f>
        <v>950</v>
      </c>
      <c r="I76" s="15">
        <f>IFERROR(__xludf.DUMMYFUNCTION("""COMPUTED_VALUE"""),1675.0)</f>
        <v>1675</v>
      </c>
      <c r="J76" s="15">
        <f>IFERROR(__xludf.DUMMYFUNCTION("""COMPUTED_VALUE"""),1585.0)</f>
        <v>1585</v>
      </c>
      <c r="K76" s="16" t="str">
        <f>IFERROR(__xludf.DUMMYFUNCTION("""COMPUTED_VALUE"""),"21/08/2023, 17:28:32")</f>
        <v>21/08/2023, 17:28:32</v>
      </c>
    </row>
    <row r="77">
      <c r="A77" s="18" t="str">
        <f>IFERROR(__xludf.DUMMYFUNCTION("""COMPUTED_VALUE"""),"63b6d6af2426700446d2dd73")</f>
        <v>63b6d6af2426700446d2dd73</v>
      </c>
      <c r="B77" s="15" t="str">
        <f>IFERROR(__xludf.DUMMYFUNCTION("""COMPUTED_VALUE"""),"official_fas_peds_part_2_for_train_updated")</f>
        <v>official_fas_peds_part_2_for_train_updated</v>
      </c>
      <c r="C77" s="15" t="str">
        <f>IFERROR(__xludf.DUMMYFUNCTION("""COMPUTED_VALUE"""),"train")</f>
        <v>train</v>
      </c>
      <c r="D77" s="15" t="str">
        <f>IFERROR(__xludf.DUMMYFUNCTION("""COMPUTED_VALUE"""),"train")</f>
        <v>train</v>
      </c>
      <c r="E77" s="15">
        <f>IFERROR(__xludf.DUMMYFUNCTION("""COMPUTED_VALUE"""),737.0)</f>
        <v>737</v>
      </c>
      <c r="F77" s="15" t="str">
        <f>IFERROR(__xludf.DUMMYFUNCTION("""COMPUTED_VALUE"""),"QUAD")</f>
        <v>QUAD</v>
      </c>
      <c r="G77" s="15" t="str">
        <f>IFERROR(__xludf.DUMMYFUNCTION("""COMPUTED_VALUE"""),"unknown, unknown, unknown, unknown")</f>
        <v>unknown, unknown, unknown, unknown</v>
      </c>
      <c r="H77" s="15">
        <f>IFERROR(__xludf.DUMMYFUNCTION("""COMPUTED_VALUE"""),950.0)</f>
        <v>950</v>
      </c>
      <c r="I77" s="15">
        <f>IFERROR(__xludf.DUMMYFUNCTION("""COMPUTED_VALUE"""),1675.0)</f>
        <v>1675</v>
      </c>
      <c r="J77" s="15">
        <f>IFERROR(__xludf.DUMMYFUNCTION("""COMPUTED_VALUE"""),1585.0)</f>
        <v>1585</v>
      </c>
      <c r="K77" s="16" t="str">
        <f>IFERROR(__xludf.DUMMYFUNCTION("""COMPUTED_VALUE"""),"21/08/2023, 17:28:36")</f>
        <v>21/08/2023, 17:28:36</v>
      </c>
    </row>
    <row r="78">
      <c r="A78" s="18" t="str">
        <f>IFERROR(__xludf.DUMMYFUNCTION("""COMPUTED_VALUE"""),"63b6d71e2426700446d2de11")</f>
        <v>63b6d71e2426700446d2de11</v>
      </c>
      <c r="B78" s="15" t="str">
        <f>IFERROR(__xludf.DUMMYFUNCTION("""COMPUTED_VALUE"""),"official_fas_peds_datasets_tagged_for_train_updated")</f>
        <v>official_fas_peds_datasets_tagged_for_train_updated</v>
      </c>
      <c r="C78" s="15" t="str">
        <f>IFERROR(__xludf.DUMMYFUNCTION("""COMPUTED_VALUE"""),"train")</f>
        <v>train</v>
      </c>
      <c r="D78" s="15" t="str">
        <f>IFERROR(__xludf.DUMMYFUNCTION("""COMPUTED_VALUE"""),"train")</f>
        <v>train</v>
      </c>
      <c r="E78" s="15">
        <f>IFERROR(__xludf.DUMMYFUNCTION("""COMPUTED_VALUE"""),947.0)</f>
        <v>947</v>
      </c>
      <c r="F78" s="15" t="str">
        <f>IFERROR(__xludf.DUMMYFUNCTION("""COMPUTED_VALUE"""),"QUAD")</f>
        <v>QUAD</v>
      </c>
      <c r="G78" s="15" t="str">
        <f>IFERROR(__xludf.DUMMYFUNCTION("""COMPUTED_VALUE"""),"unknown, unknown, unknown, unknown")</f>
        <v>unknown, unknown, unknown, unknown</v>
      </c>
      <c r="H78" s="15">
        <f>IFERROR(__xludf.DUMMYFUNCTION("""COMPUTED_VALUE"""),950.0)</f>
        <v>950</v>
      </c>
      <c r="I78" s="15">
        <f>IFERROR(__xludf.DUMMYFUNCTION("""COMPUTED_VALUE"""),1675.0)</f>
        <v>1675</v>
      </c>
      <c r="J78" s="15">
        <f>IFERROR(__xludf.DUMMYFUNCTION("""COMPUTED_VALUE"""),1585.0)</f>
        <v>1585</v>
      </c>
      <c r="K78" s="16" t="str">
        <f>IFERROR(__xludf.DUMMYFUNCTION("""COMPUTED_VALUE"""),"21/08/2023, 17:28:39")</f>
        <v>21/08/2023, 17:28:39</v>
      </c>
    </row>
    <row r="79">
      <c r="A79" s="18" t="str">
        <f>IFERROR(__xludf.DUMMYFUNCTION("""COMPUTED_VALUE"""),"63b6d7e02426700446d2e37e")</f>
        <v>63b6d7e02426700446d2e37e</v>
      </c>
      <c r="B79" s="15" t="str">
        <f>IFERROR(__xludf.DUMMYFUNCTION("""COMPUTED_VALUE"""),"official_strange_trucks_dataset_for_train_updated")</f>
        <v>official_strange_trucks_dataset_for_train_updated</v>
      </c>
      <c r="C79" s="15" t="str">
        <f>IFERROR(__xludf.DUMMYFUNCTION("""COMPUTED_VALUE"""),"train")</f>
        <v>train</v>
      </c>
      <c r="D79" s="15" t="str">
        <f>IFERROR(__xludf.DUMMYFUNCTION("""COMPUTED_VALUE"""),"train")</f>
        <v>train</v>
      </c>
      <c r="E79" s="15">
        <f>IFERROR(__xludf.DUMMYFUNCTION("""COMPUTED_VALUE"""),2130.0)</f>
        <v>2130</v>
      </c>
      <c r="F79" s="15" t="str">
        <f>IFERROR(__xludf.DUMMYFUNCTION("""COMPUTED_VALUE"""),"QUAD")</f>
        <v>QUAD</v>
      </c>
      <c r="G79" s="15" t="str">
        <f>IFERROR(__xludf.DUMMYFUNCTION("""COMPUTED_VALUE"""),"unknown, unknown, unknown, unknown")</f>
        <v>unknown, unknown, unknown, unknown</v>
      </c>
      <c r="H79" s="15">
        <f>IFERROR(__xludf.DUMMYFUNCTION("""COMPUTED_VALUE"""),950.0)</f>
        <v>950</v>
      </c>
      <c r="I79" s="15">
        <f>IFERROR(__xludf.DUMMYFUNCTION("""COMPUTED_VALUE"""),1675.0)</f>
        <v>1675</v>
      </c>
      <c r="J79" s="15">
        <f>IFERROR(__xludf.DUMMYFUNCTION("""COMPUTED_VALUE"""),1585.0)</f>
        <v>1585</v>
      </c>
      <c r="K79" s="16" t="str">
        <f>IFERROR(__xludf.DUMMYFUNCTION("""COMPUTED_VALUE"""),"21/08/2023, 17:28:44")</f>
        <v>21/08/2023, 17:28:44</v>
      </c>
    </row>
    <row r="80">
      <c r="A80" s="18" t="str">
        <f>IFERROR(__xludf.DUMMYFUNCTION("""COMPUTED_VALUE"""),"63b6d8902426700446d2e768")</f>
        <v>63b6d8902426700446d2e768</v>
      </c>
      <c r="B80" s="15" t="str">
        <f>IFERROR(__xludf.DUMMYFUNCTION("""COMPUTED_VALUE"""),"official_4w_india_set_batch1_for_train_updated")</f>
        <v>official_4w_india_set_batch1_for_train_updated</v>
      </c>
      <c r="C80" s="15" t="str">
        <f>IFERROR(__xludf.DUMMYFUNCTION("""COMPUTED_VALUE"""),"train")</f>
        <v>train</v>
      </c>
      <c r="D80" s="15" t="str">
        <f>IFERROR(__xludf.DUMMYFUNCTION("""COMPUTED_VALUE"""),"train")</f>
        <v>train</v>
      </c>
      <c r="E80" s="15">
        <f>IFERROR(__xludf.DUMMYFUNCTION("""COMPUTED_VALUE"""),1801.0)</f>
        <v>1801</v>
      </c>
      <c r="F80" s="15" t="str">
        <f>IFERROR(__xludf.DUMMYFUNCTION("""COMPUTED_VALUE"""),"QUAD")</f>
        <v>QUAD</v>
      </c>
      <c r="G80" s="15" t="str">
        <f>IFERROR(__xludf.DUMMYFUNCTION("""COMPUTED_VALUE"""),"unknown, unknown, unknown, unknown")</f>
        <v>unknown, unknown, unknown, unknown</v>
      </c>
      <c r="H80" s="15">
        <f>IFERROR(__xludf.DUMMYFUNCTION("""COMPUTED_VALUE"""),950.0)</f>
        <v>950</v>
      </c>
      <c r="I80" s="15">
        <f>IFERROR(__xludf.DUMMYFUNCTION("""COMPUTED_VALUE"""),1675.0)</f>
        <v>1675</v>
      </c>
      <c r="J80" s="15">
        <f>IFERROR(__xludf.DUMMYFUNCTION("""COMPUTED_VALUE"""),1585.0)</f>
        <v>1585</v>
      </c>
      <c r="K80" s="16" t="str">
        <f>IFERROR(__xludf.DUMMYFUNCTION("""COMPUTED_VALUE"""),"21/08/2023, 17:28:49")</f>
        <v>21/08/2023, 17:28:49</v>
      </c>
    </row>
    <row r="81">
      <c r="A81" s="18" t="str">
        <f>IFERROR(__xludf.DUMMYFUNCTION("""COMPUTED_VALUE"""),"63b6d9152426700446d2ec6b")</f>
        <v>63b6d9152426700446d2ec6b</v>
      </c>
      <c r="B81" s="15" t="str">
        <f>IFERROR(__xludf.DUMMYFUNCTION("""COMPUTED_VALUE"""),"official_4w_india_set_batch2_for_train_updated")</f>
        <v>official_4w_india_set_batch2_for_train_updated</v>
      </c>
      <c r="C81" s="15" t="str">
        <f>IFERROR(__xludf.DUMMYFUNCTION("""COMPUTED_VALUE"""),"train")</f>
        <v>train</v>
      </c>
      <c r="D81" s="15" t="str">
        <f>IFERROR(__xludf.DUMMYFUNCTION("""COMPUTED_VALUE"""),"train")</f>
        <v>train</v>
      </c>
      <c r="E81" s="15">
        <f>IFERROR(__xludf.DUMMYFUNCTION("""COMPUTED_VALUE"""),1300.0)</f>
        <v>1300</v>
      </c>
      <c r="F81" s="15" t="str">
        <f>IFERROR(__xludf.DUMMYFUNCTION("""COMPUTED_VALUE"""),"QUAD")</f>
        <v>QUAD</v>
      </c>
      <c r="G81" s="15" t="str">
        <f>IFERROR(__xludf.DUMMYFUNCTION("""COMPUTED_VALUE"""),"unknown, unknown, unknown, unknown")</f>
        <v>unknown, unknown, unknown, unknown</v>
      </c>
      <c r="H81" s="15">
        <f>IFERROR(__xludf.DUMMYFUNCTION("""COMPUTED_VALUE"""),950.0)</f>
        <v>950</v>
      </c>
      <c r="I81" s="15">
        <f>IFERROR(__xludf.DUMMYFUNCTION("""COMPUTED_VALUE"""),1675.0)</f>
        <v>1675</v>
      </c>
      <c r="J81" s="15">
        <f>IFERROR(__xludf.DUMMYFUNCTION("""COMPUTED_VALUE"""),1585.0)</f>
        <v>1585</v>
      </c>
      <c r="K81" s="16" t="str">
        <f>IFERROR(__xludf.DUMMYFUNCTION("""COMPUTED_VALUE"""),"21/08/2023, 17:28:53")</f>
        <v>21/08/2023, 17:28:53</v>
      </c>
    </row>
    <row r="82">
      <c r="A82" s="18" t="str">
        <f>IFERROR(__xludf.DUMMYFUNCTION("""COMPUTED_VALUE"""),"63b6e1922426700446d318b6")</f>
        <v>63b6e1922426700446d318b6</v>
      </c>
      <c r="B82" s="15" t="str">
        <f>IFERROR(__xludf.DUMMYFUNCTION("""COMPUTED_VALUE"""),"official_2w_longi_sanity_data_from_july_germany_workshop_for_train_updated")</f>
        <v>official_2w_longi_sanity_data_from_july_germany_workshop_for_train_updated</v>
      </c>
      <c r="C82" s="15" t="str">
        <f>IFERROR(__xludf.DUMMYFUNCTION("""COMPUTED_VALUE"""),"train")</f>
        <v>train</v>
      </c>
      <c r="D82" s="15" t="str">
        <f>IFERROR(__xludf.DUMMYFUNCTION("""COMPUTED_VALUE"""),"train")</f>
        <v>train</v>
      </c>
      <c r="E82" s="15">
        <f>IFERROR(__xludf.DUMMYFUNCTION("""COMPUTED_VALUE"""),1003.0)</f>
        <v>1003</v>
      </c>
      <c r="F82" s="15" t="str">
        <f>IFERROR(__xludf.DUMMYFUNCTION("""COMPUTED_VALUE"""),"QUAD")</f>
        <v>QUAD</v>
      </c>
      <c r="G82" s="15" t="str">
        <f>IFERROR(__xludf.DUMMYFUNCTION("""COMPUTED_VALUE"""),"unknown, unknown, unknown, unknown")</f>
        <v>unknown, unknown, unknown, unknown</v>
      </c>
      <c r="H82" s="15">
        <f>IFERROR(__xludf.DUMMYFUNCTION("""COMPUTED_VALUE"""),950.0)</f>
        <v>950</v>
      </c>
      <c r="I82" s="15">
        <f>IFERROR(__xludf.DUMMYFUNCTION("""COMPUTED_VALUE"""),1675.0)</f>
        <v>1675</v>
      </c>
      <c r="J82" s="15">
        <f>IFERROR(__xludf.DUMMYFUNCTION("""COMPUTED_VALUE"""),1585.0)</f>
        <v>1585</v>
      </c>
      <c r="K82" s="16" t="str">
        <f>IFERROR(__xludf.DUMMYFUNCTION("""COMPUTED_VALUE"""),"21/08/2023, 17:28:57")</f>
        <v>21/08/2023, 17:28:57</v>
      </c>
    </row>
    <row r="83">
      <c r="A83" s="18" t="str">
        <f>IFERROR(__xludf.DUMMYFUNCTION("""COMPUTED_VALUE"""),"63b6e3032426700446d31f75")</f>
        <v>63b6e3032426700446d31f75</v>
      </c>
      <c r="B83" s="15" t="str">
        <f>IFERROR(__xludf.DUMMYFUNCTION("""COMPUTED_VALUE"""),"official_additional_sanity2w_data_for_train_updated")</f>
        <v>official_additional_sanity2w_data_for_train_updated</v>
      </c>
      <c r="C83" s="15" t="str">
        <f>IFERROR(__xludf.DUMMYFUNCTION("""COMPUTED_VALUE"""),"train")</f>
        <v>train</v>
      </c>
      <c r="D83" s="15" t="str">
        <f>IFERROR(__xludf.DUMMYFUNCTION("""COMPUTED_VALUE"""),"train")</f>
        <v>train</v>
      </c>
      <c r="E83" s="15">
        <f>IFERROR(__xludf.DUMMYFUNCTION("""COMPUTED_VALUE"""),3950.0)</f>
        <v>3950</v>
      </c>
      <c r="F83" s="15" t="str">
        <f>IFERROR(__xludf.DUMMYFUNCTION("""COMPUTED_VALUE"""),"QUAD")</f>
        <v>QUAD</v>
      </c>
      <c r="G83" s="15" t="str">
        <f>IFERROR(__xludf.DUMMYFUNCTION("""COMPUTED_VALUE"""),"unknown, unknown, unknown, unknown")</f>
        <v>unknown, unknown, unknown, unknown</v>
      </c>
      <c r="H83" s="15">
        <f>IFERROR(__xludf.DUMMYFUNCTION("""COMPUTED_VALUE"""),950.0)</f>
        <v>950</v>
      </c>
      <c r="I83" s="15">
        <f>IFERROR(__xludf.DUMMYFUNCTION("""COMPUTED_VALUE"""),1675.0)</f>
        <v>1675</v>
      </c>
      <c r="J83" s="15">
        <f>IFERROR(__xludf.DUMMYFUNCTION("""COMPUTED_VALUE"""),1585.0)</f>
        <v>1585</v>
      </c>
      <c r="K83" s="16" t="str">
        <f>IFERROR(__xludf.DUMMYFUNCTION("""COMPUTED_VALUE"""),"21/08/2023, 17:29:04")</f>
        <v>21/08/2023, 17:29:04</v>
      </c>
    </row>
    <row r="84">
      <c r="A84" s="18" t="str">
        <f>IFERROR(__xludf.DUMMYFUNCTION("""COMPUTED_VALUE"""),"63b6e3c52426700446d3278e")</f>
        <v>63b6e3c52426700446d3278e</v>
      </c>
      <c r="B84" s="15" t="str">
        <f>IFERROR(__xludf.DUMMYFUNCTION("""COMPUTED_VALUE"""),"official_bike_and_dummy_data_for_train_updated")</f>
        <v>official_bike_and_dummy_data_for_train_updated</v>
      </c>
      <c r="C84" s="15" t="str">
        <f>IFERROR(__xludf.DUMMYFUNCTION("""COMPUTED_VALUE"""),"train")</f>
        <v>train</v>
      </c>
      <c r="D84" s="15" t="str">
        <f>IFERROR(__xludf.DUMMYFUNCTION("""COMPUTED_VALUE"""),"train")</f>
        <v>train</v>
      </c>
      <c r="E84" s="15">
        <f>IFERROR(__xludf.DUMMYFUNCTION("""COMPUTED_VALUE"""),2014.0)</f>
        <v>2014</v>
      </c>
      <c r="F84" s="15" t="str">
        <f>IFERROR(__xludf.DUMMYFUNCTION("""COMPUTED_VALUE"""),"QUAD")</f>
        <v>QUAD</v>
      </c>
      <c r="G84" s="15" t="str">
        <f>IFERROR(__xludf.DUMMYFUNCTION("""COMPUTED_VALUE"""),"unknown, unknown, unknown, unknown")</f>
        <v>unknown, unknown, unknown, unknown</v>
      </c>
      <c r="H84" s="15">
        <f>IFERROR(__xludf.DUMMYFUNCTION("""COMPUTED_VALUE"""),950.0)</f>
        <v>950</v>
      </c>
      <c r="I84" s="15">
        <f>IFERROR(__xludf.DUMMYFUNCTION("""COMPUTED_VALUE"""),1675.0)</f>
        <v>1675</v>
      </c>
      <c r="J84" s="15">
        <f>IFERROR(__xludf.DUMMYFUNCTION("""COMPUTED_VALUE"""),1585.0)</f>
        <v>1585</v>
      </c>
      <c r="K84" s="16" t="str">
        <f>IFERROR(__xludf.DUMMYFUNCTION("""COMPUTED_VALUE"""),"21/08/2023, 17:29:08")</f>
        <v>21/08/2023, 17:29:08</v>
      </c>
    </row>
    <row r="85">
      <c r="A85" s="18" t="str">
        <f>IFERROR(__xludf.DUMMYFUNCTION("""COMPUTED_VALUE"""),"63b6e43e2426700446d32818")</f>
        <v>63b6e43e2426700446d32818</v>
      </c>
      <c r="B85" s="15" t="str">
        <f>IFERROR(__xludf.DUMMYFUNCTION("""COMPUTED_VALUE"""),"official_medium_prior_day_longitudinal_motorbike_and_bicycle_with_vest_for_train_updated")</f>
        <v>official_medium_prior_day_longitudinal_motorbike_and_bicycle_with_vest_for_train_updated</v>
      </c>
      <c r="C85" s="15" t="str">
        <f>IFERROR(__xludf.DUMMYFUNCTION("""COMPUTED_VALUE"""),"train")</f>
        <v>train</v>
      </c>
      <c r="D85" s="15" t="str">
        <f>IFERROR(__xludf.DUMMYFUNCTION("""COMPUTED_VALUE"""),"train")</f>
        <v>train</v>
      </c>
      <c r="E85" s="15">
        <f>IFERROR(__xludf.DUMMYFUNCTION("""COMPUTED_VALUE"""),1025.0)</f>
        <v>1025</v>
      </c>
      <c r="F85" s="15" t="str">
        <f>IFERROR(__xludf.DUMMYFUNCTION("""COMPUTED_VALUE"""),"QUAD")</f>
        <v>QUAD</v>
      </c>
      <c r="G85" s="15" t="str">
        <f>IFERROR(__xludf.DUMMYFUNCTION("""COMPUTED_VALUE"""),"unknown, unknown, unknown, unknown")</f>
        <v>unknown, unknown, unknown, unknown</v>
      </c>
      <c r="H85" s="15">
        <f>IFERROR(__xludf.DUMMYFUNCTION("""COMPUTED_VALUE"""),950.0)</f>
        <v>950</v>
      </c>
      <c r="I85" s="15">
        <f>IFERROR(__xludf.DUMMYFUNCTION("""COMPUTED_VALUE"""),1675.0)</f>
        <v>1675</v>
      </c>
      <c r="J85" s="15">
        <f>IFERROR(__xludf.DUMMYFUNCTION("""COMPUTED_VALUE"""),1585.0)</f>
        <v>1585</v>
      </c>
      <c r="K85" s="16" t="str">
        <f>IFERROR(__xludf.DUMMYFUNCTION("""COMPUTED_VALUE"""),"21/08/2023, 17:29:12")</f>
        <v>21/08/2023, 17:29:12</v>
      </c>
    </row>
    <row r="86">
      <c r="A86" s="18" t="str">
        <f>IFERROR(__xludf.DUMMYFUNCTION("""COMPUTED_VALUE"""),"63b6e5162426700446d32d64")</f>
        <v>63b6e5162426700446d32d64</v>
      </c>
      <c r="B86" s="15" t="str">
        <f>IFERROR(__xludf.DUMMYFUNCTION("""COMPUTED_VALUE"""),"official_medium_prior_day_crossing_bicycle_no_vest_new2_for_train_updated")</f>
        <v>official_medium_prior_day_crossing_bicycle_no_vest_new2_for_train_updated</v>
      </c>
      <c r="C86" s="15" t="str">
        <f>IFERROR(__xludf.DUMMYFUNCTION("""COMPUTED_VALUE"""),"train")</f>
        <v>train</v>
      </c>
      <c r="D86" s="15" t="str">
        <f>IFERROR(__xludf.DUMMYFUNCTION("""COMPUTED_VALUE"""),"train")</f>
        <v>train</v>
      </c>
      <c r="E86" s="15">
        <f>IFERROR(__xludf.DUMMYFUNCTION("""COMPUTED_VALUE"""),2260.0)</f>
        <v>2260</v>
      </c>
      <c r="F86" s="15" t="str">
        <f>IFERROR(__xludf.DUMMYFUNCTION("""COMPUTED_VALUE"""),"QUAD")</f>
        <v>QUAD</v>
      </c>
      <c r="G86" s="15" t="str">
        <f>IFERROR(__xludf.DUMMYFUNCTION("""COMPUTED_VALUE"""),"unknown, unknown, unknown, unknown")</f>
        <v>unknown, unknown, unknown, unknown</v>
      </c>
      <c r="H86" s="15">
        <f>IFERROR(__xludf.DUMMYFUNCTION("""COMPUTED_VALUE"""),950.0)</f>
        <v>950</v>
      </c>
      <c r="I86" s="15">
        <f>IFERROR(__xludf.DUMMYFUNCTION("""COMPUTED_VALUE"""),1675.0)</f>
        <v>1675</v>
      </c>
      <c r="J86" s="15">
        <f>IFERROR(__xludf.DUMMYFUNCTION("""COMPUTED_VALUE"""),1585.0)</f>
        <v>1585</v>
      </c>
      <c r="K86" s="16" t="str">
        <f>IFERROR(__xludf.DUMMYFUNCTION("""COMPUTED_VALUE"""),"21/08/2023, 17:29:17")</f>
        <v>21/08/2023, 17:29:17</v>
      </c>
    </row>
    <row r="87">
      <c r="A87" s="18" t="str">
        <f>IFERROR(__xludf.DUMMYFUNCTION("""COMPUTED_VALUE"""),"63b6e60b2426700446d334e5")</f>
        <v>63b6e60b2426700446d334e5</v>
      </c>
      <c r="B87" s="15" t="str">
        <f>IFERROR(__xludf.DUMMYFUNCTION("""COMPUTED_VALUE"""),"official_medium_prior_crossing_motorbike_with_vest_for_train_updated")</f>
        <v>official_medium_prior_crossing_motorbike_with_vest_for_train_updated</v>
      </c>
      <c r="C87" s="15" t="str">
        <f>IFERROR(__xludf.DUMMYFUNCTION("""COMPUTED_VALUE"""),"train")</f>
        <v>train</v>
      </c>
      <c r="D87" s="15" t="str">
        <f>IFERROR(__xludf.DUMMYFUNCTION("""COMPUTED_VALUE"""),"train")</f>
        <v>train</v>
      </c>
      <c r="E87" s="15">
        <f>IFERROR(__xludf.DUMMYFUNCTION("""COMPUTED_VALUE"""),2220.0)</f>
        <v>2220</v>
      </c>
      <c r="F87" s="15" t="str">
        <f>IFERROR(__xludf.DUMMYFUNCTION("""COMPUTED_VALUE"""),"QUAD")</f>
        <v>QUAD</v>
      </c>
      <c r="G87" s="15" t="str">
        <f>IFERROR(__xludf.DUMMYFUNCTION("""COMPUTED_VALUE"""),"unknown, unknown, unknown, unknown")</f>
        <v>unknown, unknown, unknown, unknown</v>
      </c>
      <c r="H87" s="15">
        <f>IFERROR(__xludf.DUMMYFUNCTION("""COMPUTED_VALUE"""),950.0)</f>
        <v>950</v>
      </c>
      <c r="I87" s="15">
        <f>IFERROR(__xludf.DUMMYFUNCTION("""COMPUTED_VALUE"""),1675.0)</f>
        <v>1675</v>
      </c>
      <c r="J87" s="15">
        <f>IFERROR(__xludf.DUMMYFUNCTION("""COMPUTED_VALUE"""),1585.0)</f>
        <v>1585</v>
      </c>
      <c r="K87" s="16" t="str">
        <f>IFERROR(__xludf.DUMMYFUNCTION("""COMPUTED_VALUE"""),"21/08/2023, 17:29:22")</f>
        <v>21/08/2023, 17:29:22</v>
      </c>
    </row>
    <row r="88">
      <c r="A88" s="18" t="str">
        <f>IFERROR(__xludf.DUMMYFUNCTION("""COMPUTED_VALUE"""),"63b6e6582426700446d33c15")</f>
        <v>63b6e6582426700446d33c15</v>
      </c>
      <c r="B88" s="15" t="str">
        <f>IFERROR(__xludf.DUMMYFUNCTION("""COMPUTED_VALUE"""),"official_2w_city_for_train_updated")</f>
        <v>official_2w_city_for_train_updated</v>
      </c>
      <c r="C88" s="15" t="str">
        <f>IFERROR(__xludf.DUMMYFUNCTION("""COMPUTED_VALUE"""),"train")</f>
        <v>train</v>
      </c>
      <c r="D88" s="15" t="str">
        <f>IFERROR(__xludf.DUMMYFUNCTION("""COMPUTED_VALUE"""),"train")</f>
        <v>train</v>
      </c>
      <c r="E88" s="15">
        <f>IFERROR(__xludf.DUMMYFUNCTION("""COMPUTED_VALUE"""),40.0)</f>
        <v>40</v>
      </c>
      <c r="F88" s="15" t="str">
        <f>IFERROR(__xludf.DUMMYFUNCTION("""COMPUTED_VALUE"""),"QUAD")</f>
        <v>QUAD</v>
      </c>
      <c r="G88" s="15" t="str">
        <f>IFERROR(__xludf.DUMMYFUNCTION("""COMPUTED_VALUE"""),"unknown, unknown, unknown, unknown")</f>
        <v>unknown, unknown, unknown, unknown</v>
      </c>
      <c r="H88" s="15">
        <f>IFERROR(__xludf.DUMMYFUNCTION("""COMPUTED_VALUE"""),950.0)</f>
        <v>950</v>
      </c>
      <c r="I88" s="15">
        <f>IFERROR(__xludf.DUMMYFUNCTION("""COMPUTED_VALUE"""),1675.0)</f>
        <v>1675</v>
      </c>
      <c r="J88" s="15">
        <f>IFERROR(__xludf.DUMMYFUNCTION("""COMPUTED_VALUE"""),1585.0)</f>
        <v>1585</v>
      </c>
      <c r="K88" s="16" t="str">
        <f>IFERROR(__xludf.DUMMYFUNCTION("""COMPUTED_VALUE"""),"21/08/2023, 17:29:25")</f>
        <v>21/08/2023, 17:29:25</v>
      </c>
    </row>
    <row r="89">
      <c r="A89" s="18" t="str">
        <f>IFERROR(__xludf.DUMMYFUNCTION("""COMPUTED_VALUE"""),"63b6eb0a2426700446d34dd9")</f>
        <v>63b6eb0a2426700446d34dd9</v>
      </c>
      <c r="B89" s="15" t="str">
        <f>IFERROR(__xludf.DUMMYFUNCTION("""COMPUTED_VALUE"""),"official_bike_set_2_for_train_updated")</f>
        <v>official_bike_set_2_for_train_updated</v>
      </c>
      <c r="C89" s="15" t="str">
        <f>IFERROR(__xludf.DUMMYFUNCTION("""COMPUTED_VALUE"""),"train")</f>
        <v>train</v>
      </c>
      <c r="D89" s="15" t="str">
        <f>IFERROR(__xludf.DUMMYFUNCTION("""COMPUTED_VALUE"""),"train")</f>
        <v>train</v>
      </c>
      <c r="E89" s="15">
        <f>IFERROR(__xludf.DUMMYFUNCTION("""COMPUTED_VALUE"""),104.0)</f>
        <v>104</v>
      </c>
      <c r="F89" s="15" t="str">
        <f>IFERROR(__xludf.DUMMYFUNCTION("""COMPUTED_VALUE"""),"QUAD")</f>
        <v>QUAD</v>
      </c>
      <c r="G89" s="15" t="str">
        <f>IFERROR(__xludf.DUMMYFUNCTION("""COMPUTED_VALUE"""),"unknown, unknown, unknown, unknown")</f>
        <v>unknown, unknown, unknown, unknown</v>
      </c>
      <c r="H89" s="15">
        <f>IFERROR(__xludf.DUMMYFUNCTION("""COMPUTED_VALUE"""),950.0)</f>
        <v>950</v>
      </c>
      <c r="I89" s="15">
        <f>IFERROR(__xludf.DUMMYFUNCTION("""COMPUTED_VALUE"""),1675.0)</f>
        <v>1675</v>
      </c>
      <c r="J89" s="15">
        <f>IFERROR(__xludf.DUMMYFUNCTION("""COMPUTED_VALUE"""),1585.0)</f>
        <v>1585</v>
      </c>
      <c r="K89" s="16" t="str">
        <f>IFERROR(__xludf.DUMMYFUNCTION("""COMPUTED_VALUE"""),"21/08/2023, 17:29:28")</f>
        <v>21/08/2023, 17:29:28</v>
      </c>
    </row>
    <row r="90">
      <c r="A90" s="18" t="str">
        <f>IFERROR(__xludf.DUMMYFUNCTION("""COMPUTED_VALUE"""),"63b6eb4c2426700446d34e48")</f>
        <v>63b6eb4c2426700446d34e48</v>
      </c>
      <c r="B90" s="15" t="str">
        <f>IFERROR(__xludf.DUMMYFUNCTION("""COMPUTED_VALUE"""),"official_bike_yellow_longi_range50m_for_train_updated")</f>
        <v>official_bike_yellow_longi_range50m_for_train_updated</v>
      </c>
      <c r="C90" s="15" t="str">
        <f>IFERROR(__xludf.DUMMYFUNCTION("""COMPUTED_VALUE"""),"train")</f>
        <v>train</v>
      </c>
      <c r="D90" s="15" t="str">
        <f>IFERROR(__xludf.DUMMYFUNCTION("""COMPUTED_VALUE"""),"train")</f>
        <v>train</v>
      </c>
      <c r="E90" s="15">
        <f>IFERROR(__xludf.DUMMYFUNCTION("""COMPUTED_VALUE"""),92.0)</f>
        <v>92</v>
      </c>
      <c r="F90" s="15" t="str">
        <f>IFERROR(__xludf.DUMMYFUNCTION("""COMPUTED_VALUE"""),"QUAD")</f>
        <v>QUAD</v>
      </c>
      <c r="G90" s="15" t="str">
        <f>IFERROR(__xludf.DUMMYFUNCTION("""COMPUTED_VALUE"""),"unknown, unknown, unknown, unknown")</f>
        <v>unknown, unknown, unknown, unknown</v>
      </c>
      <c r="H90" s="15">
        <f>IFERROR(__xludf.DUMMYFUNCTION("""COMPUTED_VALUE"""),950.0)</f>
        <v>950</v>
      </c>
      <c r="I90" s="15">
        <f>IFERROR(__xludf.DUMMYFUNCTION("""COMPUTED_VALUE"""),1675.0)</f>
        <v>1675</v>
      </c>
      <c r="J90" s="15">
        <f>IFERROR(__xludf.DUMMYFUNCTION("""COMPUTED_VALUE"""),1585.0)</f>
        <v>1585</v>
      </c>
      <c r="K90" s="16" t="str">
        <f>IFERROR(__xludf.DUMMYFUNCTION("""COMPUTED_VALUE"""),"21/08/2023, 17:29:31")</f>
        <v>21/08/2023, 17:29:31</v>
      </c>
    </row>
    <row r="91">
      <c r="A91" s="18" t="str">
        <f>IFERROR(__xludf.DUMMYFUNCTION("""COMPUTED_VALUE"""),"63b6ec312426700446d34ec9")</f>
        <v>63b6ec312426700446d34ec9</v>
      </c>
      <c r="B91" s="15" t="str">
        <f>IFERROR(__xludf.DUMMYFUNCTION("""COMPUTED_VALUE"""),"official_additional_sanity_2w_longi_from_train_data_for_train_updated")</f>
        <v>official_additional_sanity_2w_longi_from_train_data_for_train_updated</v>
      </c>
      <c r="C91" s="15" t="str">
        <f>IFERROR(__xludf.DUMMYFUNCTION("""COMPUTED_VALUE"""),"train")</f>
        <v>train</v>
      </c>
      <c r="D91" s="15" t="str">
        <f>IFERROR(__xludf.DUMMYFUNCTION("""COMPUTED_VALUE"""),"train")</f>
        <v>train</v>
      </c>
      <c r="E91" s="15">
        <f>IFERROR(__xludf.DUMMYFUNCTION("""COMPUTED_VALUE"""),1766.0)</f>
        <v>1766</v>
      </c>
      <c r="F91" s="15" t="str">
        <f>IFERROR(__xludf.DUMMYFUNCTION("""COMPUTED_VALUE"""),"QUAD")</f>
        <v>QUAD</v>
      </c>
      <c r="G91" s="15" t="str">
        <f>IFERROR(__xludf.DUMMYFUNCTION("""COMPUTED_VALUE"""),"unknown, unknown, unknown, unknown")</f>
        <v>unknown, unknown, unknown, unknown</v>
      </c>
      <c r="H91" s="15">
        <f>IFERROR(__xludf.DUMMYFUNCTION("""COMPUTED_VALUE"""),950.0)</f>
        <v>950</v>
      </c>
      <c r="I91" s="15">
        <f>IFERROR(__xludf.DUMMYFUNCTION("""COMPUTED_VALUE"""),1675.0)</f>
        <v>1675</v>
      </c>
      <c r="J91" s="15">
        <f>IFERROR(__xludf.DUMMYFUNCTION("""COMPUTED_VALUE"""),1585.0)</f>
        <v>1585</v>
      </c>
      <c r="K91" s="16" t="str">
        <f>IFERROR(__xludf.DUMMYFUNCTION("""COMPUTED_VALUE"""),"21/08/2023, 17:29:35")</f>
        <v>21/08/2023, 17:29:35</v>
      </c>
    </row>
    <row r="92">
      <c r="A92" s="18" t="str">
        <f>IFERROR(__xludf.DUMMYFUNCTION("""COMPUTED_VALUE"""),"63b6ec442426700446d34f36")</f>
        <v>63b6ec442426700446d34f36</v>
      </c>
      <c r="B92" s="15" t="str">
        <f>IFERROR(__xludf.DUMMYFUNCTION("""COMPUTED_VALUE"""),"official_sanity_2w_longi_from_germany_data_for_train_updated")</f>
        <v>official_sanity_2w_longi_from_germany_data_for_train_updated</v>
      </c>
      <c r="C92" s="15" t="str">
        <f>IFERROR(__xludf.DUMMYFUNCTION("""COMPUTED_VALUE"""),"train")</f>
        <v>train</v>
      </c>
      <c r="D92" s="15" t="str">
        <f>IFERROR(__xludf.DUMMYFUNCTION("""COMPUTED_VALUE"""),"train")</f>
        <v>train</v>
      </c>
      <c r="E92" s="15">
        <f>IFERROR(__xludf.DUMMYFUNCTION("""COMPUTED_VALUE"""),117.0)</f>
        <v>117</v>
      </c>
      <c r="F92" s="15" t="str">
        <f>IFERROR(__xludf.DUMMYFUNCTION("""COMPUTED_VALUE"""),"QUAD")</f>
        <v>QUAD</v>
      </c>
      <c r="G92" s="15" t="str">
        <f>IFERROR(__xludf.DUMMYFUNCTION("""COMPUTED_VALUE"""),"unknown, unknown, unknown, unknown")</f>
        <v>unknown, unknown, unknown, unknown</v>
      </c>
      <c r="H92" s="15">
        <f>IFERROR(__xludf.DUMMYFUNCTION("""COMPUTED_VALUE"""),950.0)</f>
        <v>950</v>
      </c>
      <c r="I92" s="15">
        <f>IFERROR(__xludf.DUMMYFUNCTION("""COMPUTED_VALUE"""),1675.0)</f>
        <v>1675</v>
      </c>
      <c r="J92" s="15">
        <f>IFERROR(__xludf.DUMMYFUNCTION("""COMPUTED_VALUE"""),1585.0)</f>
        <v>1585</v>
      </c>
      <c r="K92" s="16" t="str">
        <f>IFERROR(__xludf.DUMMYFUNCTION("""COMPUTED_VALUE"""),"21/08/2023, 17:29:38")</f>
        <v>21/08/2023, 17:29:38</v>
      </c>
    </row>
    <row r="93">
      <c r="A93" s="18" t="str">
        <f>IFERROR(__xludf.DUMMYFUNCTION("""COMPUTED_VALUE"""),"63b6ec782426700446d34fa2")</f>
        <v>63b6ec782426700446d34fa2</v>
      </c>
      <c r="B93" s="15" t="str">
        <f>IFERROR(__xludf.DUMMYFUNCTION("""COMPUTED_VALUE"""),"official_sanity_2w_longi_small_batch2_for_train_updated")</f>
        <v>official_sanity_2w_longi_small_batch2_for_train_updated</v>
      </c>
      <c r="C93" s="15" t="str">
        <f>IFERROR(__xludf.DUMMYFUNCTION("""COMPUTED_VALUE"""),"train")</f>
        <v>train</v>
      </c>
      <c r="D93" s="15" t="str">
        <f>IFERROR(__xludf.DUMMYFUNCTION("""COMPUTED_VALUE"""),"train")</f>
        <v>train</v>
      </c>
      <c r="E93" s="15">
        <f>IFERROR(__xludf.DUMMYFUNCTION("""COMPUTED_VALUE"""),340.0)</f>
        <v>340</v>
      </c>
      <c r="F93" s="15" t="str">
        <f>IFERROR(__xludf.DUMMYFUNCTION("""COMPUTED_VALUE"""),"QUAD")</f>
        <v>QUAD</v>
      </c>
      <c r="G93" s="15" t="str">
        <f>IFERROR(__xludf.DUMMYFUNCTION("""COMPUTED_VALUE"""),"unknown, unknown, unknown, unknown")</f>
        <v>unknown, unknown, unknown, unknown</v>
      </c>
      <c r="H93" s="15">
        <f>IFERROR(__xludf.DUMMYFUNCTION("""COMPUTED_VALUE"""),950.0)</f>
        <v>950</v>
      </c>
      <c r="I93" s="15">
        <f>IFERROR(__xludf.DUMMYFUNCTION("""COMPUTED_VALUE"""),1675.0)</f>
        <v>1675</v>
      </c>
      <c r="J93" s="15">
        <f>IFERROR(__xludf.DUMMYFUNCTION("""COMPUTED_VALUE"""),1585.0)</f>
        <v>1585</v>
      </c>
      <c r="K93" s="16" t="str">
        <f>IFERROR(__xludf.DUMMYFUNCTION("""COMPUTED_VALUE"""),"21/08/2023, 17:29:41")</f>
        <v>21/08/2023, 17:29:41</v>
      </c>
    </row>
    <row r="94">
      <c r="A94" s="18" t="str">
        <f>IFERROR(__xludf.DUMMYFUNCTION("""COMPUTED_VALUE"""),"63b6ec9d2426700446d35011")</f>
        <v>63b6ec9d2426700446d35011</v>
      </c>
      <c r="B94" s="15" t="str">
        <f>IFERROR(__xludf.DUMMYFUNCTION("""COMPUTED_VALUE"""),"official_sanity_2w_longi_small_batch_for_train_updated")</f>
        <v>official_sanity_2w_longi_small_batch_for_train_updated</v>
      </c>
      <c r="C94" s="15" t="str">
        <f>IFERROR(__xludf.DUMMYFUNCTION("""COMPUTED_VALUE"""),"train")</f>
        <v>train</v>
      </c>
      <c r="D94" s="15" t="str">
        <f>IFERROR(__xludf.DUMMYFUNCTION("""COMPUTED_VALUE"""),"train")</f>
        <v>train</v>
      </c>
      <c r="E94" s="15">
        <f>IFERROR(__xludf.DUMMYFUNCTION("""COMPUTED_VALUE"""),345.0)</f>
        <v>345</v>
      </c>
      <c r="F94" s="15" t="str">
        <f>IFERROR(__xludf.DUMMYFUNCTION("""COMPUTED_VALUE"""),"QUAD")</f>
        <v>QUAD</v>
      </c>
      <c r="G94" s="15" t="str">
        <f>IFERROR(__xludf.DUMMYFUNCTION("""COMPUTED_VALUE"""),"unknown, unknown, unknown, unknown")</f>
        <v>unknown, unknown, unknown, unknown</v>
      </c>
      <c r="H94" s="15">
        <f>IFERROR(__xludf.DUMMYFUNCTION("""COMPUTED_VALUE"""),950.0)</f>
        <v>950</v>
      </c>
      <c r="I94" s="15">
        <f>IFERROR(__xludf.DUMMYFUNCTION("""COMPUTED_VALUE"""),1675.0)</f>
        <v>1675</v>
      </c>
      <c r="J94" s="15">
        <f>IFERROR(__xludf.DUMMYFUNCTION("""COMPUTED_VALUE"""),1585.0)</f>
        <v>1585</v>
      </c>
      <c r="K94" s="16" t="str">
        <f>IFERROR(__xludf.DUMMYFUNCTION("""COMPUTED_VALUE"""),"21/08/2023, 17:29:44")</f>
        <v>21/08/2023, 17:29:44</v>
      </c>
    </row>
    <row r="95">
      <c r="A95" s="18" t="str">
        <f>IFERROR(__xludf.DUMMYFUNCTION("""COMPUTED_VALUE"""),"63b6ed452426700446d3513e")</f>
        <v>63b6ed452426700446d3513e</v>
      </c>
      <c r="B95" s="15" t="str">
        <f>IFERROR(__xludf.DUMMYFUNCTION("""COMPUTED_VALUE"""),"official_unify_2w_crossing_moved_from_test_for_train_updated")</f>
        <v>official_unify_2w_crossing_moved_from_test_for_train_updated</v>
      </c>
      <c r="C95" s="15" t="str">
        <f>IFERROR(__xludf.DUMMYFUNCTION("""COMPUTED_VALUE"""),"train")</f>
        <v>train</v>
      </c>
      <c r="D95" s="15" t="str">
        <f>IFERROR(__xludf.DUMMYFUNCTION("""COMPUTED_VALUE"""),"train")</f>
        <v>train</v>
      </c>
      <c r="E95" s="15">
        <f>IFERROR(__xludf.DUMMYFUNCTION("""COMPUTED_VALUE"""),1236.0)</f>
        <v>1236</v>
      </c>
      <c r="F95" s="15" t="str">
        <f>IFERROR(__xludf.DUMMYFUNCTION("""COMPUTED_VALUE"""),"QUAD")</f>
        <v>QUAD</v>
      </c>
      <c r="G95" s="15" t="str">
        <f>IFERROR(__xludf.DUMMYFUNCTION("""COMPUTED_VALUE"""),"unknown, unknown, unknown, unknown")</f>
        <v>unknown, unknown, unknown, unknown</v>
      </c>
      <c r="H95" s="15">
        <f>IFERROR(__xludf.DUMMYFUNCTION("""COMPUTED_VALUE"""),950.0)</f>
        <v>950</v>
      </c>
      <c r="I95" s="15">
        <f>IFERROR(__xludf.DUMMYFUNCTION("""COMPUTED_VALUE"""),1675.0)</f>
        <v>1675</v>
      </c>
      <c r="J95" s="15">
        <f>IFERROR(__xludf.DUMMYFUNCTION("""COMPUTED_VALUE"""),1585.0)</f>
        <v>1585</v>
      </c>
      <c r="K95" s="16" t="str">
        <f>IFERROR(__xludf.DUMMYFUNCTION("""COMPUTED_VALUE"""),"21/08/2023, 17:29:48")</f>
        <v>21/08/2023, 17:29:48</v>
      </c>
    </row>
    <row r="96">
      <c r="A96" s="18" t="str">
        <f>IFERROR(__xludf.DUMMYFUNCTION("""COMPUTED_VALUE"""),"63b6ef1d2426700446d35ba0")</f>
        <v>63b6ef1d2426700446d35ba0</v>
      </c>
      <c r="B96" s="15" t="str">
        <f>IFERROR(__xludf.DUMMYFUNCTION("""COMPUTED_VALUE"""),"official_unify_sanity_2w_longi_from_the_similar_old_test_sets_for_train_updated")</f>
        <v>official_unify_sanity_2w_longi_from_the_similar_old_test_sets_for_train_updated</v>
      </c>
      <c r="C96" s="15" t="str">
        <f>IFERROR(__xludf.DUMMYFUNCTION("""COMPUTED_VALUE"""),"train")</f>
        <v>train</v>
      </c>
      <c r="D96" s="15" t="str">
        <f>IFERROR(__xludf.DUMMYFUNCTION("""COMPUTED_VALUE"""),"train")</f>
        <v>train</v>
      </c>
      <c r="E96" s="15">
        <f>IFERROR(__xludf.DUMMYFUNCTION("""COMPUTED_VALUE"""),5725.0)</f>
        <v>5725</v>
      </c>
      <c r="F96" s="15" t="str">
        <f>IFERROR(__xludf.DUMMYFUNCTION("""COMPUTED_VALUE"""),"QUAD")</f>
        <v>QUAD</v>
      </c>
      <c r="G96" s="15" t="str">
        <f>IFERROR(__xludf.DUMMYFUNCTION("""COMPUTED_VALUE"""),"unknown, unknown, unknown, unknown")</f>
        <v>unknown, unknown, unknown, unknown</v>
      </c>
      <c r="H96" s="15">
        <f>IFERROR(__xludf.DUMMYFUNCTION("""COMPUTED_VALUE"""),950.0)</f>
        <v>950</v>
      </c>
      <c r="I96" s="15">
        <f>IFERROR(__xludf.DUMMYFUNCTION("""COMPUTED_VALUE"""),1675.0)</f>
        <v>1675</v>
      </c>
      <c r="J96" s="15">
        <f>IFERROR(__xludf.DUMMYFUNCTION("""COMPUTED_VALUE"""),1585.0)</f>
        <v>1585</v>
      </c>
      <c r="K96" s="16" t="str">
        <f>IFERROR(__xludf.DUMMYFUNCTION("""COMPUTED_VALUE"""),"21/08/2023, 17:29:57")</f>
        <v>21/08/2023, 17:29:57</v>
      </c>
    </row>
    <row r="97">
      <c r="A97" s="18" t="str">
        <f>IFERROR(__xludf.DUMMYFUNCTION("""COMPUTED_VALUE"""),"63b6ef9b2426700446d36105")</f>
        <v>63b6ef9b2426700446d36105</v>
      </c>
      <c r="B97" s="15" t="str">
        <f>IFERROR(__xludf.DUMMYFUNCTION("""COMPUTED_VALUE"""),"official_rnm_open_road_for_train_updated")</f>
        <v>official_rnm_open_road_for_train_updated</v>
      </c>
      <c r="C97" s="15" t="str">
        <f>IFERROR(__xludf.DUMMYFUNCTION("""COMPUTED_VALUE"""),"train")</f>
        <v>train</v>
      </c>
      <c r="D97" s="15" t="str">
        <f>IFERROR(__xludf.DUMMYFUNCTION("""COMPUTED_VALUE"""),"train")</f>
        <v>train</v>
      </c>
      <c r="E97" s="15">
        <f>IFERROR(__xludf.DUMMYFUNCTION("""COMPUTED_VALUE"""),30.0)</f>
        <v>30</v>
      </c>
      <c r="F97" s="15" t="str">
        <f>IFERROR(__xludf.DUMMYFUNCTION("""COMPUTED_VALUE"""),"QUAD")</f>
        <v>QUAD</v>
      </c>
      <c r="G97" s="15" t="str">
        <f>IFERROR(__xludf.DUMMYFUNCTION("""COMPUTED_VALUE"""),"unknown, unknown, unknown, unknown")</f>
        <v>unknown, unknown, unknown, unknown</v>
      </c>
      <c r="H97" s="15">
        <f>IFERROR(__xludf.DUMMYFUNCTION("""COMPUTED_VALUE"""),950.0)</f>
        <v>950</v>
      </c>
      <c r="I97" s="15">
        <f>IFERROR(__xludf.DUMMYFUNCTION("""COMPUTED_VALUE"""),1675.0)</f>
        <v>1675</v>
      </c>
      <c r="J97" s="15">
        <f>IFERROR(__xludf.DUMMYFUNCTION("""COMPUTED_VALUE"""),1585.0)</f>
        <v>1585</v>
      </c>
      <c r="K97" s="16" t="str">
        <f>IFERROR(__xludf.DUMMYFUNCTION("""COMPUTED_VALUE"""),"21/08/2023, 17:30:00")</f>
        <v>21/08/2023, 17:30:00</v>
      </c>
    </row>
    <row r="98">
      <c r="A98" s="18" t="str">
        <f>IFERROR(__xludf.DUMMYFUNCTION("""COMPUTED_VALUE"""),"63b6efba2426700446d36176")</f>
        <v>63b6efba2426700446d36176</v>
      </c>
      <c r="B98" s="15" t="str">
        <f>IFERROR(__xludf.DUMMYFUNCTION("""COMPUTED_VALUE"""),"official_crossing_black_car_40m_70m_45m_for_train_updated")</f>
        <v>official_crossing_black_car_40m_70m_45m_for_train_updated</v>
      </c>
      <c r="C98" s="15" t="str">
        <f>IFERROR(__xludf.DUMMYFUNCTION("""COMPUTED_VALUE"""),"train")</f>
        <v>train</v>
      </c>
      <c r="D98" s="15" t="str">
        <f>IFERROR(__xludf.DUMMYFUNCTION("""COMPUTED_VALUE"""),"train")</f>
        <v>train</v>
      </c>
      <c r="E98" s="15">
        <f>IFERROR(__xludf.DUMMYFUNCTION("""COMPUTED_VALUE"""),143.0)</f>
        <v>143</v>
      </c>
      <c r="F98" s="15" t="str">
        <f>IFERROR(__xludf.DUMMYFUNCTION("""COMPUTED_VALUE"""),"QUAD")</f>
        <v>QUAD</v>
      </c>
      <c r="G98" s="15" t="str">
        <f>IFERROR(__xludf.DUMMYFUNCTION("""COMPUTED_VALUE"""),"unknown, unknown, unknown, unknown")</f>
        <v>unknown, unknown, unknown, unknown</v>
      </c>
      <c r="H98" s="15">
        <f>IFERROR(__xludf.DUMMYFUNCTION("""COMPUTED_VALUE"""),950.0)</f>
        <v>950</v>
      </c>
      <c r="I98" s="15">
        <f>IFERROR(__xludf.DUMMYFUNCTION("""COMPUTED_VALUE"""),1675.0)</f>
        <v>1675</v>
      </c>
      <c r="J98" s="15">
        <f>IFERROR(__xludf.DUMMYFUNCTION("""COMPUTED_VALUE"""),1585.0)</f>
        <v>1585</v>
      </c>
      <c r="K98" s="16" t="str">
        <f>IFERROR(__xludf.DUMMYFUNCTION("""COMPUTED_VALUE"""),"21/08/2023, 17:30:03")</f>
        <v>21/08/2023, 17:30:03</v>
      </c>
    </row>
    <row r="99">
      <c r="A99" s="18" t="str">
        <f>IFERROR(__xludf.DUMMYFUNCTION("""COMPUTED_VALUE"""),"63b6f0242426700446d362d2")</f>
        <v>63b6f0242426700446d362d2</v>
      </c>
      <c r="B99" s="15" t="str">
        <f>IFERROR(__xludf.DUMMYFUNCTION("""COMPUTED_VALUE"""),"official_crossing_black_car_40m_70m_60m_for_train_updated")</f>
        <v>official_crossing_black_car_40m_70m_60m_for_train_updated</v>
      </c>
      <c r="C99" s="15" t="str">
        <f>IFERROR(__xludf.DUMMYFUNCTION("""COMPUTED_VALUE"""),"train")</f>
        <v>train</v>
      </c>
      <c r="D99" s="15" t="str">
        <f>IFERROR(__xludf.DUMMYFUNCTION("""COMPUTED_VALUE"""),"train")</f>
        <v>train</v>
      </c>
      <c r="E99" s="15">
        <f>IFERROR(__xludf.DUMMYFUNCTION("""COMPUTED_VALUE"""),315.0)</f>
        <v>315</v>
      </c>
      <c r="F99" s="15" t="str">
        <f>IFERROR(__xludf.DUMMYFUNCTION("""COMPUTED_VALUE"""),"QUAD")</f>
        <v>QUAD</v>
      </c>
      <c r="G99" s="15" t="str">
        <f>IFERROR(__xludf.DUMMYFUNCTION("""COMPUTED_VALUE"""),"unknown, unknown, unknown, unknown")</f>
        <v>unknown, unknown, unknown, unknown</v>
      </c>
      <c r="H99" s="15">
        <f>IFERROR(__xludf.DUMMYFUNCTION("""COMPUTED_VALUE"""),950.0)</f>
        <v>950</v>
      </c>
      <c r="I99" s="15">
        <f>IFERROR(__xludf.DUMMYFUNCTION("""COMPUTED_VALUE"""),1675.0)</f>
        <v>1675</v>
      </c>
      <c r="J99" s="15">
        <f>IFERROR(__xludf.DUMMYFUNCTION("""COMPUTED_VALUE"""),1585.0)</f>
        <v>1585</v>
      </c>
      <c r="K99" s="16" t="str">
        <f>IFERROR(__xludf.DUMMYFUNCTION("""COMPUTED_VALUE"""),"21/08/2023, 17:30:13")</f>
        <v>21/08/2023, 17:30:13</v>
      </c>
    </row>
    <row r="100">
      <c r="A100" s="18" t="str">
        <f>IFERROR(__xludf.DUMMYFUNCTION("""COMPUTED_VALUE"""),"63b6f0482426700446d365c0")</f>
        <v>63b6f0482426700446d365c0</v>
      </c>
      <c r="B100" s="15" t="str">
        <f>IFERROR(__xludf.DUMMYFUNCTION("""COMPUTED_VALUE"""),"official_crossing_black_car_40m_70m_65m_for_train_updated")</f>
        <v>official_crossing_black_car_40m_70m_65m_for_train_updated</v>
      </c>
      <c r="C100" s="15" t="str">
        <f>IFERROR(__xludf.DUMMYFUNCTION("""COMPUTED_VALUE"""),"train")</f>
        <v>train</v>
      </c>
      <c r="D100" s="15" t="str">
        <f>IFERROR(__xludf.DUMMYFUNCTION("""COMPUTED_VALUE"""),"train")</f>
        <v>train</v>
      </c>
      <c r="E100" s="15">
        <f>IFERROR(__xludf.DUMMYFUNCTION("""COMPUTED_VALUE"""),344.0)</f>
        <v>344</v>
      </c>
      <c r="F100" s="15" t="str">
        <f>IFERROR(__xludf.DUMMYFUNCTION("""COMPUTED_VALUE"""),"QUAD")</f>
        <v>QUAD</v>
      </c>
      <c r="G100" s="15" t="str">
        <f>IFERROR(__xludf.DUMMYFUNCTION("""COMPUTED_VALUE"""),"unknown, unknown, unknown, unknown")</f>
        <v>unknown, unknown, unknown, unknown</v>
      </c>
      <c r="H100" s="15">
        <f>IFERROR(__xludf.DUMMYFUNCTION("""COMPUTED_VALUE"""),950.0)</f>
        <v>950</v>
      </c>
      <c r="I100" s="15">
        <f>IFERROR(__xludf.DUMMYFUNCTION("""COMPUTED_VALUE"""),1675.0)</f>
        <v>1675</v>
      </c>
      <c r="J100" s="15">
        <f>IFERROR(__xludf.DUMMYFUNCTION("""COMPUTED_VALUE"""),1585.0)</f>
        <v>1585</v>
      </c>
      <c r="K100" s="16" t="str">
        <f>IFERROR(__xludf.DUMMYFUNCTION("""COMPUTED_VALUE"""),"21/08/2023, 17:30:16")</f>
        <v>21/08/2023, 17:30:16</v>
      </c>
    </row>
    <row r="101">
      <c r="A101" s="18" t="str">
        <f>IFERROR(__xludf.DUMMYFUNCTION("""COMPUTED_VALUE"""),"63b6f0732426700446d368ac")</f>
        <v>63b6f0732426700446d368ac</v>
      </c>
      <c r="B101" s="15" t="str">
        <f>IFERROR(__xludf.DUMMYFUNCTION("""COMPUTED_VALUE"""),"official_crossing_black_car_40m_70m_70m_for_train_updated")</f>
        <v>official_crossing_black_car_40m_70m_70m_for_train_updated</v>
      </c>
      <c r="C101" s="15" t="str">
        <f>IFERROR(__xludf.DUMMYFUNCTION("""COMPUTED_VALUE"""),"train")</f>
        <v>train</v>
      </c>
      <c r="D101" s="15" t="str">
        <f>IFERROR(__xludf.DUMMYFUNCTION("""COMPUTED_VALUE"""),"train")</f>
        <v>train</v>
      </c>
      <c r="E101" s="15">
        <f>IFERROR(__xludf.DUMMYFUNCTION("""COMPUTED_VALUE"""),503.0)</f>
        <v>503</v>
      </c>
      <c r="F101" s="15" t="str">
        <f>IFERROR(__xludf.DUMMYFUNCTION("""COMPUTED_VALUE"""),"QUAD")</f>
        <v>QUAD</v>
      </c>
      <c r="G101" s="15" t="str">
        <f>IFERROR(__xludf.DUMMYFUNCTION("""COMPUTED_VALUE"""),"unknown, unknown, unknown, unknown")</f>
        <v>unknown, unknown, unknown, unknown</v>
      </c>
      <c r="H101" s="15">
        <f>IFERROR(__xludf.DUMMYFUNCTION("""COMPUTED_VALUE"""),950.0)</f>
        <v>950</v>
      </c>
      <c r="I101" s="15">
        <f>IFERROR(__xludf.DUMMYFUNCTION("""COMPUTED_VALUE"""),1675.0)</f>
        <v>1675</v>
      </c>
      <c r="J101" s="15">
        <f>IFERROR(__xludf.DUMMYFUNCTION("""COMPUTED_VALUE"""),1585.0)</f>
        <v>1585</v>
      </c>
      <c r="K101" s="16" t="str">
        <f>IFERROR(__xludf.DUMMYFUNCTION("""COMPUTED_VALUE"""),"21/08/2023, 17:30:19")</f>
        <v>21/08/2023, 17:30:19</v>
      </c>
    </row>
    <row r="102">
      <c r="A102" s="18" t="str">
        <f>IFERROR(__xludf.DUMMYFUNCTION("""COMPUTED_VALUE"""),"63b6f19c2426700446d36bb1")</f>
        <v>63b6f19c2426700446d36bb1</v>
      </c>
      <c r="B102" s="15" t="str">
        <f>IFERROR(__xludf.DUMMYFUNCTION("""COMPUTED_VALUE"""),"official_ncap_2w_longi_for_train_updated")</f>
        <v>official_ncap_2w_longi_for_train_updated</v>
      </c>
      <c r="C102" s="15" t="str">
        <f>IFERROR(__xludf.DUMMYFUNCTION("""COMPUTED_VALUE"""),"train")</f>
        <v>train</v>
      </c>
      <c r="D102" s="15" t="str">
        <f>IFERROR(__xludf.DUMMYFUNCTION("""COMPUTED_VALUE"""),"train")</f>
        <v>train</v>
      </c>
      <c r="E102" s="15">
        <f>IFERROR(__xludf.DUMMYFUNCTION("""COMPUTED_VALUE"""),2336.0)</f>
        <v>2336</v>
      </c>
      <c r="F102" s="15" t="str">
        <f>IFERROR(__xludf.DUMMYFUNCTION("""COMPUTED_VALUE"""),"QUAD")</f>
        <v>QUAD</v>
      </c>
      <c r="G102" s="15" t="str">
        <f>IFERROR(__xludf.DUMMYFUNCTION("""COMPUTED_VALUE"""),"unknown, unknown, unknown, unknown")</f>
        <v>unknown, unknown, unknown, unknown</v>
      </c>
      <c r="H102" s="15">
        <f>IFERROR(__xludf.DUMMYFUNCTION("""COMPUTED_VALUE"""),950.0)</f>
        <v>950</v>
      </c>
      <c r="I102" s="15">
        <f>IFERROR(__xludf.DUMMYFUNCTION("""COMPUTED_VALUE"""),1675.0)</f>
        <v>1675</v>
      </c>
      <c r="J102" s="15">
        <f>IFERROR(__xludf.DUMMYFUNCTION("""COMPUTED_VALUE"""),1585.0)</f>
        <v>1585</v>
      </c>
      <c r="K102" s="16" t="str">
        <f>IFERROR(__xludf.DUMMYFUNCTION("""COMPUTED_VALUE"""),"21/08/2023, 17:30:24")</f>
        <v>21/08/2023, 17:30:24</v>
      </c>
    </row>
    <row r="103">
      <c r="A103" s="18" t="str">
        <f>IFERROR(__xludf.DUMMYFUNCTION("""COMPUTED_VALUE"""),"63b6f1c22426700446d36c32")</f>
        <v>63b6f1c22426700446d36c32</v>
      </c>
      <c r="B103" s="15" t="str">
        <f>IFERROR(__xludf.DUMMYFUNCTION("""COMPUTED_VALUE"""),"official_set_1_cpnc_week_19_for_train_updated")</f>
        <v>official_set_1_cpnc_week_19_for_train_updated</v>
      </c>
      <c r="C103" s="15" t="str">
        <f>IFERROR(__xludf.DUMMYFUNCTION("""COMPUTED_VALUE"""),"train")</f>
        <v>train</v>
      </c>
      <c r="D103" s="15" t="str">
        <f>IFERROR(__xludf.DUMMYFUNCTION("""COMPUTED_VALUE"""),"train")</f>
        <v>train</v>
      </c>
      <c r="E103" s="15">
        <f>IFERROR(__xludf.DUMMYFUNCTION("""COMPUTED_VALUE"""),131.0)</f>
        <v>131</v>
      </c>
      <c r="F103" s="15" t="str">
        <f>IFERROR(__xludf.DUMMYFUNCTION("""COMPUTED_VALUE"""),"QUAD")</f>
        <v>QUAD</v>
      </c>
      <c r="G103" s="15" t="str">
        <f>IFERROR(__xludf.DUMMYFUNCTION("""COMPUTED_VALUE"""),"unknown, unknown, unknown, unknown")</f>
        <v>unknown, unknown, unknown, unknown</v>
      </c>
      <c r="H103" s="15">
        <f>IFERROR(__xludf.DUMMYFUNCTION("""COMPUTED_VALUE"""),950.0)</f>
        <v>950</v>
      </c>
      <c r="I103" s="15">
        <f>IFERROR(__xludf.DUMMYFUNCTION("""COMPUTED_VALUE"""),1675.0)</f>
        <v>1675</v>
      </c>
      <c r="J103" s="15">
        <f>IFERROR(__xludf.DUMMYFUNCTION("""COMPUTED_VALUE"""),1585.0)</f>
        <v>1585</v>
      </c>
      <c r="K103" s="16" t="str">
        <f>IFERROR(__xludf.DUMMYFUNCTION("""COMPUTED_VALUE"""),"21/08/2023, 17:30:27")</f>
        <v>21/08/2023, 17:30:27</v>
      </c>
    </row>
    <row r="104">
      <c r="A104" s="18" t="str">
        <f>IFERROR(__xludf.DUMMYFUNCTION("""COMPUTED_VALUE"""),"63b6f1df2426700446d36cab")</f>
        <v>63b6f1df2426700446d36cab</v>
      </c>
      <c r="B104" s="15" t="str">
        <f>IFERROR(__xludf.DUMMYFUNCTION("""COMPUTED_VALUE"""),"official_cpnc_n_close_loop_crossing1_for_train_updated")</f>
        <v>official_cpnc_n_close_loop_crossing1_for_train_updated</v>
      </c>
      <c r="C104" s="15" t="str">
        <f>IFERROR(__xludf.DUMMYFUNCTION("""COMPUTED_VALUE"""),"train")</f>
        <v>train</v>
      </c>
      <c r="D104" s="15" t="str">
        <f>IFERROR(__xludf.DUMMYFUNCTION("""COMPUTED_VALUE"""),"train")</f>
        <v>train</v>
      </c>
      <c r="E104" s="15">
        <f>IFERROR(__xludf.DUMMYFUNCTION("""COMPUTED_VALUE"""),59.0)</f>
        <v>59</v>
      </c>
      <c r="F104" s="15" t="str">
        <f>IFERROR(__xludf.DUMMYFUNCTION("""COMPUTED_VALUE"""),"QUAD")</f>
        <v>QUAD</v>
      </c>
      <c r="G104" s="15" t="str">
        <f>IFERROR(__xludf.DUMMYFUNCTION("""COMPUTED_VALUE"""),"unknown, unknown, unknown, unknown")</f>
        <v>unknown, unknown, unknown, unknown</v>
      </c>
      <c r="H104" s="15">
        <f>IFERROR(__xludf.DUMMYFUNCTION("""COMPUTED_VALUE"""),950.0)</f>
        <v>950</v>
      </c>
      <c r="I104" s="15">
        <f>IFERROR(__xludf.DUMMYFUNCTION("""COMPUTED_VALUE"""),1675.0)</f>
        <v>1675</v>
      </c>
      <c r="J104" s="15">
        <f>IFERROR(__xludf.DUMMYFUNCTION("""COMPUTED_VALUE"""),1585.0)</f>
        <v>1585</v>
      </c>
      <c r="K104" s="16" t="str">
        <f>IFERROR(__xludf.DUMMYFUNCTION("""COMPUTED_VALUE"""),"21/08/2023, 17:30:30")</f>
        <v>21/08/2023, 17:30:30</v>
      </c>
    </row>
    <row r="105">
      <c r="A105" s="18" t="str">
        <f>IFERROR(__xludf.DUMMYFUNCTION("""COMPUTED_VALUE"""),"63b6f2912426700446d36d31")</f>
        <v>63b6f2912426700446d36d31</v>
      </c>
      <c r="B105" s="15" t="str">
        <f>IFERROR(__xludf.DUMMYFUNCTION("""COMPUTED_VALUE"""),"official_ncap_2w_longi_close_loop_1_for_train_updated")</f>
        <v>official_ncap_2w_longi_close_loop_1_for_train_updated</v>
      </c>
      <c r="C105" s="15" t="str">
        <f>IFERROR(__xludf.DUMMYFUNCTION("""COMPUTED_VALUE"""),"train")</f>
        <v>train</v>
      </c>
      <c r="D105" s="15" t="str">
        <f>IFERROR(__xludf.DUMMYFUNCTION("""COMPUTED_VALUE"""),"train")</f>
        <v>train</v>
      </c>
      <c r="E105" s="15">
        <f>IFERROR(__xludf.DUMMYFUNCTION("""COMPUTED_VALUE"""),145.0)</f>
        <v>145</v>
      </c>
      <c r="F105" s="15" t="str">
        <f>IFERROR(__xludf.DUMMYFUNCTION("""COMPUTED_VALUE"""),"QUAD")</f>
        <v>QUAD</v>
      </c>
      <c r="G105" s="15" t="str">
        <f>IFERROR(__xludf.DUMMYFUNCTION("""COMPUTED_VALUE"""),"unknown, unknown, unknown, unknown")</f>
        <v>unknown, unknown, unknown, unknown</v>
      </c>
      <c r="H105" s="15">
        <f>IFERROR(__xludf.DUMMYFUNCTION("""COMPUTED_VALUE"""),950.0)</f>
        <v>950</v>
      </c>
      <c r="I105" s="15">
        <f>IFERROR(__xludf.DUMMYFUNCTION("""COMPUTED_VALUE"""),1675.0)</f>
        <v>1675</v>
      </c>
      <c r="J105" s="15">
        <f>IFERROR(__xludf.DUMMYFUNCTION("""COMPUTED_VALUE"""),1585.0)</f>
        <v>1585</v>
      </c>
      <c r="K105" s="16" t="str">
        <f>IFERROR(__xludf.DUMMYFUNCTION("""COMPUTED_VALUE"""),"21/08/2023, 17:30:33")</f>
        <v>21/08/2023, 17:30:33</v>
      </c>
    </row>
    <row r="106">
      <c r="A106" s="18" t="str">
        <f>IFERROR(__xludf.DUMMYFUNCTION("""COMPUTED_VALUE"""),"63b6f3092426700446d37034")</f>
        <v>63b6f3092426700446d37034</v>
      </c>
      <c r="B106" s="15" t="str">
        <f>IFERROR(__xludf.DUMMYFUNCTION("""COMPUTED_VALUE"""),"official_longi_2w_ncap_dataset_for_train_updated")</f>
        <v>official_longi_2w_ncap_dataset_for_train_updated</v>
      </c>
      <c r="C106" s="15" t="str">
        <f>IFERROR(__xludf.DUMMYFUNCTION("""COMPUTED_VALUE"""),"train")</f>
        <v>train</v>
      </c>
      <c r="D106" s="15" t="str">
        <f>IFERROR(__xludf.DUMMYFUNCTION("""COMPUTED_VALUE"""),"train")</f>
        <v>train</v>
      </c>
      <c r="E106" s="15">
        <f>IFERROR(__xludf.DUMMYFUNCTION("""COMPUTED_VALUE"""),179.0)</f>
        <v>179</v>
      </c>
      <c r="F106" s="15" t="str">
        <f>IFERROR(__xludf.DUMMYFUNCTION("""COMPUTED_VALUE"""),"QUAD")</f>
        <v>QUAD</v>
      </c>
      <c r="G106" s="15" t="str">
        <f>IFERROR(__xludf.DUMMYFUNCTION("""COMPUTED_VALUE"""),"unknown, unknown, unknown, unknown")</f>
        <v>unknown, unknown, unknown, unknown</v>
      </c>
      <c r="H106" s="15">
        <f>IFERROR(__xludf.DUMMYFUNCTION("""COMPUTED_VALUE"""),950.0)</f>
        <v>950</v>
      </c>
      <c r="I106" s="15">
        <f>IFERROR(__xludf.DUMMYFUNCTION("""COMPUTED_VALUE"""),1675.0)</f>
        <v>1675</v>
      </c>
      <c r="J106" s="15">
        <f>IFERROR(__xludf.DUMMYFUNCTION("""COMPUTED_VALUE"""),1585.0)</f>
        <v>1585</v>
      </c>
      <c r="K106" s="16" t="str">
        <f>IFERROR(__xludf.DUMMYFUNCTION("""COMPUTED_VALUE"""),"21/08/2023, 17:30:36")</f>
        <v>21/08/2023, 17:30:36</v>
      </c>
    </row>
    <row r="107">
      <c r="A107" s="18" t="str">
        <f>IFERROR(__xludf.DUMMYFUNCTION("""COMPUTED_VALUE"""),"63b6f3ee2426700446d37821")</f>
        <v>63b6f3ee2426700446d37821</v>
      </c>
      <c r="B107" s="15" t="str">
        <f>IFERROR(__xludf.DUMMYFUNCTION("""COMPUTED_VALUE"""),"official_dummy_longi_data_2st_batch_for_train_updated")</f>
        <v>official_dummy_longi_data_2st_batch_for_train_updated</v>
      </c>
      <c r="C107" s="15" t="str">
        <f>IFERROR(__xludf.DUMMYFUNCTION("""COMPUTED_VALUE"""),"train")</f>
        <v>train</v>
      </c>
      <c r="D107" s="15" t="str">
        <f>IFERROR(__xludf.DUMMYFUNCTION("""COMPUTED_VALUE"""),"train")</f>
        <v>train</v>
      </c>
      <c r="E107" s="15">
        <f>IFERROR(__xludf.DUMMYFUNCTION("""COMPUTED_VALUE"""),2668.0)</f>
        <v>2668</v>
      </c>
      <c r="F107" s="15" t="str">
        <f>IFERROR(__xludf.DUMMYFUNCTION("""COMPUTED_VALUE"""),"QUAD")</f>
        <v>QUAD</v>
      </c>
      <c r="G107" s="15" t="str">
        <f>IFERROR(__xludf.DUMMYFUNCTION("""COMPUTED_VALUE"""),"unknown, unknown, unknown, unknown")</f>
        <v>unknown, unknown, unknown, unknown</v>
      </c>
      <c r="H107" s="15">
        <f>IFERROR(__xludf.DUMMYFUNCTION("""COMPUTED_VALUE"""),950.0)</f>
        <v>950</v>
      </c>
      <c r="I107" s="15">
        <f>IFERROR(__xludf.DUMMYFUNCTION("""COMPUTED_VALUE"""),1675.0)</f>
        <v>1675</v>
      </c>
      <c r="J107" s="15">
        <f>IFERROR(__xludf.DUMMYFUNCTION("""COMPUTED_VALUE"""),1585.0)</f>
        <v>1585</v>
      </c>
      <c r="K107" s="16" t="str">
        <f>IFERROR(__xludf.DUMMYFUNCTION("""COMPUTED_VALUE"""),"21/08/2023, 17:30:41")</f>
        <v>21/08/2023, 17:30:41</v>
      </c>
    </row>
    <row r="108">
      <c r="A108" s="18" t="str">
        <f>IFERROR(__xludf.DUMMYFUNCTION("""COMPUTED_VALUE"""),"63b6f46c2426700446d37d9b")</f>
        <v>63b6f46c2426700446d37d9b</v>
      </c>
      <c r="B108" s="15" t="str">
        <f>IFERROR(__xludf.DUMMYFUNCTION("""COMPUTED_VALUE"""),"official_dummy_longi_data_1st_batch_for_train_updated")</f>
        <v>official_dummy_longi_data_1st_batch_for_train_updated</v>
      </c>
      <c r="C108" s="15" t="str">
        <f>IFERROR(__xludf.DUMMYFUNCTION("""COMPUTED_VALUE"""),"train")</f>
        <v>train</v>
      </c>
      <c r="D108" s="15" t="str">
        <f>IFERROR(__xludf.DUMMYFUNCTION("""COMPUTED_VALUE"""),"train")</f>
        <v>train</v>
      </c>
      <c r="E108" s="15">
        <f>IFERROR(__xludf.DUMMYFUNCTION("""COMPUTED_VALUE"""),374.0)</f>
        <v>374</v>
      </c>
      <c r="F108" s="15" t="str">
        <f>IFERROR(__xludf.DUMMYFUNCTION("""COMPUTED_VALUE"""),"QUAD")</f>
        <v>QUAD</v>
      </c>
      <c r="G108" s="15" t="str">
        <f>IFERROR(__xludf.DUMMYFUNCTION("""COMPUTED_VALUE"""),"unknown, unknown, unknown, unknown")</f>
        <v>unknown, unknown, unknown, unknown</v>
      </c>
      <c r="H108" s="15">
        <f>IFERROR(__xludf.DUMMYFUNCTION("""COMPUTED_VALUE"""),950.0)</f>
        <v>950</v>
      </c>
      <c r="I108" s="15">
        <f>IFERROR(__xludf.DUMMYFUNCTION("""COMPUTED_VALUE"""),1675.0)</f>
        <v>1675</v>
      </c>
      <c r="J108" s="15">
        <f>IFERROR(__xludf.DUMMYFUNCTION("""COMPUTED_VALUE"""),1585.0)</f>
        <v>1585</v>
      </c>
      <c r="K108" s="16" t="str">
        <f>IFERROR(__xludf.DUMMYFUNCTION("""COMPUTED_VALUE"""),"21/08/2023, 17:30:45")</f>
        <v>21/08/2023, 17:30:45</v>
      </c>
    </row>
    <row r="109">
      <c r="A109" s="18" t="str">
        <f>IFERROR(__xludf.DUMMYFUNCTION("""COMPUTED_VALUE"""),"63b6f4ac2426700446d38090")</f>
        <v>63b6f4ac2426700446d38090</v>
      </c>
      <c r="B109" s="15" t="str">
        <f>IFERROR(__xludf.DUMMYFUNCTION("""COMPUTED_VALUE"""),"official_set_2_cpnc_week_19_for_train_updated")</f>
        <v>official_set_2_cpnc_week_19_for_train_updated</v>
      </c>
      <c r="C109" s="15" t="str">
        <f>IFERROR(__xludf.DUMMYFUNCTION("""COMPUTED_VALUE"""),"train")</f>
        <v>train</v>
      </c>
      <c r="D109" s="15" t="str">
        <f>IFERROR(__xludf.DUMMYFUNCTION("""COMPUTED_VALUE"""),"train")</f>
        <v>train</v>
      </c>
      <c r="E109" s="15">
        <f>IFERROR(__xludf.DUMMYFUNCTION("""COMPUTED_VALUE"""),586.0)</f>
        <v>586</v>
      </c>
      <c r="F109" s="15" t="str">
        <f>IFERROR(__xludf.DUMMYFUNCTION("""COMPUTED_VALUE"""),"QUAD")</f>
        <v>QUAD</v>
      </c>
      <c r="G109" s="15" t="str">
        <f>IFERROR(__xludf.DUMMYFUNCTION("""COMPUTED_VALUE"""),"unknown, unknown, unknown, unknown")</f>
        <v>unknown, unknown, unknown, unknown</v>
      </c>
      <c r="H109" s="15">
        <f>IFERROR(__xludf.DUMMYFUNCTION("""COMPUTED_VALUE"""),950.0)</f>
        <v>950</v>
      </c>
      <c r="I109" s="15">
        <f>IFERROR(__xludf.DUMMYFUNCTION("""COMPUTED_VALUE"""),1675.0)</f>
        <v>1675</v>
      </c>
      <c r="J109" s="15">
        <f>IFERROR(__xludf.DUMMYFUNCTION("""COMPUTED_VALUE"""),1585.0)</f>
        <v>1585</v>
      </c>
      <c r="K109" s="16" t="str">
        <f>IFERROR(__xludf.DUMMYFUNCTION("""COMPUTED_VALUE"""),"21/08/2023, 17:30:49")</f>
        <v>21/08/2023, 17:30:49</v>
      </c>
    </row>
    <row r="110">
      <c r="A110" s="18" t="str">
        <f>IFERROR(__xludf.DUMMYFUNCTION("""COMPUTED_VALUE"""),"63ba77e22426700446d42e25")</f>
        <v>63ba77e22426700446d42e25</v>
      </c>
      <c r="B110" s="15" t="str">
        <f>IFERROR(__xludf.DUMMYFUNCTION("""COMPUTED_VALUE"""),"official_ped_yellow_standstill_movingcar_30_for_train_updated")</f>
        <v>official_ped_yellow_standstill_movingcar_30_for_train_updated</v>
      </c>
      <c r="C110" s="15" t="str">
        <f>IFERROR(__xludf.DUMMYFUNCTION("""COMPUTED_VALUE"""),"train")</f>
        <v>train</v>
      </c>
      <c r="D110" s="15" t="str">
        <f>IFERROR(__xludf.DUMMYFUNCTION("""COMPUTED_VALUE"""),"train")</f>
        <v>train</v>
      </c>
      <c r="E110" s="15">
        <f>IFERROR(__xludf.DUMMYFUNCTION("""COMPUTED_VALUE"""),68.0)</f>
        <v>68</v>
      </c>
      <c r="F110" s="15" t="str">
        <f>IFERROR(__xludf.DUMMYFUNCTION("""COMPUTED_VALUE"""),"QUAD")</f>
        <v>QUAD</v>
      </c>
      <c r="G110" s="15" t="str">
        <f>IFERROR(__xludf.DUMMYFUNCTION("""COMPUTED_VALUE"""),"unknown, unknown, unknown, unknown")</f>
        <v>unknown, unknown, unknown, unknown</v>
      </c>
      <c r="H110" s="15">
        <f>IFERROR(__xludf.DUMMYFUNCTION("""COMPUTED_VALUE"""),950.0)</f>
        <v>950</v>
      </c>
      <c r="I110" s="15">
        <f>IFERROR(__xludf.DUMMYFUNCTION("""COMPUTED_VALUE"""),1675.0)</f>
        <v>1675</v>
      </c>
      <c r="J110" s="15">
        <f>IFERROR(__xludf.DUMMYFUNCTION("""COMPUTED_VALUE"""),1585.0)</f>
        <v>1585</v>
      </c>
      <c r="K110" s="16" t="str">
        <f>IFERROR(__xludf.DUMMYFUNCTION("""COMPUTED_VALUE"""),"21/08/2023, 17:30:52")</f>
        <v>21/08/2023, 17:30:52</v>
      </c>
    </row>
    <row r="111">
      <c r="A111" s="18" t="str">
        <f>IFERROR(__xludf.DUMMYFUNCTION("""COMPUTED_VALUE"""),"63ba77f42426700446d42ea4")</f>
        <v>63ba77f42426700446d42ea4</v>
      </c>
      <c r="B111" s="15" t="str">
        <f>IFERROR(__xludf.DUMMYFUNCTION("""COMPUTED_VALUE"""),"official_longitudinal_ped_0m_male_with_yellow_vest1_for_train_updated")</f>
        <v>official_longitudinal_ped_0m_male_with_yellow_vest1_for_train_updated</v>
      </c>
      <c r="C111" s="15" t="str">
        <f>IFERROR(__xludf.DUMMYFUNCTION("""COMPUTED_VALUE"""),"train")</f>
        <v>train</v>
      </c>
      <c r="D111" s="15" t="str">
        <f>IFERROR(__xludf.DUMMYFUNCTION("""COMPUTED_VALUE"""),"train")</f>
        <v>train</v>
      </c>
      <c r="E111" s="15">
        <f>IFERROR(__xludf.DUMMYFUNCTION("""COMPUTED_VALUE"""),193.0)</f>
        <v>193</v>
      </c>
      <c r="F111" s="15" t="str">
        <f>IFERROR(__xludf.DUMMYFUNCTION("""COMPUTED_VALUE"""),"QUAD")</f>
        <v>QUAD</v>
      </c>
      <c r="G111" s="15" t="str">
        <f>IFERROR(__xludf.DUMMYFUNCTION("""COMPUTED_VALUE"""),"unknown, unknown, unknown, unknown")</f>
        <v>unknown, unknown, unknown, unknown</v>
      </c>
      <c r="H111" s="15">
        <f>IFERROR(__xludf.DUMMYFUNCTION("""COMPUTED_VALUE"""),950.0)</f>
        <v>950</v>
      </c>
      <c r="I111" s="15">
        <f>IFERROR(__xludf.DUMMYFUNCTION("""COMPUTED_VALUE"""),1675.0)</f>
        <v>1675</v>
      </c>
      <c r="J111" s="15">
        <f>IFERROR(__xludf.DUMMYFUNCTION("""COMPUTED_VALUE"""),1585.0)</f>
        <v>1585</v>
      </c>
      <c r="K111" s="16" t="str">
        <f>IFERROR(__xludf.DUMMYFUNCTION("""COMPUTED_VALUE"""),"21/08/2023, 17:30:56")</f>
        <v>21/08/2023, 17:30:56</v>
      </c>
    </row>
    <row r="112">
      <c r="A112" s="18" t="str">
        <f>IFERROR(__xludf.DUMMYFUNCTION("""COMPUTED_VALUE"""),"63ba78142426700446d42f24")</f>
        <v>63ba78142426700446d42f24</v>
      </c>
      <c r="B112" s="15" t="str">
        <f>IFERROR(__xludf.DUMMYFUNCTION("""COMPUTED_VALUE"""),"official_longitudinal_ped_0m_male_for_train_updated")</f>
        <v>official_longitudinal_ped_0m_male_for_train_updated</v>
      </c>
      <c r="C112" s="15" t="str">
        <f>IFERROR(__xludf.DUMMYFUNCTION("""COMPUTED_VALUE"""),"train")</f>
        <v>train</v>
      </c>
      <c r="D112" s="15" t="str">
        <f>IFERROR(__xludf.DUMMYFUNCTION("""COMPUTED_VALUE"""),"train")</f>
        <v>train</v>
      </c>
      <c r="E112" s="15">
        <f>IFERROR(__xludf.DUMMYFUNCTION("""COMPUTED_VALUE"""),364.0)</f>
        <v>364</v>
      </c>
      <c r="F112" s="15" t="str">
        <f>IFERROR(__xludf.DUMMYFUNCTION("""COMPUTED_VALUE"""),"QUAD")</f>
        <v>QUAD</v>
      </c>
      <c r="G112" s="15" t="str">
        <f>IFERROR(__xludf.DUMMYFUNCTION("""COMPUTED_VALUE"""),"unknown, unknown, unknown, unknown")</f>
        <v>unknown, unknown, unknown, unknown</v>
      </c>
      <c r="H112" s="15">
        <f>IFERROR(__xludf.DUMMYFUNCTION("""COMPUTED_VALUE"""),950.0)</f>
        <v>950</v>
      </c>
      <c r="I112" s="15">
        <f>IFERROR(__xludf.DUMMYFUNCTION("""COMPUTED_VALUE"""),1675.0)</f>
        <v>1675</v>
      </c>
      <c r="J112" s="15">
        <f>IFERROR(__xludf.DUMMYFUNCTION("""COMPUTED_VALUE"""),1585.0)</f>
        <v>1585</v>
      </c>
      <c r="K112" s="16" t="str">
        <f>IFERROR(__xludf.DUMMYFUNCTION("""COMPUTED_VALUE"""),"21/08/2023, 17:30:59")</f>
        <v>21/08/2023, 17:30:59</v>
      </c>
    </row>
    <row r="113">
      <c r="A113" s="18" t="str">
        <f>IFERROR(__xludf.DUMMYFUNCTION("""COMPUTED_VALUE"""),"63ba78b52426700446d42fa6")</f>
        <v>63ba78b52426700446d42fa6</v>
      </c>
      <c r="B113" s="15" t="str">
        <f>IFERROR(__xludf.DUMMYFUNCTION("""COMPUTED_VALUE"""),"official_ped_crossing_yellow_0m_20m_for_train_updated")</f>
        <v>official_ped_crossing_yellow_0m_20m_for_train_updated</v>
      </c>
      <c r="C113" s="15" t="str">
        <f>IFERROR(__xludf.DUMMYFUNCTION("""COMPUTED_VALUE"""),"train")</f>
        <v>train</v>
      </c>
      <c r="D113" s="15" t="str">
        <f>IFERROR(__xludf.DUMMYFUNCTION("""COMPUTED_VALUE"""),"train")</f>
        <v>train</v>
      </c>
      <c r="E113" s="15">
        <f>IFERROR(__xludf.DUMMYFUNCTION("""COMPUTED_VALUE"""),2248.0)</f>
        <v>2248</v>
      </c>
      <c r="F113" s="15" t="str">
        <f>IFERROR(__xludf.DUMMYFUNCTION("""COMPUTED_VALUE"""),"QUAD")</f>
        <v>QUAD</v>
      </c>
      <c r="G113" s="15" t="str">
        <f>IFERROR(__xludf.DUMMYFUNCTION("""COMPUTED_VALUE"""),"unknown, unknown, unknown, unknown")</f>
        <v>unknown, unknown, unknown, unknown</v>
      </c>
      <c r="H113" s="15">
        <f>IFERROR(__xludf.DUMMYFUNCTION("""COMPUTED_VALUE"""),950.0)</f>
        <v>950</v>
      </c>
      <c r="I113" s="15">
        <f>IFERROR(__xludf.DUMMYFUNCTION("""COMPUTED_VALUE"""),1675.0)</f>
        <v>1675</v>
      </c>
      <c r="J113" s="15">
        <f>IFERROR(__xludf.DUMMYFUNCTION("""COMPUTED_VALUE"""),1585.0)</f>
        <v>1585</v>
      </c>
      <c r="K113" s="16" t="str">
        <f>IFERROR(__xludf.DUMMYFUNCTION("""COMPUTED_VALUE"""),"21/08/2023, 17:31:05")</f>
        <v>21/08/2023, 17:31:05</v>
      </c>
    </row>
    <row r="114">
      <c r="A114" s="18" t="str">
        <f>IFERROR(__xludf.DUMMYFUNCTION("""COMPUTED_VALUE"""),"63ba795b2426700446d43031")</f>
        <v>63ba795b2426700446d43031</v>
      </c>
      <c r="B114" s="15" t="str">
        <f>IFERROR(__xludf.DUMMYFUNCTION("""COMPUTED_VALUE"""),"official_ped_yellow_10m_50m_occlusion_01_for_train_updated")</f>
        <v>official_ped_yellow_10m_50m_occlusion_01_for_train_updated</v>
      </c>
      <c r="C114" s="15" t="str">
        <f>IFERROR(__xludf.DUMMYFUNCTION("""COMPUTED_VALUE"""),"train")</f>
        <v>train</v>
      </c>
      <c r="D114" s="15" t="str">
        <f>IFERROR(__xludf.DUMMYFUNCTION("""COMPUTED_VALUE"""),"train")</f>
        <v>train</v>
      </c>
      <c r="E114" s="15">
        <f>IFERROR(__xludf.DUMMYFUNCTION("""COMPUTED_VALUE"""),2048.0)</f>
        <v>2048</v>
      </c>
      <c r="F114" s="15" t="str">
        <f>IFERROR(__xludf.DUMMYFUNCTION("""COMPUTED_VALUE"""),"QUAD")</f>
        <v>QUAD</v>
      </c>
      <c r="G114" s="15" t="str">
        <f>IFERROR(__xludf.DUMMYFUNCTION("""COMPUTED_VALUE"""),"unknown, unknown, unknown, unknown")</f>
        <v>unknown, unknown, unknown, unknown</v>
      </c>
      <c r="H114" s="15">
        <f>IFERROR(__xludf.DUMMYFUNCTION("""COMPUTED_VALUE"""),950.0)</f>
        <v>950</v>
      </c>
      <c r="I114" s="15">
        <f>IFERROR(__xludf.DUMMYFUNCTION("""COMPUTED_VALUE"""),1675.0)</f>
        <v>1675</v>
      </c>
      <c r="J114" s="15">
        <f>IFERROR(__xludf.DUMMYFUNCTION("""COMPUTED_VALUE"""),1585.0)</f>
        <v>1585</v>
      </c>
      <c r="K114" s="16" t="str">
        <f>IFERROR(__xludf.DUMMYFUNCTION("""COMPUTED_VALUE"""),"21/08/2023, 17:31:10")</f>
        <v>21/08/2023, 17:31:10</v>
      </c>
    </row>
    <row r="115">
      <c r="A115" s="18" t="str">
        <f>IFERROR(__xludf.DUMMYFUNCTION("""COMPUTED_VALUE"""),"63ba79852426700446d430bf")</f>
        <v>63ba79852426700446d430bf</v>
      </c>
      <c r="B115" s="15" t="str">
        <f>IFERROR(__xludf.DUMMYFUNCTION("""COMPUTED_VALUE"""),"official_crossing_ped_with_yellow_vest_5_15m_for_train_updated")</f>
        <v>official_crossing_ped_with_yellow_vest_5_15m_for_train_updated</v>
      </c>
      <c r="C115" s="15" t="str">
        <f>IFERROR(__xludf.DUMMYFUNCTION("""COMPUTED_VALUE"""),"train")</f>
        <v>train</v>
      </c>
      <c r="D115" s="15" t="str">
        <f>IFERROR(__xludf.DUMMYFUNCTION("""COMPUTED_VALUE"""),"train")</f>
        <v>train</v>
      </c>
      <c r="E115" s="15">
        <f>IFERROR(__xludf.DUMMYFUNCTION("""COMPUTED_VALUE"""),456.0)</f>
        <v>456</v>
      </c>
      <c r="F115" s="15" t="str">
        <f>IFERROR(__xludf.DUMMYFUNCTION("""COMPUTED_VALUE"""),"QUAD")</f>
        <v>QUAD</v>
      </c>
      <c r="G115" s="15" t="str">
        <f>IFERROR(__xludf.DUMMYFUNCTION("""COMPUTED_VALUE"""),"unknown, unknown, unknown, unknown")</f>
        <v>unknown, unknown, unknown, unknown</v>
      </c>
      <c r="H115" s="15">
        <f>IFERROR(__xludf.DUMMYFUNCTION("""COMPUTED_VALUE"""),950.0)</f>
        <v>950</v>
      </c>
      <c r="I115" s="15">
        <f>IFERROR(__xludf.DUMMYFUNCTION("""COMPUTED_VALUE"""),1675.0)</f>
        <v>1675</v>
      </c>
      <c r="J115" s="15">
        <f>IFERROR(__xludf.DUMMYFUNCTION("""COMPUTED_VALUE"""),1585.0)</f>
        <v>1585</v>
      </c>
      <c r="K115" s="16" t="str">
        <f>IFERROR(__xludf.DUMMYFUNCTION("""COMPUTED_VALUE"""),"21/08/2023, 17:31:14")</f>
        <v>21/08/2023, 17:31:14</v>
      </c>
    </row>
    <row r="116">
      <c r="A116" s="18" t="str">
        <f>IFERROR(__xludf.DUMMYFUNCTION("""COMPUTED_VALUE"""),"63ba79a32426700446d4314b")</f>
        <v>63ba79a32426700446d4314b</v>
      </c>
      <c r="B116" s="15" t="str">
        <f>IFERROR(__xludf.DUMMYFUNCTION("""COMPUTED_VALUE"""),"official_crossing_ped_30m_with_vest_set_for_train_updated")</f>
        <v>official_crossing_ped_30m_with_vest_set_for_train_updated</v>
      </c>
      <c r="C116" s="15" t="str">
        <f>IFERROR(__xludf.DUMMYFUNCTION("""COMPUTED_VALUE"""),"train")</f>
        <v>train</v>
      </c>
      <c r="D116" s="15" t="str">
        <f>IFERROR(__xludf.DUMMYFUNCTION("""COMPUTED_VALUE"""),"train")</f>
        <v>train</v>
      </c>
      <c r="E116" s="15">
        <f>IFERROR(__xludf.DUMMYFUNCTION("""COMPUTED_VALUE"""),279.0)</f>
        <v>279</v>
      </c>
      <c r="F116" s="15" t="str">
        <f>IFERROR(__xludf.DUMMYFUNCTION("""COMPUTED_VALUE"""),"QUAD")</f>
        <v>QUAD</v>
      </c>
      <c r="G116" s="15" t="str">
        <f>IFERROR(__xludf.DUMMYFUNCTION("""COMPUTED_VALUE"""),"unknown, unknown, unknown, unknown")</f>
        <v>unknown, unknown, unknown, unknown</v>
      </c>
      <c r="H116" s="15">
        <f>IFERROR(__xludf.DUMMYFUNCTION("""COMPUTED_VALUE"""),950.0)</f>
        <v>950</v>
      </c>
      <c r="I116" s="15">
        <f>IFERROR(__xludf.DUMMYFUNCTION("""COMPUTED_VALUE"""),1675.0)</f>
        <v>1675</v>
      </c>
      <c r="J116" s="15">
        <f>IFERROR(__xludf.DUMMYFUNCTION("""COMPUTED_VALUE"""),1585.0)</f>
        <v>1585</v>
      </c>
      <c r="K116" s="16" t="str">
        <f>IFERROR(__xludf.DUMMYFUNCTION("""COMPUTED_VALUE"""),"21/08/2023, 17:31:17")</f>
        <v>21/08/2023, 17:31:17</v>
      </c>
    </row>
    <row r="117">
      <c r="A117" s="18" t="str">
        <f>IFERROR(__xludf.DUMMYFUNCTION("""COMPUTED_VALUE"""),"63ba79c92426700446d431d1")</f>
        <v>63ba79c92426700446d431d1</v>
      </c>
      <c r="B117" s="15" t="str">
        <f>IFERROR(__xludf.DUMMYFUNCTION("""COMPUTED_VALUE"""),"official_crossing_ped_15m_with_vest_images_for_train_updated")</f>
        <v>official_crossing_ped_15m_with_vest_images_for_train_updated</v>
      </c>
      <c r="C117" s="15" t="str">
        <f>IFERROR(__xludf.DUMMYFUNCTION("""COMPUTED_VALUE"""),"train")</f>
        <v>train</v>
      </c>
      <c r="D117" s="15" t="str">
        <f>IFERROR(__xludf.DUMMYFUNCTION("""COMPUTED_VALUE"""),"train")</f>
        <v>train</v>
      </c>
      <c r="E117" s="15">
        <f>IFERROR(__xludf.DUMMYFUNCTION("""COMPUTED_VALUE"""),340.0)</f>
        <v>340</v>
      </c>
      <c r="F117" s="15" t="str">
        <f>IFERROR(__xludf.DUMMYFUNCTION("""COMPUTED_VALUE"""),"QUAD")</f>
        <v>QUAD</v>
      </c>
      <c r="G117" s="15" t="str">
        <f>IFERROR(__xludf.DUMMYFUNCTION("""COMPUTED_VALUE"""),"unknown, unknown, unknown, unknown")</f>
        <v>unknown, unknown, unknown, unknown</v>
      </c>
      <c r="H117" s="15">
        <f>IFERROR(__xludf.DUMMYFUNCTION("""COMPUTED_VALUE"""),950.0)</f>
        <v>950</v>
      </c>
      <c r="I117" s="15">
        <f>IFERROR(__xludf.DUMMYFUNCTION("""COMPUTED_VALUE"""),1675.0)</f>
        <v>1675</v>
      </c>
      <c r="J117" s="15">
        <f>IFERROR(__xludf.DUMMYFUNCTION("""COMPUTED_VALUE"""),1585.0)</f>
        <v>1585</v>
      </c>
      <c r="K117" s="16" t="str">
        <f>IFERROR(__xludf.DUMMYFUNCTION("""COMPUTED_VALUE"""),"21/08/2023, 17:31:21")</f>
        <v>21/08/2023, 17:31:21</v>
      </c>
    </row>
    <row r="118">
      <c r="A118" s="18" t="str">
        <f>IFERROR(__xludf.DUMMYFUNCTION("""COMPUTED_VALUE"""),"63ba79d82426700446d43256")</f>
        <v>63ba79d82426700446d43256</v>
      </c>
      <c r="B118" s="15" t="str">
        <f>IFERROR(__xludf.DUMMYFUNCTION("""COMPUTED_VALUE"""),"official_ped_yellow_10m_50m_for_train_updated")</f>
        <v>official_ped_yellow_10m_50m_for_train_updated</v>
      </c>
      <c r="C118" s="15" t="str">
        <f>IFERROR(__xludf.DUMMYFUNCTION("""COMPUTED_VALUE"""),"train")</f>
        <v>train</v>
      </c>
      <c r="D118" s="15" t="str">
        <f>IFERROR(__xludf.DUMMYFUNCTION("""COMPUTED_VALUE"""),"train")</f>
        <v>train</v>
      </c>
      <c r="E118" s="15">
        <f>IFERROR(__xludf.DUMMYFUNCTION("""COMPUTED_VALUE"""),110.0)</f>
        <v>110</v>
      </c>
      <c r="F118" s="15" t="str">
        <f>IFERROR(__xludf.DUMMYFUNCTION("""COMPUTED_VALUE"""),"QUAD")</f>
        <v>QUAD</v>
      </c>
      <c r="G118" s="15" t="str">
        <f>IFERROR(__xludf.DUMMYFUNCTION("""COMPUTED_VALUE"""),"unknown, unknown, unknown, unknown")</f>
        <v>unknown, unknown, unknown, unknown</v>
      </c>
      <c r="H118" s="15">
        <f>IFERROR(__xludf.DUMMYFUNCTION("""COMPUTED_VALUE"""),950.0)</f>
        <v>950</v>
      </c>
      <c r="I118" s="15">
        <f>IFERROR(__xludf.DUMMYFUNCTION("""COMPUTED_VALUE"""),1675.0)</f>
        <v>1675</v>
      </c>
      <c r="J118" s="15">
        <f>IFERROR(__xludf.DUMMYFUNCTION("""COMPUTED_VALUE"""),1585.0)</f>
        <v>1585</v>
      </c>
      <c r="K118" s="16" t="str">
        <f>IFERROR(__xludf.DUMMYFUNCTION("""COMPUTED_VALUE"""),"21/08/2023, 17:31:24")</f>
        <v>21/08/2023, 17:31:24</v>
      </c>
    </row>
    <row r="119">
      <c r="A119" s="18" t="str">
        <f>IFERROR(__xludf.DUMMYFUNCTION("""COMPUTED_VALUE"""),"63ba79e72426700446d432dc")</f>
        <v>63ba79e72426700446d432dc</v>
      </c>
      <c r="B119" s="15" t="str">
        <f>IFERROR(__xludf.DUMMYFUNCTION("""COMPUTED_VALUE"""),"official_crossing_ped_with_vest_10_30m_for_train_updated")</f>
        <v>official_crossing_ped_with_vest_10_30m_for_train_updated</v>
      </c>
      <c r="C119" s="15" t="str">
        <f>IFERROR(__xludf.DUMMYFUNCTION("""COMPUTED_VALUE"""),"train")</f>
        <v>train</v>
      </c>
      <c r="D119" s="15" t="str">
        <f>IFERROR(__xludf.DUMMYFUNCTION("""COMPUTED_VALUE"""),"train")</f>
        <v>train</v>
      </c>
      <c r="E119" s="15">
        <f>IFERROR(__xludf.DUMMYFUNCTION("""COMPUTED_VALUE"""),119.0)</f>
        <v>119</v>
      </c>
      <c r="F119" s="15" t="str">
        <f>IFERROR(__xludf.DUMMYFUNCTION("""COMPUTED_VALUE"""),"QUAD")</f>
        <v>QUAD</v>
      </c>
      <c r="G119" s="15" t="str">
        <f>IFERROR(__xludf.DUMMYFUNCTION("""COMPUTED_VALUE"""),"unknown, unknown, unknown, unknown")</f>
        <v>unknown, unknown, unknown, unknown</v>
      </c>
      <c r="H119" s="15">
        <f>IFERROR(__xludf.DUMMYFUNCTION("""COMPUTED_VALUE"""),950.0)</f>
        <v>950</v>
      </c>
      <c r="I119" s="15">
        <f>IFERROR(__xludf.DUMMYFUNCTION("""COMPUTED_VALUE"""),1675.0)</f>
        <v>1675</v>
      </c>
      <c r="J119" s="15">
        <f>IFERROR(__xludf.DUMMYFUNCTION("""COMPUTED_VALUE"""),1585.0)</f>
        <v>1585</v>
      </c>
      <c r="K119" s="16" t="str">
        <f>IFERROR(__xludf.DUMMYFUNCTION("""COMPUTED_VALUE"""),"21/08/2023, 17:31:27")</f>
        <v>21/08/2023, 17:31:27</v>
      </c>
    </row>
    <row r="120">
      <c r="A120" s="18" t="str">
        <f>IFERROR(__xludf.DUMMYFUNCTION("""COMPUTED_VALUE"""),"63ba7afa2426700446d4337b")</f>
        <v>63ba7afa2426700446d4337b</v>
      </c>
      <c r="B120" s="15" t="str">
        <f>IFERROR(__xludf.DUMMYFUNCTION("""COMPUTED_VALUE"""),"official_ped_90_degree_15m_35m_withoutvest_for_train_updated")</f>
        <v>official_ped_90_degree_15m_35m_withoutvest_for_train_updated</v>
      </c>
      <c r="C120" s="15" t="str">
        <f>IFERROR(__xludf.DUMMYFUNCTION("""COMPUTED_VALUE"""),"train")</f>
        <v>train</v>
      </c>
      <c r="D120" s="15" t="str">
        <f>IFERROR(__xludf.DUMMYFUNCTION("""COMPUTED_VALUE"""),"train")</f>
        <v>train</v>
      </c>
      <c r="E120" s="15">
        <f>IFERROR(__xludf.DUMMYFUNCTION("""COMPUTED_VALUE"""),2573.0)</f>
        <v>2573</v>
      </c>
      <c r="F120" s="15" t="str">
        <f>IFERROR(__xludf.DUMMYFUNCTION("""COMPUTED_VALUE"""),"QUAD")</f>
        <v>QUAD</v>
      </c>
      <c r="G120" s="15" t="str">
        <f>IFERROR(__xludf.DUMMYFUNCTION("""COMPUTED_VALUE"""),"unknown, unknown, unknown, unknown")</f>
        <v>unknown, unknown, unknown, unknown</v>
      </c>
      <c r="H120" s="15">
        <f>IFERROR(__xludf.DUMMYFUNCTION("""COMPUTED_VALUE"""),950.0)</f>
        <v>950</v>
      </c>
      <c r="I120" s="15">
        <f>IFERROR(__xludf.DUMMYFUNCTION("""COMPUTED_VALUE"""),1675.0)</f>
        <v>1675</v>
      </c>
      <c r="J120" s="15">
        <f>IFERROR(__xludf.DUMMYFUNCTION("""COMPUTED_VALUE"""),1585.0)</f>
        <v>1585</v>
      </c>
      <c r="K120" s="16" t="str">
        <f>IFERROR(__xludf.DUMMYFUNCTION("""COMPUTED_VALUE"""),"21/08/2023, 17:31:33")</f>
        <v>21/08/2023, 17:31:33</v>
      </c>
    </row>
    <row r="121">
      <c r="A121" s="18" t="str">
        <f>IFERROR(__xludf.DUMMYFUNCTION("""COMPUTED_VALUE"""),"63ba7bbe2426700446d43410")</f>
        <v>63ba7bbe2426700446d43410</v>
      </c>
      <c r="B121" s="15" t="str">
        <f>IFERROR(__xludf.DUMMYFUNCTION("""COMPUTED_VALUE"""),"official_ped_longi_yellow_range50m_for_train_updated")</f>
        <v>official_ped_longi_yellow_range50m_for_train_updated</v>
      </c>
      <c r="C121" s="15" t="str">
        <f>IFERROR(__xludf.DUMMYFUNCTION("""COMPUTED_VALUE"""),"train")</f>
        <v>train</v>
      </c>
      <c r="D121" s="15" t="str">
        <f>IFERROR(__xludf.DUMMYFUNCTION("""COMPUTED_VALUE"""),"train")</f>
        <v>train</v>
      </c>
      <c r="E121" s="15">
        <f>IFERROR(__xludf.DUMMYFUNCTION("""COMPUTED_VALUE"""),2213.0)</f>
        <v>2213</v>
      </c>
      <c r="F121" s="15" t="str">
        <f>IFERROR(__xludf.DUMMYFUNCTION("""COMPUTED_VALUE"""),"QUAD")</f>
        <v>QUAD</v>
      </c>
      <c r="G121" s="15" t="str">
        <f>IFERROR(__xludf.DUMMYFUNCTION("""COMPUTED_VALUE"""),"unknown, unknown, unknown, unknown")</f>
        <v>unknown, unknown, unknown, unknown</v>
      </c>
      <c r="H121" s="15">
        <f>IFERROR(__xludf.DUMMYFUNCTION("""COMPUTED_VALUE"""),950.0)</f>
        <v>950</v>
      </c>
      <c r="I121" s="15">
        <f>IFERROR(__xludf.DUMMYFUNCTION("""COMPUTED_VALUE"""),1675.0)</f>
        <v>1675</v>
      </c>
      <c r="J121" s="15">
        <f>IFERROR(__xludf.DUMMYFUNCTION("""COMPUTED_VALUE"""),1585.0)</f>
        <v>1585</v>
      </c>
      <c r="K121" s="16" t="str">
        <f>IFERROR(__xludf.DUMMYFUNCTION("""COMPUTED_VALUE"""),"21/08/2023, 17:31:38")</f>
        <v>21/08/2023, 17:31:38</v>
      </c>
    </row>
    <row r="122">
      <c r="A122" s="18" t="str">
        <f>IFERROR(__xludf.DUMMYFUNCTION("""COMPUTED_VALUE"""),"63ba7c262426700446d4349b")</f>
        <v>63ba7c262426700446d4349b</v>
      </c>
      <c r="B122" s="15" t="str">
        <f>IFERROR(__xludf.DUMMYFUNCTION("""COMPUTED_VALUE"""),"official_ped_longi_black_range50m_for_train_updated")</f>
        <v>official_ped_longi_black_range50m_for_train_updated</v>
      </c>
      <c r="C122" s="15" t="str">
        <f>IFERROR(__xludf.DUMMYFUNCTION("""COMPUTED_VALUE"""),"train")</f>
        <v>train</v>
      </c>
      <c r="D122" s="15" t="str">
        <f>IFERROR(__xludf.DUMMYFUNCTION("""COMPUTED_VALUE"""),"train")</f>
        <v>train</v>
      </c>
      <c r="E122" s="15">
        <f>IFERROR(__xludf.DUMMYFUNCTION("""COMPUTED_VALUE"""),1177.0)</f>
        <v>1177</v>
      </c>
      <c r="F122" s="15" t="str">
        <f>IFERROR(__xludf.DUMMYFUNCTION("""COMPUTED_VALUE"""),"QUAD")</f>
        <v>QUAD</v>
      </c>
      <c r="G122" s="15" t="str">
        <f>IFERROR(__xludf.DUMMYFUNCTION("""COMPUTED_VALUE"""),"unknown, unknown, unknown, unknown")</f>
        <v>unknown, unknown, unknown, unknown</v>
      </c>
      <c r="H122" s="15">
        <f>IFERROR(__xludf.DUMMYFUNCTION("""COMPUTED_VALUE"""),950.0)</f>
        <v>950</v>
      </c>
      <c r="I122" s="15">
        <f>IFERROR(__xludf.DUMMYFUNCTION("""COMPUTED_VALUE"""),1675.0)</f>
        <v>1675</v>
      </c>
      <c r="J122" s="15">
        <f>IFERROR(__xludf.DUMMYFUNCTION("""COMPUTED_VALUE"""),1585.0)</f>
        <v>1585</v>
      </c>
      <c r="K122" s="16" t="str">
        <f>IFERROR(__xludf.DUMMYFUNCTION("""COMPUTED_VALUE"""),"21/08/2023, 17:31:43")</f>
        <v>21/08/2023, 17:31:43</v>
      </c>
    </row>
    <row r="123">
      <c r="A123" s="18" t="str">
        <f>IFERROR(__xludf.DUMMYFUNCTION("""COMPUTED_VALUE"""),"63ba7c902426700446d43529")</f>
        <v>63ba7c902426700446d43529</v>
      </c>
      <c r="B123" s="15" t="str">
        <f>IFERROR(__xludf.DUMMYFUNCTION("""COMPUTED_VALUE"""),"official_walking_ped_90__degree_0_10m_for_train_updated")</f>
        <v>official_walking_ped_90__degree_0_10m_for_train_updated</v>
      </c>
      <c r="C123" s="15" t="str">
        <f>IFERROR(__xludf.DUMMYFUNCTION("""COMPUTED_VALUE"""),"train")</f>
        <v>train</v>
      </c>
      <c r="D123" s="15" t="str">
        <f>IFERROR(__xludf.DUMMYFUNCTION("""COMPUTED_VALUE"""),"train")</f>
        <v>train</v>
      </c>
      <c r="E123" s="15">
        <f>IFERROR(__xludf.DUMMYFUNCTION("""COMPUTED_VALUE"""),1117.0)</f>
        <v>1117</v>
      </c>
      <c r="F123" s="15" t="str">
        <f>IFERROR(__xludf.DUMMYFUNCTION("""COMPUTED_VALUE"""),"QUAD")</f>
        <v>QUAD</v>
      </c>
      <c r="G123" s="15" t="str">
        <f>IFERROR(__xludf.DUMMYFUNCTION("""COMPUTED_VALUE"""),"unknown, unknown, unknown, unknown")</f>
        <v>unknown, unknown, unknown, unknown</v>
      </c>
      <c r="H123" s="15">
        <f>IFERROR(__xludf.DUMMYFUNCTION("""COMPUTED_VALUE"""),950.0)</f>
        <v>950</v>
      </c>
      <c r="I123" s="15">
        <f>IFERROR(__xludf.DUMMYFUNCTION("""COMPUTED_VALUE"""),1675.0)</f>
        <v>1675</v>
      </c>
      <c r="J123" s="15">
        <f>IFERROR(__xludf.DUMMYFUNCTION("""COMPUTED_VALUE"""),1585.0)</f>
        <v>1585</v>
      </c>
      <c r="K123" s="16" t="str">
        <f>IFERROR(__xludf.DUMMYFUNCTION("""COMPUTED_VALUE"""),"21/08/2023, 17:31:47")</f>
        <v>21/08/2023, 17:31:47</v>
      </c>
    </row>
    <row r="124">
      <c r="A124" s="18" t="str">
        <f>IFERROR(__xludf.DUMMYFUNCTION("""COMPUTED_VALUE"""),"63ba7caa2426700446d435be")</f>
        <v>63ba7caa2426700446d435be</v>
      </c>
      <c r="B124" s="15" t="str">
        <f>IFERROR(__xludf.DUMMYFUNCTION("""COMPUTED_VALUE"""),"official_ped_crossing_0_10m_for_train_updated")</f>
        <v>official_ped_crossing_0_10m_for_train_updated</v>
      </c>
      <c r="C124" s="15" t="str">
        <f>IFERROR(__xludf.DUMMYFUNCTION("""COMPUTED_VALUE"""),"train")</f>
        <v>train</v>
      </c>
      <c r="D124" s="15" t="str">
        <f>IFERROR(__xludf.DUMMYFUNCTION("""COMPUTED_VALUE"""),"train")</f>
        <v>train</v>
      </c>
      <c r="E124" s="15">
        <f>IFERROR(__xludf.DUMMYFUNCTION("""COMPUTED_VALUE"""),52.0)</f>
        <v>52</v>
      </c>
      <c r="F124" s="15" t="str">
        <f>IFERROR(__xludf.DUMMYFUNCTION("""COMPUTED_VALUE"""),"QUAD")</f>
        <v>QUAD</v>
      </c>
      <c r="G124" s="15" t="str">
        <f>IFERROR(__xludf.DUMMYFUNCTION("""COMPUTED_VALUE"""),"unknown, unknown, unknown, unknown")</f>
        <v>unknown, unknown, unknown, unknown</v>
      </c>
      <c r="H124" s="15">
        <f>IFERROR(__xludf.DUMMYFUNCTION("""COMPUTED_VALUE"""),950.0)</f>
        <v>950</v>
      </c>
      <c r="I124" s="15">
        <f>IFERROR(__xludf.DUMMYFUNCTION("""COMPUTED_VALUE"""),1675.0)</f>
        <v>1675</v>
      </c>
      <c r="J124" s="15">
        <f>IFERROR(__xludf.DUMMYFUNCTION("""COMPUTED_VALUE"""),1585.0)</f>
        <v>1585</v>
      </c>
      <c r="K124" s="16" t="str">
        <f>IFERROR(__xludf.DUMMYFUNCTION("""COMPUTED_VALUE"""),"21/08/2023, 17:31:50")</f>
        <v>21/08/2023, 17:31:50</v>
      </c>
    </row>
    <row r="125">
      <c r="A125" s="18" t="str">
        <f>IFERROR(__xludf.DUMMYFUNCTION("""COMPUTED_VALUE"""),"63ba7cd82426700446d4364d")</f>
        <v>63ba7cd82426700446d4364d</v>
      </c>
      <c r="B125" s="15" t="str">
        <f>IFERROR(__xludf.DUMMYFUNCTION("""COMPUTED_VALUE"""),"official_peds_35_50m_without_vest_the_rest_for_train_updated")</f>
        <v>official_peds_35_50m_without_vest_the_rest_for_train_updated</v>
      </c>
      <c r="C125" s="15" t="str">
        <f>IFERROR(__xludf.DUMMYFUNCTION("""COMPUTED_VALUE"""),"train")</f>
        <v>train</v>
      </c>
      <c r="D125" s="15" t="str">
        <f>IFERROR(__xludf.DUMMYFUNCTION("""COMPUTED_VALUE"""),"train")</f>
        <v>train</v>
      </c>
      <c r="E125" s="15">
        <f>IFERROR(__xludf.DUMMYFUNCTION("""COMPUTED_VALUE"""),363.0)</f>
        <v>363</v>
      </c>
      <c r="F125" s="15" t="str">
        <f>IFERROR(__xludf.DUMMYFUNCTION("""COMPUTED_VALUE"""),"QUAD")</f>
        <v>QUAD</v>
      </c>
      <c r="G125" s="15" t="str">
        <f>IFERROR(__xludf.DUMMYFUNCTION("""COMPUTED_VALUE"""),"unknown, unknown, unknown, unknown")</f>
        <v>unknown, unknown, unknown, unknown</v>
      </c>
      <c r="H125" s="15">
        <f>IFERROR(__xludf.DUMMYFUNCTION("""COMPUTED_VALUE"""),950.0)</f>
        <v>950</v>
      </c>
      <c r="I125" s="15">
        <f>IFERROR(__xludf.DUMMYFUNCTION("""COMPUTED_VALUE"""),1675.0)</f>
        <v>1675</v>
      </c>
      <c r="J125" s="15">
        <f>IFERROR(__xludf.DUMMYFUNCTION("""COMPUTED_VALUE"""),1585.0)</f>
        <v>1585</v>
      </c>
      <c r="K125" s="16" t="str">
        <f>IFERROR(__xludf.DUMMYFUNCTION("""COMPUTED_VALUE"""),"21/08/2023, 17:31:54")</f>
        <v>21/08/2023, 17:31:54</v>
      </c>
    </row>
    <row r="126">
      <c r="A126" s="18" t="str">
        <f>IFERROR(__xludf.DUMMYFUNCTION("""COMPUTED_VALUE"""),"63ba7d032426700446d436dc")</f>
        <v>63ba7d032426700446d436dc</v>
      </c>
      <c r="B126" s="15" t="str">
        <f>IFERROR(__xludf.DUMMYFUNCTION("""COMPUTED_VALUE"""),"official_crossing_ped_35m_50m_yellow_vest_for_train_updated")</f>
        <v>official_crossing_ped_35m_50m_yellow_vest_for_train_updated</v>
      </c>
      <c r="C126" s="15" t="str">
        <f>IFERROR(__xludf.DUMMYFUNCTION("""COMPUTED_VALUE"""),"train")</f>
        <v>train</v>
      </c>
      <c r="D126" s="15" t="str">
        <f>IFERROR(__xludf.DUMMYFUNCTION("""COMPUTED_VALUE"""),"train")</f>
        <v>train</v>
      </c>
      <c r="E126" s="15">
        <f>IFERROR(__xludf.DUMMYFUNCTION("""COMPUTED_VALUE"""),454.0)</f>
        <v>454</v>
      </c>
      <c r="F126" s="15" t="str">
        <f>IFERROR(__xludf.DUMMYFUNCTION("""COMPUTED_VALUE"""),"QUAD")</f>
        <v>QUAD</v>
      </c>
      <c r="G126" s="15" t="str">
        <f>IFERROR(__xludf.DUMMYFUNCTION("""COMPUTED_VALUE"""),"unknown, unknown, unknown, unknown")</f>
        <v>unknown, unknown, unknown, unknown</v>
      </c>
      <c r="H126" s="15">
        <f>IFERROR(__xludf.DUMMYFUNCTION("""COMPUTED_VALUE"""),950.0)</f>
        <v>950</v>
      </c>
      <c r="I126" s="15">
        <f>IFERROR(__xludf.DUMMYFUNCTION("""COMPUTED_VALUE"""),1675.0)</f>
        <v>1675</v>
      </c>
      <c r="J126" s="15">
        <f>IFERROR(__xludf.DUMMYFUNCTION("""COMPUTED_VALUE"""),1585.0)</f>
        <v>1585</v>
      </c>
      <c r="K126" s="16" t="str">
        <f>IFERROR(__xludf.DUMMYFUNCTION("""COMPUTED_VALUE"""),"21/08/2023, 17:31:57")</f>
        <v>21/08/2023, 17:31:57</v>
      </c>
    </row>
    <row r="127">
      <c r="A127" s="18" t="str">
        <f>IFERROR(__xludf.DUMMYFUNCTION("""COMPUTED_VALUE"""),"63ba7d2f2426700446d4376b")</f>
        <v>63ba7d2f2426700446d4376b</v>
      </c>
      <c r="B127" s="15" t="str">
        <f>IFERROR(__xludf.DUMMYFUNCTION("""COMPUTED_VALUE"""),"official_peds_35_50m_without_vest_for_train_updated")</f>
        <v>official_peds_35_50m_without_vest_for_train_updated</v>
      </c>
      <c r="C127" s="15" t="str">
        <f>IFERROR(__xludf.DUMMYFUNCTION("""COMPUTED_VALUE"""),"train")</f>
        <v>train</v>
      </c>
      <c r="D127" s="15" t="str">
        <f>IFERROR(__xludf.DUMMYFUNCTION("""COMPUTED_VALUE"""),"train")</f>
        <v>train</v>
      </c>
      <c r="E127" s="15">
        <f>IFERROR(__xludf.DUMMYFUNCTION("""COMPUTED_VALUE"""),439.0)</f>
        <v>439</v>
      </c>
      <c r="F127" s="15" t="str">
        <f>IFERROR(__xludf.DUMMYFUNCTION("""COMPUTED_VALUE"""),"QUAD")</f>
        <v>QUAD</v>
      </c>
      <c r="G127" s="15" t="str">
        <f>IFERROR(__xludf.DUMMYFUNCTION("""COMPUTED_VALUE"""),"unknown, unknown, unknown, unknown")</f>
        <v>unknown, unknown, unknown, unknown</v>
      </c>
      <c r="H127" s="15">
        <f>IFERROR(__xludf.DUMMYFUNCTION("""COMPUTED_VALUE"""),950.0)</f>
        <v>950</v>
      </c>
      <c r="I127" s="15">
        <f>IFERROR(__xludf.DUMMYFUNCTION("""COMPUTED_VALUE"""),1675.0)</f>
        <v>1675</v>
      </c>
      <c r="J127" s="15">
        <f>IFERROR(__xludf.DUMMYFUNCTION("""COMPUTED_VALUE"""),1585.0)</f>
        <v>1585</v>
      </c>
      <c r="K127" s="16" t="str">
        <f>IFERROR(__xludf.DUMMYFUNCTION("""COMPUTED_VALUE"""),"21/08/2023, 17:32:01")</f>
        <v>21/08/2023, 17:32:01</v>
      </c>
    </row>
    <row r="128">
      <c r="A128" s="18" t="str">
        <f>IFERROR(__xludf.DUMMYFUNCTION("""COMPUTED_VALUE"""),"63ba7d3d2426700446d437fa")</f>
        <v>63ba7d3d2426700446d437fa</v>
      </c>
      <c r="B128" s="15" t="str">
        <f>IFERROR(__xludf.DUMMYFUNCTION("""COMPUTED_VALUE"""),"official_longitudinal_ped_0m_80m_for_train_updated")</f>
        <v>official_longitudinal_ped_0m_80m_for_train_updated</v>
      </c>
      <c r="C128" s="15" t="str">
        <f>IFERROR(__xludf.DUMMYFUNCTION("""COMPUTED_VALUE"""),"train")</f>
        <v>train</v>
      </c>
      <c r="D128" s="15" t="str">
        <f>IFERROR(__xludf.DUMMYFUNCTION("""COMPUTED_VALUE"""),"train")</f>
        <v>train</v>
      </c>
      <c r="E128" s="15">
        <f>IFERROR(__xludf.DUMMYFUNCTION("""COMPUTED_VALUE"""),105.0)</f>
        <v>105</v>
      </c>
      <c r="F128" s="15" t="str">
        <f>IFERROR(__xludf.DUMMYFUNCTION("""COMPUTED_VALUE"""),"QUAD")</f>
        <v>QUAD</v>
      </c>
      <c r="G128" s="15" t="str">
        <f>IFERROR(__xludf.DUMMYFUNCTION("""COMPUTED_VALUE"""),"unknown, unknown, unknown, unknown")</f>
        <v>unknown, unknown, unknown, unknown</v>
      </c>
      <c r="H128" s="15">
        <f>IFERROR(__xludf.DUMMYFUNCTION("""COMPUTED_VALUE"""),950.0)</f>
        <v>950</v>
      </c>
      <c r="I128" s="15">
        <f>IFERROR(__xludf.DUMMYFUNCTION("""COMPUTED_VALUE"""),1675.0)</f>
        <v>1675</v>
      </c>
      <c r="J128" s="15">
        <f>IFERROR(__xludf.DUMMYFUNCTION("""COMPUTED_VALUE"""),1585.0)</f>
        <v>1585</v>
      </c>
      <c r="K128" s="16" t="str">
        <f>IFERROR(__xludf.DUMMYFUNCTION("""COMPUTED_VALUE"""),"21/08/2023, 17:32:04")</f>
        <v>21/08/2023, 17:32:04</v>
      </c>
    </row>
    <row r="129">
      <c r="A129" s="18" t="str">
        <f>IFERROR(__xludf.DUMMYFUNCTION("""COMPUTED_VALUE"""),"63ba7d692426700446d4388a")</f>
        <v>63ba7d692426700446d4388a</v>
      </c>
      <c r="B129" s="15" t="str">
        <f>IFERROR(__xludf.DUMMYFUNCTION("""COMPUTED_VALUE"""),"official_ped_on_grass_02_for_train_updated")</f>
        <v>official_ped_on_grass_02_for_train_updated</v>
      </c>
      <c r="C129" s="15" t="str">
        <f>IFERROR(__xludf.DUMMYFUNCTION("""COMPUTED_VALUE"""),"train")</f>
        <v>train</v>
      </c>
      <c r="D129" s="15" t="str">
        <f>IFERROR(__xludf.DUMMYFUNCTION("""COMPUTED_VALUE"""),"train")</f>
        <v>train</v>
      </c>
      <c r="E129" s="15">
        <f>IFERROR(__xludf.DUMMYFUNCTION("""COMPUTED_VALUE"""),458.0)</f>
        <v>458</v>
      </c>
      <c r="F129" s="15" t="str">
        <f>IFERROR(__xludf.DUMMYFUNCTION("""COMPUTED_VALUE"""),"QUAD")</f>
        <v>QUAD</v>
      </c>
      <c r="G129" s="15" t="str">
        <f>IFERROR(__xludf.DUMMYFUNCTION("""COMPUTED_VALUE"""),"unknown, unknown, unknown, unknown")</f>
        <v>unknown, unknown, unknown, unknown</v>
      </c>
      <c r="H129" s="15">
        <f>IFERROR(__xludf.DUMMYFUNCTION("""COMPUTED_VALUE"""),950.0)</f>
        <v>950</v>
      </c>
      <c r="I129" s="15">
        <f>IFERROR(__xludf.DUMMYFUNCTION("""COMPUTED_VALUE"""),1675.0)</f>
        <v>1675</v>
      </c>
      <c r="J129" s="15">
        <f>IFERROR(__xludf.DUMMYFUNCTION("""COMPUTED_VALUE"""),1585.0)</f>
        <v>1585</v>
      </c>
      <c r="K129" s="16" t="str">
        <f>IFERROR(__xludf.DUMMYFUNCTION("""COMPUTED_VALUE"""),"21/08/2023, 17:32:07")</f>
        <v>21/08/2023, 17:32:07</v>
      </c>
    </row>
    <row r="130">
      <c r="A130" s="18" t="str">
        <f>IFERROR(__xludf.DUMMYFUNCTION("""COMPUTED_VALUE"""),"63ba7d832426700446d4391b")</f>
        <v>63ba7d832426700446d4391b</v>
      </c>
      <c r="B130" s="15" t="str">
        <f>IFERROR(__xludf.DUMMYFUNCTION("""COMPUTED_VALUE"""),"official_medium_prior_random_ped_trees_for_train_updated")</f>
        <v>official_medium_prior_random_ped_trees_for_train_updated</v>
      </c>
      <c r="C130" s="15" t="str">
        <f>IFERROR(__xludf.DUMMYFUNCTION("""COMPUTED_VALUE"""),"train")</f>
        <v>train</v>
      </c>
      <c r="D130" s="15" t="str">
        <f>IFERROR(__xludf.DUMMYFUNCTION("""COMPUTED_VALUE"""),"train")</f>
        <v>train</v>
      </c>
      <c r="E130" s="15">
        <f>IFERROR(__xludf.DUMMYFUNCTION("""COMPUTED_VALUE"""),223.0)</f>
        <v>223</v>
      </c>
      <c r="F130" s="15" t="str">
        <f>IFERROR(__xludf.DUMMYFUNCTION("""COMPUTED_VALUE"""),"QUAD")</f>
        <v>QUAD</v>
      </c>
      <c r="G130" s="15" t="str">
        <f>IFERROR(__xludf.DUMMYFUNCTION("""COMPUTED_VALUE"""),"unknown, unknown, unknown, unknown")</f>
        <v>unknown, unknown, unknown, unknown</v>
      </c>
      <c r="H130" s="15">
        <f>IFERROR(__xludf.DUMMYFUNCTION("""COMPUTED_VALUE"""),950.0)</f>
        <v>950</v>
      </c>
      <c r="I130" s="15">
        <f>IFERROR(__xludf.DUMMYFUNCTION("""COMPUTED_VALUE"""),1675.0)</f>
        <v>1675</v>
      </c>
      <c r="J130" s="15">
        <f>IFERROR(__xludf.DUMMYFUNCTION("""COMPUTED_VALUE"""),1585.0)</f>
        <v>1585</v>
      </c>
      <c r="K130" s="16" t="str">
        <f>IFERROR(__xludf.DUMMYFUNCTION("""COMPUTED_VALUE"""),"21/08/2023, 17:32:10")</f>
        <v>21/08/2023, 17:32:10</v>
      </c>
    </row>
    <row r="131">
      <c r="A131" s="18" t="str">
        <f>IFERROR(__xludf.DUMMYFUNCTION("""COMPUTED_VALUE"""),"63ba7dae2426700446d439ae")</f>
        <v>63ba7dae2426700446d439ae</v>
      </c>
      <c r="B131" s="15" t="str">
        <f>IFERROR(__xludf.DUMMYFUNCTION("""COMPUTED_VALUE"""),"official_ped_on_grass_for_train_updated")</f>
        <v>official_ped_on_grass_for_train_updated</v>
      </c>
      <c r="C131" s="15" t="str">
        <f>IFERROR(__xludf.DUMMYFUNCTION("""COMPUTED_VALUE"""),"train")</f>
        <v>train</v>
      </c>
      <c r="D131" s="15" t="str">
        <f>IFERROR(__xludf.DUMMYFUNCTION("""COMPUTED_VALUE"""),"train")</f>
        <v>train</v>
      </c>
      <c r="E131" s="15">
        <f>IFERROR(__xludf.DUMMYFUNCTION("""COMPUTED_VALUE"""),419.0)</f>
        <v>419</v>
      </c>
      <c r="F131" s="15" t="str">
        <f>IFERROR(__xludf.DUMMYFUNCTION("""COMPUTED_VALUE"""),"QUAD")</f>
        <v>QUAD</v>
      </c>
      <c r="G131" s="15" t="str">
        <f>IFERROR(__xludf.DUMMYFUNCTION("""COMPUTED_VALUE"""),"unknown, unknown, unknown, unknown")</f>
        <v>unknown, unknown, unknown, unknown</v>
      </c>
      <c r="H131" s="15">
        <f>IFERROR(__xludf.DUMMYFUNCTION("""COMPUTED_VALUE"""),950.0)</f>
        <v>950</v>
      </c>
      <c r="I131" s="15">
        <f>IFERROR(__xludf.DUMMYFUNCTION("""COMPUTED_VALUE"""),1675.0)</f>
        <v>1675</v>
      </c>
      <c r="J131" s="15">
        <f>IFERROR(__xludf.DUMMYFUNCTION("""COMPUTED_VALUE"""),1585.0)</f>
        <v>1585</v>
      </c>
      <c r="K131" s="16" t="str">
        <f>IFERROR(__xludf.DUMMYFUNCTION("""COMPUTED_VALUE"""),"21/08/2023, 17:32:14")</f>
        <v>21/08/2023, 17:32:14</v>
      </c>
    </row>
    <row r="132">
      <c r="A132" s="18" t="str">
        <f>IFERROR(__xludf.DUMMYFUNCTION("""COMPUTED_VALUE"""),"63ba7deb2426700446d43a41")</f>
        <v>63ba7deb2426700446d43a41</v>
      </c>
      <c r="B132" s="15" t="str">
        <f>IFERROR(__xludf.DUMMYFUNCTION("""COMPUTED_VALUE"""),"official_gravel_ped_data_for_train_updated")</f>
        <v>official_gravel_ped_data_for_train_updated</v>
      </c>
      <c r="C132" s="15" t="str">
        <f>IFERROR(__xludf.DUMMYFUNCTION("""COMPUTED_VALUE"""),"train")</f>
        <v>train</v>
      </c>
      <c r="D132" s="15" t="str">
        <f>IFERROR(__xludf.DUMMYFUNCTION("""COMPUTED_VALUE"""),"train")</f>
        <v>train</v>
      </c>
      <c r="E132" s="15">
        <f>IFERROR(__xludf.DUMMYFUNCTION("""COMPUTED_VALUE"""),612.0)</f>
        <v>612</v>
      </c>
      <c r="F132" s="15" t="str">
        <f>IFERROR(__xludf.DUMMYFUNCTION("""COMPUTED_VALUE"""),"QUAD")</f>
        <v>QUAD</v>
      </c>
      <c r="G132" s="15" t="str">
        <f>IFERROR(__xludf.DUMMYFUNCTION("""COMPUTED_VALUE"""),"unknown, unknown, unknown, unknown")</f>
        <v>unknown, unknown, unknown, unknown</v>
      </c>
      <c r="H132" s="15">
        <f>IFERROR(__xludf.DUMMYFUNCTION("""COMPUTED_VALUE"""),950.0)</f>
        <v>950</v>
      </c>
      <c r="I132" s="15">
        <f>IFERROR(__xludf.DUMMYFUNCTION("""COMPUTED_VALUE"""),1675.0)</f>
        <v>1675</v>
      </c>
      <c r="J132" s="15">
        <f>IFERROR(__xludf.DUMMYFUNCTION("""COMPUTED_VALUE"""),1585.0)</f>
        <v>1585</v>
      </c>
      <c r="K132" s="16" t="str">
        <f>IFERROR(__xludf.DUMMYFUNCTION("""COMPUTED_VALUE"""),"21/08/2023, 17:32:18")</f>
        <v>21/08/2023, 17:32:18</v>
      </c>
    </row>
    <row r="133">
      <c r="A133" s="18" t="str">
        <f>IFERROR(__xludf.DUMMYFUNCTION("""COMPUTED_VALUE"""),"63ba7e2a2426700446d43ad7")</f>
        <v>63ba7e2a2426700446d43ad7</v>
      </c>
      <c r="B133" s="15" t="str">
        <f>IFERROR(__xludf.DUMMYFUNCTION("""COMPUTED_VALUE"""),"official_medium_prior_random_ped_snow_1_for_train_updated")</f>
        <v>official_medium_prior_random_ped_snow_1_for_train_updated</v>
      </c>
      <c r="C133" s="15" t="str">
        <f>IFERROR(__xludf.DUMMYFUNCTION("""COMPUTED_VALUE"""),"train")</f>
        <v>train</v>
      </c>
      <c r="D133" s="15" t="str">
        <f>IFERROR(__xludf.DUMMYFUNCTION("""COMPUTED_VALUE"""),"train")</f>
        <v>train</v>
      </c>
      <c r="E133" s="15">
        <f>IFERROR(__xludf.DUMMYFUNCTION("""COMPUTED_VALUE"""),627.0)</f>
        <v>627</v>
      </c>
      <c r="F133" s="15" t="str">
        <f>IFERROR(__xludf.DUMMYFUNCTION("""COMPUTED_VALUE"""),"QUAD")</f>
        <v>QUAD</v>
      </c>
      <c r="G133" s="15" t="str">
        <f>IFERROR(__xludf.DUMMYFUNCTION("""COMPUTED_VALUE"""),"unknown, unknown, unknown, unknown")</f>
        <v>unknown, unknown, unknown, unknown</v>
      </c>
      <c r="H133" s="15">
        <f>IFERROR(__xludf.DUMMYFUNCTION("""COMPUTED_VALUE"""),950.0)</f>
        <v>950</v>
      </c>
      <c r="I133" s="15">
        <f>IFERROR(__xludf.DUMMYFUNCTION("""COMPUTED_VALUE"""),1675.0)</f>
        <v>1675</v>
      </c>
      <c r="J133" s="15">
        <f>IFERROR(__xludf.DUMMYFUNCTION("""COMPUTED_VALUE"""),1585.0)</f>
        <v>1585</v>
      </c>
      <c r="K133" s="16" t="str">
        <f>IFERROR(__xludf.DUMMYFUNCTION("""COMPUTED_VALUE"""),"21/08/2023, 17:32:21")</f>
        <v>21/08/2023, 17:32:21</v>
      </c>
    </row>
    <row r="134">
      <c r="A134" s="18" t="str">
        <f>IFERROR(__xludf.DUMMYFUNCTION("""COMPUTED_VALUE"""),"63ba81a92426700446d472ee")</f>
        <v>63ba81a92426700446d472ee</v>
      </c>
      <c r="B134" s="15" t="str">
        <f>IFERROR(__xludf.DUMMYFUNCTION("""COMPUTED_VALUE"""),"official_sanity_night_random_peds_dataset_02_06_for_train_updated")</f>
        <v>official_sanity_night_random_peds_dataset_02_06_for_train_updated</v>
      </c>
      <c r="C134" s="15" t="str">
        <f>IFERROR(__xludf.DUMMYFUNCTION("""COMPUTED_VALUE"""),"train")</f>
        <v>train</v>
      </c>
      <c r="D134" s="15" t="str">
        <f>IFERROR(__xludf.DUMMYFUNCTION("""COMPUTED_VALUE"""),"train")</f>
        <v>train</v>
      </c>
      <c r="E134" s="15">
        <f>IFERROR(__xludf.DUMMYFUNCTION("""COMPUTED_VALUE"""),81.0)</f>
        <v>81</v>
      </c>
      <c r="F134" s="15" t="str">
        <f>IFERROR(__xludf.DUMMYFUNCTION("""COMPUTED_VALUE"""),"QUAD")</f>
        <v>QUAD</v>
      </c>
      <c r="G134" s="15" t="str">
        <f>IFERROR(__xludf.DUMMYFUNCTION("""COMPUTED_VALUE"""),"unknown, unknown, unknown, unknown")</f>
        <v>unknown, unknown, unknown, unknown</v>
      </c>
      <c r="H134" s="15">
        <f>IFERROR(__xludf.DUMMYFUNCTION("""COMPUTED_VALUE"""),950.0)</f>
        <v>950</v>
      </c>
      <c r="I134" s="15">
        <f>IFERROR(__xludf.DUMMYFUNCTION("""COMPUTED_VALUE"""),1675.0)</f>
        <v>1675</v>
      </c>
      <c r="J134" s="15">
        <f>IFERROR(__xludf.DUMMYFUNCTION("""COMPUTED_VALUE"""),1585.0)</f>
        <v>1585</v>
      </c>
      <c r="K134" s="16" t="str">
        <f>IFERROR(__xludf.DUMMYFUNCTION("""COMPUTED_VALUE"""),"21/08/2023, 17:32:24")</f>
        <v>21/08/2023, 17:32:24</v>
      </c>
    </row>
    <row r="135">
      <c r="A135" s="18" t="str">
        <f>IFERROR(__xludf.DUMMYFUNCTION("""COMPUTED_VALUE"""),"63ba81d32426700446d47c52")</f>
        <v>63ba81d32426700446d47c52</v>
      </c>
      <c r="B135" s="15" t="str">
        <f>IFERROR(__xludf.DUMMYFUNCTION("""COMPUTED_VALUE"""),"official_sanity_night_2w_dataset_02_06_for_train_updated")</f>
        <v>official_sanity_night_2w_dataset_02_06_for_train_updated</v>
      </c>
      <c r="C135" s="15" t="str">
        <f>IFERROR(__xludf.DUMMYFUNCTION("""COMPUTED_VALUE"""),"train")</f>
        <v>train</v>
      </c>
      <c r="D135" s="15" t="str">
        <f>IFERROR(__xludf.DUMMYFUNCTION("""COMPUTED_VALUE"""),"train")</f>
        <v>train</v>
      </c>
      <c r="E135" s="15">
        <f>IFERROR(__xludf.DUMMYFUNCTION("""COMPUTED_VALUE"""),55.0)</f>
        <v>55</v>
      </c>
      <c r="F135" s="15" t="str">
        <f>IFERROR(__xludf.DUMMYFUNCTION("""COMPUTED_VALUE"""),"QUAD")</f>
        <v>QUAD</v>
      </c>
      <c r="G135" s="15" t="str">
        <f>IFERROR(__xludf.DUMMYFUNCTION("""COMPUTED_VALUE"""),"unknown, unknown, unknown, unknown")</f>
        <v>unknown, unknown, unknown, unknown</v>
      </c>
      <c r="H135" s="15">
        <f>IFERROR(__xludf.DUMMYFUNCTION("""COMPUTED_VALUE"""),950.0)</f>
        <v>950</v>
      </c>
      <c r="I135" s="15">
        <f>IFERROR(__xludf.DUMMYFUNCTION("""COMPUTED_VALUE"""),1675.0)</f>
        <v>1675</v>
      </c>
      <c r="J135" s="15">
        <f>IFERROR(__xludf.DUMMYFUNCTION("""COMPUTED_VALUE"""),1585.0)</f>
        <v>1585</v>
      </c>
      <c r="K135" s="16" t="str">
        <f>IFERROR(__xludf.DUMMYFUNCTION("""COMPUTED_VALUE"""),"21/08/2023, 17:32:27")</f>
        <v>21/08/2023, 17:32:27</v>
      </c>
    </row>
    <row r="136">
      <c r="A136" s="18" t="str">
        <f>IFERROR(__xludf.DUMMYFUNCTION("""COMPUTED_VALUE"""),"63ba82ca2426700446d48e59")</f>
        <v>63ba82ca2426700446d48e59</v>
      </c>
      <c r="B136" s="15" t="str">
        <f>IFERROR(__xludf.DUMMYFUNCTION("""COMPUTED_VALUE"""),"official_sanity_night_peds_longi_with_vest__for_train_updated")</f>
        <v>official_sanity_night_peds_longi_with_vest__for_train_updated</v>
      </c>
      <c r="C136" s="15" t="str">
        <f>IFERROR(__xludf.DUMMYFUNCTION("""COMPUTED_VALUE"""),"train")</f>
        <v>train</v>
      </c>
      <c r="D136" s="15" t="str">
        <f>IFERROR(__xludf.DUMMYFUNCTION("""COMPUTED_VALUE"""),"train")</f>
        <v>train</v>
      </c>
      <c r="E136" s="15">
        <f>IFERROR(__xludf.DUMMYFUNCTION("""COMPUTED_VALUE"""),153.0)</f>
        <v>153</v>
      </c>
      <c r="F136" s="15" t="str">
        <f>IFERROR(__xludf.DUMMYFUNCTION("""COMPUTED_VALUE"""),"QUAD")</f>
        <v>QUAD</v>
      </c>
      <c r="G136" s="15" t="str">
        <f>IFERROR(__xludf.DUMMYFUNCTION("""COMPUTED_VALUE"""),"unknown, unknown, unknown, unknown")</f>
        <v>unknown, unknown, unknown, unknown</v>
      </c>
      <c r="H136" s="15">
        <f>IFERROR(__xludf.DUMMYFUNCTION("""COMPUTED_VALUE"""),950.0)</f>
        <v>950</v>
      </c>
      <c r="I136" s="15">
        <f>IFERROR(__xludf.DUMMYFUNCTION("""COMPUTED_VALUE"""),1675.0)</f>
        <v>1675</v>
      </c>
      <c r="J136" s="15">
        <f>IFERROR(__xludf.DUMMYFUNCTION("""COMPUTED_VALUE"""),1585.0)</f>
        <v>1585</v>
      </c>
      <c r="K136" s="16" t="str">
        <f>IFERROR(__xludf.DUMMYFUNCTION("""COMPUTED_VALUE"""),"21/08/2023, 17:32:30")</f>
        <v>21/08/2023, 17:32:30</v>
      </c>
    </row>
    <row r="137">
      <c r="A137" s="18" t="str">
        <f>IFERROR(__xludf.DUMMYFUNCTION("""COMPUTED_VALUE"""),"63ba82ff2426700446d48ef3")</f>
        <v>63ba82ff2426700446d48ef3</v>
      </c>
      <c r="B137" s="15" t="str">
        <f>IFERROR(__xludf.DUMMYFUNCTION("""COMPUTED_VALUE"""),"official_night_sanity_peds_data_randomly_moving_for_train_updated")</f>
        <v>official_night_sanity_peds_data_randomly_moving_for_train_updated</v>
      </c>
      <c r="C137" s="15" t="str">
        <f>IFERROR(__xludf.DUMMYFUNCTION("""COMPUTED_VALUE"""),"train")</f>
        <v>train</v>
      </c>
      <c r="D137" s="15" t="str">
        <f>IFERROR(__xludf.DUMMYFUNCTION("""COMPUTED_VALUE"""),"train")</f>
        <v>train</v>
      </c>
      <c r="E137" s="15">
        <f>IFERROR(__xludf.DUMMYFUNCTION("""COMPUTED_VALUE"""),416.0)</f>
        <v>416</v>
      </c>
      <c r="F137" s="15" t="str">
        <f>IFERROR(__xludf.DUMMYFUNCTION("""COMPUTED_VALUE"""),"QUAD")</f>
        <v>QUAD</v>
      </c>
      <c r="G137" s="15" t="str">
        <f>IFERROR(__xludf.DUMMYFUNCTION("""COMPUTED_VALUE"""),"unknown, unknown, unknown, unknown")</f>
        <v>unknown, unknown, unknown, unknown</v>
      </c>
      <c r="H137" s="15">
        <f>IFERROR(__xludf.DUMMYFUNCTION("""COMPUTED_VALUE"""),950.0)</f>
        <v>950</v>
      </c>
      <c r="I137" s="15">
        <f>IFERROR(__xludf.DUMMYFUNCTION("""COMPUTED_VALUE"""),1675.0)</f>
        <v>1675</v>
      </c>
      <c r="J137" s="15">
        <f>IFERROR(__xludf.DUMMYFUNCTION("""COMPUTED_VALUE"""),1585.0)</f>
        <v>1585</v>
      </c>
      <c r="K137" s="16" t="str">
        <f>IFERROR(__xludf.DUMMYFUNCTION("""COMPUTED_VALUE"""),"21/08/2023, 17:32:34")</f>
        <v>21/08/2023, 17:32:34</v>
      </c>
    </row>
    <row r="138">
      <c r="A138" s="18" t="str">
        <f>IFERROR(__xludf.DUMMYFUNCTION("""COMPUTED_VALUE"""),"63ba832f2426700446d494e4")</f>
        <v>63ba832f2426700446d494e4</v>
      </c>
      <c r="B138" s="15" t="str">
        <f>IFERROR(__xludf.DUMMYFUNCTION("""COMPUTED_VALUE"""),"official_sanity_2w_mostly_crossing_and_random_cycling_data_for_train_updated")</f>
        <v>official_sanity_2w_mostly_crossing_and_random_cycling_data_for_train_updated</v>
      </c>
      <c r="C138" s="15" t="str">
        <f>IFERROR(__xludf.DUMMYFUNCTION("""COMPUTED_VALUE"""),"train")</f>
        <v>train</v>
      </c>
      <c r="D138" s="15" t="str">
        <f>IFERROR(__xludf.DUMMYFUNCTION("""COMPUTED_VALUE"""),"train")</f>
        <v>train</v>
      </c>
      <c r="E138" s="15">
        <f>IFERROR(__xludf.DUMMYFUNCTION("""COMPUTED_VALUE"""),478.0)</f>
        <v>478</v>
      </c>
      <c r="F138" s="15" t="str">
        <f>IFERROR(__xludf.DUMMYFUNCTION("""COMPUTED_VALUE"""),"QUAD")</f>
        <v>QUAD</v>
      </c>
      <c r="G138" s="15" t="str">
        <f>IFERROR(__xludf.DUMMYFUNCTION("""COMPUTED_VALUE"""),"unknown, unknown, unknown, unknown")</f>
        <v>unknown, unknown, unknown, unknown</v>
      </c>
      <c r="H138" s="15">
        <f>IFERROR(__xludf.DUMMYFUNCTION("""COMPUTED_VALUE"""),950.0)</f>
        <v>950</v>
      </c>
      <c r="I138" s="15">
        <f>IFERROR(__xludf.DUMMYFUNCTION("""COMPUTED_VALUE"""),1675.0)</f>
        <v>1675</v>
      </c>
      <c r="J138" s="15">
        <f>IFERROR(__xludf.DUMMYFUNCTION("""COMPUTED_VALUE"""),1585.0)</f>
        <v>1585</v>
      </c>
      <c r="K138" s="16" t="str">
        <f>IFERROR(__xludf.DUMMYFUNCTION("""COMPUTED_VALUE"""),"21/08/2023, 17:32:37")</f>
        <v>21/08/2023, 17:32:37</v>
      </c>
    </row>
    <row r="139">
      <c r="A139" s="18" t="str">
        <f>IFERROR(__xludf.DUMMYFUNCTION("""COMPUTED_VALUE"""),"63ba834f2426700446d49c21")</f>
        <v>63ba834f2426700446d49c21</v>
      </c>
      <c r="B139" s="15" t="str">
        <f>IFERROR(__xludf.DUMMYFUNCTION("""COMPUTED_VALUE"""),"official_night_longitudinal_ped_no_vest_train_for_train_updated")</f>
        <v>official_night_longitudinal_ped_no_vest_train_for_train_updated</v>
      </c>
      <c r="C139" s="15" t="str">
        <f>IFERROR(__xludf.DUMMYFUNCTION("""COMPUTED_VALUE"""),"train")</f>
        <v>train</v>
      </c>
      <c r="D139" s="15" t="str">
        <f>IFERROR(__xludf.DUMMYFUNCTION("""COMPUTED_VALUE"""),"train")</f>
        <v>train</v>
      </c>
      <c r="E139" s="15">
        <f>IFERROR(__xludf.DUMMYFUNCTION("""COMPUTED_VALUE"""),337.0)</f>
        <v>337</v>
      </c>
      <c r="F139" s="15" t="str">
        <f>IFERROR(__xludf.DUMMYFUNCTION("""COMPUTED_VALUE"""),"QUAD")</f>
        <v>QUAD</v>
      </c>
      <c r="G139" s="15" t="str">
        <f>IFERROR(__xludf.DUMMYFUNCTION("""COMPUTED_VALUE"""),"unknown, unknown, unknown, unknown")</f>
        <v>unknown, unknown, unknown, unknown</v>
      </c>
      <c r="H139" s="15">
        <f>IFERROR(__xludf.DUMMYFUNCTION("""COMPUTED_VALUE"""),950.0)</f>
        <v>950</v>
      </c>
      <c r="I139" s="15">
        <f>IFERROR(__xludf.DUMMYFUNCTION("""COMPUTED_VALUE"""),1675.0)</f>
        <v>1675</v>
      </c>
      <c r="J139" s="15">
        <f>IFERROR(__xludf.DUMMYFUNCTION("""COMPUTED_VALUE"""),1585.0)</f>
        <v>1585</v>
      </c>
      <c r="K139" s="16" t="str">
        <f>IFERROR(__xludf.DUMMYFUNCTION("""COMPUTED_VALUE"""),"21/08/2023, 17:32:40")</f>
        <v>21/08/2023, 17:32:40</v>
      </c>
    </row>
    <row r="140">
      <c r="A140" s="18" t="str">
        <f>IFERROR(__xludf.DUMMYFUNCTION("""COMPUTED_VALUE"""),"63ba84382426700446d4a3a9")</f>
        <v>63ba84382426700446d4a3a9</v>
      </c>
      <c r="B140" s="15" t="str">
        <f>IFERROR(__xludf.DUMMYFUNCTION("""COMPUTED_VALUE"""),"official_night_static_ped_longitudinal_car_for_train_updated")</f>
        <v>official_night_static_ped_longitudinal_car_for_train_updated</v>
      </c>
      <c r="C140" s="15" t="str">
        <f>IFERROR(__xludf.DUMMYFUNCTION("""COMPUTED_VALUE"""),"train")</f>
        <v>train</v>
      </c>
      <c r="D140" s="15" t="str">
        <f>IFERROR(__xludf.DUMMYFUNCTION("""COMPUTED_VALUE"""),"train")</f>
        <v>train</v>
      </c>
      <c r="E140" s="15">
        <f>IFERROR(__xludf.DUMMYFUNCTION("""COMPUTED_VALUE"""),3977.0)</f>
        <v>3977</v>
      </c>
      <c r="F140" s="15" t="str">
        <f>IFERROR(__xludf.DUMMYFUNCTION("""COMPUTED_VALUE"""),"QUAD")</f>
        <v>QUAD</v>
      </c>
      <c r="G140" s="15" t="str">
        <f>IFERROR(__xludf.DUMMYFUNCTION("""COMPUTED_VALUE"""),"unknown, unknown, unknown, unknown")</f>
        <v>unknown, unknown, unknown, unknown</v>
      </c>
      <c r="H140" s="15">
        <f>IFERROR(__xludf.DUMMYFUNCTION("""COMPUTED_VALUE"""),950.0)</f>
        <v>950</v>
      </c>
      <c r="I140" s="15">
        <f>IFERROR(__xludf.DUMMYFUNCTION("""COMPUTED_VALUE"""),1675.0)</f>
        <v>1675</v>
      </c>
      <c r="J140" s="15">
        <f>IFERROR(__xludf.DUMMYFUNCTION("""COMPUTED_VALUE"""),1585.0)</f>
        <v>1585</v>
      </c>
      <c r="K140" s="16" t="str">
        <f>IFERROR(__xludf.DUMMYFUNCTION("""COMPUTED_VALUE"""),"21/08/2023, 17:32:48")</f>
        <v>21/08/2023, 17:32:48</v>
      </c>
    </row>
    <row r="141">
      <c r="A141" s="18" t="str">
        <f>IFERROR(__xludf.DUMMYFUNCTION("""COMPUTED_VALUE"""),"63ba85172426700446d4a44c")</f>
        <v>63ba85172426700446d4a44c</v>
      </c>
      <c r="B141" s="15" t="str">
        <f>IFERROR(__xludf.DUMMYFUNCTION("""COMPUTED_VALUE"""),"official_night_car_crossing_black_passat_for_train_updated")</f>
        <v>official_night_car_crossing_black_passat_for_train_updated</v>
      </c>
      <c r="C141" s="15" t="str">
        <f>IFERROR(__xludf.DUMMYFUNCTION("""COMPUTED_VALUE"""),"train")</f>
        <v>train</v>
      </c>
      <c r="D141" s="15" t="str">
        <f>IFERROR(__xludf.DUMMYFUNCTION("""COMPUTED_VALUE"""),"train")</f>
        <v>train</v>
      </c>
      <c r="E141" s="15">
        <f>IFERROR(__xludf.DUMMYFUNCTION("""COMPUTED_VALUE"""),162.0)</f>
        <v>162</v>
      </c>
      <c r="F141" s="15" t="str">
        <f>IFERROR(__xludf.DUMMYFUNCTION("""COMPUTED_VALUE"""),"QUAD")</f>
        <v>QUAD</v>
      </c>
      <c r="G141" s="15" t="str">
        <f>IFERROR(__xludf.DUMMYFUNCTION("""COMPUTED_VALUE"""),"unknown, unknown, unknown, unknown")</f>
        <v>unknown, unknown, unknown, unknown</v>
      </c>
      <c r="H141" s="15">
        <f>IFERROR(__xludf.DUMMYFUNCTION("""COMPUTED_VALUE"""),950.0)</f>
        <v>950</v>
      </c>
      <c r="I141" s="15">
        <f>IFERROR(__xludf.DUMMYFUNCTION("""COMPUTED_VALUE"""),1675.0)</f>
        <v>1675</v>
      </c>
      <c r="J141" s="15">
        <f>IFERROR(__xludf.DUMMYFUNCTION("""COMPUTED_VALUE"""),1585.0)</f>
        <v>1585</v>
      </c>
      <c r="K141" s="16" t="str">
        <f>IFERROR(__xludf.DUMMYFUNCTION("""COMPUTED_VALUE"""),"21/08/2023, 17:32:51")</f>
        <v>21/08/2023, 17:32:51</v>
      </c>
    </row>
    <row r="142">
      <c r="A142" s="18" t="str">
        <f>IFERROR(__xludf.DUMMYFUNCTION("""COMPUTED_VALUE"""),"63ba855e2426700446d4a4ec")</f>
        <v>63ba855e2426700446d4a4ec</v>
      </c>
      <c r="B142" s="15" t="str">
        <f>IFERROR(__xludf.DUMMYFUNCTION("""COMPUTED_VALUE"""),"official_ncap_cpla_night_08_11_22_filtered_for_train_updated")</f>
        <v>official_ncap_cpla_night_08_11_22_filtered_for_train_updated</v>
      </c>
      <c r="C142" s="15" t="str">
        <f>IFERROR(__xludf.DUMMYFUNCTION("""COMPUTED_VALUE"""),"train")</f>
        <v>train</v>
      </c>
      <c r="D142" s="15" t="str">
        <f>IFERROR(__xludf.DUMMYFUNCTION("""COMPUTED_VALUE"""),"train")</f>
        <v>train</v>
      </c>
      <c r="E142" s="15">
        <f>IFERROR(__xludf.DUMMYFUNCTION("""COMPUTED_VALUE"""),480.0)</f>
        <v>480</v>
      </c>
      <c r="F142" s="15" t="str">
        <f>IFERROR(__xludf.DUMMYFUNCTION("""COMPUTED_VALUE"""),"QUAD")</f>
        <v>QUAD</v>
      </c>
      <c r="G142" s="15" t="str">
        <f>IFERROR(__xludf.DUMMYFUNCTION("""COMPUTED_VALUE"""),"unknown, unknown, unknown, unknown")</f>
        <v>unknown, unknown, unknown, unknown</v>
      </c>
      <c r="H142" s="15">
        <f>IFERROR(__xludf.DUMMYFUNCTION("""COMPUTED_VALUE"""),950.0)</f>
        <v>950</v>
      </c>
      <c r="I142" s="15">
        <f>IFERROR(__xludf.DUMMYFUNCTION("""COMPUTED_VALUE"""),1675.0)</f>
        <v>1675</v>
      </c>
      <c r="J142" s="15">
        <f>IFERROR(__xludf.DUMMYFUNCTION("""COMPUTED_VALUE"""),1585.0)</f>
        <v>1585</v>
      </c>
      <c r="K142" s="16" t="str">
        <f>IFERROR(__xludf.DUMMYFUNCTION("""COMPUTED_VALUE"""),"21/08/2023, 17:32:55")</f>
        <v>21/08/2023, 17:32:55</v>
      </c>
    </row>
    <row r="143">
      <c r="A143" s="18" t="str">
        <f>IFERROR(__xludf.DUMMYFUNCTION("""COMPUTED_VALUE"""),"63ba86502426700446d4af44")</f>
        <v>63ba86502426700446d4af44</v>
      </c>
      <c r="B143" s="15" t="str">
        <f>IFERROR(__xludf.DUMMYFUNCTION("""COMPUTED_VALUE"""),"official_ncap_cpla_set_night_08_11_22_for_train_updated")</f>
        <v>official_ncap_cpla_set_night_08_11_22_for_train_updated</v>
      </c>
      <c r="C143" s="15" t="str">
        <f>IFERROR(__xludf.DUMMYFUNCTION("""COMPUTED_VALUE"""),"train")</f>
        <v>train</v>
      </c>
      <c r="D143" s="15" t="str">
        <f>IFERROR(__xludf.DUMMYFUNCTION("""COMPUTED_VALUE"""),"train")</f>
        <v>train</v>
      </c>
      <c r="E143" s="15">
        <f>IFERROR(__xludf.DUMMYFUNCTION("""COMPUTED_VALUE"""),4312.0)</f>
        <v>4312</v>
      </c>
      <c r="F143" s="15" t="str">
        <f>IFERROR(__xludf.DUMMYFUNCTION("""COMPUTED_VALUE"""),"QUAD")</f>
        <v>QUAD</v>
      </c>
      <c r="G143" s="15" t="str">
        <f>IFERROR(__xludf.DUMMYFUNCTION("""COMPUTED_VALUE"""),"unknown, unknown, unknown, unknown")</f>
        <v>unknown, unknown, unknown, unknown</v>
      </c>
      <c r="H143" s="15">
        <f>IFERROR(__xludf.DUMMYFUNCTION("""COMPUTED_VALUE"""),950.0)</f>
        <v>950</v>
      </c>
      <c r="I143" s="15">
        <f>IFERROR(__xludf.DUMMYFUNCTION("""COMPUTED_VALUE"""),1675.0)</f>
        <v>1675</v>
      </c>
      <c r="J143" s="15">
        <f>IFERROR(__xludf.DUMMYFUNCTION("""COMPUTED_VALUE"""),1585.0)</f>
        <v>1585</v>
      </c>
      <c r="K143" s="16" t="str">
        <f>IFERROR(__xludf.DUMMYFUNCTION("""COMPUTED_VALUE"""),"21/08/2023, 17:33:03")</f>
        <v>21/08/2023, 17:33:03</v>
      </c>
    </row>
    <row r="144">
      <c r="A144" s="18" t="str">
        <f>IFERROR(__xludf.DUMMYFUNCTION("""COMPUTED_VALUE"""),"63ba978a2426700446d4dbba")</f>
        <v>63ba978a2426700446d4dbba</v>
      </c>
      <c r="B144" s="15" t="str">
        <f>IFERROR(__xludf.DUMMYFUNCTION("""COMPUTED_VALUE"""),"official_ncap_night_2w_for_train_updated")</f>
        <v>official_ncap_night_2w_for_train_updated</v>
      </c>
      <c r="C144" s="15" t="str">
        <f>IFERROR(__xludf.DUMMYFUNCTION("""COMPUTED_VALUE"""),"train")</f>
        <v>train</v>
      </c>
      <c r="D144" s="15" t="str">
        <f>IFERROR(__xludf.DUMMYFUNCTION("""COMPUTED_VALUE"""),"train")</f>
        <v>train</v>
      </c>
      <c r="E144" s="15">
        <f>IFERROR(__xludf.DUMMYFUNCTION("""COMPUTED_VALUE"""),120.0)</f>
        <v>120</v>
      </c>
      <c r="F144" s="15" t="str">
        <f>IFERROR(__xludf.DUMMYFUNCTION("""COMPUTED_VALUE"""),"QUAD")</f>
        <v>QUAD</v>
      </c>
      <c r="G144" s="15" t="str">
        <f>IFERROR(__xludf.DUMMYFUNCTION("""COMPUTED_VALUE"""),"unknown, unknown, unknown, unknown")</f>
        <v>unknown, unknown, unknown, unknown</v>
      </c>
      <c r="H144" s="15">
        <f>IFERROR(__xludf.DUMMYFUNCTION("""COMPUTED_VALUE"""),950.0)</f>
        <v>950</v>
      </c>
      <c r="I144" s="15">
        <f>IFERROR(__xludf.DUMMYFUNCTION("""COMPUTED_VALUE"""),1675.0)</f>
        <v>1675</v>
      </c>
      <c r="J144" s="15">
        <f>IFERROR(__xludf.DUMMYFUNCTION("""COMPUTED_VALUE"""),1585.0)</f>
        <v>1585</v>
      </c>
      <c r="K144" s="16" t="str">
        <f>IFERROR(__xludf.DUMMYFUNCTION("""COMPUTED_VALUE"""),"21/08/2023, 17:33:06")</f>
        <v>21/08/2023, 17:33:06</v>
      </c>
    </row>
    <row r="145">
      <c r="A145" s="18" t="str">
        <f>IFERROR(__xludf.DUMMYFUNCTION("""COMPUTED_VALUE"""),"63bab4b32426700446d4e33e")</f>
        <v>63bab4b32426700446d4e33e</v>
      </c>
      <c r="B145" s="15" t="str">
        <f>IFERROR(__xludf.DUMMYFUNCTION("""COMPUTED_VALUE"""),"official_ncap_night_for_train_updated")</f>
        <v>official_ncap_night_for_train_updated</v>
      </c>
      <c r="C145" s="15" t="str">
        <f>IFERROR(__xludf.DUMMYFUNCTION("""COMPUTED_VALUE"""),"train")</f>
        <v>train</v>
      </c>
      <c r="D145" s="15" t="str">
        <f>IFERROR(__xludf.DUMMYFUNCTION("""COMPUTED_VALUE"""),"train")</f>
        <v>train</v>
      </c>
      <c r="E145" s="15">
        <f>IFERROR(__xludf.DUMMYFUNCTION("""COMPUTED_VALUE"""),480.0)</f>
        <v>480</v>
      </c>
      <c r="F145" s="15" t="str">
        <f>IFERROR(__xludf.DUMMYFUNCTION("""COMPUTED_VALUE"""),"QUAD")</f>
        <v>QUAD</v>
      </c>
      <c r="G145" s="15" t="str">
        <f>IFERROR(__xludf.DUMMYFUNCTION("""COMPUTED_VALUE"""),"unknown, unknown, unknown, unknown")</f>
        <v>unknown, unknown, unknown, unknown</v>
      </c>
      <c r="H145" s="15">
        <f>IFERROR(__xludf.DUMMYFUNCTION("""COMPUTED_VALUE"""),950.0)</f>
        <v>950</v>
      </c>
      <c r="I145" s="15">
        <f>IFERROR(__xludf.DUMMYFUNCTION("""COMPUTED_VALUE"""),1675.0)</f>
        <v>1675</v>
      </c>
      <c r="J145" s="15">
        <f>IFERROR(__xludf.DUMMYFUNCTION("""COMPUTED_VALUE"""),1585.0)</f>
        <v>1585</v>
      </c>
      <c r="K145" s="16" t="str">
        <f>IFERROR(__xludf.DUMMYFUNCTION("""COMPUTED_VALUE"""),"21/08/2023, 17:33:09")</f>
        <v>21/08/2023, 17:33:09</v>
      </c>
    </row>
    <row r="146">
      <c r="A146" s="18" t="str">
        <f>IFERROR(__xludf.DUMMYFUNCTION("""COMPUTED_VALUE"""),"63bab5642426700446d4e4ba")</f>
        <v>63bab5642426700446d4e4ba</v>
      </c>
      <c r="B146" s="15" t="str">
        <f>IFERROR(__xludf.DUMMYFUNCTION("""COMPUTED_VALUE"""),"official_cpfa_night_set_for_train_updated")</f>
        <v>official_cpfa_night_set_for_train_updated</v>
      </c>
      <c r="C146" s="15" t="str">
        <f>IFERROR(__xludf.DUMMYFUNCTION("""COMPUTED_VALUE"""),"train")</f>
        <v>train</v>
      </c>
      <c r="D146" s="15" t="str">
        <f>IFERROR(__xludf.DUMMYFUNCTION("""COMPUTED_VALUE"""),"train")</f>
        <v>train</v>
      </c>
      <c r="E146" s="15">
        <f>IFERROR(__xludf.DUMMYFUNCTION("""COMPUTED_VALUE"""),103.0)</f>
        <v>103</v>
      </c>
      <c r="F146" s="15" t="str">
        <f>IFERROR(__xludf.DUMMYFUNCTION("""COMPUTED_VALUE"""),"QUAD")</f>
        <v>QUAD</v>
      </c>
      <c r="G146" s="15" t="str">
        <f>IFERROR(__xludf.DUMMYFUNCTION("""COMPUTED_VALUE"""),"unknown, unknown, unknown, unknown")</f>
        <v>unknown, unknown, unknown, unknown</v>
      </c>
      <c r="H146" s="15">
        <f>IFERROR(__xludf.DUMMYFUNCTION("""COMPUTED_VALUE"""),950.0)</f>
        <v>950</v>
      </c>
      <c r="I146" s="15">
        <f>IFERROR(__xludf.DUMMYFUNCTION("""COMPUTED_VALUE"""),1675.0)</f>
        <v>1675</v>
      </c>
      <c r="J146" s="15">
        <f>IFERROR(__xludf.DUMMYFUNCTION("""COMPUTED_VALUE"""),1585.0)</f>
        <v>1585</v>
      </c>
      <c r="K146" s="16" t="str">
        <f>IFERROR(__xludf.DUMMYFUNCTION("""COMPUTED_VALUE"""),"21/08/2023, 17:33:12")</f>
        <v>21/08/2023, 17:33:12</v>
      </c>
    </row>
    <row r="147">
      <c r="A147" s="18" t="str">
        <f>IFERROR(__xludf.DUMMYFUNCTION("""COMPUTED_VALUE"""),"63bab6022426700446d4e5e0")</f>
        <v>63bab6022426700446d4e5e0</v>
      </c>
      <c r="B147" s="15" t="str">
        <f>IFERROR(__xludf.DUMMYFUNCTION("""COMPUTED_VALUE"""),"official_cpnc_night_set_for_train_updated")</f>
        <v>official_cpnc_night_set_for_train_updated</v>
      </c>
      <c r="C147" s="15" t="str">
        <f>IFERROR(__xludf.DUMMYFUNCTION("""COMPUTED_VALUE"""),"train")</f>
        <v>train</v>
      </c>
      <c r="D147" s="15" t="str">
        <f>IFERROR(__xludf.DUMMYFUNCTION("""COMPUTED_VALUE"""),"train")</f>
        <v>train</v>
      </c>
      <c r="E147" s="15">
        <f>IFERROR(__xludf.DUMMYFUNCTION("""COMPUTED_VALUE"""),581.0)</f>
        <v>581</v>
      </c>
      <c r="F147" s="15" t="str">
        <f>IFERROR(__xludf.DUMMYFUNCTION("""COMPUTED_VALUE"""),"QUAD")</f>
        <v>QUAD</v>
      </c>
      <c r="G147" s="15" t="str">
        <f>IFERROR(__xludf.DUMMYFUNCTION("""COMPUTED_VALUE"""),"unknown, unknown, unknown, unknown")</f>
        <v>unknown, unknown, unknown, unknown</v>
      </c>
      <c r="H147" s="15">
        <f>IFERROR(__xludf.DUMMYFUNCTION("""COMPUTED_VALUE"""),950.0)</f>
        <v>950</v>
      </c>
      <c r="I147" s="15">
        <f>IFERROR(__xludf.DUMMYFUNCTION("""COMPUTED_VALUE"""),1675.0)</f>
        <v>1675</v>
      </c>
      <c r="J147" s="15">
        <f>IFERROR(__xludf.DUMMYFUNCTION("""COMPUTED_VALUE"""),1585.0)</f>
        <v>1585</v>
      </c>
      <c r="K147" s="16" t="str">
        <f>IFERROR(__xludf.DUMMYFUNCTION("""COMPUTED_VALUE"""),"21/08/2023, 17:33:16")</f>
        <v>21/08/2023, 17:33:16</v>
      </c>
    </row>
    <row r="148">
      <c r="A148" s="18" t="str">
        <f>IFERROR(__xludf.DUMMYFUNCTION("""COMPUTED_VALUE"""),"63bab9472426700446d4e786")</f>
        <v>63bab9472426700446d4e786</v>
      </c>
      <c r="B148" s="15" t="str">
        <f>IFERROR(__xludf.DUMMYFUNCTION("""COMPUTED_VALUE"""),"official_night_dataset_2w_and_peds_15_12_22_for_train_updated")</f>
        <v>official_night_dataset_2w_and_peds_15_12_22_for_train_updated</v>
      </c>
      <c r="C148" s="15" t="str">
        <f>IFERROR(__xludf.DUMMYFUNCTION("""COMPUTED_VALUE"""),"train")</f>
        <v>train</v>
      </c>
      <c r="D148" s="15" t="str">
        <f>IFERROR(__xludf.DUMMYFUNCTION("""COMPUTED_VALUE"""),"train")</f>
        <v>train</v>
      </c>
      <c r="E148" s="15">
        <f>IFERROR(__xludf.DUMMYFUNCTION("""COMPUTED_VALUE"""),177.0)</f>
        <v>177</v>
      </c>
      <c r="F148" s="15" t="str">
        <f>IFERROR(__xludf.DUMMYFUNCTION("""COMPUTED_VALUE"""),"QUAD")</f>
        <v>QUAD</v>
      </c>
      <c r="G148" s="15" t="str">
        <f>IFERROR(__xludf.DUMMYFUNCTION("""COMPUTED_VALUE"""),"unknown, unknown, unknown, unknown")</f>
        <v>unknown, unknown, unknown, unknown</v>
      </c>
      <c r="H148" s="15">
        <f>IFERROR(__xludf.DUMMYFUNCTION("""COMPUTED_VALUE"""),950.0)</f>
        <v>950</v>
      </c>
      <c r="I148" s="15">
        <f>IFERROR(__xludf.DUMMYFUNCTION("""COMPUTED_VALUE"""),1675.0)</f>
        <v>1675</v>
      </c>
      <c r="J148" s="15">
        <f>IFERROR(__xludf.DUMMYFUNCTION("""COMPUTED_VALUE"""),1585.0)</f>
        <v>1585</v>
      </c>
      <c r="K148" s="16" t="str">
        <f>IFERROR(__xludf.DUMMYFUNCTION("""COMPUTED_VALUE"""),"21/08/2023, 17:33:19")</f>
        <v>21/08/2023, 17:33:19</v>
      </c>
    </row>
    <row r="149">
      <c r="A149" s="18" t="str">
        <f>IFERROR(__xludf.DUMMYFUNCTION("""COMPUTED_VALUE"""),"63bab9a72426700446d4e83a")</f>
        <v>63bab9a72426700446d4e83a</v>
      </c>
      <c r="B149" s="15" t="str">
        <f>IFERROR(__xludf.DUMMYFUNCTION("""COMPUTED_VALUE"""),"official_night_dataset_open_road_and_urban_14_11_22_for_train_updated")</f>
        <v>official_night_dataset_open_road_and_urban_14_11_22_for_train_updated</v>
      </c>
      <c r="C149" s="15" t="str">
        <f>IFERROR(__xludf.DUMMYFUNCTION("""COMPUTED_VALUE"""),"train")</f>
        <v>train</v>
      </c>
      <c r="D149" s="15" t="str">
        <f>IFERROR(__xludf.DUMMYFUNCTION("""COMPUTED_VALUE"""),"train")</f>
        <v>train</v>
      </c>
      <c r="E149" s="15">
        <f>IFERROR(__xludf.DUMMYFUNCTION("""COMPUTED_VALUE"""),463.0)</f>
        <v>463</v>
      </c>
      <c r="F149" s="15" t="str">
        <f>IFERROR(__xludf.DUMMYFUNCTION("""COMPUTED_VALUE"""),"QUAD")</f>
        <v>QUAD</v>
      </c>
      <c r="G149" s="15" t="str">
        <f>IFERROR(__xludf.DUMMYFUNCTION("""COMPUTED_VALUE"""),"unknown, unknown, unknown, unknown")</f>
        <v>unknown, unknown, unknown, unknown</v>
      </c>
      <c r="H149" s="15">
        <f>IFERROR(__xludf.DUMMYFUNCTION("""COMPUTED_VALUE"""),950.0)</f>
        <v>950</v>
      </c>
      <c r="I149" s="15">
        <f>IFERROR(__xludf.DUMMYFUNCTION("""COMPUTED_VALUE"""),1675.0)</f>
        <v>1675</v>
      </c>
      <c r="J149" s="15">
        <f>IFERROR(__xludf.DUMMYFUNCTION("""COMPUTED_VALUE"""),1585.0)</f>
        <v>1585</v>
      </c>
      <c r="K149" s="16" t="str">
        <f>IFERROR(__xludf.DUMMYFUNCTION("""COMPUTED_VALUE"""),"21/08/2023, 17:33:23")</f>
        <v>21/08/2023, 17:33:23</v>
      </c>
    </row>
    <row r="150">
      <c r="A150" s="18" t="str">
        <f>IFERROR(__xludf.DUMMYFUNCTION("""COMPUTED_VALUE"""),"63bac0182426700446d4ed26")</f>
        <v>63bac0182426700446d4ed26</v>
      </c>
      <c r="B150" s="15" t="str">
        <f>IFERROR(__xludf.DUMMYFUNCTION("""COMPUTED_VALUE"""),"official_night_issues05_for_train_updated")</f>
        <v>official_night_issues05_for_train_updated</v>
      </c>
      <c r="C150" s="15" t="str">
        <f>IFERROR(__xludf.DUMMYFUNCTION("""COMPUTED_VALUE"""),"train")</f>
        <v>train</v>
      </c>
      <c r="D150" s="15" t="str">
        <f>IFERROR(__xludf.DUMMYFUNCTION("""COMPUTED_VALUE"""),"train")</f>
        <v>train</v>
      </c>
      <c r="E150" s="15">
        <f>IFERROR(__xludf.DUMMYFUNCTION("""COMPUTED_VALUE"""),598.0)</f>
        <v>598</v>
      </c>
      <c r="F150" s="15" t="str">
        <f>IFERROR(__xludf.DUMMYFUNCTION("""COMPUTED_VALUE"""),"QUAD")</f>
        <v>QUAD</v>
      </c>
      <c r="G150" s="15" t="str">
        <f>IFERROR(__xludf.DUMMYFUNCTION("""COMPUTED_VALUE"""),"unknown, unknown, unknown, unknown")</f>
        <v>unknown, unknown, unknown, unknown</v>
      </c>
      <c r="H150" s="15">
        <f>IFERROR(__xludf.DUMMYFUNCTION("""COMPUTED_VALUE"""),950.0)</f>
        <v>950</v>
      </c>
      <c r="I150" s="15">
        <f>IFERROR(__xludf.DUMMYFUNCTION("""COMPUTED_VALUE"""),1675.0)</f>
        <v>1675</v>
      </c>
      <c r="J150" s="15">
        <f>IFERROR(__xludf.DUMMYFUNCTION("""COMPUTED_VALUE"""),1585.0)</f>
        <v>1585</v>
      </c>
      <c r="K150" s="16" t="str">
        <f>IFERROR(__xludf.DUMMYFUNCTION("""COMPUTED_VALUE"""),"21/08/2023, 17:34:25")</f>
        <v>21/08/2023, 17:34:25</v>
      </c>
    </row>
    <row r="151">
      <c r="A151" s="18" t="str">
        <f>IFERROR(__xludf.DUMMYFUNCTION("""COMPUTED_VALUE"""),"63bac04a2426700446d4edd8")</f>
        <v>63bac04a2426700446d4edd8</v>
      </c>
      <c r="B151" s="15" t="str">
        <f>IFERROR(__xludf.DUMMYFUNCTION("""COMPUTED_VALUE"""),"official_night_issues04_for_train_updated")</f>
        <v>official_night_issues04_for_train_updated</v>
      </c>
      <c r="C151" s="15" t="str">
        <f>IFERROR(__xludf.DUMMYFUNCTION("""COMPUTED_VALUE"""),"train")</f>
        <v>train</v>
      </c>
      <c r="D151" s="15" t="str">
        <f>IFERROR(__xludf.DUMMYFUNCTION("""COMPUTED_VALUE"""),"train")</f>
        <v>train</v>
      </c>
      <c r="E151" s="15">
        <f>IFERROR(__xludf.DUMMYFUNCTION("""COMPUTED_VALUE"""),508.0)</f>
        <v>508</v>
      </c>
      <c r="F151" s="15" t="str">
        <f>IFERROR(__xludf.DUMMYFUNCTION("""COMPUTED_VALUE"""),"QUAD")</f>
        <v>QUAD</v>
      </c>
      <c r="G151" s="15" t="str">
        <f>IFERROR(__xludf.DUMMYFUNCTION("""COMPUTED_VALUE"""),"unknown, unknown, unknown, unknown")</f>
        <v>unknown, unknown, unknown, unknown</v>
      </c>
      <c r="H151" s="15">
        <f>IFERROR(__xludf.DUMMYFUNCTION("""COMPUTED_VALUE"""),950.0)</f>
        <v>950</v>
      </c>
      <c r="I151" s="15">
        <f>IFERROR(__xludf.DUMMYFUNCTION("""COMPUTED_VALUE"""),1675.0)</f>
        <v>1675</v>
      </c>
      <c r="J151" s="15">
        <f>IFERROR(__xludf.DUMMYFUNCTION("""COMPUTED_VALUE"""),1585.0)</f>
        <v>1585</v>
      </c>
      <c r="K151" s="16" t="str">
        <f>IFERROR(__xludf.DUMMYFUNCTION("""COMPUTED_VALUE"""),"21/08/2023, 17:34:28")</f>
        <v>21/08/2023, 17:34:28</v>
      </c>
    </row>
    <row r="152">
      <c r="A152" s="18" t="str">
        <f>IFERROR(__xludf.DUMMYFUNCTION("""COMPUTED_VALUE"""),"63bac5152426700446d4eea9")</f>
        <v>63bac5152426700446d4eea9</v>
      </c>
      <c r="B152" s="15" t="str">
        <f>IFERROR(__xludf.DUMMYFUNCTION("""COMPUTED_VALUE"""),"official_night_issues03_for_train_updated")</f>
        <v>official_night_issues03_for_train_updated</v>
      </c>
      <c r="C152" s="15" t="str">
        <f>IFERROR(__xludf.DUMMYFUNCTION("""COMPUTED_VALUE"""),"train")</f>
        <v>train</v>
      </c>
      <c r="D152" s="15" t="str">
        <f>IFERROR(__xludf.DUMMYFUNCTION("""COMPUTED_VALUE"""),"train")</f>
        <v>train</v>
      </c>
      <c r="E152" s="15">
        <f>IFERROR(__xludf.DUMMYFUNCTION("""COMPUTED_VALUE"""),203.0)</f>
        <v>203</v>
      </c>
      <c r="F152" s="15" t="str">
        <f>IFERROR(__xludf.DUMMYFUNCTION("""COMPUTED_VALUE"""),"QUAD")</f>
        <v>QUAD</v>
      </c>
      <c r="G152" s="15" t="str">
        <f>IFERROR(__xludf.DUMMYFUNCTION("""COMPUTED_VALUE"""),"unknown, unknown, unknown, unknown")</f>
        <v>unknown, unknown, unknown, unknown</v>
      </c>
      <c r="H152" s="15">
        <f>IFERROR(__xludf.DUMMYFUNCTION("""COMPUTED_VALUE"""),950.0)</f>
        <v>950</v>
      </c>
      <c r="I152" s="15">
        <f>IFERROR(__xludf.DUMMYFUNCTION("""COMPUTED_VALUE"""),1675.0)</f>
        <v>1675</v>
      </c>
      <c r="J152" s="15">
        <f>IFERROR(__xludf.DUMMYFUNCTION("""COMPUTED_VALUE"""),1585.0)</f>
        <v>1585</v>
      </c>
      <c r="K152" s="16" t="str">
        <f>IFERROR(__xludf.DUMMYFUNCTION("""COMPUTED_VALUE"""),"21/08/2023, 17:34:32")</f>
        <v>21/08/2023, 17:34:32</v>
      </c>
    </row>
    <row r="153">
      <c r="A153" s="18" t="str">
        <f>IFERROR(__xludf.DUMMYFUNCTION("""COMPUTED_VALUE"""),"63bac79d2426700446d55a13")</f>
        <v>63bac79d2426700446d55a13</v>
      </c>
      <c r="B153" s="15" t="str">
        <f>IFERROR(__xludf.DUMMYFUNCTION("""COMPUTED_VALUE"""),"official_batch3_night_set_for_train_updated")</f>
        <v>official_batch3_night_set_for_train_updated</v>
      </c>
      <c r="C153" s="15" t="str">
        <f>IFERROR(__xludf.DUMMYFUNCTION("""COMPUTED_VALUE"""),"train")</f>
        <v>train</v>
      </c>
      <c r="D153" s="15" t="str">
        <f>IFERROR(__xludf.DUMMYFUNCTION("""COMPUTED_VALUE"""),"train")</f>
        <v>train</v>
      </c>
      <c r="E153" s="15">
        <f>IFERROR(__xludf.DUMMYFUNCTION("""COMPUTED_VALUE"""),1038.0)</f>
        <v>1038</v>
      </c>
      <c r="F153" s="15" t="str">
        <f>IFERROR(__xludf.DUMMYFUNCTION("""COMPUTED_VALUE"""),"QUAD")</f>
        <v>QUAD</v>
      </c>
      <c r="G153" s="15" t="str">
        <f>IFERROR(__xludf.DUMMYFUNCTION("""COMPUTED_VALUE"""),"unknown, unknown, unknown, unknown")</f>
        <v>unknown, unknown, unknown, unknown</v>
      </c>
      <c r="H153" s="15">
        <f>IFERROR(__xludf.DUMMYFUNCTION("""COMPUTED_VALUE"""),950.0)</f>
        <v>950</v>
      </c>
      <c r="I153" s="15">
        <f>IFERROR(__xludf.DUMMYFUNCTION("""COMPUTED_VALUE"""),1675.0)</f>
        <v>1675</v>
      </c>
      <c r="J153" s="15">
        <f>IFERROR(__xludf.DUMMYFUNCTION("""COMPUTED_VALUE"""),1585.0)</f>
        <v>1585</v>
      </c>
      <c r="K153" s="16" t="str">
        <f>IFERROR(__xludf.DUMMYFUNCTION("""COMPUTED_VALUE"""),"21/08/2023, 17:35:02")</f>
        <v>21/08/2023, 17:35:02</v>
      </c>
    </row>
    <row r="154">
      <c r="A154" s="18" t="str">
        <f>IFERROR(__xludf.DUMMYFUNCTION("""COMPUTED_VALUE"""),"64e3738b7225d01c8be18b11")</f>
        <v>64e3738b7225d01c8be18b11</v>
      </c>
      <c r="B154" s="15" t="str">
        <f>IFERROR(__xludf.DUMMYFUNCTION("""COMPUTED_VALUE"""),"official_batch_6_yochen_mfc520_for_train_updated_tagged_images")</f>
        <v>official_batch_6_yochen_mfc520_for_train_updated_tagged_images</v>
      </c>
      <c r="C154" s="15" t="str">
        <f>IFERROR(__xludf.DUMMYFUNCTION("""COMPUTED_VALUE"""),"train")</f>
        <v>train</v>
      </c>
      <c r="D154" s="15" t="str">
        <f>IFERROR(__xludf.DUMMYFUNCTION("""COMPUTED_VALUE"""),"train")</f>
        <v>train</v>
      </c>
      <c r="E154" s="15">
        <f>IFERROR(__xludf.DUMMYFUNCTION("""COMPUTED_VALUE"""),1137.0)</f>
        <v>1137</v>
      </c>
      <c r="F154" s="15" t="str">
        <f>IFERROR(__xludf.DUMMYFUNCTION("""COMPUTED_VALUE"""),"QUAD")</f>
        <v>QUAD</v>
      </c>
      <c r="G154" s="15" t="str">
        <f>IFERROR(__xludf.DUMMYFUNCTION("""COMPUTED_VALUE"""),"unknown, unknown, unknown, unknown")</f>
        <v>unknown, unknown, unknown, unknown</v>
      </c>
      <c r="H154" s="15">
        <f>IFERROR(__xludf.DUMMYFUNCTION("""COMPUTED_VALUE"""),950.0)</f>
        <v>950</v>
      </c>
      <c r="I154" s="15">
        <f>IFERROR(__xludf.DUMMYFUNCTION("""COMPUTED_VALUE"""),1675.0)</f>
        <v>1675</v>
      </c>
      <c r="J154" s="15">
        <f>IFERROR(__xludf.DUMMYFUNCTION("""COMPUTED_VALUE"""),1585.0)</f>
        <v>1585</v>
      </c>
      <c r="K154" s="16" t="str">
        <f>IFERROR(__xludf.DUMMYFUNCTION("""COMPUTED_VALUE"""),"21/08/2023, 18:26:58")</f>
        <v>21/08/2023, 18:26:58</v>
      </c>
    </row>
    <row r="155">
      <c r="A155" s="18" t="str">
        <f>IFERROR(__xludf.DUMMYFUNCTION("""COMPUTED_VALUE"""),"63b6efed2426700446d361e9")</f>
        <v>63b6efed2426700446d361e9</v>
      </c>
      <c r="B155" s="15" t="str">
        <f>IFERROR(__xludf.DUMMYFUNCTION("""COMPUTED_VALUE"""),"official_crossing_black_car_40m_70m_50m_for_train_updated")</f>
        <v>official_crossing_black_car_40m_70m_50m_for_train_updated</v>
      </c>
      <c r="C155" s="15" t="str">
        <f>IFERROR(__xludf.DUMMYFUNCTION("""COMPUTED_VALUE"""),"train")</f>
        <v>train</v>
      </c>
      <c r="D155" s="15" t="str">
        <f>IFERROR(__xludf.DUMMYFUNCTION("""COMPUTED_VALUE"""),"train")</f>
        <v>train</v>
      </c>
      <c r="E155" s="15">
        <f>IFERROR(__xludf.DUMMYFUNCTION("""COMPUTED_VALUE"""),149.0)</f>
        <v>149</v>
      </c>
      <c r="F155" s="15" t="str">
        <f>IFERROR(__xludf.DUMMYFUNCTION("""COMPUTED_VALUE"""),"QUAD")</f>
        <v>QUAD</v>
      </c>
      <c r="G155" s="15" t="str">
        <f>IFERROR(__xludf.DUMMYFUNCTION("""COMPUTED_VALUE"""),"unknown, unknown, unknown, unknown")</f>
        <v>unknown, unknown, unknown, unknown</v>
      </c>
      <c r="H155" s="15">
        <f>IFERROR(__xludf.DUMMYFUNCTION("""COMPUTED_VALUE"""),950.0)</f>
        <v>950</v>
      </c>
      <c r="I155" s="15">
        <f>IFERROR(__xludf.DUMMYFUNCTION("""COMPUTED_VALUE"""),1675.0)</f>
        <v>1675</v>
      </c>
      <c r="J155" s="15">
        <f>IFERROR(__xludf.DUMMYFUNCTION("""COMPUTED_VALUE"""),1585.0)</f>
        <v>1585</v>
      </c>
      <c r="K155" s="16" t="str">
        <f>IFERROR(__xludf.DUMMYFUNCTION("""COMPUTED_VALUE"""),"21/08/2023, 18:31:09")</f>
        <v>21/08/2023, 18:31:09</v>
      </c>
    </row>
    <row r="156">
      <c r="A156" s="18" t="str">
        <f>IFERROR(__xludf.DUMMYFUNCTION("""COMPUTED_VALUE"""),"64e386c97225d01c8be18b89")</f>
        <v>64e386c97225d01c8be18b89</v>
      </c>
      <c r="B156" s="15" t="str">
        <f>IFERROR(__xludf.DUMMYFUNCTION("""COMPUTED_VALUE"""),"official_combined_night_urban_and_highway_for_train_updated_added_to_official_super_set_od_train_quad")</f>
        <v>official_combined_night_urban_and_highway_for_train_updated_added_to_official_super_set_od_train_quad</v>
      </c>
      <c r="C156" s="15" t="str">
        <f>IFERROR(__xludf.DUMMYFUNCTION("""COMPUTED_VALUE"""),"train")</f>
        <v>train</v>
      </c>
      <c r="D156" s="15" t="str">
        <f>IFERROR(__xludf.DUMMYFUNCTION("""COMPUTED_VALUE"""),"train")</f>
        <v>train</v>
      </c>
      <c r="E156" s="15">
        <f>IFERROR(__xludf.DUMMYFUNCTION("""COMPUTED_VALUE"""),39.0)</f>
        <v>39</v>
      </c>
      <c r="F156" s="15" t="str">
        <f>IFERROR(__xludf.DUMMYFUNCTION("""COMPUTED_VALUE"""),"QUAD")</f>
        <v>QUAD</v>
      </c>
      <c r="G156" s="15" t="str">
        <f>IFERROR(__xludf.DUMMYFUNCTION("""COMPUTED_VALUE"""),"unknown, unknown, unknown, unknown")</f>
        <v>unknown, unknown, unknown, unknown</v>
      </c>
      <c r="H156" s="15">
        <f>IFERROR(__xludf.DUMMYFUNCTION("""COMPUTED_VALUE"""),950.0)</f>
        <v>950</v>
      </c>
      <c r="I156" s="15">
        <f>IFERROR(__xludf.DUMMYFUNCTION("""COMPUTED_VALUE"""),1675.0)</f>
        <v>1675</v>
      </c>
      <c r="J156" s="15">
        <f>IFERROR(__xludf.DUMMYFUNCTION("""COMPUTED_VALUE"""),1585.0)</f>
        <v>1585</v>
      </c>
      <c r="K156" s="16" t="str">
        <f>IFERROR(__xludf.DUMMYFUNCTION("""COMPUTED_VALUE"""),"21/08/2023, 18:32:00")</f>
        <v>21/08/2023, 18:32:00</v>
      </c>
    </row>
    <row r="157">
      <c r="A157" s="18" t="str">
        <f>IFERROR(__xludf.DUMMYFUNCTION("""COMPUTED_VALUE"""),"63babe8a2426700446d4eb9d")</f>
        <v>63babe8a2426700446d4eb9d</v>
      </c>
      <c r="B157" s="15" t="str">
        <f>IFERROR(__xludf.DUMMYFUNCTION("""COMPUTED_VALUE"""),"official_combined_night_vans_to_prepare_for_train_updated")</f>
        <v>official_combined_night_vans_to_prepare_for_train_updated</v>
      </c>
      <c r="C157" s="15" t="str">
        <f>IFERROR(__xludf.DUMMYFUNCTION("""COMPUTED_VALUE"""),"train")</f>
        <v>train</v>
      </c>
      <c r="D157" s="15" t="str">
        <f>IFERROR(__xludf.DUMMYFUNCTION("""COMPUTED_VALUE"""),"train")</f>
        <v>train</v>
      </c>
      <c r="E157" s="15">
        <f>IFERROR(__xludf.DUMMYFUNCTION("""COMPUTED_VALUE"""),203.0)</f>
        <v>203</v>
      </c>
      <c r="F157" s="15" t="str">
        <f>IFERROR(__xludf.DUMMYFUNCTION("""COMPUTED_VALUE"""),"QUAD")</f>
        <v>QUAD</v>
      </c>
      <c r="G157" s="15" t="str">
        <f>IFERROR(__xludf.DUMMYFUNCTION("""COMPUTED_VALUE"""),"unknown, unknown, unknown, unknown")</f>
        <v>unknown, unknown, unknown, unknown</v>
      </c>
      <c r="H157" s="15">
        <f>IFERROR(__xludf.DUMMYFUNCTION("""COMPUTED_VALUE"""),950.0)</f>
        <v>950</v>
      </c>
      <c r="I157" s="15">
        <f>IFERROR(__xludf.DUMMYFUNCTION("""COMPUTED_VALUE"""),1675.0)</f>
        <v>1675</v>
      </c>
      <c r="J157" s="15">
        <f>IFERROR(__xludf.DUMMYFUNCTION("""COMPUTED_VALUE"""),1585.0)</f>
        <v>1585</v>
      </c>
      <c r="K157" s="16" t="str">
        <f>IFERROR(__xludf.DUMMYFUNCTION("""COMPUTED_VALUE"""),"21/08/2023, 18:32:21")</f>
        <v>21/08/2023, 18:32:21</v>
      </c>
    </row>
    <row r="158">
      <c r="A158" s="18" t="str">
        <f>IFERROR(__xludf.DUMMYFUNCTION("""COMPUTED_VALUE"""),"63bac5e92426700446d50ab8")</f>
        <v>63bac5e92426700446d50ab8</v>
      </c>
      <c r="B158" s="15" t="str">
        <f>IFERROR(__xludf.DUMMYFUNCTION("""COMPUTED_VALUE"""),"official_batch_2_april21_for_train_updated")</f>
        <v>official_batch_2_april21_for_train_updated</v>
      </c>
      <c r="C158" s="15" t="str">
        <f>IFERROR(__xludf.DUMMYFUNCTION("""COMPUTED_VALUE"""),"train")</f>
        <v>train</v>
      </c>
      <c r="D158" s="15" t="str">
        <f>IFERROR(__xludf.DUMMYFUNCTION("""COMPUTED_VALUE"""),"train")</f>
        <v>train</v>
      </c>
      <c r="E158" s="15">
        <f>IFERROR(__xludf.DUMMYFUNCTION("""COMPUTED_VALUE"""),1005.0)</f>
        <v>1005</v>
      </c>
      <c r="F158" s="15" t="str">
        <f>IFERROR(__xludf.DUMMYFUNCTION("""COMPUTED_VALUE"""),"QUAD")</f>
        <v>QUAD</v>
      </c>
      <c r="G158" s="15" t="str">
        <f>IFERROR(__xludf.DUMMYFUNCTION("""COMPUTED_VALUE"""),"unknown, unknown, unknown, unknown")</f>
        <v>unknown, unknown, unknown, unknown</v>
      </c>
      <c r="H158" s="15">
        <f>IFERROR(__xludf.DUMMYFUNCTION("""COMPUTED_VALUE"""),950.0)</f>
        <v>950</v>
      </c>
      <c r="I158" s="15">
        <f>IFERROR(__xludf.DUMMYFUNCTION("""COMPUTED_VALUE"""),1675.0)</f>
        <v>1675</v>
      </c>
      <c r="J158" s="15">
        <f>IFERROR(__xludf.DUMMYFUNCTION("""COMPUTED_VALUE"""),1585.0)</f>
        <v>1585</v>
      </c>
      <c r="K158" s="16" t="str">
        <f>IFERROR(__xludf.DUMMYFUNCTION("""COMPUTED_VALUE"""),"21/08/2023, 18:32:33")</f>
        <v>21/08/2023, 18:32:33</v>
      </c>
    </row>
    <row r="159">
      <c r="A159" s="18" t="str">
        <f>IFERROR(__xludf.DUMMYFUNCTION("""COMPUTED_VALUE"""),"64e386517225d01c8be18b87")</f>
        <v>64e386517225d01c8be18b87</v>
      </c>
      <c r="B159" s="15" t="str">
        <f>IFERROR(__xludf.DUMMYFUNCTION("""COMPUTED_VALUE"""),"official_crossing_black_car_40m_70m_55m_for_train_updated_added_to_official_super_set_od_train_quad")</f>
        <v>official_crossing_black_car_40m_70m_55m_for_train_updated_added_to_official_super_set_od_train_quad</v>
      </c>
      <c r="C159" s="15" t="str">
        <f>IFERROR(__xludf.DUMMYFUNCTION("""COMPUTED_VALUE"""),"train")</f>
        <v>train</v>
      </c>
      <c r="D159" s="15" t="str">
        <f>IFERROR(__xludf.DUMMYFUNCTION("""COMPUTED_VALUE"""),"train")</f>
        <v>train</v>
      </c>
      <c r="E159" s="15">
        <f>IFERROR(__xludf.DUMMYFUNCTION("""COMPUTED_VALUE"""),1.0)</f>
        <v>1</v>
      </c>
      <c r="F159" s="15" t="str">
        <f>IFERROR(__xludf.DUMMYFUNCTION("""COMPUTED_VALUE"""),"QUAD")</f>
        <v>QUAD</v>
      </c>
      <c r="G159" s="15" t="str">
        <f>IFERROR(__xludf.DUMMYFUNCTION("""COMPUTED_VALUE"""),"unknown, unknown, unknown, unknown")</f>
        <v>unknown, unknown, unknown, unknown</v>
      </c>
      <c r="H159" s="15">
        <f>IFERROR(__xludf.DUMMYFUNCTION("""COMPUTED_VALUE"""),950.0)</f>
        <v>950</v>
      </c>
      <c r="I159" s="15">
        <f>IFERROR(__xludf.DUMMYFUNCTION("""COMPUTED_VALUE"""),1675.0)</f>
        <v>1675</v>
      </c>
      <c r="J159" s="15">
        <f>IFERROR(__xludf.DUMMYFUNCTION("""COMPUTED_VALUE"""),1585.0)</f>
        <v>1585</v>
      </c>
      <c r="K159" s="16" t="str">
        <f>IFERROR(__xludf.DUMMYFUNCTION("""COMPUTED_VALUE"""),"21/08/2023, 18:44:20")</f>
        <v>21/08/2023, 18:44:20</v>
      </c>
    </row>
    <row r="160">
      <c r="A160" s="18" t="str">
        <f>IFERROR(__xludf.DUMMYFUNCTION("""COMPUTED_VALUE"""),"63bac9422426700446d59e00")</f>
        <v>63bac9422426700446d59e00</v>
      </c>
      <c r="B160" s="15" t="str">
        <f>IFERROR(__xludf.DUMMYFUNCTION("""COMPUTED_VALUE"""),"official_batch_1_pokemon_mfc520_night_images_for_train_updated")</f>
        <v>official_batch_1_pokemon_mfc520_night_images_for_train_updated</v>
      </c>
      <c r="C160" s="15" t="str">
        <f>IFERROR(__xludf.DUMMYFUNCTION("""COMPUTED_VALUE"""),"train")</f>
        <v>train</v>
      </c>
      <c r="D160" s="15" t="str">
        <f>IFERROR(__xludf.DUMMYFUNCTION("""COMPUTED_VALUE"""),"train")</f>
        <v>train</v>
      </c>
      <c r="E160" s="15">
        <f>IFERROR(__xludf.DUMMYFUNCTION("""COMPUTED_VALUE"""),1941.0)</f>
        <v>1941</v>
      </c>
      <c r="F160" s="15" t="str">
        <f>IFERROR(__xludf.DUMMYFUNCTION("""COMPUTED_VALUE"""),"QUAD")</f>
        <v>QUAD</v>
      </c>
      <c r="G160" s="15" t="str">
        <f>IFERROR(__xludf.DUMMYFUNCTION("""COMPUTED_VALUE"""),"unknown, unknown, unknown, unknown")</f>
        <v>unknown, unknown, unknown, unknown</v>
      </c>
      <c r="H160" s="15">
        <f>IFERROR(__xludf.DUMMYFUNCTION("""COMPUTED_VALUE"""),950.0)</f>
        <v>950</v>
      </c>
      <c r="I160" s="15">
        <f>IFERROR(__xludf.DUMMYFUNCTION("""COMPUTED_VALUE"""),1675.0)</f>
        <v>1675</v>
      </c>
      <c r="J160" s="15">
        <f>IFERROR(__xludf.DUMMYFUNCTION("""COMPUTED_VALUE"""),1585.0)</f>
        <v>1585</v>
      </c>
      <c r="K160" s="16" t="str">
        <f>IFERROR(__xludf.DUMMYFUNCTION("""COMPUTED_VALUE"""),"21/08/2023, 18:53:21")</f>
        <v>21/08/2023, 18:53:21</v>
      </c>
    </row>
    <row r="161">
      <c r="A161" s="18" t="str">
        <f>IFERROR(__xludf.DUMMYFUNCTION("""COMPUTED_VALUE"""),"63badaee2426700446d5bbee")</f>
        <v>63badaee2426700446d5bbee</v>
      </c>
      <c r="B161" s="15" t="str">
        <f>IFERROR(__xludf.DUMMYFUNCTION("""COMPUTED_VALUE"""),"official_urbanic_country_night_for_train_updated")</f>
        <v>official_urbanic_country_night_for_train_updated</v>
      </c>
      <c r="C161" s="15" t="str">
        <f>IFERROR(__xludf.DUMMYFUNCTION("""COMPUTED_VALUE"""),"train")</f>
        <v>train</v>
      </c>
      <c r="D161" s="15" t="str">
        <f>IFERROR(__xludf.DUMMYFUNCTION("""COMPUTED_VALUE"""),"train")</f>
        <v>train</v>
      </c>
      <c r="E161" s="15">
        <f>IFERROR(__xludf.DUMMYFUNCTION("""COMPUTED_VALUE"""),608.0)</f>
        <v>608</v>
      </c>
      <c r="F161" s="15" t="str">
        <f>IFERROR(__xludf.DUMMYFUNCTION("""COMPUTED_VALUE"""),"QUAD")</f>
        <v>QUAD</v>
      </c>
      <c r="G161" s="15" t="str">
        <f>IFERROR(__xludf.DUMMYFUNCTION("""COMPUTED_VALUE"""),"unknown, unknown, unknown, unknown")</f>
        <v>unknown, unknown, unknown, unknown</v>
      </c>
      <c r="H161" s="15">
        <f>IFERROR(__xludf.DUMMYFUNCTION("""COMPUTED_VALUE"""),950.0)</f>
        <v>950</v>
      </c>
      <c r="I161" s="15">
        <f>IFERROR(__xludf.DUMMYFUNCTION("""COMPUTED_VALUE"""),1675.0)</f>
        <v>1675</v>
      </c>
      <c r="J161" s="15">
        <f>IFERROR(__xludf.DUMMYFUNCTION("""COMPUTED_VALUE"""),1585.0)</f>
        <v>1585</v>
      </c>
      <c r="K161" s="16" t="str">
        <f>IFERROR(__xludf.DUMMYFUNCTION("""COMPUTED_VALUE"""),"21/08/2023, 18:53:52")</f>
        <v>21/08/2023, 18:53:52</v>
      </c>
    </row>
    <row r="162">
      <c r="A162" s="18" t="str">
        <f>IFERROR(__xludf.DUMMYFUNCTION("""COMPUTED_VALUE"""),"63badb162426700446d5c011")</f>
        <v>63badb162426700446d5c011</v>
      </c>
      <c r="B162" s="15" t="str">
        <f>IFERROR(__xludf.DUMMYFUNCTION("""COMPUTED_VALUE"""),"official_night_dataset_for_train_updated")</f>
        <v>official_night_dataset_for_train_updated</v>
      </c>
      <c r="C162" s="15" t="str">
        <f>IFERROR(__xludf.DUMMYFUNCTION("""COMPUTED_VALUE"""),"train")</f>
        <v>train</v>
      </c>
      <c r="D162" s="15" t="str">
        <f>IFERROR(__xludf.DUMMYFUNCTION("""COMPUTED_VALUE"""),"train")</f>
        <v>train</v>
      </c>
      <c r="E162" s="15">
        <f>IFERROR(__xludf.DUMMYFUNCTION("""COMPUTED_VALUE"""),345.0)</f>
        <v>345</v>
      </c>
      <c r="F162" s="15" t="str">
        <f>IFERROR(__xludf.DUMMYFUNCTION("""COMPUTED_VALUE"""),"QUAD")</f>
        <v>QUAD</v>
      </c>
      <c r="G162" s="15" t="str">
        <f>IFERROR(__xludf.DUMMYFUNCTION("""COMPUTED_VALUE"""),"unknown, unknown, unknown, unknown")</f>
        <v>unknown, unknown, unknown, unknown</v>
      </c>
      <c r="H162" s="15">
        <f>IFERROR(__xludf.DUMMYFUNCTION("""COMPUTED_VALUE"""),950.0)</f>
        <v>950</v>
      </c>
      <c r="I162" s="15">
        <f>IFERROR(__xludf.DUMMYFUNCTION("""COMPUTED_VALUE"""),1675.0)</f>
        <v>1675</v>
      </c>
      <c r="J162" s="15">
        <f>IFERROR(__xludf.DUMMYFUNCTION("""COMPUTED_VALUE"""),1585.0)</f>
        <v>1585</v>
      </c>
      <c r="K162" s="16" t="str">
        <f>IFERROR(__xludf.DUMMYFUNCTION("""COMPUTED_VALUE"""),"21/08/2023, 18:53:56")</f>
        <v>21/08/2023, 18:53:56</v>
      </c>
    </row>
    <row r="163">
      <c r="A163" s="18" t="str">
        <f>IFERROR(__xludf.DUMMYFUNCTION("""COMPUTED_VALUE"""),"642ad73abe8ede2209d087bf")</f>
        <v>642ad73abe8ede2209d087bf</v>
      </c>
      <c r="B163" s="15" t="str">
        <f>IFERROR(__xludf.DUMMYFUNCTION("""COMPUTED_VALUE"""),"official_drab_lynn_for_train_updated")</f>
        <v>official_drab_lynn_for_train_updated</v>
      </c>
      <c r="C163" s="15" t="str">
        <f>IFERROR(__xludf.DUMMYFUNCTION("""COMPUTED_VALUE"""),"train")</f>
        <v>train</v>
      </c>
      <c r="D163" s="15" t="str">
        <f>IFERROR(__xludf.DUMMYFUNCTION("""COMPUTED_VALUE"""),"train")</f>
        <v>train</v>
      </c>
      <c r="E163" s="15">
        <f>IFERROR(__xludf.DUMMYFUNCTION("""COMPUTED_VALUE"""),7240.0)</f>
        <v>7240</v>
      </c>
      <c r="F163" s="15" t="str">
        <f>IFERROR(__xludf.DUMMYFUNCTION("""COMPUTED_VALUE"""),"QUAD")</f>
        <v>QUAD</v>
      </c>
      <c r="G163" s="15" t="str">
        <f>IFERROR(__xludf.DUMMYFUNCTION("""COMPUTED_VALUE"""),"unknown, unknown, unknown, unknown")</f>
        <v>unknown, unknown, unknown, unknown</v>
      </c>
      <c r="H163" s="15">
        <f>IFERROR(__xludf.DUMMYFUNCTION("""COMPUTED_VALUE"""),950.0)</f>
        <v>950</v>
      </c>
      <c r="I163" s="15">
        <f>IFERROR(__xludf.DUMMYFUNCTION("""COMPUTED_VALUE"""),1675.0)</f>
        <v>1675</v>
      </c>
      <c r="J163" s="15">
        <f>IFERROR(__xludf.DUMMYFUNCTION("""COMPUTED_VALUE"""),1585.0)</f>
        <v>1585</v>
      </c>
      <c r="K163" s="16" t="str">
        <f>IFERROR(__xludf.DUMMYFUNCTION("""COMPUTED_VALUE"""),"21/08/2023, 18:54:09")</f>
        <v>21/08/2023, 18:54:09</v>
      </c>
    </row>
    <row r="164">
      <c r="A164" s="18" t="str">
        <f>IFERROR(__xludf.DUMMYFUNCTION("""COMPUTED_VALUE"""),"642d3098be8ede2209d0937b")</f>
        <v>642d3098be8ede2209d0937b</v>
      </c>
      <c r="B164" s="15" t="str">
        <f>IFERROR(__xludf.DUMMYFUNCTION("""COMPUTED_VALUE"""),"official_ncap_4w_for_train_updated")</f>
        <v>official_ncap_4w_for_train_updated</v>
      </c>
      <c r="C164" s="15" t="str">
        <f>IFERROR(__xludf.DUMMYFUNCTION("""COMPUTED_VALUE"""),"train")</f>
        <v>train</v>
      </c>
      <c r="D164" s="15" t="str">
        <f>IFERROR(__xludf.DUMMYFUNCTION("""COMPUTED_VALUE"""),"train")</f>
        <v>train</v>
      </c>
      <c r="E164" s="15">
        <f>IFERROR(__xludf.DUMMYFUNCTION("""COMPUTED_VALUE"""),41.0)</f>
        <v>41</v>
      </c>
      <c r="F164" s="15" t="str">
        <f>IFERROR(__xludf.DUMMYFUNCTION("""COMPUTED_VALUE"""),"QUAD")</f>
        <v>QUAD</v>
      </c>
      <c r="G164" s="15" t="str">
        <f>IFERROR(__xludf.DUMMYFUNCTION("""COMPUTED_VALUE"""),"unknown, unknown, unknown, unknown")</f>
        <v>unknown, unknown, unknown, unknown</v>
      </c>
      <c r="H164" s="15">
        <f>IFERROR(__xludf.DUMMYFUNCTION("""COMPUTED_VALUE"""),950.0)</f>
        <v>950</v>
      </c>
      <c r="I164" s="15">
        <f>IFERROR(__xludf.DUMMYFUNCTION("""COMPUTED_VALUE"""),1675.0)</f>
        <v>1675</v>
      </c>
      <c r="J164" s="15">
        <f>IFERROR(__xludf.DUMMYFUNCTION("""COMPUTED_VALUE"""),1585.0)</f>
        <v>1585</v>
      </c>
      <c r="K164" s="16" t="str">
        <f>IFERROR(__xludf.DUMMYFUNCTION("""COMPUTED_VALUE"""),"21/08/2023, 18:54:12")</f>
        <v>21/08/2023, 18:54:12</v>
      </c>
    </row>
    <row r="165">
      <c r="A165" s="18" t="str">
        <f>IFERROR(__xludf.DUMMYFUNCTION("""COMPUTED_VALUE"""),"642d3218be8ede2209d09387")</f>
        <v>642d3218be8ede2209d09387</v>
      </c>
      <c r="B165" s="15" t="str">
        <f>IFERROR(__xludf.DUMMYFUNCTION("""COMPUTED_VALUE"""),"official_data_for_4w_training_classifier_for_train_updated")</f>
        <v>official_data_for_4w_training_classifier_for_train_updated</v>
      </c>
      <c r="C165" s="15" t="str">
        <f>IFERROR(__xludf.DUMMYFUNCTION("""COMPUTED_VALUE"""),"train")</f>
        <v>train</v>
      </c>
      <c r="D165" s="15" t="str">
        <f>IFERROR(__xludf.DUMMYFUNCTION("""COMPUTED_VALUE"""),"train")</f>
        <v>train</v>
      </c>
      <c r="E165" s="15">
        <f>IFERROR(__xludf.DUMMYFUNCTION("""COMPUTED_VALUE"""),553.0)</f>
        <v>553</v>
      </c>
      <c r="F165" s="15" t="str">
        <f>IFERROR(__xludf.DUMMYFUNCTION("""COMPUTED_VALUE"""),"QUAD")</f>
        <v>QUAD</v>
      </c>
      <c r="G165" s="15" t="str">
        <f>IFERROR(__xludf.DUMMYFUNCTION("""COMPUTED_VALUE"""),"unknown, unknown, unknown, unknown")</f>
        <v>unknown, unknown, unknown, unknown</v>
      </c>
      <c r="H165" s="15">
        <f>IFERROR(__xludf.DUMMYFUNCTION("""COMPUTED_VALUE"""),950.0)</f>
        <v>950</v>
      </c>
      <c r="I165" s="15">
        <f>IFERROR(__xludf.DUMMYFUNCTION("""COMPUTED_VALUE"""),1675.0)</f>
        <v>1675</v>
      </c>
      <c r="J165" s="15">
        <f>IFERROR(__xludf.DUMMYFUNCTION("""COMPUTED_VALUE"""),1585.0)</f>
        <v>1585</v>
      </c>
      <c r="K165" s="16" t="str">
        <f>IFERROR(__xludf.DUMMYFUNCTION("""COMPUTED_VALUE"""),"21/08/2023, 18:54:15")</f>
        <v>21/08/2023, 18:54:15</v>
      </c>
    </row>
    <row r="166">
      <c r="A166" s="18" t="str">
        <f>IFERROR(__xludf.DUMMYFUNCTION("""COMPUTED_VALUE"""),"642d32bdbe8ede2209d0938e")</f>
        <v>642d32bdbe8ede2209d0938e</v>
      </c>
      <c r="B166" s="15" t="str">
        <f>IFERROR(__xludf.DUMMYFUNCTION("""COMPUTED_VALUE"""),"official_night_van_as_car_tagging_problems_for_train_updated")</f>
        <v>official_night_van_as_car_tagging_problems_for_train_updated</v>
      </c>
      <c r="C166" s="15" t="str">
        <f>IFERROR(__xludf.DUMMYFUNCTION("""COMPUTED_VALUE"""),"train")</f>
        <v>train</v>
      </c>
      <c r="D166" s="15" t="str">
        <f>IFERROR(__xludf.DUMMYFUNCTION("""COMPUTED_VALUE"""),"train")</f>
        <v>train</v>
      </c>
      <c r="E166" s="15">
        <f>IFERROR(__xludf.DUMMYFUNCTION("""COMPUTED_VALUE"""),352.0)</f>
        <v>352</v>
      </c>
      <c r="F166" s="15" t="str">
        <f>IFERROR(__xludf.DUMMYFUNCTION("""COMPUTED_VALUE"""),"QUAD")</f>
        <v>QUAD</v>
      </c>
      <c r="G166" s="15" t="str">
        <f>IFERROR(__xludf.DUMMYFUNCTION("""COMPUTED_VALUE"""),"unknown, unknown, unknown, unknown")</f>
        <v>unknown, unknown, unknown, unknown</v>
      </c>
      <c r="H166" s="15">
        <f>IFERROR(__xludf.DUMMYFUNCTION("""COMPUTED_VALUE"""),950.0)</f>
        <v>950</v>
      </c>
      <c r="I166" s="15">
        <f>IFERROR(__xludf.DUMMYFUNCTION("""COMPUTED_VALUE"""),1675.0)</f>
        <v>1675</v>
      </c>
      <c r="J166" s="15">
        <f>IFERROR(__xludf.DUMMYFUNCTION("""COMPUTED_VALUE"""),1585.0)</f>
        <v>1585</v>
      </c>
      <c r="K166" s="16" t="str">
        <f>IFERROR(__xludf.DUMMYFUNCTION("""COMPUTED_VALUE"""),"21/08/2023, 18:54:19")</f>
        <v>21/08/2023, 18:54:19</v>
      </c>
    </row>
    <row r="167">
      <c r="A167" s="18" t="str">
        <f>IFERROR(__xludf.DUMMYFUNCTION("""COMPUTED_VALUE"""),"64dc92277225d01c8be1612f")</f>
        <v>64dc92277225d01c8be1612f</v>
      </c>
      <c r="B167" s="15" t="str">
        <f>IFERROR(__xludf.DUMMYFUNCTION("""COMPUTED_VALUE"""),"official_filtered_ncap_1912_for_train_updated")</f>
        <v>official_filtered_ncap_1912_for_train_updated</v>
      </c>
      <c r="C167" s="15" t="str">
        <f>IFERROR(__xludf.DUMMYFUNCTION("""COMPUTED_VALUE"""),"train")</f>
        <v>train</v>
      </c>
      <c r="D167" s="15" t="str">
        <f>IFERROR(__xludf.DUMMYFUNCTION("""COMPUTED_VALUE"""),"train")</f>
        <v>train</v>
      </c>
      <c r="E167" s="15">
        <f>IFERROR(__xludf.DUMMYFUNCTION("""COMPUTED_VALUE"""),120.0)</f>
        <v>120</v>
      </c>
      <c r="F167" s="15" t="str">
        <f>IFERROR(__xludf.DUMMYFUNCTION("""COMPUTED_VALUE"""),"QUAD")</f>
        <v>QUAD</v>
      </c>
      <c r="G167" s="15" t="str">
        <f>IFERROR(__xludf.DUMMYFUNCTION("""COMPUTED_VALUE"""),"unknown, unknown, unknown, unknown")</f>
        <v>unknown, unknown, unknown, unknown</v>
      </c>
      <c r="H167" s="15">
        <f>IFERROR(__xludf.DUMMYFUNCTION("""COMPUTED_VALUE"""),950.0)</f>
        <v>950</v>
      </c>
      <c r="I167" s="15">
        <f>IFERROR(__xludf.DUMMYFUNCTION("""COMPUTED_VALUE"""),1675.0)</f>
        <v>1675</v>
      </c>
      <c r="J167" s="15">
        <f>IFERROR(__xludf.DUMMYFUNCTION("""COMPUTED_VALUE"""),1585.0)</f>
        <v>1585</v>
      </c>
      <c r="K167" s="16" t="str">
        <f>IFERROR(__xludf.DUMMYFUNCTION("""COMPUTED_VALUE"""),"21/08/2023, 18:54:22")</f>
        <v>21/08/2023, 18:54:22</v>
      </c>
    </row>
    <row r="168">
      <c r="A168" s="18" t="str">
        <f>IFERROR(__xludf.DUMMYFUNCTION("""COMPUTED_VALUE"""),"64dc91ff7225d01c8be1612b")</f>
        <v>64dc91ff7225d01c8be1612b</v>
      </c>
      <c r="B168" s="15" t="str">
        <f>IFERROR(__xludf.DUMMYFUNCTION("""COMPUTED_VALUE"""),"official_grid_yellow_vest_02_for_train_updated")</f>
        <v>official_grid_yellow_vest_02_for_train_updated</v>
      </c>
      <c r="C168" s="15" t="str">
        <f>IFERROR(__xludf.DUMMYFUNCTION("""COMPUTED_VALUE"""),"train")</f>
        <v>train</v>
      </c>
      <c r="D168" s="15" t="str">
        <f>IFERROR(__xludf.DUMMYFUNCTION("""COMPUTED_VALUE"""),"train")</f>
        <v>train</v>
      </c>
      <c r="E168" s="15">
        <f>IFERROR(__xludf.DUMMYFUNCTION("""COMPUTED_VALUE"""),198.0)</f>
        <v>198</v>
      </c>
      <c r="F168" s="15" t="str">
        <f>IFERROR(__xludf.DUMMYFUNCTION("""COMPUTED_VALUE"""),"QUAD")</f>
        <v>QUAD</v>
      </c>
      <c r="G168" s="15" t="str">
        <f>IFERROR(__xludf.DUMMYFUNCTION("""COMPUTED_VALUE"""),"unknown, unknown, unknown, unknown")</f>
        <v>unknown, unknown, unknown, unknown</v>
      </c>
      <c r="H168" s="15">
        <f>IFERROR(__xludf.DUMMYFUNCTION("""COMPUTED_VALUE"""),950.0)</f>
        <v>950</v>
      </c>
      <c r="I168" s="15">
        <f>IFERROR(__xludf.DUMMYFUNCTION("""COMPUTED_VALUE"""),1675.0)</f>
        <v>1675</v>
      </c>
      <c r="J168" s="15">
        <f>IFERROR(__xludf.DUMMYFUNCTION("""COMPUTED_VALUE"""),1585.0)</f>
        <v>1585</v>
      </c>
      <c r="K168" s="16" t="str">
        <f>IFERROR(__xludf.DUMMYFUNCTION("""COMPUTED_VALUE"""),"21/08/2023, 18:54:26")</f>
        <v>21/08/2023, 18:54:26</v>
      </c>
    </row>
    <row r="169">
      <c r="A169" s="18" t="str">
        <f>IFERROR(__xludf.DUMMYFUNCTION("""COMPUTED_VALUE"""),"64dc91b17225d01c8be16121")</f>
        <v>64dc91b17225d01c8be16121</v>
      </c>
      <c r="B169" s="15" t="str">
        <f>IFERROR(__xludf.DUMMYFUNCTION("""COMPUTED_VALUE"""),"official_racam_batch3a_rig3_50s_part1_for_train_updated")</f>
        <v>official_racam_batch3a_rig3_50s_part1_for_train_updated</v>
      </c>
      <c r="C169" s="15" t="str">
        <f>IFERROR(__xludf.DUMMYFUNCTION("""COMPUTED_VALUE"""),"train")</f>
        <v>train</v>
      </c>
      <c r="D169" s="15" t="str">
        <f>IFERROR(__xludf.DUMMYFUNCTION("""COMPUTED_VALUE"""),"train")</f>
        <v>train</v>
      </c>
      <c r="E169" s="15">
        <f>IFERROR(__xludf.DUMMYFUNCTION("""COMPUTED_VALUE"""),3264.0)</f>
        <v>3264</v>
      </c>
      <c r="F169" s="15" t="str">
        <f>IFERROR(__xludf.DUMMYFUNCTION("""COMPUTED_VALUE"""),"QUAD")</f>
        <v>QUAD</v>
      </c>
      <c r="G169" s="15" t="str">
        <f>IFERROR(__xludf.DUMMYFUNCTION("""COMPUTED_VALUE"""),"unknown, unknown, unknown, unknown")</f>
        <v>unknown, unknown, unknown, unknown</v>
      </c>
      <c r="H169" s="15">
        <f>IFERROR(__xludf.DUMMYFUNCTION("""COMPUTED_VALUE"""),950.0)</f>
        <v>950</v>
      </c>
      <c r="I169" s="15">
        <f>IFERROR(__xludf.DUMMYFUNCTION("""COMPUTED_VALUE"""),1675.0)</f>
        <v>1675</v>
      </c>
      <c r="J169" s="15">
        <f>IFERROR(__xludf.DUMMYFUNCTION("""COMPUTED_VALUE"""),1585.0)</f>
        <v>1585</v>
      </c>
      <c r="K169" s="16" t="str">
        <f>IFERROR(__xludf.DUMMYFUNCTION("""COMPUTED_VALUE"""),"21/08/2023, 18:54:33")</f>
        <v>21/08/2023, 18:54:33</v>
      </c>
    </row>
    <row r="170">
      <c r="A170" s="18" t="str">
        <f>IFERROR(__xludf.DUMMYFUNCTION("""COMPUTED_VALUE"""),"63f36213be8ede2209ce1cdc")</f>
        <v>63f36213be8ede2209ce1cdc</v>
      </c>
      <c r="B170" s="15" t="str">
        <f>IFERROR(__xludf.DUMMYFUNCTION("""COMPUTED_VALUE"""),"amba4_germany_for_train")</f>
        <v>amba4_germany_for_train</v>
      </c>
      <c r="C170" s="15" t="str">
        <f>IFERROR(__xludf.DUMMYFUNCTION("""COMPUTED_VALUE"""),"train")</f>
        <v>train</v>
      </c>
      <c r="D170" s="15" t="str">
        <f>IFERROR(__xludf.DUMMYFUNCTION("""COMPUTED_VALUE"""),"train")</f>
        <v>train</v>
      </c>
      <c r="E170" s="15">
        <f>IFERROR(__xludf.DUMMYFUNCTION("""COMPUTED_VALUE"""),127.0)</f>
        <v>127</v>
      </c>
      <c r="F170" s="15" t="str">
        <f>IFERROR(__xludf.DUMMYFUNCTION("""COMPUTED_VALUE"""),"AMBARELLA_3840_1920")</f>
        <v>AMBARELLA_3840_1920</v>
      </c>
      <c r="G170" s="15" t="str">
        <f>IFERROR(__xludf.DUMMYFUNCTION("""COMPUTED_VALUE"""),"unknown, unknown, unknown, unknown")</f>
        <v>unknown, unknown, unknown, unknown</v>
      </c>
      <c r="H170" s="15">
        <f>IFERROR(__xludf.DUMMYFUNCTION("""COMPUTED_VALUE"""),950.0)</f>
        <v>950</v>
      </c>
      <c r="I170" s="15">
        <f>IFERROR(__xludf.DUMMYFUNCTION("""COMPUTED_VALUE"""),1675.0)</f>
        <v>1675</v>
      </c>
      <c r="J170" s="15">
        <f>IFERROR(__xludf.DUMMYFUNCTION("""COMPUTED_VALUE"""),1585.0)</f>
        <v>1585</v>
      </c>
      <c r="K170" s="16" t="str">
        <f>IFERROR(__xludf.DUMMYFUNCTION("""COMPUTED_VALUE"""),"21/08/2023, 19:05:36")</f>
        <v>21/08/2023, 19:05:36</v>
      </c>
    </row>
    <row r="171">
      <c r="A171" s="18" t="str">
        <f>IFERROR(__xludf.DUMMYFUNCTION("""COMPUTED_VALUE"""),"62f5099907d51f1227acd677")</f>
        <v>62f5099907d51f1227acd677</v>
      </c>
      <c r="B171" s="15" t="str">
        <f>IFERROR(__xludf.DUMMYFUNCTION("""COMPUTED_VALUE"""),"sanity_ped_cross_10m_combined_v1_new")</f>
        <v>sanity_ped_cross_10m_combined_v1_new</v>
      </c>
      <c r="C171" s="15" t="str">
        <f>IFERROR(__xludf.DUMMYFUNCTION("""COMPUTED_VALUE"""),"train")</f>
        <v>train</v>
      </c>
      <c r="D171" s="15" t="str">
        <f>IFERROR(__xludf.DUMMYFUNCTION("""COMPUTED_VALUE"""),"train")</f>
        <v>train</v>
      </c>
      <c r="E171" s="15">
        <f>IFERROR(__xludf.DUMMYFUNCTION("""COMPUTED_VALUE"""),920.0)</f>
        <v>920</v>
      </c>
      <c r="F171" s="15" t="str">
        <f>IFERROR(__xludf.DUMMYFUNCTION("""COMPUTED_VALUE"""),"AMBARELLA_3840_1920")</f>
        <v>AMBARELLA_3840_1920</v>
      </c>
      <c r="G171" s="15" t="str">
        <f>IFERROR(__xludf.DUMMYFUNCTION("""COMPUTED_VALUE"""),"unknown, unknown, unknown, unknown")</f>
        <v>unknown, unknown, unknown, unknown</v>
      </c>
      <c r="H171" s="15">
        <f>IFERROR(__xludf.DUMMYFUNCTION("""COMPUTED_VALUE"""),950.0)</f>
        <v>950</v>
      </c>
      <c r="I171" s="15">
        <f>IFERROR(__xludf.DUMMYFUNCTION("""COMPUTED_VALUE"""),1675.0)</f>
        <v>1675</v>
      </c>
      <c r="J171" s="15">
        <f>IFERROR(__xludf.DUMMYFUNCTION("""COMPUTED_VALUE"""),1585.0)</f>
        <v>1585</v>
      </c>
      <c r="K171" s="16" t="str">
        <f>IFERROR(__xludf.DUMMYFUNCTION("""COMPUTED_VALUE"""),"21/08/2023, 19:05:50")</f>
        <v>21/08/2023, 19:05:50</v>
      </c>
    </row>
    <row r="172">
      <c r="A172" s="25" t="str">
        <f>IFERROR(__xludf.DUMMYFUNCTION("""COMPUTED_VALUE"""),"62fa39b107d51f1227c834a8")</f>
        <v>62fa39b107d51f1227c834a8</v>
      </c>
      <c r="B172" s="26" t="str">
        <f>IFERROR(__xludf.DUMMYFUNCTION("""COMPUTED_VALUE"""),"sanity_ped_cross_05m_combined_v1_new")</f>
        <v>sanity_ped_cross_05m_combined_v1_new</v>
      </c>
      <c r="C172" s="26" t="str">
        <f>IFERROR(__xludf.DUMMYFUNCTION("""COMPUTED_VALUE"""),"train")</f>
        <v>train</v>
      </c>
      <c r="D172" s="26" t="str">
        <f>IFERROR(__xludf.DUMMYFUNCTION("""COMPUTED_VALUE"""),"train")</f>
        <v>train</v>
      </c>
      <c r="E172" s="26">
        <f>IFERROR(__xludf.DUMMYFUNCTION("""COMPUTED_VALUE"""),959.0)</f>
        <v>959</v>
      </c>
      <c r="F172" s="26" t="str">
        <f>IFERROR(__xludf.DUMMYFUNCTION("""COMPUTED_VALUE"""),"AMBARELLA_3840_1920")</f>
        <v>AMBARELLA_3840_1920</v>
      </c>
      <c r="G172" s="26" t="str">
        <f>IFERROR(__xludf.DUMMYFUNCTION("""COMPUTED_VALUE"""),"unknown, unknown, unknown, unknown")</f>
        <v>unknown, unknown, unknown, unknown</v>
      </c>
      <c r="H172" s="26">
        <f>IFERROR(__xludf.DUMMYFUNCTION("""COMPUTED_VALUE"""),950.0)</f>
        <v>950</v>
      </c>
      <c r="I172" s="26">
        <f>IFERROR(__xludf.DUMMYFUNCTION("""COMPUTED_VALUE"""),1675.0)</f>
        <v>1675</v>
      </c>
      <c r="J172" s="26">
        <f>IFERROR(__xludf.DUMMYFUNCTION("""COMPUTED_VALUE"""),1585.0)</f>
        <v>1585</v>
      </c>
      <c r="K172" s="27" t="str">
        <f>IFERROR(__xludf.DUMMYFUNCTION("""COMPUTED_VALUE"""),"21/08/2023, 19:05:59")</f>
        <v>21/08/2023, 19:05:59</v>
      </c>
    </row>
    <row r="173">
      <c r="A173" s="18" t="str">
        <f>IFERROR(__xludf.DUMMYFUNCTION("""COMPUTED_VALUE"""),"62bd99c7ebb0ff6db821686e")</f>
        <v>62bd99c7ebb0ff6db821686e</v>
      </c>
      <c r="B173" s="15" t="str">
        <f>IFERROR(__xludf.DUMMYFUNCTION("""COMPUTED_VALUE"""),"youtube_beverly_hills_day_train")</f>
        <v>youtube_beverly_hills_day_train</v>
      </c>
      <c r="C173" s="15" t="str">
        <f>IFERROR(__xludf.DUMMYFUNCTION("""COMPUTED_VALUE"""),"train")</f>
        <v>train</v>
      </c>
      <c r="D173" s="15" t="str">
        <f>IFERROR(__xludf.DUMMYFUNCTION("""COMPUTED_VALUE"""),"train")</f>
        <v>train</v>
      </c>
      <c r="E173" s="15">
        <f>IFERROR(__xludf.DUMMYFUNCTION("""COMPUTED_VALUE"""),465.0)</f>
        <v>465</v>
      </c>
      <c r="F173" s="15" t="str">
        <f>IFERROR(__xludf.DUMMYFUNCTION("""COMPUTED_VALUE"""),"AMBARELLA_3840_1920")</f>
        <v>AMBARELLA_3840_1920</v>
      </c>
      <c r="G173" s="15" t="str">
        <f>IFERROR(__xludf.DUMMYFUNCTION("""COMPUTED_VALUE"""),"unknown, unknown, unknown, unknown")</f>
        <v>unknown, unknown, unknown, unknown</v>
      </c>
      <c r="H173" s="15">
        <f>IFERROR(__xludf.DUMMYFUNCTION("""COMPUTED_VALUE"""),950.0)</f>
        <v>950</v>
      </c>
      <c r="I173" s="15">
        <f>IFERROR(__xludf.DUMMYFUNCTION("""COMPUTED_VALUE"""),1675.0)</f>
        <v>1675</v>
      </c>
      <c r="J173" s="15">
        <f>IFERROR(__xludf.DUMMYFUNCTION("""COMPUTED_VALUE"""),1585.0)</f>
        <v>1585</v>
      </c>
      <c r="K173" s="16" t="str">
        <f>IFERROR(__xludf.DUMMYFUNCTION("""COMPUTED_VALUE"""),"21/08/2023, 19:06:40")</f>
        <v>21/08/2023, 19:06:40</v>
      </c>
    </row>
    <row r="174">
      <c r="A174" s="25" t="str">
        <f>IFERROR(__xludf.DUMMYFUNCTION("""COMPUTED_VALUE"""),"62f8c71307d51f1227bd7aff")</f>
        <v>62f8c71307d51f1227bd7aff</v>
      </c>
      <c r="B174" s="26" t="str">
        <f>IFERROR(__xludf.DUMMYFUNCTION("""COMPUTED_VALUE"""),"sanity_ped_cross_70m_combined_v1_new")</f>
        <v>sanity_ped_cross_70m_combined_v1_new</v>
      </c>
      <c r="C174" s="26" t="str">
        <f>IFERROR(__xludf.DUMMYFUNCTION("""COMPUTED_VALUE"""),"train")</f>
        <v>train</v>
      </c>
      <c r="D174" s="26" t="str">
        <f>IFERROR(__xludf.DUMMYFUNCTION("""COMPUTED_VALUE"""),"train")</f>
        <v>train</v>
      </c>
      <c r="E174" s="26">
        <f>IFERROR(__xludf.DUMMYFUNCTION("""COMPUTED_VALUE"""),2307.0)</f>
        <v>2307</v>
      </c>
      <c r="F174" s="26" t="str">
        <f>IFERROR(__xludf.DUMMYFUNCTION("""COMPUTED_VALUE"""),"AMBARELLA_3840_1920")</f>
        <v>AMBARELLA_3840_1920</v>
      </c>
      <c r="G174" s="26" t="str">
        <f>IFERROR(__xludf.DUMMYFUNCTION("""COMPUTED_VALUE"""),"unknown, unknown, unknown, unknown")</f>
        <v>unknown, unknown, unknown, unknown</v>
      </c>
      <c r="H174" s="26">
        <f>IFERROR(__xludf.DUMMYFUNCTION("""COMPUTED_VALUE"""),950.0)</f>
        <v>950</v>
      </c>
      <c r="I174" s="26">
        <f>IFERROR(__xludf.DUMMYFUNCTION("""COMPUTED_VALUE"""),1675.0)</f>
        <v>1675</v>
      </c>
      <c r="J174" s="26">
        <f>IFERROR(__xludf.DUMMYFUNCTION("""COMPUTED_VALUE"""),1585.0)</f>
        <v>1585</v>
      </c>
      <c r="K174" s="27" t="str">
        <f>IFERROR(__xludf.DUMMYFUNCTION("""COMPUTED_VALUE"""),"21/08/2023, 19:06:52")</f>
        <v>21/08/2023, 19:06:52</v>
      </c>
    </row>
    <row r="175">
      <c r="A175" s="18" t="str">
        <f>IFERROR(__xludf.DUMMYFUNCTION("""COMPUTED_VALUE"""),"62f8aa4707d51f1227bd3935")</f>
        <v>62f8aa4707d51f1227bd3935</v>
      </c>
      <c r="B175" s="15" t="str">
        <f>IFERROR(__xludf.DUMMYFUNCTION("""COMPUTED_VALUE"""),"sanity_ped_cross_60m_combined_v1_new1")</f>
        <v>sanity_ped_cross_60m_combined_v1_new1</v>
      </c>
      <c r="C175" s="15" t="str">
        <f>IFERROR(__xludf.DUMMYFUNCTION("""COMPUTED_VALUE"""),"train")</f>
        <v>train</v>
      </c>
      <c r="D175" s="15" t="str">
        <f>IFERROR(__xludf.DUMMYFUNCTION("""COMPUTED_VALUE"""),"train")</f>
        <v>train</v>
      </c>
      <c r="E175" s="15">
        <f>IFERROR(__xludf.DUMMYFUNCTION("""COMPUTED_VALUE"""),1713.0)</f>
        <v>1713</v>
      </c>
      <c r="F175" s="15" t="str">
        <f>IFERROR(__xludf.DUMMYFUNCTION("""COMPUTED_VALUE"""),"AMBARELLA_3840_1920")</f>
        <v>AMBARELLA_3840_1920</v>
      </c>
      <c r="G175" s="15" t="str">
        <f>IFERROR(__xludf.DUMMYFUNCTION("""COMPUTED_VALUE"""),"unknown, unknown, unknown, unknown")</f>
        <v>unknown, unknown, unknown, unknown</v>
      </c>
      <c r="H175" s="15">
        <f>IFERROR(__xludf.DUMMYFUNCTION("""COMPUTED_VALUE"""),950.0)</f>
        <v>950</v>
      </c>
      <c r="I175" s="15">
        <f>IFERROR(__xludf.DUMMYFUNCTION("""COMPUTED_VALUE"""),1675.0)</f>
        <v>1675</v>
      </c>
      <c r="J175" s="15">
        <f>IFERROR(__xludf.DUMMYFUNCTION("""COMPUTED_VALUE"""),1585.0)</f>
        <v>1585</v>
      </c>
      <c r="K175" s="16" t="str">
        <f>IFERROR(__xludf.DUMMYFUNCTION("""COMPUTED_VALUE"""),"21/08/2023, 19:06:56")</f>
        <v>21/08/2023, 19:06:56</v>
      </c>
    </row>
    <row r="176">
      <c r="A176" s="25" t="str">
        <f>IFERROR(__xludf.DUMMYFUNCTION("""COMPUTED_VALUE"""),"62bc56ebebb0ff6db81659b9")</f>
        <v>62bc56ebebb0ff6db81659b9</v>
      </c>
      <c r="B176" s="26" t="str">
        <f>IFERROR(__xludf.DUMMYFUNCTION("""COMPUTED_VALUE"""),"train_wallmart_pedestrian1")</f>
        <v>train_wallmart_pedestrian1</v>
      </c>
      <c r="C176" s="26" t="str">
        <f>IFERROR(__xludf.DUMMYFUNCTION("""COMPUTED_VALUE"""),"train")</f>
        <v>train</v>
      </c>
      <c r="D176" s="26" t="str">
        <f>IFERROR(__xludf.DUMMYFUNCTION("""COMPUTED_VALUE"""),"train")</f>
        <v>train</v>
      </c>
      <c r="E176" s="26">
        <f>IFERROR(__xludf.DUMMYFUNCTION("""COMPUTED_VALUE"""),240.0)</f>
        <v>240</v>
      </c>
      <c r="F176" s="26" t="str">
        <f>IFERROR(__xludf.DUMMYFUNCTION("""COMPUTED_VALUE"""),"AMBARELLA_3840_1920")</f>
        <v>AMBARELLA_3840_1920</v>
      </c>
      <c r="G176" s="26" t="str">
        <f>IFERROR(__xludf.DUMMYFUNCTION("""COMPUTED_VALUE"""),"unknown, unknown, unknown, unknown")</f>
        <v>unknown, unknown, unknown, unknown</v>
      </c>
      <c r="H176" s="26">
        <f>IFERROR(__xludf.DUMMYFUNCTION("""COMPUTED_VALUE"""),950.0)</f>
        <v>950</v>
      </c>
      <c r="I176" s="26">
        <f>IFERROR(__xludf.DUMMYFUNCTION("""COMPUTED_VALUE"""),1675.0)</f>
        <v>1675</v>
      </c>
      <c r="J176" s="26">
        <f>IFERROR(__xludf.DUMMYFUNCTION("""COMPUTED_VALUE"""),1585.0)</f>
        <v>1585</v>
      </c>
      <c r="K176" s="27" t="str">
        <f>IFERROR(__xludf.DUMMYFUNCTION("""COMPUTED_VALUE"""),"21/08/2023, 19:06:58")</f>
        <v>21/08/2023, 19:06:58</v>
      </c>
    </row>
    <row r="177">
      <c r="A177" s="18" t="str">
        <f>IFERROR(__xludf.DUMMYFUNCTION("""COMPUTED_VALUE"""),"62fdefd16cf28d7159d430c2")</f>
        <v>62fdefd16cf28d7159d430c2</v>
      </c>
      <c r="B177" s="15" t="str">
        <f>IFERROR(__xludf.DUMMYFUNCTION("""COMPUTED_VALUE"""),"sanity_ped_cross_80m_combined_v1_new")</f>
        <v>sanity_ped_cross_80m_combined_v1_new</v>
      </c>
      <c r="C177" s="15" t="str">
        <f>IFERROR(__xludf.DUMMYFUNCTION("""COMPUTED_VALUE"""),"train")</f>
        <v>train</v>
      </c>
      <c r="D177" s="15" t="str">
        <f>IFERROR(__xludf.DUMMYFUNCTION("""COMPUTED_VALUE"""),"train")</f>
        <v>train</v>
      </c>
      <c r="E177" s="15">
        <f>IFERROR(__xludf.DUMMYFUNCTION("""COMPUTED_VALUE"""),1818.0)</f>
        <v>1818</v>
      </c>
      <c r="F177" s="15" t="str">
        <f>IFERROR(__xludf.DUMMYFUNCTION("""COMPUTED_VALUE"""),"AMBARELLA_3840_1920")</f>
        <v>AMBARELLA_3840_1920</v>
      </c>
      <c r="G177" s="15" t="str">
        <f>IFERROR(__xludf.DUMMYFUNCTION("""COMPUTED_VALUE"""),"unknown, unknown, unknown, unknown")</f>
        <v>unknown, unknown, unknown, unknown</v>
      </c>
      <c r="H177" s="15">
        <f>IFERROR(__xludf.DUMMYFUNCTION("""COMPUTED_VALUE"""),950.0)</f>
        <v>950</v>
      </c>
      <c r="I177" s="15">
        <f>IFERROR(__xludf.DUMMYFUNCTION("""COMPUTED_VALUE"""),1675.0)</f>
        <v>1675</v>
      </c>
      <c r="J177" s="15">
        <f>IFERROR(__xludf.DUMMYFUNCTION("""COMPUTED_VALUE"""),1585.0)</f>
        <v>1585</v>
      </c>
      <c r="K177" s="16" t="str">
        <f>IFERROR(__xludf.DUMMYFUNCTION("""COMPUTED_VALUE"""),"21/08/2023, 19:07:13")</f>
        <v>21/08/2023, 19:07:13</v>
      </c>
    </row>
    <row r="178">
      <c r="A178" s="18" t="str">
        <f>IFERROR(__xludf.DUMMYFUNCTION("""COMPUTED_VALUE"""),"62fb92296cf28d7159cd3322")</f>
        <v>62fb92296cf28d7159cd3322</v>
      </c>
      <c r="B178" s="15" t="str">
        <f>IFERROR(__xludf.DUMMYFUNCTION("""COMPUTED_VALUE"""),"sanity_ped_cross_20m_combined_v1_new")</f>
        <v>sanity_ped_cross_20m_combined_v1_new</v>
      </c>
      <c r="C178" s="15" t="str">
        <f>IFERROR(__xludf.DUMMYFUNCTION("""COMPUTED_VALUE"""),"train")</f>
        <v>train</v>
      </c>
      <c r="D178" s="15" t="str">
        <f>IFERROR(__xludf.DUMMYFUNCTION("""COMPUTED_VALUE"""),"train")</f>
        <v>train</v>
      </c>
      <c r="E178" s="15">
        <f>IFERROR(__xludf.DUMMYFUNCTION("""COMPUTED_VALUE"""),781.0)</f>
        <v>781</v>
      </c>
      <c r="F178" s="15" t="str">
        <f>IFERROR(__xludf.DUMMYFUNCTION("""COMPUTED_VALUE"""),"AMBARELLA_3840_1920")</f>
        <v>AMBARELLA_3840_1920</v>
      </c>
      <c r="G178" s="15" t="str">
        <f>IFERROR(__xludf.DUMMYFUNCTION("""COMPUTED_VALUE"""),"unknown, unknown, unknown, unknown")</f>
        <v>unknown, unknown, unknown, unknown</v>
      </c>
      <c r="H178" s="15">
        <f>IFERROR(__xludf.DUMMYFUNCTION("""COMPUTED_VALUE"""),950.0)</f>
        <v>950</v>
      </c>
      <c r="I178" s="15">
        <f>IFERROR(__xludf.DUMMYFUNCTION("""COMPUTED_VALUE"""),1675.0)</f>
        <v>1675</v>
      </c>
      <c r="J178" s="15">
        <f>IFERROR(__xludf.DUMMYFUNCTION("""COMPUTED_VALUE"""),1585.0)</f>
        <v>1585</v>
      </c>
      <c r="K178" s="16" t="str">
        <f>IFERROR(__xludf.DUMMYFUNCTION("""COMPUTED_VALUE"""),"21/08/2023, 19:07:36")</f>
        <v>21/08/2023, 19:07:36</v>
      </c>
    </row>
    <row r="179">
      <c r="A179" s="18" t="str">
        <f>IFERROR(__xludf.DUMMYFUNCTION("""COMPUTED_VALUE"""),"62f8d8ce07d51f1227bda0d2")</f>
        <v>62f8d8ce07d51f1227bda0d2</v>
      </c>
      <c r="B179" s="15" t="str">
        <f>IFERROR(__xludf.DUMMYFUNCTION("""COMPUTED_VALUE"""),"sanity_ped_cross_30m_combined_v1_new")</f>
        <v>sanity_ped_cross_30m_combined_v1_new</v>
      </c>
      <c r="C179" s="15" t="str">
        <f>IFERROR(__xludf.DUMMYFUNCTION("""COMPUTED_VALUE"""),"train")</f>
        <v>train</v>
      </c>
      <c r="D179" s="15" t="str">
        <f>IFERROR(__xludf.DUMMYFUNCTION("""COMPUTED_VALUE"""),"train")</f>
        <v>train</v>
      </c>
      <c r="E179" s="15">
        <f>IFERROR(__xludf.DUMMYFUNCTION("""COMPUTED_VALUE"""),1008.0)</f>
        <v>1008</v>
      </c>
      <c r="F179" s="15" t="str">
        <f>IFERROR(__xludf.DUMMYFUNCTION("""COMPUTED_VALUE"""),"AMBARELLA_3840_1920")</f>
        <v>AMBARELLA_3840_1920</v>
      </c>
      <c r="G179" s="15" t="str">
        <f>IFERROR(__xludf.DUMMYFUNCTION("""COMPUTED_VALUE"""),"unknown, unknown, unknown, unknown")</f>
        <v>unknown, unknown, unknown, unknown</v>
      </c>
      <c r="H179" s="15">
        <f>IFERROR(__xludf.DUMMYFUNCTION("""COMPUTED_VALUE"""),950.0)</f>
        <v>950</v>
      </c>
      <c r="I179" s="15">
        <f>IFERROR(__xludf.DUMMYFUNCTION("""COMPUTED_VALUE"""),1675.0)</f>
        <v>1675</v>
      </c>
      <c r="J179" s="15">
        <f>IFERROR(__xludf.DUMMYFUNCTION("""COMPUTED_VALUE"""),1585.0)</f>
        <v>1585</v>
      </c>
      <c r="K179" s="16" t="str">
        <f>IFERROR(__xludf.DUMMYFUNCTION("""COMPUTED_VALUE"""),"21/08/2023, 19:07:47")</f>
        <v>21/08/2023, 19:07:47</v>
      </c>
    </row>
    <row r="180">
      <c r="A180" s="25" t="str">
        <f>IFERROR(__xludf.DUMMYFUNCTION("""COMPUTED_VALUE"""),"62fbafb16cf28d7159cd8b6f")</f>
        <v>62fbafb16cf28d7159cd8b6f</v>
      </c>
      <c r="B180" s="26" t="str">
        <f>IFERROR(__xludf.DUMMYFUNCTION("""COMPUTED_VALUE"""),"sanity_ped_cross_50m_combined_v1_new")</f>
        <v>sanity_ped_cross_50m_combined_v1_new</v>
      </c>
      <c r="C180" s="26" t="str">
        <f>IFERROR(__xludf.DUMMYFUNCTION("""COMPUTED_VALUE"""),"train")</f>
        <v>train</v>
      </c>
      <c r="D180" s="26" t="str">
        <f>IFERROR(__xludf.DUMMYFUNCTION("""COMPUTED_VALUE"""),"train")</f>
        <v>train</v>
      </c>
      <c r="E180" s="26">
        <f>IFERROR(__xludf.DUMMYFUNCTION("""COMPUTED_VALUE"""),1278.0)</f>
        <v>1278</v>
      </c>
      <c r="F180" s="26" t="str">
        <f>IFERROR(__xludf.DUMMYFUNCTION("""COMPUTED_VALUE"""),"AMBARELLA_3840_1920")</f>
        <v>AMBARELLA_3840_1920</v>
      </c>
      <c r="G180" s="26" t="str">
        <f>IFERROR(__xludf.DUMMYFUNCTION("""COMPUTED_VALUE"""),"unknown, unknown, unknown, unknown")</f>
        <v>unknown, unknown, unknown, unknown</v>
      </c>
      <c r="H180" s="26">
        <f>IFERROR(__xludf.DUMMYFUNCTION("""COMPUTED_VALUE"""),950.0)</f>
        <v>950</v>
      </c>
      <c r="I180" s="26">
        <f>IFERROR(__xludf.DUMMYFUNCTION("""COMPUTED_VALUE"""),1675.0)</f>
        <v>1675</v>
      </c>
      <c r="J180" s="26">
        <f>IFERROR(__xludf.DUMMYFUNCTION("""COMPUTED_VALUE"""),1585.0)</f>
        <v>1585</v>
      </c>
      <c r="K180" s="27" t="str">
        <f>IFERROR(__xludf.DUMMYFUNCTION("""COMPUTED_VALUE"""),"21/08/2023, 19:07:51")</f>
        <v>21/08/2023, 19:07:51</v>
      </c>
    </row>
    <row r="181">
      <c r="A181" s="18" t="str">
        <f>IFERROR(__xludf.DUMMYFUNCTION("""COMPUTED_VALUE"""),"62fa2cb107d51f1227c7eef0")</f>
        <v>62fa2cb107d51f1227c7eef0</v>
      </c>
      <c r="B181" s="15" t="str">
        <f>IFERROR(__xludf.DUMMYFUNCTION("""COMPUTED_VALUE"""),"sanity_ped_cross_40m_combined_v1_new")</f>
        <v>sanity_ped_cross_40m_combined_v1_new</v>
      </c>
      <c r="C181" s="15" t="str">
        <f>IFERROR(__xludf.DUMMYFUNCTION("""COMPUTED_VALUE"""),"train")</f>
        <v>train</v>
      </c>
      <c r="D181" s="15" t="str">
        <f>IFERROR(__xludf.DUMMYFUNCTION("""COMPUTED_VALUE"""),"train")</f>
        <v>train</v>
      </c>
      <c r="E181" s="15">
        <f>IFERROR(__xludf.DUMMYFUNCTION("""COMPUTED_VALUE"""),1141.0)</f>
        <v>1141</v>
      </c>
      <c r="F181" s="15" t="str">
        <f>IFERROR(__xludf.DUMMYFUNCTION("""COMPUTED_VALUE"""),"AMBARELLA_3840_1920")</f>
        <v>AMBARELLA_3840_1920</v>
      </c>
      <c r="G181" s="15" t="str">
        <f>IFERROR(__xludf.DUMMYFUNCTION("""COMPUTED_VALUE"""),"unknown, unknown, unknown, unknown")</f>
        <v>unknown, unknown, unknown, unknown</v>
      </c>
      <c r="H181" s="15">
        <f>IFERROR(__xludf.DUMMYFUNCTION("""COMPUTED_VALUE"""),950.0)</f>
        <v>950</v>
      </c>
      <c r="I181" s="15">
        <f>IFERROR(__xludf.DUMMYFUNCTION("""COMPUTED_VALUE"""),1675.0)</f>
        <v>1675</v>
      </c>
      <c r="J181" s="15">
        <f>IFERROR(__xludf.DUMMYFUNCTION("""COMPUTED_VALUE"""),1585.0)</f>
        <v>1585</v>
      </c>
      <c r="K181" s="16" t="str">
        <f>IFERROR(__xludf.DUMMYFUNCTION("""COMPUTED_VALUE"""),"21/08/2023, 19:07:54")</f>
        <v>21/08/2023, 19:07:54</v>
      </c>
    </row>
    <row r="182">
      <c r="A182" s="25" t="str">
        <f>IFERROR(__xludf.DUMMYFUNCTION("""COMPUTED_VALUE"""),"64aea490628d0605eb59f752")</f>
        <v>64aea490628d0605eb59f752</v>
      </c>
      <c r="B182" s="26" t="str">
        <f>IFERROR(__xludf.DUMMYFUNCTION("""COMPUTED_VALUE"""),"official_night_europe_dataset_for_test_tagged_12_07_2023")</f>
        <v>official_night_europe_dataset_for_test_tagged_12_07_2023</v>
      </c>
      <c r="C182" s="26" t="str">
        <f>IFERROR(__xludf.DUMMYFUNCTION("""COMPUTED_VALUE"""),"test")</f>
        <v>test</v>
      </c>
      <c r="D182" s="26" t="str">
        <f>IFERROR(__xludf.DUMMYFUNCTION("""COMPUTED_VALUE"""),"test")</f>
        <v>test</v>
      </c>
      <c r="E182" s="26">
        <f>IFERROR(__xludf.DUMMYFUNCTION("""COMPUTED_VALUE"""),568.0)</f>
        <v>568</v>
      </c>
      <c r="F182" s="26" t="str">
        <f>IFERROR(__xludf.DUMMYFUNCTION("""COMPUTED_VALUE"""),"8MP_JPG")</f>
        <v>8MP_JPG</v>
      </c>
      <c r="G182" s="26" t="str">
        <f>IFERROR(__xludf.DUMMYFUNCTION("""COMPUTED_VALUE"""),"europe, Night")</f>
        <v>europe, Night</v>
      </c>
      <c r="H182" s="26">
        <f>IFERROR(__xludf.DUMMYFUNCTION("""COMPUTED_VALUE"""),950.0)</f>
        <v>950</v>
      </c>
      <c r="I182" s="26">
        <f>IFERROR(__xludf.DUMMYFUNCTION("""COMPUTED_VALUE"""),1675.0)</f>
        <v>1675</v>
      </c>
      <c r="J182" s="26">
        <f>IFERROR(__xludf.DUMMYFUNCTION("""COMPUTED_VALUE"""),1585.0)</f>
        <v>1585</v>
      </c>
      <c r="K182" s="27" t="str">
        <f>IFERROR(__xludf.DUMMYFUNCTION("""COMPUTED_VALUE"""),"21/08/2023, 19:10:53")</f>
        <v>21/08/2023, 19:10:53</v>
      </c>
    </row>
    <row r="183">
      <c r="A183" s="18" t="str">
        <f>IFERROR(__xludf.DUMMYFUNCTION("""COMPUTED_VALUE"""),"63a15d862426700446052eb3")</f>
        <v>63a15d862426700446052eb3</v>
      </c>
      <c r="B183" s="15" t="str">
        <f>IFERROR(__xludf.DUMMYFUNCTION("""COMPUTED_VALUE"""),"ab_car_validation_germany")</f>
        <v>ab_car_validation_germany</v>
      </c>
      <c r="C183" s="15" t="str">
        <f>IFERROR(__xludf.DUMMYFUNCTION("""COMPUTED_VALUE"""),"test")</f>
        <v>test</v>
      </c>
      <c r="D183" s="15" t="str">
        <f>IFERROR(__xludf.DUMMYFUNCTION("""COMPUTED_VALUE"""),"validation")</f>
        <v>validation</v>
      </c>
      <c r="E183" s="15">
        <f>IFERROR(__xludf.DUMMYFUNCTION("""COMPUTED_VALUE"""),4441.0)</f>
        <v>4441</v>
      </c>
      <c r="F183" s="15" t="str">
        <f>IFERROR(__xludf.DUMMYFUNCTION("""COMPUTED_VALUE"""),"AMBARELLA_3840_1920")</f>
        <v>AMBARELLA_3840_1920</v>
      </c>
      <c r="G183" s="15" t="str">
        <f>IFERROR(__xludf.DUMMYFUNCTION("""COMPUTED_VALUE"""),"europe, Day")</f>
        <v>europe, Day</v>
      </c>
      <c r="H183" s="15">
        <f>IFERROR(__xludf.DUMMYFUNCTION("""COMPUTED_VALUE"""),950.0)</f>
        <v>950</v>
      </c>
      <c r="I183" s="15">
        <f>IFERROR(__xludf.DUMMYFUNCTION("""COMPUTED_VALUE"""),1675.0)</f>
        <v>1675</v>
      </c>
      <c r="J183" s="15">
        <f>IFERROR(__xludf.DUMMYFUNCTION("""COMPUTED_VALUE"""),1585.0)</f>
        <v>1585</v>
      </c>
      <c r="K183" s="16" t="str">
        <f>IFERROR(__xludf.DUMMYFUNCTION("""COMPUTED_VALUE"""),"22/08/2023, 15:50:09")</f>
        <v>22/08/2023, 15:50:09</v>
      </c>
    </row>
    <row r="184">
      <c r="A184" s="25" t="str">
        <f>IFERROR(__xludf.DUMMYFUNCTION("""COMPUTED_VALUE"""),"630f4dc56f140808cc7ba036")</f>
        <v>630f4dc56f140808cc7ba036</v>
      </c>
      <c r="B184" s="26" t="str">
        <f>IFERROR(__xludf.DUMMYFUNCTION("""COMPUTED_VALUE"""),"amba_germany_10_validation_set")</f>
        <v>amba_germany_10_validation_set</v>
      </c>
      <c r="C184" s="26" t="str">
        <f>IFERROR(__xludf.DUMMYFUNCTION("""COMPUTED_VALUE"""),"test")</f>
        <v>test</v>
      </c>
      <c r="D184" s="26" t="str">
        <f>IFERROR(__xludf.DUMMYFUNCTION("""COMPUTED_VALUE"""),"validation")</f>
        <v>validation</v>
      </c>
      <c r="E184" s="26">
        <f>IFERROR(__xludf.DUMMYFUNCTION("""COMPUTED_VALUE"""),4317.0)</f>
        <v>4317</v>
      </c>
      <c r="F184" s="26" t="str">
        <f>IFERROR(__xludf.DUMMYFUNCTION("""COMPUTED_VALUE"""),"AMBARELLA_3840_1920")</f>
        <v>AMBARELLA_3840_1920</v>
      </c>
      <c r="G184" s="26" t="str">
        <f>IFERROR(__xludf.DUMMYFUNCTION("""COMPUTED_VALUE"""),"europe, Day")</f>
        <v>europe, Day</v>
      </c>
      <c r="H184" s="26">
        <f>IFERROR(__xludf.DUMMYFUNCTION("""COMPUTED_VALUE"""),950.0)</f>
        <v>950</v>
      </c>
      <c r="I184" s="26">
        <f>IFERROR(__xludf.DUMMYFUNCTION("""COMPUTED_VALUE"""),1675.0)</f>
        <v>1675</v>
      </c>
      <c r="J184" s="26">
        <f>IFERROR(__xludf.DUMMYFUNCTION("""COMPUTED_VALUE"""),1585.0)</f>
        <v>1585</v>
      </c>
      <c r="K184" s="27" t="str">
        <f>IFERROR(__xludf.DUMMYFUNCTION("""COMPUTED_VALUE"""),"22/08/2023, 15:50:16")</f>
        <v>22/08/2023, 15:50:16</v>
      </c>
    </row>
    <row r="185">
      <c r="A185" s="18" t="str">
        <f>IFERROR(__xludf.DUMMYFUNCTION("""COMPUTED_VALUE"""),"63c0251f2426700446e07928")</f>
        <v>63c0251f2426700446e07928</v>
      </c>
      <c r="B185" s="15" t="str">
        <f>IFERROR(__xludf.DUMMYFUNCTION("""COMPUTED_VALUE"""),"ab_car_merging_two_night_sets_validation")</f>
        <v>ab_car_merging_two_night_sets_validation</v>
      </c>
      <c r="C185" s="15" t="str">
        <f>IFERROR(__xludf.DUMMYFUNCTION("""COMPUTED_VALUE"""),"test")</f>
        <v>test</v>
      </c>
      <c r="D185" s="15" t="str">
        <f>IFERROR(__xludf.DUMMYFUNCTION("""COMPUTED_VALUE"""),"validation")</f>
        <v>validation</v>
      </c>
      <c r="E185" s="15">
        <f>IFERROR(__xludf.DUMMYFUNCTION("""COMPUTED_VALUE"""),2037.0)</f>
        <v>2037</v>
      </c>
      <c r="F185" s="15" t="str">
        <f>IFERROR(__xludf.DUMMYFUNCTION("""COMPUTED_VALUE"""),"AMBARELLA_3840_1920")</f>
        <v>AMBARELLA_3840_1920</v>
      </c>
      <c r="G185" s="15" t="str">
        <f>IFERROR(__xludf.DUMMYFUNCTION("""COMPUTED_VALUE"""),"europe, Night")</f>
        <v>europe, Night</v>
      </c>
      <c r="H185" s="15">
        <f>IFERROR(__xludf.DUMMYFUNCTION("""COMPUTED_VALUE"""),950.0)</f>
        <v>950</v>
      </c>
      <c r="I185" s="15">
        <f>IFERROR(__xludf.DUMMYFUNCTION("""COMPUTED_VALUE"""),1675.0)</f>
        <v>1675</v>
      </c>
      <c r="J185" s="15">
        <f>IFERROR(__xludf.DUMMYFUNCTION("""COMPUTED_VALUE"""),1585.0)</f>
        <v>1585</v>
      </c>
      <c r="K185" s="16" t="str">
        <f>IFERROR(__xludf.DUMMYFUNCTION("""COMPUTED_VALUE"""),"22/08/2023, 15:50:21")</f>
        <v>22/08/2023, 15:50:21</v>
      </c>
    </row>
    <row r="186">
      <c r="A186" s="18" t="str">
        <f>IFERROR(__xludf.DUMMYFUNCTION("""COMPUTED_VALUE"""),"649ad51d628d0605eb59918f")</f>
        <v>649ad51d628d0605eb59918f</v>
      </c>
      <c r="B186" s="15" t="str">
        <f>IFERROR(__xludf.DUMMYFUNCTION("""COMPUTED_VALUE"""),"ncap_ccrs_day_usa_for_test_27_06_23")</f>
        <v>ncap_ccrs_day_usa_for_test_27_06_23</v>
      </c>
      <c r="C186" s="15" t="str">
        <f>IFERROR(__xludf.DUMMYFUNCTION("""COMPUTED_VALUE"""),"test")</f>
        <v>test</v>
      </c>
      <c r="D186" s="15" t="str">
        <f>IFERROR(__xludf.DUMMYFUNCTION("""COMPUTED_VALUE"""),"test")</f>
        <v>test</v>
      </c>
      <c r="E186" s="15">
        <f>IFERROR(__xludf.DUMMYFUNCTION("""COMPUTED_VALUE"""),1077.0)</f>
        <v>1077</v>
      </c>
      <c r="F186" s="15" t="str">
        <f>IFERROR(__xludf.DUMMYFUNCTION("""COMPUTED_VALUE"""),"8MP_JPG")</f>
        <v>8MP_JPG</v>
      </c>
      <c r="G186" s="15" t="str">
        <f>IFERROR(__xludf.DUMMYFUNCTION("""COMPUTED_VALUE"""),"usa, Day")</f>
        <v>usa, Day</v>
      </c>
      <c r="H186" s="15">
        <f>IFERROR(__xludf.DUMMYFUNCTION("""COMPUTED_VALUE"""),950.0)</f>
        <v>950</v>
      </c>
      <c r="I186" s="15">
        <f>IFERROR(__xludf.DUMMYFUNCTION("""COMPUTED_VALUE"""),1675.0)</f>
        <v>1675</v>
      </c>
      <c r="J186" s="15">
        <f>IFERROR(__xludf.DUMMYFUNCTION("""COMPUTED_VALUE"""),1585.0)</f>
        <v>1585</v>
      </c>
      <c r="K186" s="16" t="str">
        <f>IFERROR(__xludf.DUMMYFUNCTION("""COMPUTED_VALUE"""),"22/08/2023, 15:51:14")</f>
        <v>22/08/2023, 15:51:14</v>
      </c>
    </row>
    <row r="187">
      <c r="A187" s="18" t="str">
        <f>IFERROR(__xludf.DUMMYFUNCTION("""COMPUTED_VALUE"""),"64ac084b628d0605eb59eb39")</f>
        <v>64ac084b628d0605eb59eb39</v>
      </c>
      <c r="B187" s="15" t="str">
        <f>IFERROR(__xludf.DUMMYFUNCTION("""COMPUTED_VALUE"""),"official_od_usa_night_urban_and_highway_for_test_10_07_23_for_test_tagged")</f>
        <v>official_od_usa_night_urban_and_highway_for_test_10_07_23_for_test_tagged</v>
      </c>
      <c r="C187" s="15" t="str">
        <f>IFERROR(__xludf.DUMMYFUNCTION("""COMPUTED_VALUE"""),"test")</f>
        <v>test</v>
      </c>
      <c r="D187" s="15" t="str">
        <f>IFERROR(__xludf.DUMMYFUNCTION("""COMPUTED_VALUE"""),"test")</f>
        <v>test</v>
      </c>
      <c r="E187" s="15">
        <f>IFERROR(__xludf.DUMMYFUNCTION("""COMPUTED_VALUE"""),1170.0)</f>
        <v>1170</v>
      </c>
      <c r="F187" s="15" t="str">
        <f>IFERROR(__xludf.DUMMYFUNCTION("""COMPUTED_VALUE"""),"8MP_JPG")</f>
        <v>8MP_JPG</v>
      </c>
      <c r="G187" s="15" t="str">
        <f>IFERROR(__xludf.DUMMYFUNCTION("""COMPUTED_VALUE"""),"usa, Night")</f>
        <v>usa, Night</v>
      </c>
      <c r="H187" s="15">
        <f>IFERROR(__xludf.DUMMYFUNCTION("""COMPUTED_VALUE"""),950.0)</f>
        <v>950</v>
      </c>
      <c r="I187" s="15">
        <f>IFERROR(__xludf.DUMMYFUNCTION("""COMPUTED_VALUE"""),1675.0)</f>
        <v>1675</v>
      </c>
      <c r="J187" s="15">
        <f>IFERROR(__xludf.DUMMYFUNCTION("""COMPUTED_VALUE"""),1585.0)</f>
        <v>1585</v>
      </c>
      <c r="K187" s="16" t="str">
        <f>IFERROR(__xludf.DUMMYFUNCTION("""COMPUTED_VALUE"""),"22/08/2023, 15:51:18")</f>
        <v>22/08/2023, 15:51:18</v>
      </c>
    </row>
    <row r="188">
      <c r="A188" s="18" t="str">
        <f>IFERROR(__xludf.DUMMYFUNCTION("""COMPUTED_VALUE"""),"64ac0db3628d0605eb59eb83")</f>
        <v>64ac0db3628d0605eb59eb83</v>
      </c>
      <c r="B188" s="15" t="str">
        <f>IFERROR(__xludf.DUMMYFUNCTION("""COMPUTED_VALUE"""),"official_combined_ncap_dummy_car_skipped_every_10_img_for_test_tagged")</f>
        <v>official_combined_ncap_dummy_car_skipped_every_10_img_for_test_tagged</v>
      </c>
      <c r="C188" s="15" t="str">
        <f>IFERROR(__xludf.DUMMYFUNCTION("""COMPUTED_VALUE"""),"test")</f>
        <v>test</v>
      </c>
      <c r="D188" s="15" t="str">
        <f>IFERROR(__xludf.DUMMYFUNCTION("""COMPUTED_VALUE"""),"undefined")</f>
        <v>undefined</v>
      </c>
      <c r="E188" s="15">
        <f>IFERROR(__xludf.DUMMYFUNCTION("""COMPUTED_VALUE"""),1195.0)</f>
        <v>1195</v>
      </c>
      <c r="F188" s="15" t="str">
        <f>IFERROR(__xludf.DUMMYFUNCTION("""COMPUTED_VALUE"""),"8MP_JPG")</f>
        <v>8MP_JPG</v>
      </c>
      <c r="G188" s="15" t="str">
        <f>IFERROR(__xludf.DUMMYFUNCTION("""COMPUTED_VALUE"""),"usa, Day")</f>
        <v>usa, Day</v>
      </c>
      <c r="H188" s="15">
        <f>IFERROR(__xludf.DUMMYFUNCTION("""COMPUTED_VALUE"""),950.0)</f>
        <v>950</v>
      </c>
      <c r="I188" s="15">
        <f>IFERROR(__xludf.DUMMYFUNCTION("""COMPUTED_VALUE"""),1675.0)</f>
        <v>1675</v>
      </c>
      <c r="J188" s="15">
        <f>IFERROR(__xludf.DUMMYFUNCTION("""COMPUTED_VALUE"""),1585.0)</f>
        <v>1585</v>
      </c>
      <c r="K188" s="16" t="str">
        <f>IFERROR(__xludf.DUMMYFUNCTION("""COMPUTED_VALUE"""),"22/08/2023, 15:51:22")</f>
        <v>22/08/2023, 15:51:22</v>
      </c>
    </row>
    <row r="189">
      <c r="A189" s="18" t="str">
        <f>IFERROR(__xludf.DUMMYFUNCTION("""COMPUTED_VALUE"""),"64ae9c39628d0605eb59f6c3")</f>
        <v>64ae9c39628d0605eb59f6c3</v>
      </c>
      <c r="B189" s="15" t="str">
        <f>IFERROR(__xludf.DUMMYFUNCTION("""COMPUTED_VALUE"""),"official_night_dataset_from_israel_for_test_tagged_12_07_23")</f>
        <v>official_night_dataset_from_israel_for_test_tagged_12_07_23</v>
      </c>
      <c r="C189" s="15" t="str">
        <f>IFERROR(__xludf.DUMMYFUNCTION("""COMPUTED_VALUE"""),"test")</f>
        <v>test</v>
      </c>
      <c r="D189" s="15" t="str">
        <f>IFERROR(__xludf.DUMMYFUNCTION("""COMPUTED_VALUE"""),"undefined")</f>
        <v>undefined</v>
      </c>
      <c r="E189" s="15">
        <f>IFERROR(__xludf.DUMMYFUNCTION("""COMPUTED_VALUE"""),909.0)</f>
        <v>909</v>
      </c>
      <c r="F189" s="15" t="str">
        <f>IFERROR(__xludf.DUMMYFUNCTION("""COMPUTED_VALUE"""),"8MP_JPG")</f>
        <v>8MP_JPG</v>
      </c>
      <c r="G189" s="15" t="str">
        <f>IFERROR(__xludf.DUMMYFUNCTION("""COMPUTED_VALUE"""),"israel, Night")</f>
        <v>israel, Night</v>
      </c>
      <c r="H189" s="15">
        <f>IFERROR(__xludf.DUMMYFUNCTION("""COMPUTED_VALUE"""),950.0)</f>
        <v>950</v>
      </c>
      <c r="I189" s="15">
        <f>IFERROR(__xludf.DUMMYFUNCTION("""COMPUTED_VALUE"""),1675.0)</f>
        <v>1675</v>
      </c>
      <c r="J189" s="15">
        <f>IFERROR(__xludf.DUMMYFUNCTION("""COMPUTED_VALUE"""),1585.0)</f>
        <v>1585</v>
      </c>
      <c r="K189" s="16" t="str">
        <f>IFERROR(__xludf.DUMMYFUNCTION("""COMPUTED_VALUE"""),"22/08/2023, 15:51:25")</f>
        <v>22/08/2023, 15:51:25</v>
      </c>
    </row>
    <row r="190">
      <c r="A190" s="18" t="str">
        <f>IFERROR(__xludf.DUMMYFUNCTION("""COMPUTED_VALUE"""),"649984f9628d0605eb597e69")</f>
        <v>649984f9628d0605eb597e69</v>
      </c>
      <c r="B190" s="15" t="str">
        <f>IFERROR(__xludf.DUMMYFUNCTION("""COMPUTED_VALUE"""),"lv_colorado_arizona_usa_for_test_26_06_23")</f>
        <v>lv_colorado_arizona_usa_for_test_26_06_23</v>
      </c>
      <c r="C190" s="15" t="str">
        <f>IFERROR(__xludf.DUMMYFUNCTION("""COMPUTED_VALUE"""),"test")</f>
        <v>test</v>
      </c>
      <c r="D190" s="15" t="str">
        <f>IFERROR(__xludf.DUMMYFUNCTION("""COMPUTED_VALUE"""),"test")</f>
        <v>test</v>
      </c>
      <c r="E190" s="15">
        <f>IFERROR(__xludf.DUMMYFUNCTION("""COMPUTED_VALUE"""),735.0)</f>
        <v>735</v>
      </c>
      <c r="F190" s="15" t="str">
        <f>IFERROR(__xludf.DUMMYFUNCTION("""COMPUTED_VALUE"""),"8MP_JPG")</f>
        <v>8MP_JPG</v>
      </c>
      <c r="G190" s="15" t="str">
        <f>IFERROR(__xludf.DUMMYFUNCTION("""COMPUTED_VALUE"""),"usa, Day")</f>
        <v>usa, Day</v>
      </c>
      <c r="H190" s="15">
        <f>IFERROR(__xludf.DUMMYFUNCTION("""COMPUTED_VALUE"""),950.0)</f>
        <v>950</v>
      </c>
      <c r="I190" s="15">
        <f>IFERROR(__xludf.DUMMYFUNCTION("""COMPUTED_VALUE"""),1675.0)</f>
        <v>1675</v>
      </c>
      <c r="J190" s="15">
        <f>IFERROR(__xludf.DUMMYFUNCTION("""COMPUTED_VALUE"""),1585.0)</f>
        <v>1585</v>
      </c>
      <c r="K190" s="16" t="str">
        <f>IFERROR(__xludf.DUMMYFUNCTION("""COMPUTED_VALUE"""),"22/08/2023, 15:51:29")</f>
        <v>22/08/2023, 15:51:29</v>
      </c>
    </row>
    <row r="191">
      <c r="A191" s="18" t="str">
        <f>IFERROR(__xludf.DUMMYFUNCTION("""COMPUTED_VALUE"""),"64a5289d628d0605eb59d44f")</f>
        <v>64a5289d628d0605eb59d44f</v>
      </c>
      <c r="B191" s="15" t="str">
        <f>IFERROR(__xludf.DUMMYFUNCTION("""COMPUTED_VALUE"""),"official_buses_from_tel_aviv_for_test_tagged_05_07_23")</f>
        <v>official_buses_from_tel_aviv_for_test_tagged_05_07_23</v>
      </c>
      <c r="C191" s="15" t="str">
        <f>IFERROR(__xludf.DUMMYFUNCTION("""COMPUTED_VALUE"""),"test")</f>
        <v>test</v>
      </c>
      <c r="D191" s="15" t="str">
        <f>IFERROR(__xludf.DUMMYFUNCTION("""COMPUTED_VALUE"""),"test")</f>
        <v>test</v>
      </c>
      <c r="E191" s="15">
        <f>IFERROR(__xludf.DUMMYFUNCTION("""COMPUTED_VALUE"""),882.0)</f>
        <v>882</v>
      </c>
      <c r="F191" s="15" t="str">
        <f>IFERROR(__xludf.DUMMYFUNCTION("""COMPUTED_VALUE"""),"8MP_JPG")</f>
        <v>8MP_JPG</v>
      </c>
      <c r="G191" s="15" t="str">
        <f>IFERROR(__xludf.DUMMYFUNCTION("""COMPUTED_VALUE"""),"israel, Day")</f>
        <v>israel, Day</v>
      </c>
      <c r="H191" s="15">
        <f>IFERROR(__xludf.DUMMYFUNCTION("""COMPUTED_VALUE"""),950.0)</f>
        <v>950</v>
      </c>
      <c r="I191" s="15">
        <f>IFERROR(__xludf.DUMMYFUNCTION("""COMPUTED_VALUE"""),1675.0)</f>
        <v>1675</v>
      </c>
      <c r="J191" s="15">
        <f>IFERROR(__xludf.DUMMYFUNCTION("""COMPUTED_VALUE"""),1585.0)</f>
        <v>1585</v>
      </c>
      <c r="K191" s="16" t="str">
        <f>IFERROR(__xludf.DUMMYFUNCTION("""COMPUTED_VALUE"""),"22/08/2023, 15:53:26")</f>
        <v>22/08/2023, 15:53:26</v>
      </c>
    </row>
    <row r="192">
      <c r="A192" s="25" t="str">
        <f>IFERROR(__xludf.DUMMYFUNCTION("""COMPUTED_VALUE"""),"64e4afc77225d01c8be1958f")</f>
        <v>64e4afc77225d01c8be1958f</v>
      </c>
      <c r="B192" s="26" t="str">
        <f>IFERROR(__xludf.DUMMYFUNCTION("""COMPUTED_VALUE"""),"buses_and_trucks_dataset_from_israel_for_test_22_06_23_tagged")</f>
        <v>buses_and_trucks_dataset_from_israel_for_test_22_06_23_tagged</v>
      </c>
      <c r="C192" s="26" t="str">
        <f>IFERROR(__xludf.DUMMYFUNCTION("""COMPUTED_VALUE"""),"test")</f>
        <v>test</v>
      </c>
      <c r="D192" s="26" t="str">
        <f>IFERROR(__xludf.DUMMYFUNCTION("""COMPUTED_VALUE"""),"test")</f>
        <v>test</v>
      </c>
      <c r="E192" s="26">
        <f>IFERROR(__xludf.DUMMYFUNCTION("""COMPUTED_VALUE"""),257.0)</f>
        <v>257</v>
      </c>
      <c r="F192" s="26" t="str">
        <f>IFERROR(__xludf.DUMMYFUNCTION("""COMPUTED_VALUE"""),"8MP_JPG")</f>
        <v>8MP_JPG</v>
      </c>
      <c r="G192" s="26" t="str">
        <f>IFERROR(__xludf.DUMMYFUNCTION("""COMPUTED_VALUE"""),"israel, Day")</f>
        <v>israel, Day</v>
      </c>
      <c r="H192" s="26">
        <f>IFERROR(__xludf.DUMMYFUNCTION("""COMPUTED_VALUE"""),950.0)</f>
        <v>950</v>
      </c>
      <c r="I192" s="26">
        <f>IFERROR(__xludf.DUMMYFUNCTION("""COMPUTED_VALUE"""),1675.0)</f>
        <v>1675</v>
      </c>
      <c r="J192" s="26">
        <f>IFERROR(__xludf.DUMMYFUNCTION("""COMPUTED_VALUE"""),1585.0)</f>
        <v>1585</v>
      </c>
      <c r="K192" s="27" t="str">
        <f>IFERROR(__xludf.DUMMYFUNCTION("""COMPUTED_VALUE"""),"22/08/2023, 15:53:30")</f>
        <v>22/08/2023, 15:53:30</v>
      </c>
    </row>
    <row r="193">
      <c r="A193" s="18" t="str">
        <f>IFERROR(__xludf.DUMMYFUNCTION("""COMPUTED_VALUE"""),"64b91f8d628d0605eb5a2707")</f>
        <v>64b91f8d628d0605eb5a2707</v>
      </c>
      <c r="B193" s="15" t="str">
        <f>IFERROR(__xludf.DUMMYFUNCTION("""COMPUTED_VALUE"""),"sun_in_frame_dataset_for_test_tagged_19_07_2023")</f>
        <v>sun_in_frame_dataset_for_test_tagged_19_07_2023</v>
      </c>
      <c r="C193" s="15" t="str">
        <f>IFERROR(__xludf.DUMMYFUNCTION("""COMPUTED_VALUE"""),"test")</f>
        <v>test</v>
      </c>
      <c r="D193" s="15" t="str">
        <f>IFERROR(__xludf.DUMMYFUNCTION("""COMPUTED_VALUE"""),"test")</f>
        <v>test</v>
      </c>
      <c r="E193" s="15">
        <f>IFERROR(__xludf.DUMMYFUNCTION("""COMPUTED_VALUE"""),367.0)</f>
        <v>367</v>
      </c>
      <c r="F193" s="15" t="str">
        <f>IFERROR(__xludf.DUMMYFUNCTION("""COMPUTED_VALUE"""),"8MP_JPG")</f>
        <v>8MP_JPG</v>
      </c>
      <c r="G193" s="15" t="str">
        <f>IFERROR(__xludf.DUMMYFUNCTION("""COMPUTED_VALUE"""),"europe, Day")</f>
        <v>europe, Day</v>
      </c>
      <c r="H193" s="15">
        <f>IFERROR(__xludf.DUMMYFUNCTION("""COMPUTED_VALUE"""),950.0)</f>
        <v>950</v>
      </c>
      <c r="I193" s="15">
        <f>IFERROR(__xludf.DUMMYFUNCTION("""COMPUTED_VALUE"""),1675.0)</f>
        <v>1675</v>
      </c>
      <c r="J193" s="15">
        <f>IFERROR(__xludf.DUMMYFUNCTION("""COMPUTED_VALUE"""),1585.0)</f>
        <v>1585</v>
      </c>
      <c r="K193" s="16" t="str">
        <f>IFERROR(__xludf.DUMMYFUNCTION("""COMPUTED_VALUE"""),"22/08/2023, 15:53:33")</f>
        <v>22/08/2023, 15:53:33</v>
      </c>
    </row>
    <row r="194">
      <c r="A194" s="25" t="str">
        <f>IFERROR(__xludf.DUMMYFUNCTION("""COMPUTED_VALUE"""),"64b694f4628d0605eb5a1a24")</f>
        <v>64b694f4628d0605eb5a1a24</v>
      </c>
      <c r="B194" s="26" t="str">
        <f>IFERROR(__xludf.DUMMYFUNCTION("""COMPUTED_VALUE"""),"14062023_holon_rehovot_rishon_for_test_tagged_18_07_23")</f>
        <v>14062023_holon_rehovot_rishon_for_test_tagged_18_07_23</v>
      </c>
      <c r="C194" s="26" t="str">
        <f>IFERROR(__xludf.DUMMYFUNCTION("""COMPUTED_VALUE"""),"test")</f>
        <v>test</v>
      </c>
      <c r="D194" s="26" t="str">
        <f>IFERROR(__xludf.DUMMYFUNCTION("""COMPUTED_VALUE"""),"test")</f>
        <v>test</v>
      </c>
      <c r="E194" s="26">
        <f>IFERROR(__xludf.DUMMYFUNCTION("""COMPUTED_VALUE"""),481.0)</f>
        <v>481</v>
      </c>
      <c r="F194" s="26" t="str">
        <f>IFERROR(__xludf.DUMMYFUNCTION("""COMPUTED_VALUE"""),"8MP_JPG")</f>
        <v>8MP_JPG</v>
      </c>
      <c r="G194" s="26" t="str">
        <f>IFERROR(__xludf.DUMMYFUNCTION("""COMPUTED_VALUE"""),"israel, Day")</f>
        <v>israel, Day</v>
      </c>
      <c r="H194" s="26">
        <f>IFERROR(__xludf.DUMMYFUNCTION("""COMPUTED_VALUE"""),950.0)</f>
        <v>950</v>
      </c>
      <c r="I194" s="26">
        <f>IFERROR(__xludf.DUMMYFUNCTION("""COMPUTED_VALUE"""),1675.0)</f>
        <v>1675</v>
      </c>
      <c r="J194" s="26">
        <f>IFERROR(__xludf.DUMMYFUNCTION("""COMPUTED_VALUE"""),1585.0)</f>
        <v>1585</v>
      </c>
      <c r="K194" s="27" t="str">
        <f>IFERROR(__xludf.DUMMYFUNCTION("""COMPUTED_VALUE"""),"22/08/2023, 15:53:36")</f>
        <v>22/08/2023, 15:53:36</v>
      </c>
    </row>
    <row r="195">
      <c r="A195" s="18" t="str">
        <f>IFERROR(__xludf.DUMMYFUNCTION("""COMPUTED_VALUE"""),"64bfd085628d0605eb5a4c31")</f>
        <v>64bfd085628d0605eb5a4c31</v>
      </c>
      <c r="B195" s="15" t="str">
        <f>IFERROR(__xludf.DUMMYFUNCTION("""COMPUTED_VALUE"""),"night_datasets_from_europe_for_test_tagged_25_07_2023")</f>
        <v>night_datasets_from_europe_for_test_tagged_25_07_2023</v>
      </c>
      <c r="C195" s="15" t="str">
        <f>IFERROR(__xludf.DUMMYFUNCTION("""COMPUTED_VALUE"""),"test")</f>
        <v>test</v>
      </c>
      <c r="D195" s="15" t="str">
        <f>IFERROR(__xludf.DUMMYFUNCTION("""COMPUTED_VALUE"""),"undefined")</f>
        <v>undefined</v>
      </c>
      <c r="E195" s="15">
        <f>IFERROR(__xludf.DUMMYFUNCTION("""COMPUTED_VALUE"""),1456.0)</f>
        <v>1456</v>
      </c>
      <c r="F195" s="15" t="str">
        <f>IFERROR(__xludf.DUMMYFUNCTION("""COMPUTED_VALUE"""),"8MP_JPG")</f>
        <v>8MP_JPG</v>
      </c>
      <c r="G195" s="15" t="str">
        <f>IFERROR(__xludf.DUMMYFUNCTION("""COMPUTED_VALUE"""),"europe, Night")</f>
        <v>europe, Night</v>
      </c>
      <c r="H195" s="15">
        <f>IFERROR(__xludf.DUMMYFUNCTION("""COMPUTED_VALUE"""),950.0)</f>
        <v>950</v>
      </c>
      <c r="I195" s="15">
        <f>IFERROR(__xludf.DUMMYFUNCTION("""COMPUTED_VALUE"""),1675.0)</f>
        <v>1675</v>
      </c>
      <c r="J195" s="15">
        <f>IFERROR(__xludf.DUMMYFUNCTION("""COMPUTED_VALUE"""),1585.0)</f>
        <v>1585</v>
      </c>
      <c r="K195" s="16" t="str">
        <f>IFERROR(__xludf.DUMMYFUNCTION("""COMPUTED_VALUE"""),"22/08/2023, 15:55:38")</f>
        <v>22/08/2023, 15:55:38</v>
      </c>
    </row>
    <row r="196">
      <c r="A196" s="18" t="str">
        <f>IFERROR(__xludf.DUMMYFUNCTION("""COMPUTED_VALUE"""),"64de15557225d01c8be16b8e")</f>
        <v>64de15557225d01c8be16b8e</v>
      </c>
      <c r="B196" s="15" t="str">
        <f>IFERROR(__xludf.DUMMYFUNCTION("""COMPUTED_VALUE"""),"night_dataset_from_usa_ford_for_test_17_08_23")</f>
        <v>night_dataset_from_usa_ford_for_test_17_08_23</v>
      </c>
      <c r="C196" s="15" t="str">
        <f>IFERROR(__xludf.DUMMYFUNCTION("""COMPUTED_VALUE"""),"test")</f>
        <v>test</v>
      </c>
      <c r="D196" s="15" t="str">
        <f>IFERROR(__xludf.DUMMYFUNCTION("""COMPUTED_VALUE"""),"test")</f>
        <v>test</v>
      </c>
      <c r="E196" s="15">
        <f>IFERROR(__xludf.DUMMYFUNCTION("""COMPUTED_VALUE"""),2006.0)</f>
        <v>2006</v>
      </c>
      <c r="F196" s="15" t="str">
        <f>IFERROR(__xludf.DUMMYFUNCTION("""COMPUTED_VALUE"""),"8MP_JPG")</f>
        <v>8MP_JPG</v>
      </c>
      <c r="G196" s="15" t="str">
        <f>IFERROR(__xludf.DUMMYFUNCTION("""COMPUTED_VALUE"""),"usa, Night")</f>
        <v>usa, Night</v>
      </c>
      <c r="H196" s="15">
        <f>IFERROR(__xludf.DUMMYFUNCTION("""COMPUTED_VALUE"""),950.0)</f>
        <v>950</v>
      </c>
      <c r="I196" s="15">
        <f>IFERROR(__xludf.DUMMYFUNCTION("""COMPUTED_VALUE"""),1675.0)</f>
        <v>1675</v>
      </c>
      <c r="J196" s="15">
        <f>IFERROR(__xludf.DUMMYFUNCTION("""COMPUTED_VALUE"""),1585.0)</f>
        <v>1585</v>
      </c>
      <c r="K196" s="16" t="str">
        <f>IFERROR(__xludf.DUMMYFUNCTION("""COMPUTED_VALUE"""),"22/08/2023, 15:55:43")</f>
        <v>22/08/2023, 15:55:43</v>
      </c>
    </row>
    <row r="197">
      <c r="A197" s="25" t="str">
        <f>IFERROR(__xludf.DUMMYFUNCTION("""COMPUTED_VALUE"""),"64e4b0507225d01c8be1959b")</f>
        <v>64e4b0507225d01c8be1959b</v>
      </c>
      <c r="B197" s="26" t="str">
        <f>IFERROR(__xludf.DUMMYFUNCTION("""COMPUTED_VALUE"""),"dataset_tel_aviv_2w_and_peds_for_test_27_06_23_tagged")</f>
        <v>dataset_tel_aviv_2w_and_peds_for_test_27_06_23_tagged</v>
      </c>
      <c r="C197" s="26" t="str">
        <f>IFERROR(__xludf.DUMMYFUNCTION("""COMPUTED_VALUE"""),"test")</f>
        <v>test</v>
      </c>
      <c r="D197" s="26" t="str">
        <f>IFERROR(__xludf.DUMMYFUNCTION("""COMPUTED_VALUE"""),"test")</f>
        <v>test</v>
      </c>
      <c r="E197" s="26">
        <f>IFERROR(__xludf.DUMMYFUNCTION("""COMPUTED_VALUE"""),11.0)</f>
        <v>11</v>
      </c>
      <c r="F197" s="26" t="str">
        <f>IFERROR(__xludf.DUMMYFUNCTION("""COMPUTED_VALUE"""),"8MP_JPG")</f>
        <v>8MP_JPG</v>
      </c>
      <c r="G197" s="26" t="str">
        <f>IFERROR(__xludf.DUMMYFUNCTION("""COMPUTED_VALUE"""),"israel, day")</f>
        <v>israel, day</v>
      </c>
      <c r="H197" s="26">
        <f>IFERROR(__xludf.DUMMYFUNCTION("""COMPUTED_VALUE"""),950.0)</f>
        <v>950</v>
      </c>
      <c r="I197" s="26">
        <f>IFERROR(__xludf.DUMMYFUNCTION("""COMPUTED_VALUE"""),1675.0)</f>
        <v>1675</v>
      </c>
      <c r="J197" s="26">
        <f>IFERROR(__xludf.DUMMYFUNCTION("""COMPUTED_VALUE"""),1585.0)</f>
        <v>1585</v>
      </c>
      <c r="K197" s="27" t="str">
        <f>IFERROR(__xludf.DUMMYFUNCTION("""COMPUTED_VALUE"""),"22/08/2023, 16:02:02")</f>
        <v>22/08/2023, 16:02:02</v>
      </c>
    </row>
    <row r="198">
      <c r="A198" s="18" t="str">
        <f>IFERROR(__xludf.DUMMYFUNCTION("""COMPUTED_VALUE"""),"644fb538be8ede2209d138f8")</f>
        <v>644fb538be8ede2209d138f8</v>
      </c>
      <c r="B198" s="15" t="str">
        <f>IFERROR(__xludf.DUMMYFUNCTION("""COMPUTED_VALUE"""),"664327133be8ede2209d0987a_filtered_by_hash_17_04_without_duplicates_for_test_tagged")</f>
        <v>664327133be8ede2209d0987a_filtered_by_hash_17_04_without_duplicates_for_test_tagged</v>
      </c>
      <c r="C198" s="15" t="str">
        <f>IFERROR(__xludf.DUMMYFUNCTION("""COMPUTED_VALUE"""),"test")</f>
        <v>test</v>
      </c>
      <c r="D198" s="15" t="str">
        <f>IFERROR(__xludf.DUMMYFUNCTION("""COMPUTED_VALUE"""),"test")</f>
        <v>test</v>
      </c>
      <c r="E198" s="15">
        <f>IFERROR(__xludf.DUMMYFUNCTION("""COMPUTED_VALUE"""),127.0)</f>
        <v>127</v>
      </c>
      <c r="F198" s="15" t="str">
        <f>IFERROR(__xludf.DUMMYFUNCTION("""COMPUTED_VALUE"""),"AMBARELLA_3840_1920")</f>
        <v>AMBARELLA_3840_1920</v>
      </c>
      <c r="G198" s="15" t="str">
        <f>IFERROR(__xludf.DUMMYFUNCTION("""COMPUTED_VALUE"""),"israel, day")</f>
        <v>israel, day</v>
      </c>
      <c r="H198" s="15">
        <f>IFERROR(__xludf.DUMMYFUNCTION("""COMPUTED_VALUE"""),950.0)</f>
        <v>950</v>
      </c>
      <c r="I198" s="15">
        <f>IFERROR(__xludf.DUMMYFUNCTION("""COMPUTED_VALUE"""),1675.0)</f>
        <v>1675</v>
      </c>
      <c r="J198" s="15">
        <f>IFERROR(__xludf.DUMMYFUNCTION("""COMPUTED_VALUE"""),1585.0)</f>
        <v>1585</v>
      </c>
      <c r="K198" s="16" t="str">
        <f>IFERROR(__xludf.DUMMYFUNCTION("""COMPUTED_VALUE"""),"22/08/2023, 16:02:05")</f>
        <v>22/08/2023, 16:02:05</v>
      </c>
    </row>
    <row r="199">
      <c r="A199" s="18" t="str">
        <f>IFERROR(__xludf.DUMMYFUNCTION("""COMPUTED_VALUE"""),"62b01af7ebb0ff6db8c4c77c")</f>
        <v>62b01af7ebb0ff6db8c4c77c</v>
      </c>
      <c r="B199" s="15" t="str">
        <f>IFERROR(__xludf.DUMMYFUNCTION("""COMPUTED_VALUE"""),"10062022_openroad_frankfurt_urban_part1_combined_v1")</f>
        <v>10062022_openroad_frankfurt_urban_part1_combined_v1</v>
      </c>
      <c r="C199" s="15" t="str">
        <f>IFERROR(__xludf.DUMMYFUNCTION("""COMPUTED_VALUE"""),"test")</f>
        <v>test</v>
      </c>
      <c r="D199" s="15" t="str">
        <f>IFERROR(__xludf.DUMMYFUNCTION("""COMPUTED_VALUE"""),"undefined")</f>
        <v>undefined</v>
      </c>
      <c r="E199" s="15">
        <f>IFERROR(__xludf.DUMMYFUNCTION("""COMPUTED_VALUE"""),8800.0)</f>
        <v>8800</v>
      </c>
      <c r="F199" s="15" t="str">
        <f>IFERROR(__xludf.DUMMYFUNCTION("""COMPUTED_VALUE"""),"AMBARELLA_3840_1920")</f>
        <v>AMBARELLA_3840_1920</v>
      </c>
      <c r="G199" s="15" t="str">
        <f>IFERROR(__xludf.DUMMYFUNCTION("""COMPUTED_VALUE"""),"unknown, unknown, unknown, unknown, u n d e f i n e d u n d e f i n e d")</f>
        <v>unknown, unknown, unknown, unknown, u n d e f i n e d u n d e f i n e d</v>
      </c>
      <c r="H199" s="15">
        <f>IFERROR(__xludf.DUMMYFUNCTION("""COMPUTED_VALUE"""),950.0)</f>
        <v>950</v>
      </c>
      <c r="I199" s="15">
        <f>IFERROR(__xludf.DUMMYFUNCTION("""COMPUTED_VALUE"""),1675.0)</f>
        <v>1675</v>
      </c>
      <c r="J199" s="15">
        <f>IFERROR(__xludf.DUMMYFUNCTION("""COMPUTED_VALUE"""),1585.0)</f>
        <v>1585</v>
      </c>
      <c r="K199" s="16" t="str">
        <f>IFERROR(__xludf.DUMMYFUNCTION("""COMPUTED_VALUE"""),"22/08/2023, 16:02:14")</f>
        <v>22/08/2023, 16:02:14</v>
      </c>
    </row>
    <row r="200">
      <c r="A200" s="25" t="str">
        <f>IFERROR(__xludf.DUMMYFUNCTION("""COMPUTED_VALUE"""),"6395a38824267004467cdcf1")</f>
        <v>6395a38824267004467cdcf1</v>
      </c>
      <c r="B200" s="26" t="str">
        <f>IFERROR(__xludf.DUMMYFUNCTION("""COMPUTED_VALUE"""),"germany_urban_validation_170")</f>
        <v>germany_urban_validation_170</v>
      </c>
      <c r="C200" s="26" t="str">
        <f>IFERROR(__xludf.DUMMYFUNCTION("""COMPUTED_VALUE"""),"test")</f>
        <v>test</v>
      </c>
      <c r="D200" s="26" t="str">
        <f>IFERROR(__xludf.DUMMYFUNCTION("""COMPUTED_VALUE"""),"validation")</f>
        <v>validation</v>
      </c>
      <c r="E200" s="26">
        <f>IFERROR(__xludf.DUMMYFUNCTION("""COMPUTED_VALUE"""),776.0)</f>
        <v>776</v>
      </c>
      <c r="F200" s="26" t="str">
        <f>IFERROR(__xludf.DUMMYFUNCTION("""COMPUTED_VALUE"""),"AMBARELLA_3840_1920")</f>
        <v>AMBARELLA_3840_1920</v>
      </c>
      <c r="G200" s="26" t="str">
        <f>IFERROR(__xludf.DUMMYFUNCTION("""COMPUTED_VALUE"""),"germany, day, urban")</f>
        <v>germany, day, urban</v>
      </c>
      <c r="H200" s="26">
        <f>IFERROR(__xludf.DUMMYFUNCTION("""COMPUTED_VALUE"""),950.0)</f>
        <v>950</v>
      </c>
      <c r="I200" s="26">
        <f>IFERROR(__xludf.DUMMYFUNCTION("""COMPUTED_VALUE"""),1675.0)</f>
        <v>1675</v>
      </c>
      <c r="J200" s="26">
        <f>IFERROR(__xludf.DUMMYFUNCTION("""COMPUTED_VALUE"""),1585.0)</f>
        <v>1585</v>
      </c>
      <c r="K200" s="27" t="str">
        <f>IFERROR(__xludf.DUMMYFUNCTION("""COMPUTED_VALUE"""),"22/08/2023, 16:02:20")</f>
        <v>22/08/2023, 16:02:20</v>
      </c>
    </row>
    <row r="201">
      <c r="A201" s="18" t="str">
        <f>IFERROR(__xludf.DUMMYFUNCTION("""COMPUTED_VALUE"""),"6395a57f24267004467d0615")</f>
        <v>6395a57f24267004467d0615</v>
      </c>
      <c r="B201" s="15" t="str">
        <f>IFERROR(__xludf.DUMMYFUNCTION("""COMPUTED_VALUE"""),"amba2_urban_germany_cloudy_dusk_validation")</f>
        <v>amba2_urban_germany_cloudy_dusk_validation</v>
      </c>
      <c r="C201" s="15" t="str">
        <f>IFERROR(__xludf.DUMMYFUNCTION("""COMPUTED_VALUE"""),"test")</f>
        <v>test</v>
      </c>
      <c r="D201" s="15" t="str">
        <f>IFERROR(__xludf.DUMMYFUNCTION("""COMPUTED_VALUE"""),"validation")</f>
        <v>validation</v>
      </c>
      <c r="E201" s="15">
        <f>IFERROR(__xludf.DUMMYFUNCTION("""COMPUTED_VALUE"""),311.0)</f>
        <v>311</v>
      </c>
      <c r="F201" s="15" t="str">
        <f>IFERROR(__xludf.DUMMYFUNCTION("""COMPUTED_VALUE"""),"AMBARELLA_3840_1920")</f>
        <v>AMBARELLA_3840_1920</v>
      </c>
      <c r="G201" s="15" t="str">
        <f>IFERROR(__xludf.DUMMYFUNCTION("""COMPUTED_VALUE"""),"unknown, unknown, unknown, unknown, ")</f>
        <v>unknown, unknown, unknown, unknown, </v>
      </c>
      <c r="H201" s="15">
        <f>IFERROR(__xludf.DUMMYFUNCTION("""COMPUTED_VALUE"""),950.0)</f>
        <v>950</v>
      </c>
      <c r="I201" s="15">
        <f>IFERROR(__xludf.DUMMYFUNCTION("""COMPUTED_VALUE"""),1675.0)</f>
        <v>1675</v>
      </c>
      <c r="J201" s="15">
        <f>IFERROR(__xludf.DUMMYFUNCTION("""COMPUTED_VALUE"""),1585.0)</f>
        <v>1585</v>
      </c>
      <c r="K201" s="16" t="str">
        <f>IFERROR(__xludf.DUMMYFUNCTION("""COMPUTED_VALUE"""),"22/08/2023, 16:02:23")</f>
        <v>22/08/2023, 16:02:23</v>
      </c>
    </row>
    <row r="202">
      <c r="A202" s="18" t="str">
        <f>IFERROR(__xludf.DUMMYFUNCTION("""COMPUTED_VALUE"""),"63049b546f140808cc5efd3a")</f>
        <v>63049b546f140808cc5efd3a</v>
      </c>
      <c r="B202" s="15" t="str">
        <f>IFERROR(__xludf.DUMMYFUNCTION("""COMPUTED_VALUE"""),"amba3_aeb_15_day_003_validation")</f>
        <v>amba3_aeb_15_day_003_validation</v>
      </c>
      <c r="C202" s="15" t="str">
        <f>IFERROR(__xludf.DUMMYFUNCTION("""COMPUTED_VALUE"""),"test")</f>
        <v>test</v>
      </c>
      <c r="D202" s="15" t="str">
        <f>IFERROR(__xludf.DUMMYFUNCTION("""COMPUTED_VALUE"""),"validation")</f>
        <v>validation</v>
      </c>
      <c r="E202" s="15">
        <f>IFERROR(__xludf.DUMMYFUNCTION("""COMPUTED_VALUE"""),1533.0)</f>
        <v>1533</v>
      </c>
      <c r="F202" s="15" t="str">
        <f>IFERROR(__xludf.DUMMYFUNCTION("""COMPUTED_VALUE"""),"AMBARELLA_3840_1920")</f>
        <v>AMBARELLA_3840_1920</v>
      </c>
      <c r="G202" s="15" t="str">
        <f>IFERROR(__xludf.DUMMYFUNCTION("""COMPUTED_VALUE"""),"ncap, day, dummy_car")</f>
        <v>ncap, day, dummy_car</v>
      </c>
      <c r="H202" s="15">
        <f>IFERROR(__xludf.DUMMYFUNCTION("""COMPUTED_VALUE"""),950.0)</f>
        <v>950</v>
      </c>
      <c r="I202" s="15">
        <f>IFERROR(__xludf.DUMMYFUNCTION("""COMPUTED_VALUE"""),1675.0)</f>
        <v>1675</v>
      </c>
      <c r="J202" s="15">
        <f>IFERROR(__xludf.DUMMYFUNCTION("""COMPUTED_VALUE"""),1585.0)</f>
        <v>1585</v>
      </c>
      <c r="K202" s="16" t="str">
        <f>IFERROR(__xludf.DUMMYFUNCTION("""COMPUTED_VALUE"""),"22/08/2023, 16:02:26")</f>
        <v>22/08/2023, 16:02:26</v>
      </c>
    </row>
    <row r="203">
      <c r="A203" s="25" t="str">
        <f>IFERROR(__xludf.DUMMYFUNCTION("""COMPUTED_VALUE"""),"63425e005378b16a978637f6")</f>
        <v>63425e005378b16a978637f6</v>
      </c>
      <c r="B203" s="26" t="str">
        <f>IFERROR(__xludf.DUMMYFUNCTION("""COMPUTED_VALUE"""),"validation_stuttgart_urban")</f>
        <v>validation_stuttgart_urban</v>
      </c>
      <c r="C203" s="26" t="str">
        <f>IFERROR(__xludf.DUMMYFUNCTION("""COMPUTED_VALUE"""),"test")</f>
        <v>test</v>
      </c>
      <c r="D203" s="26" t="str">
        <f>IFERROR(__xludf.DUMMYFUNCTION("""COMPUTED_VALUE"""),"validation")</f>
        <v>validation</v>
      </c>
      <c r="E203" s="26">
        <f>IFERROR(__xludf.DUMMYFUNCTION("""COMPUTED_VALUE"""),1789.0)</f>
        <v>1789</v>
      </c>
      <c r="F203" s="26" t="str">
        <f>IFERROR(__xludf.DUMMYFUNCTION("""COMPUTED_VALUE"""),"AMBARELLA_3840_1920")</f>
        <v>AMBARELLA_3840_1920</v>
      </c>
      <c r="G203" s="26" t="str">
        <f>IFERROR(__xludf.DUMMYFUNCTION("""COMPUTED_VALUE"""),"germany, stuttgart, urban, cloudy, clear, day")</f>
        <v>germany, stuttgart, urban, cloudy, clear, day</v>
      </c>
      <c r="H203" s="26">
        <f>IFERROR(__xludf.DUMMYFUNCTION("""COMPUTED_VALUE"""),950.0)</f>
        <v>950</v>
      </c>
      <c r="I203" s="26">
        <f>IFERROR(__xludf.DUMMYFUNCTION("""COMPUTED_VALUE"""),1675.0)</f>
        <v>1675</v>
      </c>
      <c r="J203" s="26">
        <f>IFERROR(__xludf.DUMMYFUNCTION("""COMPUTED_VALUE"""),1585.0)</f>
        <v>1585</v>
      </c>
      <c r="K203" s="27" t="str">
        <f>IFERROR(__xludf.DUMMYFUNCTION("""COMPUTED_VALUE"""),"22/08/2023, 16:02:30")</f>
        <v>22/08/2023, 16:02:30</v>
      </c>
    </row>
    <row r="204">
      <c r="A204" s="18" t="str">
        <f>IFERROR(__xludf.DUMMYFUNCTION("""COMPUTED_VALUE"""),"63c7ef5c24267004460ae836")</f>
        <v>63c7ef5c24267004460ae836</v>
      </c>
      <c r="B204" s="15" t="str">
        <f>IFERROR(__xludf.DUMMYFUNCTION("""COMPUTED_VALUE"""),"dawn_country_cloudy_validation_dusk_realistic_chapel_hill")</f>
        <v>dawn_country_cloudy_validation_dusk_realistic_chapel_hill</v>
      </c>
      <c r="C204" s="15" t="str">
        <f>IFERROR(__xludf.DUMMYFUNCTION("""COMPUTED_VALUE"""),"test")</f>
        <v>test</v>
      </c>
      <c r="D204" s="15" t="str">
        <f>IFERROR(__xludf.DUMMYFUNCTION("""COMPUTED_VALUE"""),"undefined")</f>
        <v>undefined</v>
      </c>
      <c r="E204" s="15">
        <f>IFERROR(__xludf.DUMMYFUNCTION("""COMPUTED_VALUE"""),349.0)</f>
        <v>349</v>
      </c>
      <c r="F204" s="15" t="str">
        <f>IFERROR(__xludf.DUMMYFUNCTION("""COMPUTED_VALUE"""),"AMBARELLA_3840_1920")</f>
        <v>AMBARELLA_3840_1920</v>
      </c>
      <c r="G204" s="15" t="str">
        <f>IFERROR(__xludf.DUMMYFUNCTION("""COMPUTED_VALUE"""),"unknown, unknown, unknown, unknown, ")</f>
        <v>unknown, unknown, unknown, unknown, </v>
      </c>
      <c r="H204" s="15">
        <f>IFERROR(__xludf.DUMMYFUNCTION("""COMPUTED_VALUE"""),950.0)</f>
        <v>950</v>
      </c>
      <c r="I204" s="15">
        <f>IFERROR(__xludf.DUMMYFUNCTION("""COMPUTED_VALUE"""),1675.0)</f>
        <v>1675</v>
      </c>
      <c r="J204" s="15">
        <f>IFERROR(__xludf.DUMMYFUNCTION("""COMPUTED_VALUE"""),1585.0)</f>
        <v>1585</v>
      </c>
      <c r="K204" s="16" t="str">
        <f>IFERROR(__xludf.DUMMYFUNCTION("""COMPUTED_VALUE"""),"22/08/2023, 16:02:39")</f>
        <v>22/08/2023, 16:02:39</v>
      </c>
    </row>
    <row r="205">
      <c r="A205" s="18" t="str">
        <f>IFERROR(__xludf.DUMMYFUNCTION("""COMPUTED_VALUE"""),"63c7ef3a24267004460ae5be")</f>
        <v>63c7ef3a24267004460ae5be</v>
      </c>
      <c r="B205" s="15" t="str">
        <f>IFERROR(__xludf.DUMMYFUNCTION("""COMPUTED_VALUE"""),"dawn_highway_cloudy_validation_dusk_realistic_chapel_hill")</f>
        <v>dawn_highway_cloudy_validation_dusk_realistic_chapel_hill</v>
      </c>
      <c r="C205" s="15" t="str">
        <f>IFERROR(__xludf.DUMMYFUNCTION("""COMPUTED_VALUE"""),"test")</f>
        <v>test</v>
      </c>
      <c r="D205" s="15" t="str">
        <f>IFERROR(__xludf.DUMMYFUNCTION("""COMPUTED_VALUE"""),"undefined")</f>
        <v>undefined</v>
      </c>
      <c r="E205" s="15">
        <f>IFERROR(__xludf.DUMMYFUNCTION("""COMPUTED_VALUE"""),188.0)</f>
        <v>188</v>
      </c>
      <c r="F205" s="15" t="str">
        <f>IFERROR(__xludf.DUMMYFUNCTION("""COMPUTED_VALUE"""),"AMBARELLA_3840_1920")</f>
        <v>AMBARELLA_3840_1920</v>
      </c>
      <c r="G205" s="15" t="str">
        <f>IFERROR(__xludf.DUMMYFUNCTION("""COMPUTED_VALUE"""),"unknown, unknown, unknown, unknown, ")</f>
        <v>unknown, unknown, unknown, unknown, </v>
      </c>
      <c r="H205" s="15">
        <f>IFERROR(__xludf.DUMMYFUNCTION("""COMPUTED_VALUE"""),950.0)</f>
        <v>950</v>
      </c>
      <c r="I205" s="15">
        <f>IFERROR(__xludf.DUMMYFUNCTION("""COMPUTED_VALUE"""),1675.0)</f>
        <v>1675</v>
      </c>
      <c r="J205" s="15">
        <f>IFERROR(__xludf.DUMMYFUNCTION("""COMPUTED_VALUE"""),1585.0)</f>
        <v>1585</v>
      </c>
      <c r="K205" s="16" t="str">
        <f>IFERROR(__xludf.DUMMYFUNCTION("""COMPUTED_VALUE"""),"22/08/2023, 16:02:42")</f>
        <v>22/08/2023, 16:02:42</v>
      </c>
    </row>
    <row r="206">
      <c r="A206" s="18" t="str">
        <f>IFERROR(__xludf.DUMMYFUNCTION("""COMPUTED_VALUE"""),"63c7f83524267004460b6066")</f>
        <v>63c7f83524267004460b6066</v>
      </c>
      <c r="B206" s="15" t="str">
        <f>IFERROR(__xludf.DUMMYFUNCTION("""COMPUTED_VALUE"""),"country_part_1_validation_ab_car_germany_day_v1_")</f>
        <v>country_part_1_validation_ab_car_germany_day_v1_</v>
      </c>
      <c r="C206" s="15" t="str">
        <f>IFERROR(__xludf.DUMMYFUNCTION("""COMPUTED_VALUE"""),"test")</f>
        <v>test</v>
      </c>
      <c r="D206" s="15" t="str">
        <f>IFERROR(__xludf.DUMMYFUNCTION("""COMPUTED_VALUE"""),"undefined")</f>
        <v>undefined</v>
      </c>
      <c r="E206" s="15">
        <f>IFERROR(__xludf.DUMMYFUNCTION("""COMPUTED_VALUE"""),25.0)</f>
        <v>25</v>
      </c>
      <c r="F206" s="15" t="str">
        <f>IFERROR(__xludf.DUMMYFUNCTION("""COMPUTED_VALUE"""),"AMBARELLA_3840_1920")</f>
        <v>AMBARELLA_3840_1920</v>
      </c>
      <c r="G206" s="15" t="str">
        <f>IFERROR(__xludf.DUMMYFUNCTION("""COMPUTED_VALUE"""),"germany, day, country")</f>
        <v>germany, day, country</v>
      </c>
      <c r="H206" s="15">
        <f>IFERROR(__xludf.DUMMYFUNCTION("""COMPUTED_VALUE"""),950.0)</f>
        <v>950</v>
      </c>
      <c r="I206" s="15">
        <f>IFERROR(__xludf.DUMMYFUNCTION("""COMPUTED_VALUE"""),1675.0)</f>
        <v>1675</v>
      </c>
      <c r="J206" s="15">
        <f>IFERROR(__xludf.DUMMYFUNCTION("""COMPUTED_VALUE"""),1585.0)</f>
        <v>1585</v>
      </c>
      <c r="K206" s="16" t="str">
        <f>IFERROR(__xludf.DUMMYFUNCTION("""COMPUTED_VALUE"""),"22/08/2023, 16:02:45")</f>
        <v>22/08/2023, 16:02:45</v>
      </c>
    </row>
    <row r="207">
      <c r="A207" s="25" t="str">
        <f>IFERROR(__xludf.DUMMYFUNCTION("""COMPUTED_VALUE"""),"63c7f86424267004460b60ea")</f>
        <v>63c7f86424267004460b60ea</v>
      </c>
      <c r="B207" s="26" t="str">
        <f>IFERROR(__xludf.DUMMYFUNCTION("""COMPUTED_VALUE"""),"country_part_2_validation_ab_car_germany_day_v1_")</f>
        <v>country_part_2_validation_ab_car_germany_day_v1_</v>
      </c>
      <c r="C207" s="26" t="str">
        <f>IFERROR(__xludf.DUMMYFUNCTION("""COMPUTED_VALUE"""),"test")</f>
        <v>test</v>
      </c>
      <c r="D207" s="26" t="str">
        <f>IFERROR(__xludf.DUMMYFUNCTION("""COMPUTED_VALUE"""),"undefined")</f>
        <v>undefined</v>
      </c>
      <c r="E207" s="26">
        <f>IFERROR(__xludf.DUMMYFUNCTION("""COMPUTED_VALUE"""),59.0)</f>
        <v>59</v>
      </c>
      <c r="F207" s="26" t="str">
        <f>IFERROR(__xludf.DUMMYFUNCTION("""COMPUTED_VALUE"""),"AMBARELLA_3840_1920")</f>
        <v>AMBARELLA_3840_1920</v>
      </c>
      <c r="G207" s="26" t="str">
        <f>IFERROR(__xludf.DUMMYFUNCTION("""COMPUTED_VALUE"""),"germany, day, country")</f>
        <v>germany, day, country</v>
      </c>
      <c r="H207" s="26">
        <f>IFERROR(__xludf.DUMMYFUNCTION("""COMPUTED_VALUE"""),950.0)</f>
        <v>950</v>
      </c>
      <c r="I207" s="26">
        <f>IFERROR(__xludf.DUMMYFUNCTION("""COMPUTED_VALUE"""),1675.0)</f>
        <v>1675</v>
      </c>
      <c r="J207" s="26">
        <f>IFERROR(__xludf.DUMMYFUNCTION("""COMPUTED_VALUE"""),1585.0)</f>
        <v>1585</v>
      </c>
      <c r="K207" s="27" t="str">
        <f>IFERROR(__xludf.DUMMYFUNCTION("""COMPUTED_VALUE"""),"22/08/2023, 16:02:48")</f>
        <v>22/08/2023, 16:02:48</v>
      </c>
    </row>
    <row r="208">
      <c r="A208" s="25" t="str">
        <f>IFERROR(__xludf.DUMMYFUNCTION("""COMPUTED_VALUE"""),"63c7f7fb24267004460b5d94")</f>
        <v>63c7f7fb24267004460b5d94</v>
      </c>
      <c r="B208" s="26" t="str">
        <f>IFERROR(__xludf.DUMMYFUNCTION("""COMPUTED_VALUE"""),"highway_validation_ab_car_germany_day_v1_")</f>
        <v>highway_validation_ab_car_germany_day_v1_</v>
      </c>
      <c r="C208" s="26" t="str">
        <f>IFERROR(__xludf.DUMMYFUNCTION("""COMPUTED_VALUE"""),"test")</f>
        <v>test</v>
      </c>
      <c r="D208" s="26" t="str">
        <f>IFERROR(__xludf.DUMMYFUNCTION("""COMPUTED_VALUE"""),"undefined")</f>
        <v>undefined</v>
      </c>
      <c r="E208" s="26">
        <f>IFERROR(__xludf.DUMMYFUNCTION("""COMPUTED_VALUE"""),163.0)</f>
        <v>163</v>
      </c>
      <c r="F208" s="26" t="str">
        <f>IFERROR(__xludf.DUMMYFUNCTION("""COMPUTED_VALUE"""),"AMBARELLA_3840_1920")</f>
        <v>AMBARELLA_3840_1920</v>
      </c>
      <c r="G208" s="26" t="str">
        <f>IFERROR(__xludf.DUMMYFUNCTION("""COMPUTED_VALUE"""),"germany, day, clear, highway")</f>
        <v>germany, day, clear, highway</v>
      </c>
      <c r="H208" s="26">
        <f>IFERROR(__xludf.DUMMYFUNCTION("""COMPUTED_VALUE"""),950.0)</f>
        <v>950</v>
      </c>
      <c r="I208" s="26">
        <f>IFERROR(__xludf.DUMMYFUNCTION("""COMPUTED_VALUE"""),1675.0)</f>
        <v>1675</v>
      </c>
      <c r="J208" s="26">
        <f>IFERROR(__xludf.DUMMYFUNCTION("""COMPUTED_VALUE"""),1585.0)</f>
        <v>1585</v>
      </c>
      <c r="K208" s="27" t="str">
        <f>IFERROR(__xludf.DUMMYFUNCTION("""COMPUTED_VALUE"""),"22/08/2023, 16:02:51")</f>
        <v>22/08/2023, 16:02:51</v>
      </c>
    </row>
    <row r="209">
      <c r="A209" s="25" t="str">
        <f>IFERROR(__xludf.DUMMYFUNCTION("""COMPUTED_VALUE"""),"63c7f79624267004460b5c84")</f>
        <v>63c7f79624267004460b5c84</v>
      </c>
      <c r="B209" s="26" t="str">
        <f>IFERROR(__xludf.DUMMYFUNCTION("""COMPUTED_VALUE"""),"urban_validation_ab_car_germany_day_v1_")</f>
        <v>urban_validation_ab_car_germany_day_v1_</v>
      </c>
      <c r="C209" s="26" t="str">
        <f>IFERROR(__xludf.DUMMYFUNCTION("""COMPUTED_VALUE"""),"test")</f>
        <v>test</v>
      </c>
      <c r="D209" s="26" t="str">
        <f>IFERROR(__xludf.DUMMYFUNCTION("""COMPUTED_VALUE"""),"undefined")</f>
        <v>undefined</v>
      </c>
      <c r="E209" s="26">
        <f>IFERROR(__xludf.DUMMYFUNCTION("""COMPUTED_VALUE"""),558.0)</f>
        <v>558</v>
      </c>
      <c r="F209" s="26" t="str">
        <f>IFERROR(__xludf.DUMMYFUNCTION("""COMPUTED_VALUE"""),"AMBARELLA_3840_1920")</f>
        <v>AMBARELLA_3840_1920</v>
      </c>
      <c r="G209" s="26" t="str">
        <f>IFERROR(__xludf.DUMMYFUNCTION("""COMPUTED_VALUE"""),"germany, day, clear, urban")</f>
        <v>germany, day, clear, urban</v>
      </c>
      <c r="H209" s="26">
        <f>IFERROR(__xludf.DUMMYFUNCTION("""COMPUTED_VALUE"""),950.0)</f>
        <v>950</v>
      </c>
      <c r="I209" s="26">
        <f>IFERROR(__xludf.DUMMYFUNCTION("""COMPUTED_VALUE"""),1675.0)</f>
        <v>1675</v>
      </c>
      <c r="J209" s="26">
        <f>IFERROR(__xludf.DUMMYFUNCTION("""COMPUTED_VALUE"""),1585.0)</f>
        <v>1585</v>
      </c>
      <c r="K209" s="27" t="str">
        <f>IFERROR(__xludf.DUMMYFUNCTION("""COMPUTED_VALUE"""),"22/08/2023, 16:02:54")</f>
        <v>22/08/2023, 16:02:54</v>
      </c>
    </row>
    <row r="210">
      <c r="A210" s="25" t="str">
        <f>IFERROR(__xludf.DUMMYFUNCTION("""COMPUTED_VALUE"""),"64244b76be8ede2209d05e38")</f>
        <v>64244b76be8ede2209d05e38</v>
      </c>
      <c r="B210" s="26" t="str">
        <f>IFERROR(__xludf.DUMMYFUNCTION("""COMPUTED_VALUE"""),"ab001_erh_7799_20230202_110406_wolfsburg_long_demo_route_ssd3_filter_test_for_test_tagged")</f>
        <v>ab001_erh_7799_20230202_110406_wolfsburg_long_demo_route_ssd3_filter_test_for_test_tagged</v>
      </c>
      <c r="C210" s="26" t="str">
        <f>IFERROR(__xludf.DUMMYFUNCTION("""COMPUTED_VALUE"""),"test")</f>
        <v>test</v>
      </c>
      <c r="D210" s="26" t="str">
        <f>IFERROR(__xludf.DUMMYFUNCTION("""COMPUTED_VALUE"""),"test")</f>
        <v>test</v>
      </c>
      <c r="E210" s="26">
        <f>IFERROR(__xludf.DUMMYFUNCTION("""COMPUTED_VALUE"""),50.0)</f>
        <v>50</v>
      </c>
      <c r="F210" s="26" t="str">
        <f>IFERROR(__xludf.DUMMYFUNCTION("""COMPUTED_VALUE"""),"8MP_JPG")</f>
        <v>8MP_JPG</v>
      </c>
      <c r="G210" s="26" t="str">
        <f>IFERROR(__xludf.DUMMYFUNCTION("""COMPUTED_VALUE"""),"direct_sun, cloudy, wolfsburg, germany")</f>
        <v>direct_sun, cloudy, wolfsburg, germany</v>
      </c>
      <c r="H210" s="26">
        <f>IFERROR(__xludf.DUMMYFUNCTION("""COMPUTED_VALUE"""),950.0)</f>
        <v>950</v>
      </c>
      <c r="I210" s="26">
        <f>IFERROR(__xludf.DUMMYFUNCTION("""COMPUTED_VALUE"""),1675.0)</f>
        <v>1675</v>
      </c>
      <c r="J210" s="26">
        <f>IFERROR(__xludf.DUMMYFUNCTION("""COMPUTED_VALUE"""),1585.0)</f>
        <v>1585</v>
      </c>
      <c r="K210" s="27" t="str">
        <f>IFERROR(__xludf.DUMMYFUNCTION("""COMPUTED_VALUE"""),"22/08/2023, 16:03:04")</f>
        <v>22/08/2023, 16:03:04</v>
      </c>
    </row>
    <row r="211">
      <c r="A211" s="25" t="str">
        <f>IFERROR(__xludf.DUMMYFUNCTION("""COMPUTED_VALUE"""),"642935b5be8ede2209d07852")</f>
        <v>642935b5be8ede2209d07852</v>
      </c>
      <c r="B211" s="26" t="str">
        <f>IFERROR(__xludf.DUMMYFUNCTION("""COMPUTED_VALUE"""),"renault_fas_after_crops_after_tagging_without_duplicates_for_validation_tagged")</f>
        <v>renault_fas_after_crops_after_tagging_without_duplicates_for_validation_tagged</v>
      </c>
      <c r="C211" s="26" t="str">
        <f>IFERROR(__xludf.DUMMYFUNCTION("""COMPUTED_VALUE"""),"test")</f>
        <v>test</v>
      </c>
      <c r="D211" s="26" t="str">
        <f>IFERROR(__xludf.DUMMYFUNCTION("""COMPUTED_VALUE"""),"validation")</f>
        <v>validation</v>
      </c>
      <c r="E211" s="26">
        <f>IFERROR(__xludf.DUMMYFUNCTION("""COMPUTED_VALUE"""),162.0)</f>
        <v>162</v>
      </c>
      <c r="F211" s="26" t="str">
        <f>IFERROR(__xludf.DUMMYFUNCTION("""COMPUTED_VALUE"""),"8MP_JPG")</f>
        <v>8MP_JPG</v>
      </c>
      <c r="G211" s="26" t="str">
        <f>IFERROR(__xludf.DUMMYFUNCTION("""COMPUTED_VALUE"""),"france, twilight, cloudy, urban")</f>
        <v>france, twilight, cloudy, urban</v>
      </c>
      <c r="H211" s="26">
        <f>IFERROR(__xludf.DUMMYFUNCTION("""COMPUTED_VALUE"""),950.0)</f>
        <v>950</v>
      </c>
      <c r="I211" s="26">
        <f>IFERROR(__xludf.DUMMYFUNCTION("""COMPUTED_VALUE"""),1675.0)</f>
        <v>1675</v>
      </c>
      <c r="J211" s="26">
        <f>IFERROR(__xludf.DUMMYFUNCTION("""COMPUTED_VALUE"""),1585.0)</f>
        <v>1585</v>
      </c>
      <c r="K211" s="27" t="str">
        <f>IFERROR(__xludf.DUMMYFUNCTION("""COMPUTED_VALUE"""),"22/08/2023, 16:03:07")</f>
        <v>22/08/2023, 16:03:07</v>
      </c>
    </row>
    <row r="212">
      <c r="A212" s="18" t="str">
        <f>IFERROR(__xludf.DUMMYFUNCTION("""COMPUTED_VALUE"""),"6429863dbe8ede2209d07c7e")</f>
        <v>6429863dbe8ede2209d07c7e</v>
      </c>
      <c r="B212" s="15" t="str">
        <f>IFERROR(__xludf.DUMMYFUNCTION("""COMPUTED_VALUE"""),"rain_dataset_filtered2_without_duplicates_1_for_test_tagged")</f>
        <v>rain_dataset_filtered2_without_duplicates_1_for_test_tagged</v>
      </c>
      <c r="C212" s="15" t="str">
        <f>IFERROR(__xludf.DUMMYFUNCTION("""COMPUTED_VALUE"""),"test")</f>
        <v>test</v>
      </c>
      <c r="D212" s="15" t="str">
        <f>IFERROR(__xludf.DUMMYFUNCTION("""COMPUTED_VALUE"""),"test")</f>
        <v>test</v>
      </c>
      <c r="E212" s="15">
        <f>IFERROR(__xludf.DUMMYFUNCTION("""COMPUTED_VALUE"""),114.0)</f>
        <v>114</v>
      </c>
      <c r="F212" s="15" t="str">
        <f>IFERROR(__xludf.DUMMYFUNCTION("""COMPUTED_VALUE"""),"8MP_JPG")</f>
        <v>8MP_JPG</v>
      </c>
      <c r="G212" s="15" t="str">
        <f>IFERROR(__xludf.DUMMYFUNCTION("""COMPUTED_VALUE"""),"unknown, unknown, unknown, unknown, ")</f>
        <v>unknown, unknown, unknown, unknown, </v>
      </c>
      <c r="H212" s="15">
        <f>IFERROR(__xludf.DUMMYFUNCTION("""COMPUTED_VALUE"""),950.0)</f>
        <v>950</v>
      </c>
      <c r="I212" s="15">
        <f>IFERROR(__xludf.DUMMYFUNCTION("""COMPUTED_VALUE"""),1675.0)</f>
        <v>1675</v>
      </c>
      <c r="J212" s="15">
        <f>IFERROR(__xludf.DUMMYFUNCTION("""COMPUTED_VALUE"""),1585.0)</f>
        <v>1585</v>
      </c>
      <c r="K212" s="16" t="str">
        <f>IFERROR(__xludf.DUMMYFUNCTION("""COMPUTED_VALUE"""),"22/08/2023, 16:03:10")</f>
        <v>22/08/2023, 16:03:10</v>
      </c>
    </row>
    <row r="213">
      <c r="A213" s="25" t="str">
        <f>IFERROR(__xludf.DUMMYFUNCTION("""COMPUTED_VALUE"""),"64802f86be8ede2209d280cb")</f>
        <v>64802f86be8ede2209d280cb</v>
      </c>
      <c r="B213" s="26" t="str">
        <f>IFERROR(__xludf.DUMMYFUNCTION("""COMPUTED_VALUE"""),"usa_country_dataset_for_test_07_06_23")</f>
        <v>usa_country_dataset_for_test_07_06_23</v>
      </c>
      <c r="C213" s="26" t="str">
        <f>IFERROR(__xludf.DUMMYFUNCTION("""COMPUTED_VALUE"""),"test")</f>
        <v>test</v>
      </c>
      <c r="D213" s="26" t="str">
        <f>IFERROR(__xludf.DUMMYFUNCTION("""COMPUTED_VALUE"""),"test")</f>
        <v>test</v>
      </c>
      <c r="E213" s="26">
        <f>IFERROR(__xludf.DUMMYFUNCTION("""COMPUTED_VALUE"""),161.0)</f>
        <v>161</v>
      </c>
      <c r="F213" s="26" t="str">
        <f>IFERROR(__xludf.DUMMYFUNCTION("""COMPUTED_VALUE"""),"8MP_JPG")</f>
        <v>8MP_JPG</v>
      </c>
      <c r="G213" s="26" t="str">
        <f>IFERROR(__xludf.DUMMYFUNCTION("""COMPUTED_VALUE"""),"usa, day, country, clear")</f>
        <v>usa, day, country, clear</v>
      </c>
      <c r="H213" s="26">
        <f>IFERROR(__xludf.DUMMYFUNCTION("""COMPUTED_VALUE"""),950.0)</f>
        <v>950</v>
      </c>
      <c r="I213" s="26">
        <f>IFERROR(__xludf.DUMMYFUNCTION("""COMPUTED_VALUE"""),1675.0)</f>
        <v>1675</v>
      </c>
      <c r="J213" s="26">
        <f>IFERROR(__xludf.DUMMYFUNCTION("""COMPUTED_VALUE"""),1585.0)</f>
        <v>1585</v>
      </c>
      <c r="K213" s="27" t="str">
        <f>IFERROR(__xludf.DUMMYFUNCTION("""COMPUTED_VALUE"""),"22/08/2023, 16:03:13")</f>
        <v>22/08/2023, 16:03:13</v>
      </c>
    </row>
    <row r="214">
      <c r="A214" s="25" t="str">
        <f>IFERROR(__xludf.DUMMYFUNCTION("""COMPUTED_VALUE"""),"62f3681707d51f1227a6477e")</f>
        <v>62f3681707d51f1227a6477e</v>
      </c>
      <c r="B214" s="26" t="str">
        <f>IFERROR(__xludf.DUMMYFUNCTION("""COMPUTED_VALUE"""),"04082022_ped_crossing_dist_2m_1of3_combined_v1_new")</f>
        <v>04082022_ped_crossing_dist_2m_1of3_combined_v1_new</v>
      </c>
      <c r="C214" s="26" t="str">
        <f>IFERROR(__xludf.DUMMYFUNCTION("""COMPUTED_VALUE"""),"test")</f>
        <v>test</v>
      </c>
      <c r="D214" s="26" t="str">
        <f>IFERROR(__xludf.DUMMYFUNCTION("""COMPUTED_VALUE"""),"validation")</f>
        <v>validation</v>
      </c>
      <c r="E214" s="26">
        <f>IFERROR(__xludf.DUMMYFUNCTION("""COMPUTED_VALUE"""),1009.0)</f>
        <v>1009</v>
      </c>
      <c r="F214" s="26" t="str">
        <f>IFERROR(__xludf.DUMMYFUNCTION("""COMPUTED_VALUE"""),"AMBARELLA_3840_1920")</f>
        <v>AMBARELLA_3840_1920</v>
      </c>
      <c r="G214" s="26" t="str">
        <f>IFERROR(__xludf.DUMMYFUNCTION("""COMPUTED_VALUE"""),"unknown, unknown, unknown, unknown, ")</f>
        <v>unknown, unknown, unknown, unknown, </v>
      </c>
      <c r="H214" s="26">
        <f>IFERROR(__xludf.DUMMYFUNCTION("""COMPUTED_VALUE"""),950.0)</f>
        <v>950</v>
      </c>
      <c r="I214" s="26">
        <f>IFERROR(__xludf.DUMMYFUNCTION("""COMPUTED_VALUE"""),1675.0)</f>
        <v>1675</v>
      </c>
      <c r="J214" s="26">
        <f>IFERROR(__xludf.DUMMYFUNCTION("""COMPUTED_VALUE"""),1585.0)</f>
        <v>1585</v>
      </c>
      <c r="K214" s="27" t="str">
        <f>IFERROR(__xludf.DUMMYFUNCTION("""COMPUTED_VALUE"""),"22/08/2023, 16:03:19")</f>
        <v>22/08/2023, 16:03:19</v>
      </c>
    </row>
    <row r="215">
      <c r="A215" s="18" t="str">
        <f>IFERROR(__xludf.DUMMYFUNCTION("""COMPUTED_VALUE"""),"62f3704907d51f1227a66b2f")</f>
        <v>62f3704907d51f1227a66b2f</v>
      </c>
      <c r="B215" s="15" t="str">
        <f>IFERROR(__xludf.DUMMYFUNCTION("""COMPUTED_VALUE"""),"04082022_ped_crossing_dist_5m_1of3_new")</f>
        <v>04082022_ped_crossing_dist_5m_1of3_new</v>
      </c>
      <c r="C215" s="15" t="str">
        <f>IFERROR(__xludf.DUMMYFUNCTION("""COMPUTED_VALUE"""),"test")</f>
        <v>test</v>
      </c>
      <c r="D215" s="15" t="str">
        <f>IFERROR(__xludf.DUMMYFUNCTION("""COMPUTED_VALUE"""),"validation")</f>
        <v>validation</v>
      </c>
      <c r="E215" s="15">
        <f>IFERROR(__xludf.DUMMYFUNCTION("""COMPUTED_VALUE"""),1495.0)</f>
        <v>1495</v>
      </c>
      <c r="F215" s="15" t="str">
        <f>IFERROR(__xludf.DUMMYFUNCTION("""COMPUTED_VALUE"""),"AMBARELLA_3840_1920")</f>
        <v>AMBARELLA_3840_1920</v>
      </c>
      <c r="G215" s="15" t="str">
        <f>IFERROR(__xludf.DUMMYFUNCTION("""COMPUTED_VALUE"""),"unknown, unknown, unknown, unknown, ")</f>
        <v>unknown, unknown, unknown, unknown, </v>
      </c>
      <c r="H215" s="15">
        <f>IFERROR(__xludf.DUMMYFUNCTION("""COMPUTED_VALUE"""),950.0)</f>
        <v>950</v>
      </c>
      <c r="I215" s="15">
        <f>IFERROR(__xludf.DUMMYFUNCTION("""COMPUTED_VALUE"""),1675.0)</f>
        <v>1675</v>
      </c>
      <c r="J215" s="15">
        <f>IFERROR(__xludf.DUMMYFUNCTION("""COMPUTED_VALUE"""),1585.0)</f>
        <v>1585</v>
      </c>
      <c r="K215" s="16" t="str">
        <f>IFERROR(__xludf.DUMMYFUNCTION("""COMPUTED_VALUE"""),"22/08/2023, 16:03:23")</f>
        <v>22/08/2023, 16:03:23</v>
      </c>
    </row>
    <row r="216">
      <c r="A216" s="25" t="str">
        <f>IFERROR(__xludf.DUMMYFUNCTION("""COMPUTED_VALUE"""),"63c807af24267004460bcf39")</f>
        <v>63c807af24267004460bcf39</v>
      </c>
      <c r="B216" s="26" t="str">
        <f>IFERROR(__xludf.DUMMYFUNCTION("""COMPUTED_VALUE"""),"04082022_ped_crossing_dist_10m_1of3_combined_v1_new_18_01_23")</f>
        <v>04082022_ped_crossing_dist_10m_1of3_combined_v1_new_18_01_23</v>
      </c>
      <c r="C216" s="26" t="str">
        <f>IFERROR(__xludf.DUMMYFUNCTION("""COMPUTED_VALUE"""),"test")</f>
        <v>test</v>
      </c>
      <c r="D216" s="26" t="str">
        <f>IFERROR(__xludf.DUMMYFUNCTION("""COMPUTED_VALUE"""),"undefined")</f>
        <v>undefined</v>
      </c>
      <c r="E216" s="26">
        <f>IFERROR(__xludf.DUMMYFUNCTION("""COMPUTED_VALUE"""),1768.0)</f>
        <v>1768</v>
      </c>
      <c r="F216" s="26" t="str">
        <f>IFERROR(__xludf.DUMMYFUNCTION("""COMPUTED_VALUE"""),"AMBARELLA_3840_1920")</f>
        <v>AMBARELLA_3840_1920</v>
      </c>
      <c r="G216" s="26" t="str">
        <f>IFERROR(__xludf.DUMMYFUNCTION("""COMPUTED_VALUE"""),"unknown, unknown, unknown, unknown, ")</f>
        <v>unknown, unknown, unknown, unknown, </v>
      </c>
      <c r="H216" s="26">
        <f>IFERROR(__xludf.DUMMYFUNCTION("""COMPUTED_VALUE"""),950.0)</f>
        <v>950</v>
      </c>
      <c r="I216" s="26">
        <f>IFERROR(__xludf.DUMMYFUNCTION("""COMPUTED_VALUE"""),1675.0)</f>
        <v>1675</v>
      </c>
      <c r="J216" s="26">
        <f>IFERROR(__xludf.DUMMYFUNCTION("""COMPUTED_VALUE"""),1585.0)</f>
        <v>1585</v>
      </c>
      <c r="K216" s="27" t="str">
        <f>IFERROR(__xludf.DUMMYFUNCTION("""COMPUTED_VALUE"""),"22/08/2023, 16:03:26")</f>
        <v>22/08/2023, 16:03:26</v>
      </c>
    </row>
    <row r="217">
      <c r="A217" s="18" t="str">
        <f>IFERROR(__xludf.DUMMYFUNCTION("""COMPUTED_VALUE"""),"62f3690307d51f1227a6505a")</f>
        <v>62f3690307d51f1227a6505a</v>
      </c>
      <c r="B217" s="26" t="str">
        <f>IFERROR(__xludf.DUMMYFUNCTION("""COMPUTED_VALUE"""),"04082022_ped_crossing_dist_20m_1of2_combined_v1_new")</f>
        <v>04082022_ped_crossing_dist_20m_1of2_combined_v1_new</v>
      </c>
      <c r="C217" s="15" t="str">
        <f>IFERROR(__xludf.DUMMYFUNCTION("""COMPUTED_VALUE"""),"test")</f>
        <v>test</v>
      </c>
      <c r="D217" s="15" t="str">
        <f>IFERROR(__xludf.DUMMYFUNCTION("""COMPUTED_VALUE"""),"validation")</f>
        <v>validation</v>
      </c>
      <c r="E217" s="15">
        <f>IFERROR(__xludf.DUMMYFUNCTION("""COMPUTED_VALUE"""),2878.0)</f>
        <v>2878</v>
      </c>
      <c r="F217" s="15" t="str">
        <f>IFERROR(__xludf.DUMMYFUNCTION("""COMPUTED_VALUE"""),"AMBARELLA_3840_1920")</f>
        <v>AMBARELLA_3840_1920</v>
      </c>
      <c r="G217" s="15" t="str">
        <f>IFERROR(__xludf.DUMMYFUNCTION("""COMPUTED_VALUE"""),"unknown, unknown, unknown, unknown, ")</f>
        <v>unknown, unknown, unknown, unknown, </v>
      </c>
      <c r="H217" s="15">
        <f>IFERROR(__xludf.DUMMYFUNCTION("""COMPUTED_VALUE"""),950.0)</f>
        <v>950</v>
      </c>
      <c r="I217" s="15">
        <f>IFERROR(__xludf.DUMMYFUNCTION("""COMPUTED_VALUE"""),1675.0)</f>
        <v>1675</v>
      </c>
      <c r="J217" s="15">
        <f>IFERROR(__xludf.DUMMYFUNCTION("""COMPUTED_VALUE"""),1585.0)</f>
        <v>1585</v>
      </c>
      <c r="K217" s="16" t="str">
        <f>IFERROR(__xludf.DUMMYFUNCTION("""COMPUTED_VALUE"""),"22/08/2023, 16:03:31")</f>
        <v>22/08/2023, 16:03:31</v>
      </c>
    </row>
    <row r="218">
      <c r="A218" s="18" t="str">
        <f>IFERROR(__xludf.DUMMYFUNCTION("""COMPUTED_VALUE"""),"62f39d8307d51f1227a713dc")</f>
        <v>62f39d8307d51f1227a713dc</v>
      </c>
      <c r="B218" s="15" t="str">
        <f>IFERROR(__xludf.DUMMYFUNCTION("""COMPUTED_VALUE"""),"04082022_ped_crossing_dist_30m_2of2_new")</f>
        <v>04082022_ped_crossing_dist_30m_2of2_new</v>
      </c>
      <c r="C218" s="15" t="str">
        <f>IFERROR(__xludf.DUMMYFUNCTION("""COMPUTED_VALUE"""),"test")</f>
        <v>test</v>
      </c>
      <c r="D218" s="15" t="str">
        <f>IFERROR(__xludf.DUMMYFUNCTION("""COMPUTED_VALUE"""),"validation")</f>
        <v>validation</v>
      </c>
      <c r="E218" s="15">
        <f>IFERROR(__xludf.DUMMYFUNCTION("""COMPUTED_VALUE"""),3337.0)</f>
        <v>3337</v>
      </c>
      <c r="F218" s="15" t="str">
        <f>IFERROR(__xludf.DUMMYFUNCTION("""COMPUTED_VALUE"""),"AMBARELLA_3840_1920")</f>
        <v>AMBARELLA_3840_1920</v>
      </c>
      <c r="G218" s="15" t="str">
        <f>IFERROR(__xludf.DUMMYFUNCTION("""COMPUTED_VALUE"""),"unknown, unknown, unknown, unknown, ")</f>
        <v>unknown, unknown, unknown, unknown, </v>
      </c>
      <c r="H218" s="15">
        <f>IFERROR(__xludf.DUMMYFUNCTION("""COMPUTED_VALUE"""),950.0)</f>
        <v>950</v>
      </c>
      <c r="I218" s="15">
        <f>IFERROR(__xludf.DUMMYFUNCTION("""COMPUTED_VALUE"""),1675.0)</f>
        <v>1675</v>
      </c>
      <c r="J218" s="15">
        <f>IFERROR(__xludf.DUMMYFUNCTION("""COMPUTED_VALUE"""),1585.0)</f>
        <v>1585</v>
      </c>
      <c r="K218" s="16" t="str">
        <f>IFERROR(__xludf.DUMMYFUNCTION("""COMPUTED_VALUE"""),"22/08/2023, 16:03:35")</f>
        <v>22/08/2023, 16:03:35</v>
      </c>
    </row>
    <row r="219">
      <c r="A219" s="18" t="str">
        <f>IFERROR(__xludf.DUMMYFUNCTION("""COMPUTED_VALUE"""),"62f3722407d51f1227a678c3")</f>
        <v>62f3722407d51f1227a678c3</v>
      </c>
      <c r="B219" s="15" t="str">
        <f>IFERROR(__xludf.DUMMYFUNCTION("""COMPUTED_VALUE"""),"04082022_ped_crossing_dist_40m_2of2_new")</f>
        <v>04082022_ped_crossing_dist_40m_2of2_new</v>
      </c>
      <c r="C219" s="15" t="str">
        <f>IFERROR(__xludf.DUMMYFUNCTION("""COMPUTED_VALUE"""),"test")</f>
        <v>test</v>
      </c>
      <c r="D219" s="15" t="str">
        <f>IFERROR(__xludf.DUMMYFUNCTION("""COMPUTED_VALUE"""),"validation")</f>
        <v>validation</v>
      </c>
      <c r="E219" s="15">
        <f>IFERROR(__xludf.DUMMYFUNCTION("""COMPUTED_VALUE"""),4123.0)</f>
        <v>4123</v>
      </c>
      <c r="F219" s="15" t="str">
        <f>IFERROR(__xludf.DUMMYFUNCTION("""COMPUTED_VALUE"""),"AMBARELLA_3840_1920")</f>
        <v>AMBARELLA_3840_1920</v>
      </c>
      <c r="G219" s="15" t="str">
        <f>IFERROR(__xludf.DUMMYFUNCTION("""COMPUTED_VALUE"""),"unknown, unknown, unknown, unknown, ")</f>
        <v>unknown, unknown, unknown, unknown, </v>
      </c>
      <c r="H219" s="15">
        <f>IFERROR(__xludf.DUMMYFUNCTION("""COMPUTED_VALUE"""),950.0)</f>
        <v>950</v>
      </c>
      <c r="I219" s="15">
        <f>IFERROR(__xludf.DUMMYFUNCTION("""COMPUTED_VALUE"""),1675.0)</f>
        <v>1675</v>
      </c>
      <c r="J219" s="15">
        <f>IFERROR(__xludf.DUMMYFUNCTION("""COMPUTED_VALUE"""),1585.0)</f>
        <v>1585</v>
      </c>
      <c r="K219" s="16" t="str">
        <f>IFERROR(__xludf.DUMMYFUNCTION("""COMPUTED_VALUE"""),"22/08/2023, 16:03:40")</f>
        <v>22/08/2023, 16:03:40</v>
      </c>
    </row>
    <row r="220">
      <c r="A220" s="18" t="str">
        <f>IFERROR(__xludf.DUMMYFUNCTION("""COMPUTED_VALUE"""),"62f37e1907d51f1227a6a326")</f>
        <v>62f37e1907d51f1227a6a326</v>
      </c>
      <c r="B220" s="15" t="str">
        <f>IFERROR(__xludf.DUMMYFUNCTION("""COMPUTED_VALUE"""),"04082022_ped_crossing_dist_50m_2of2_new")</f>
        <v>04082022_ped_crossing_dist_50m_2of2_new</v>
      </c>
      <c r="C220" s="15" t="str">
        <f>IFERROR(__xludf.DUMMYFUNCTION("""COMPUTED_VALUE"""),"test")</f>
        <v>test</v>
      </c>
      <c r="D220" s="15" t="str">
        <f>IFERROR(__xludf.DUMMYFUNCTION("""COMPUTED_VALUE"""),"validation")</f>
        <v>validation</v>
      </c>
      <c r="E220" s="15">
        <f>IFERROR(__xludf.DUMMYFUNCTION("""COMPUTED_VALUE"""),5101.0)</f>
        <v>5101</v>
      </c>
      <c r="F220" s="15" t="str">
        <f>IFERROR(__xludf.DUMMYFUNCTION("""COMPUTED_VALUE"""),"AMBARELLA_3840_1920")</f>
        <v>AMBARELLA_3840_1920</v>
      </c>
      <c r="G220" s="15" t="str">
        <f>IFERROR(__xludf.DUMMYFUNCTION("""COMPUTED_VALUE"""),"unknown, unknown, unknown, unknown, ")</f>
        <v>unknown, unknown, unknown, unknown, </v>
      </c>
      <c r="H220" s="15">
        <f>IFERROR(__xludf.DUMMYFUNCTION("""COMPUTED_VALUE"""),950.0)</f>
        <v>950</v>
      </c>
      <c r="I220" s="15">
        <f>IFERROR(__xludf.DUMMYFUNCTION("""COMPUTED_VALUE"""),1675.0)</f>
        <v>1675</v>
      </c>
      <c r="J220" s="15">
        <f>IFERROR(__xludf.DUMMYFUNCTION("""COMPUTED_VALUE"""),1585.0)</f>
        <v>1585</v>
      </c>
      <c r="K220" s="16" t="str">
        <f>IFERROR(__xludf.DUMMYFUNCTION("""COMPUTED_VALUE"""),"22/08/2023, 16:03:45")</f>
        <v>22/08/2023, 16:03:45</v>
      </c>
    </row>
    <row r="221">
      <c r="A221" s="18" t="str">
        <f>IFERROR(__xludf.DUMMYFUNCTION("""COMPUTED_VALUE"""),"62f3989007d51f1227a6e2af")</f>
        <v>62f3989007d51f1227a6e2af</v>
      </c>
      <c r="B221" s="15" t="str">
        <f>IFERROR(__xludf.DUMMYFUNCTION("""COMPUTED_VALUE"""),"04082022_ped_crossing_dist_60m_2of2_combined_v1_new")</f>
        <v>04082022_ped_crossing_dist_60m_2of2_combined_v1_new</v>
      </c>
      <c r="C221" s="15" t="str">
        <f>IFERROR(__xludf.DUMMYFUNCTION("""COMPUTED_VALUE"""),"test")</f>
        <v>test</v>
      </c>
      <c r="D221" s="15" t="str">
        <f>IFERROR(__xludf.DUMMYFUNCTION("""COMPUTED_VALUE"""),"validation")</f>
        <v>validation</v>
      </c>
      <c r="E221" s="15">
        <f>IFERROR(__xludf.DUMMYFUNCTION("""COMPUTED_VALUE"""),5711.0)</f>
        <v>5711</v>
      </c>
      <c r="F221" s="15" t="str">
        <f>IFERROR(__xludf.DUMMYFUNCTION("""COMPUTED_VALUE"""),"AMBARELLA_3840_1920")</f>
        <v>AMBARELLA_3840_1920</v>
      </c>
      <c r="G221" s="15" t="str">
        <f>IFERROR(__xludf.DUMMYFUNCTION("""COMPUTED_VALUE"""),"unknown, unknown, unknown, unknown, ")</f>
        <v>unknown, unknown, unknown, unknown, </v>
      </c>
      <c r="H221" s="15">
        <f>IFERROR(__xludf.DUMMYFUNCTION("""COMPUTED_VALUE"""),950.0)</f>
        <v>950</v>
      </c>
      <c r="I221" s="15">
        <f>IFERROR(__xludf.DUMMYFUNCTION("""COMPUTED_VALUE"""),1675.0)</f>
        <v>1675</v>
      </c>
      <c r="J221" s="15">
        <f>IFERROR(__xludf.DUMMYFUNCTION("""COMPUTED_VALUE"""),1585.0)</f>
        <v>1585</v>
      </c>
      <c r="K221" s="16" t="str">
        <f>IFERROR(__xludf.DUMMYFUNCTION("""COMPUTED_VALUE"""),"22/08/2023, 16:03:52")</f>
        <v>22/08/2023, 16:03:52</v>
      </c>
    </row>
    <row r="222">
      <c r="A222" s="18" t="str">
        <f>IFERROR(__xludf.DUMMYFUNCTION("""COMPUTED_VALUE"""),"63c8082a24267004460bd22a")</f>
        <v>63c8082a24267004460bd22a</v>
      </c>
      <c r="B222" s="15" t="str">
        <f>IFERROR(__xludf.DUMMYFUNCTION("""COMPUTED_VALUE"""),"04082022_longitudinal_ped_offset_0m_part1_combined_v1_new_18_01_23")</f>
        <v>04082022_longitudinal_ped_offset_0m_part1_combined_v1_new_18_01_23</v>
      </c>
      <c r="C222" s="15" t="str">
        <f>IFERROR(__xludf.DUMMYFUNCTION("""COMPUTED_VALUE"""),"test")</f>
        <v>test</v>
      </c>
      <c r="D222" s="15" t="str">
        <f>IFERROR(__xludf.DUMMYFUNCTION("""COMPUTED_VALUE"""),"undefined")</f>
        <v>undefined</v>
      </c>
      <c r="E222" s="15">
        <f>IFERROR(__xludf.DUMMYFUNCTION("""COMPUTED_VALUE"""),5908.0)</f>
        <v>5908</v>
      </c>
      <c r="F222" s="15" t="str">
        <f>IFERROR(__xludf.DUMMYFUNCTION("""COMPUTED_VALUE"""),"AMBARELLA_3840_1920")</f>
        <v>AMBARELLA_3840_1920</v>
      </c>
      <c r="G222" s="15" t="str">
        <f>IFERROR(__xludf.DUMMYFUNCTION("""COMPUTED_VALUE"""),"unknown, unknown, unknown, unknown, u n d e f i n e d")</f>
        <v>unknown, unknown, unknown, unknown, u n d e f i n e d</v>
      </c>
      <c r="H222" s="15">
        <f>IFERROR(__xludf.DUMMYFUNCTION("""COMPUTED_VALUE"""),950.0)</f>
        <v>950</v>
      </c>
      <c r="I222" s="15">
        <f>IFERROR(__xludf.DUMMYFUNCTION("""COMPUTED_VALUE"""),1675.0)</f>
        <v>1675</v>
      </c>
      <c r="J222" s="15">
        <f>IFERROR(__xludf.DUMMYFUNCTION("""COMPUTED_VALUE"""),1585.0)</f>
        <v>1585</v>
      </c>
      <c r="K222" s="16" t="str">
        <f>IFERROR(__xludf.DUMMYFUNCTION("""COMPUTED_VALUE"""),"22/08/2023, 16:03:58")</f>
        <v>22/08/2023, 16:03:58</v>
      </c>
    </row>
    <row r="223">
      <c r="A223" s="18" t="str">
        <f>IFERROR(__xludf.DUMMYFUNCTION("""COMPUTED_VALUE"""),"638477005378b16a9709c878")</f>
        <v>638477005378b16a9709c878</v>
      </c>
      <c r="B223" s="15" t="str">
        <f>IFERROR(__xludf.DUMMYFUNCTION("""COMPUTED_VALUE"""),"04082022_car2car_longitudinal_20kph_1of2_combined_v1_1")</f>
        <v>04082022_car2car_longitudinal_20kph_1of2_combined_v1_1</v>
      </c>
      <c r="C223" s="15" t="str">
        <f>IFERROR(__xludf.DUMMYFUNCTION("""COMPUTED_VALUE"""),"test")</f>
        <v>test</v>
      </c>
      <c r="D223" s="15" t="str">
        <f>IFERROR(__xludf.DUMMYFUNCTION("""COMPUTED_VALUE"""),"validation")</f>
        <v>validation</v>
      </c>
      <c r="E223" s="15">
        <f>IFERROR(__xludf.DUMMYFUNCTION("""COMPUTED_VALUE"""),2848.0)</f>
        <v>2848</v>
      </c>
      <c r="F223" s="15" t="str">
        <f>IFERROR(__xludf.DUMMYFUNCTION("""COMPUTED_VALUE"""),"AMBARELLA_3840_1920")</f>
        <v>AMBARELLA_3840_1920</v>
      </c>
      <c r="G223" s="15" t="str">
        <f>IFERROR(__xludf.DUMMYFUNCTION("""COMPUTED_VALUE"""),"unknown, unknown, unknown, unknown, ")</f>
        <v>unknown, unknown, unknown, unknown, </v>
      </c>
      <c r="H223" s="15">
        <f>IFERROR(__xludf.DUMMYFUNCTION("""COMPUTED_VALUE"""),950.0)</f>
        <v>950</v>
      </c>
      <c r="I223" s="15">
        <f>IFERROR(__xludf.DUMMYFUNCTION("""COMPUTED_VALUE"""),1675.0)</f>
        <v>1675</v>
      </c>
      <c r="J223" s="15">
        <f>IFERROR(__xludf.DUMMYFUNCTION("""COMPUTED_VALUE"""),1585.0)</f>
        <v>1585</v>
      </c>
      <c r="K223" s="16" t="str">
        <f>IFERROR(__xludf.DUMMYFUNCTION("""COMPUTED_VALUE"""),"22/08/2023, 16:04:03")</f>
        <v>22/08/2023, 16:04:03</v>
      </c>
    </row>
    <row r="224">
      <c r="A224" s="18" t="str">
        <f>IFERROR(__xludf.DUMMYFUNCTION("""COMPUTED_VALUE"""),"63c808f324267004460bd6b5")</f>
        <v>63c808f324267004460bd6b5</v>
      </c>
      <c r="B224" s="15" t="str">
        <f>IFERROR(__xludf.DUMMYFUNCTION("""COMPUTED_VALUE"""),"04082022_car2car_longitudinal_40kph_1of2_combined_v1_1_new_18_01_23")</f>
        <v>04082022_car2car_longitudinal_40kph_1of2_combined_v1_1_new_18_01_23</v>
      </c>
      <c r="C224" s="15" t="str">
        <f>IFERROR(__xludf.DUMMYFUNCTION("""COMPUTED_VALUE"""),"test")</f>
        <v>test</v>
      </c>
      <c r="D224" s="15" t="str">
        <f>IFERROR(__xludf.DUMMYFUNCTION("""COMPUTED_VALUE"""),"undefined")</f>
        <v>undefined</v>
      </c>
      <c r="E224" s="15">
        <f>IFERROR(__xludf.DUMMYFUNCTION("""COMPUTED_VALUE"""),1673.0)</f>
        <v>1673</v>
      </c>
      <c r="F224" s="15" t="str">
        <f>IFERROR(__xludf.DUMMYFUNCTION("""COMPUTED_VALUE"""),"AMBARELLA_3840_1920")</f>
        <v>AMBARELLA_3840_1920</v>
      </c>
      <c r="G224" s="15" t="str">
        <f>IFERROR(__xludf.DUMMYFUNCTION("""COMPUTED_VALUE"""),"unknown, unknown, unknown, unknown, ")</f>
        <v>unknown, unknown, unknown, unknown, </v>
      </c>
      <c r="H224" s="15">
        <f>IFERROR(__xludf.DUMMYFUNCTION("""COMPUTED_VALUE"""),950.0)</f>
        <v>950</v>
      </c>
      <c r="I224" s="15">
        <f>IFERROR(__xludf.DUMMYFUNCTION("""COMPUTED_VALUE"""),1675.0)</f>
        <v>1675</v>
      </c>
      <c r="J224" s="15">
        <f>IFERROR(__xludf.DUMMYFUNCTION("""COMPUTED_VALUE"""),1585.0)</f>
        <v>1585</v>
      </c>
      <c r="K224" s="16" t="str">
        <f>IFERROR(__xludf.DUMMYFUNCTION("""COMPUTED_VALUE"""),"22/08/2023, 16:04:07")</f>
        <v>22/08/2023, 16:04:07</v>
      </c>
    </row>
    <row r="225">
      <c r="A225" s="18" t="str">
        <f>IFERROR(__xludf.DUMMYFUNCTION("""COMPUTED_VALUE"""),"6384814e5378b16a970a13e9")</f>
        <v>6384814e5378b16a970a13e9</v>
      </c>
      <c r="B225" s="15" t="str">
        <f>IFERROR(__xludf.DUMMYFUNCTION("""COMPUTED_VALUE"""),"04082022_car2car_longitudinal_60kph_1of2_combined_v1_1")</f>
        <v>04082022_car2car_longitudinal_60kph_1of2_combined_v1_1</v>
      </c>
      <c r="C225" s="15" t="str">
        <f>IFERROR(__xludf.DUMMYFUNCTION("""COMPUTED_VALUE"""),"test")</f>
        <v>test</v>
      </c>
      <c r="D225" s="15" t="str">
        <f>IFERROR(__xludf.DUMMYFUNCTION("""COMPUTED_VALUE"""),"validation")</f>
        <v>validation</v>
      </c>
      <c r="E225" s="15">
        <f>IFERROR(__xludf.DUMMYFUNCTION("""COMPUTED_VALUE"""),1228.0)</f>
        <v>1228</v>
      </c>
      <c r="F225" s="15" t="str">
        <f>IFERROR(__xludf.DUMMYFUNCTION("""COMPUTED_VALUE"""),"AMBARELLA_3840_1920")</f>
        <v>AMBARELLA_3840_1920</v>
      </c>
      <c r="G225" s="15" t="str">
        <f>IFERROR(__xludf.DUMMYFUNCTION("""COMPUTED_VALUE"""),"unknown, unknown, unknown, unknown, ")</f>
        <v>unknown, unknown, unknown, unknown, </v>
      </c>
      <c r="H225" s="15">
        <f>IFERROR(__xludf.DUMMYFUNCTION("""COMPUTED_VALUE"""),950.0)</f>
        <v>950</v>
      </c>
      <c r="I225" s="15">
        <f>IFERROR(__xludf.DUMMYFUNCTION("""COMPUTED_VALUE"""),1675.0)</f>
        <v>1675</v>
      </c>
      <c r="J225" s="15">
        <f>IFERROR(__xludf.DUMMYFUNCTION("""COMPUTED_VALUE"""),1585.0)</f>
        <v>1585</v>
      </c>
      <c r="K225" s="16" t="str">
        <f>IFERROR(__xludf.DUMMYFUNCTION("""COMPUTED_VALUE"""),"22/08/2023, 16:04:10")</f>
        <v>22/08/2023, 16:04:10</v>
      </c>
    </row>
    <row r="226">
      <c r="A226" s="18" t="str">
        <f>IFERROR(__xludf.DUMMYFUNCTION("""COMPUTED_VALUE"""),"638482635378b16a970a1da4")</f>
        <v>638482635378b16a970a1da4</v>
      </c>
      <c r="B226" s="15" t="str">
        <f>IFERROR(__xludf.DUMMYFUNCTION("""COMPUTED_VALUE"""),"04082022_car2car_longitudinal_80kph_1of2_combined_v1_1")</f>
        <v>04082022_car2car_longitudinal_80kph_1of2_combined_v1_1</v>
      </c>
      <c r="C226" s="15" t="str">
        <f>IFERROR(__xludf.DUMMYFUNCTION("""COMPUTED_VALUE"""),"test")</f>
        <v>test</v>
      </c>
      <c r="D226" s="15" t="str">
        <f>IFERROR(__xludf.DUMMYFUNCTION("""COMPUTED_VALUE"""),"validation")</f>
        <v>validation</v>
      </c>
      <c r="E226" s="15">
        <f>IFERROR(__xludf.DUMMYFUNCTION("""COMPUTED_VALUE"""),1091.0)</f>
        <v>1091</v>
      </c>
      <c r="F226" s="15" t="str">
        <f>IFERROR(__xludf.DUMMYFUNCTION("""COMPUTED_VALUE"""),"AMBARELLA_3840_1920")</f>
        <v>AMBARELLA_3840_1920</v>
      </c>
      <c r="G226" s="15" t="str">
        <f>IFERROR(__xludf.DUMMYFUNCTION("""COMPUTED_VALUE"""),"unknown, unknown, unknown, unknown, ")</f>
        <v>unknown, unknown, unknown, unknown, </v>
      </c>
      <c r="H226" s="15">
        <f>IFERROR(__xludf.DUMMYFUNCTION("""COMPUTED_VALUE"""),950.0)</f>
        <v>950</v>
      </c>
      <c r="I226" s="15">
        <f>IFERROR(__xludf.DUMMYFUNCTION("""COMPUTED_VALUE"""),1675.0)</f>
        <v>1675</v>
      </c>
      <c r="J226" s="15">
        <f>IFERROR(__xludf.DUMMYFUNCTION("""COMPUTED_VALUE"""),1585.0)</f>
        <v>1585</v>
      </c>
      <c r="K226" s="16" t="str">
        <f>IFERROR(__xludf.DUMMYFUNCTION("""COMPUTED_VALUE"""),"22/08/2023, 16:04:14")</f>
        <v>22/08/2023, 16:04:14</v>
      </c>
    </row>
    <row r="227">
      <c r="A227" s="18" t="str">
        <f>IFERROR(__xludf.DUMMYFUNCTION("""COMPUTED_VALUE"""),"63c8095424267004460bd8d0")</f>
        <v>63c8095424267004460bd8d0</v>
      </c>
      <c r="B227" s="15" t="str">
        <f>IFERROR(__xludf.DUMMYFUNCTION("""COMPUTED_VALUE"""),"03082022_bicycle_lat_2m_lr_rl_1of2_combined_v1_new_18_01_23")</f>
        <v>03082022_bicycle_lat_2m_lr_rl_1of2_combined_v1_new_18_01_23</v>
      </c>
      <c r="C227" s="15" t="str">
        <f>IFERROR(__xludf.DUMMYFUNCTION("""COMPUTED_VALUE"""),"test")</f>
        <v>test</v>
      </c>
      <c r="D227" s="15" t="str">
        <f>IFERROR(__xludf.DUMMYFUNCTION("""COMPUTED_VALUE"""),"undefined")</f>
        <v>undefined</v>
      </c>
      <c r="E227" s="15">
        <f>IFERROR(__xludf.DUMMYFUNCTION("""COMPUTED_VALUE"""),566.0)</f>
        <v>566</v>
      </c>
      <c r="F227" s="15" t="str">
        <f>IFERROR(__xludf.DUMMYFUNCTION("""COMPUTED_VALUE"""),"AMBARELLA_3840_1920")</f>
        <v>AMBARELLA_3840_1920</v>
      </c>
      <c r="G227" s="15" t="str">
        <f>IFERROR(__xludf.DUMMYFUNCTION("""COMPUTED_VALUE"""),"unknown, unknown, unknown, unknown, ")</f>
        <v>unknown, unknown, unknown, unknown, </v>
      </c>
      <c r="H227" s="15">
        <f>IFERROR(__xludf.DUMMYFUNCTION("""COMPUTED_VALUE"""),950.0)</f>
        <v>950</v>
      </c>
      <c r="I227" s="15">
        <f>IFERROR(__xludf.DUMMYFUNCTION("""COMPUTED_VALUE"""),1675.0)</f>
        <v>1675</v>
      </c>
      <c r="J227" s="15">
        <f>IFERROR(__xludf.DUMMYFUNCTION("""COMPUTED_VALUE"""),1585.0)</f>
        <v>1585</v>
      </c>
      <c r="K227" s="16" t="str">
        <f>IFERROR(__xludf.DUMMYFUNCTION("""COMPUTED_VALUE"""),"22/08/2023, 16:04:17")</f>
        <v>22/08/2023, 16:04:17</v>
      </c>
    </row>
    <row r="228">
      <c r="A228" s="18" t="str">
        <f>IFERROR(__xludf.DUMMYFUNCTION("""COMPUTED_VALUE"""),"63c8096924267004460bd93e")</f>
        <v>63c8096924267004460bd93e</v>
      </c>
      <c r="B228" s="15" t="str">
        <f>IFERROR(__xludf.DUMMYFUNCTION("""COMPUTED_VALUE"""),"003082022_bicycle_lat_10m_lr_rl_1of2_combined_v1_new_18_01_23")</f>
        <v>003082022_bicycle_lat_10m_lr_rl_1of2_combined_v1_new_18_01_23</v>
      </c>
      <c r="C228" s="15" t="str">
        <f>IFERROR(__xludf.DUMMYFUNCTION("""COMPUTED_VALUE"""),"test")</f>
        <v>test</v>
      </c>
      <c r="D228" s="15" t="str">
        <f>IFERROR(__xludf.DUMMYFUNCTION("""COMPUTED_VALUE"""),"undefined")</f>
        <v>undefined</v>
      </c>
      <c r="E228" s="15">
        <f>IFERROR(__xludf.DUMMYFUNCTION("""COMPUTED_VALUE"""),751.0)</f>
        <v>751</v>
      </c>
      <c r="F228" s="15" t="str">
        <f>IFERROR(__xludf.DUMMYFUNCTION("""COMPUTED_VALUE"""),"AMBARELLA_3840_1920")</f>
        <v>AMBARELLA_3840_1920</v>
      </c>
      <c r="G228" s="15" t="str">
        <f>IFERROR(__xludf.DUMMYFUNCTION("""COMPUTED_VALUE"""),"unknown, unknown, unknown, unknown, ")</f>
        <v>unknown, unknown, unknown, unknown, </v>
      </c>
      <c r="H228" s="15">
        <f>IFERROR(__xludf.DUMMYFUNCTION("""COMPUTED_VALUE"""),950.0)</f>
        <v>950</v>
      </c>
      <c r="I228" s="15">
        <f>IFERROR(__xludf.DUMMYFUNCTION("""COMPUTED_VALUE"""),1675.0)</f>
        <v>1675</v>
      </c>
      <c r="J228" s="15">
        <f>IFERROR(__xludf.DUMMYFUNCTION("""COMPUTED_VALUE"""),1585.0)</f>
        <v>1585</v>
      </c>
      <c r="K228" s="16" t="str">
        <f>IFERROR(__xludf.DUMMYFUNCTION("""COMPUTED_VALUE"""),"22/08/2023, 16:04:20")</f>
        <v>22/08/2023, 16:04:20</v>
      </c>
    </row>
    <row r="229">
      <c r="A229" s="18" t="str">
        <f>IFERROR(__xludf.DUMMYFUNCTION("""COMPUTED_VALUE"""),"63c8099624267004460bda15")</f>
        <v>63c8099624267004460bda15</v>
      </c>
      <c r="B229" s="15" t="str">
        <f>IFERROR(__xludf.DUMMYFUNCTION("""COMPUTED_VALUE"""),"03082022_bicycle_lat_20m_lr_rl_1of2_combined_v1_new_18_01_23")</f>
        <v>03082022_bicycle_lat_20m_lr_rl_1of2_combined_v1_new_18_01_23</v>
      </c>
      <c r="C229" s="15" t="str">
        <f>IFERROR(__xludf.DUMMYFUNCTION("""COMPUTED_VALUE"""),"test")</f>
        <v>test</v>
      </c>
      <c r="D229" s="15" t="str">
        <f>IFERROR(__xludf.DUMMYFUNCTION("""COMPUTED_VALUE"""),"undefined")</f>
        <v>undefined</v>
      </c>
      <c r="E229" s="15">
        <f>IFERROR(__xludf.DUMMYFUNCTION("""COMPUTED_VALUE"""),1034.0)</f>
        <v>1034</v>
      </c>
      <c r="F229" s="15" t="str">
        <f>IFERROR(__xludf.DUMMYFUNCTION("""COMPUTED_VALUE"""),"AMBARELLA_3840_1920")</f>
        <v>AMBARELLA_3840_1920</v>
      </c>
      <c r="G229" s="15" t="str">
        <f>IFERROR(__xludf.DUMMYFUNCTION("""COMPUTED_VALUE"""),"unknown, unknown, unknown, unknown, ")</f>
        <v>unknown, unknown, unknown, unknown, </v>
      </c>
      <c r="H229" s="15">
        <f>IFERROR(__xludf.DUMMYFUNCTION("""COMPUTED_VALUE"""),950.0)</f>
        <v>950</v>
      </c>
      <c r="I229" s="15">
        <f>IFERROR(__xludf.DUMMYFUNCTION("""COMPUTED_VALUE"""),1675.0)</f>
        <v>1675</v>
      </c>
      <c r="J229" s="15">
        <f>IFERROR(__xludf.DUMMYFUNCTION("""COMPUTED_VALUE"""),1585.0)</f>
        <v>1585</v>
      </c>
      <c r="K229" s="16" t="str">
        <f>IFERROR(__xludf.DUMMYFUNCTION("""COMPUTED_VALUE"""),"22/08/2023, 16:04:24")</f>
        <v>22/08/2023, 16:04:24</v>
      </c>
    </row>
    <row r="230">
      <c r="A230" s="18" t="str">
        <f>IFERROR(__xludf.DUMMYFUNCTION("""COMPUTED_VALUE"""),"63c80a1724267004460be3d4")</f>
        <v>63c80a1724267004460be3d4</v>
      </c>
      <c r="B230" s="15" t="str">
        <f>IFERROR(__xludf.DUMMYFUNCTION("""COMPUTED_VALUE"""),"03082022_bicycle_lat_40m_lr_rl_1of2_combined_v1_1_18_01_23")</f>
        <v>03082022_bicycle_lat_40m_lr_rl_1of2_combined_v1_1_18_01_23</v>
      </c>
      <c r="C230" s="15" t="str">
        <f>IFERROR(__xludf.DUMMYFUNCTION("""COMPUTED_VALUE"""),"test")</f>
        <v>test</v>
      </c>
      <c r="D230" s="15" t="str">
        <f>IFERROR(__xludf.DUMMYFUNCTION("""COMPUTED_VALUE"""),"undefined")</f>
        <v>undefined</v>
      </c>
      <c r="E230" s="15">
        <f>IFERROR(__xludf.DUMMYFUNCTION("""COMPUTED_VALUE"""),1631.0)</f>
        <v>1631</v>
      </c>
      <c r="F230" s="15" t="str">
        <f>IFERROR(__xludf.DUMMYFUNCTION("""COMPUTED_VALUE"""),"AMBARELLA_3840_1920")</f>
        <v>AMBARELLA_3840_1920</v>
      </c>
      <c r="G230" s="15" t="str">
        <f>IFERROR(__xludf.DUMMYFUNCTION("""COMPUTED_VALUE"""),"unknown, unknown, unknown, unknown, ")</f>
        <v>unknown, unknown, unknown, unknown, </v>
      </c>
      <c r="H230" s="15">
        <f>IFERROR(__xludf.DUMMYFUNCTION("""COMPUTED_VALUE"""),950.0)</f>
        <v>950</v>
      </c>
      <c r="I230" s="15">
        <f>IFERROR(__xludf.DUMMYFUNCTION("""COMPUTED_VALUE"""),1675.0)</f>
        <v>1675</v>
      </c>
      <c r="J230" s="15">
        <f>IFERROR(__xludf.DUMMYFUNCTION("""COMPUTED_VALUE"""),1585.0)</f>
        <v>1585</v>
      </c>
      <c r="K230" s="16" t="str">
        <f>IFERROR(__xludf.DUMMYFUNCTION("""COMPUTED_VALUE"""),"22/08/2023, 16:04:28")</f>
        <v>22/08/2023, 16:04:28</v>
      </c>
    </row>
    <row r="231">
      <c r="A231" s="25" t="str">
        <f>IFERROR(__xludf.DUMMYFUNCTION("""COMPUTED_VALUE"""),"64e4b75f7225d01c8be19600")</f>
        <v>64e4b75f7225d01c8be19600</v>
      </c>
      <c r="B231" s="26" t="str">
        <f>IFERROR(__xludf.DUMMYFUNCTION("""COMPUTED_VALUE"""),"europe_open_road_diversity_dataset_for_test_26_06_2023_added_to_official_super_set_od_test_8mp")</f>
        <v>europe_open_road_diversity_dataset_for_test_26_06_2023_added_to_official_super_set_od_test_8mp</v>
      </c>
      <c r="C231" s="26" t="str">
        <f>IFERROR(__xludf.DUMMYFUNCTION("""COMPUTED_VALUE"""),"test")</f>
        <v>test</v>
      </c>
      <c r="D231" s="26" t="str">
        <f>IFERROR(__xludf.DUMMYFUNCTION("""COMPUTED_VALUE"""),"test")</f>
        <v>test</v>
      </c>
      <c r="E231" s="26">
        <f>IFERROR(__xludf.DUMMYFUNCTION("""COMPUTED_VALUE"""),1399.0)</f>
        <v>1399</v>
      </c>
      <c r="F231" s="26" t="str">
        <f>IFERROR(__xludf.DUMMYFUNCTION("""COMPUTED_VALUE"""),"8MP_JPG")</f>
        <v>8MP_JPG</v>
      </c>
      <c r="G231" s="26" t="str">
        <f>IFERROR(__xludf.DUMMYFUNCTION("""COMPUTED_VALUE"""),"germany, day, direct_sun, clear")</f>
        <v>germany, day, direct_sun, clear</v>
      </c>
      <c r="H231" s="26">
        <f>IFERROR(__xludf.DUMMYFUNCTION("""COMPUTED_VALUE"""),950.0)</f>
        <v>950</v>
      </c>
      <c r="I231" s="26">
        <f>IFERROR(__xludf.DUMMYFUNCTION("""COMPUTED_VALUE"""),1675.0)</f>
        <v>1675</v>
      </c>
      <c r="J231" s="26">
        <f>IFERROR(__xludf.DUMMYFUNCTION("""COMPUTED_VALUE"""),1585.0)</f>
        <v>1585</v>
      </c>
      <c r="K231" s="27" t="str">
        <f>IFERROR(__xludf.DUMMYFUNCTION("""COMPUTED_VALUE"""),"22/08/2023, 16:26:59")</f>
        <v>22/08/2023, 16:26:59</v>
      </c>
    </row>
    <row r="232">
      <c r="A232" s="18" t="str">
        <f>IFERROR(__xludf.DUMMYFUNCTION("""COMPUTED_VALUE"""),"64e3741d7225d01c8be18b12")</f>
        <v>64e3741d7225d01c8be18b12</v>
      </c>
      <c r="B232" s="15" t="str">
        <f>IFERROR(__xludf.DUMMYFUNCTION("""COMPUTED_VALUE"""),"official_racam_batch3a_rig3_50s_part2_for_train_updated_tagged_images")</f>
        <v>official_racam_batch3a_rig3_50s_part2_for_train_updated_tagged_images</v>
      </c>
      <c r="C232" s="15" t="str">
        <f>IFERROR(__xludf.DUMMYFUNCTION("""COMPUTED_VALUE"""),"train")</f>
        <v>train</v>
      </c>
      <c r="D232" s="15" t="str">
        <f>IFERROR(__xludf.DUMMYFUNCTION("""COMPUTED_VALUE"""),"train")</f>
        <v>train</v>
      </c>
      <c r="E232" s="15">
        <f>IFERROR(__xludf.DUMMYFUNCTION("""COMPUTED_VALUE"""),2823.0)</f>
        <v>2823</v>
      </c>
      <c r="F232" s="15" t="str">
        <f>IFERROR(__xludf.DUMMYFUNCTION("""COMPUTED_VALUE"""),"QUAD")</f>
        <v>QUAD</v>
      </c>
      <c r="G232" s="15" t="str">
        <f>IFERROR(__xludf.DUMMYFUNCTION("""COMPUTED_VALUE"""),"unknown, unknown, unknown, unknown, ")</f>
        <v>unknown, unknown, unknown, unknown, </v>
      </c>
      <c r="H232" s="15">
        <f>IFERROR(__xludf.DUMMYFUNCTION("""COMPUTED_VALUE"""),950.0)</f>
        <v>950</v>
      </c>
      <c r="I232" s="15">
        <f>IFERROR(__xludf.DUMMYFUNCTION("""COMPUTED_VALUE"""),1675.0)</f>
        <v>1675</v>
      </c>
      <c r="J232" s="15">
        <f>IFERROR(__xludf.DUMMYFUNCTION("""COMPUTED_VALUE"""),1585.0)</f>
        <v>1585</v>
      </c>
      <c r="K232" s="16" t="str">
        <f>IFERROR(__xludf.DUMMYFUNCTION("""COMPUTED_VALUE"""),"23/08/2023, 15:29:11")</f>
        <v>23/08/2023, 15:29:11</v>
      </c>
    </row>
    <row r="233">
      <c r="A233" s="18" t="str">
        <f>IFERROR(__xludf.DUMMYFUNCTION("""COMPUTED_VALUE"""),"64e374ef7225d01c8be18b1a")</f>
        <v>64e374ef7225d01c8be18b1a</v>
      </c>
      <c r="B233" s="15" t="str">
        <f>IFERROR(__xludf.DUMMYFUNCTION("""COMPUTED_VALUE"""),"official_crossing_black_car_40m_70m_55m_for_train_updated_tagged_images")</f>
        <v>official_crossing_black_car_40m_70m_55m_for_train_updated_tagged_images</v>
      </c>
      <c r="C233" s="15" t="str">
        <f>IFERROR(__xludf.DUMMYFUNCTION("""COMPUTED_VALUE"""),"train")</f>
        <v>train</v>
      </c>
      <c r="D233" s="15" t="str">
        <f>IFERROR(__xludf.DUMMYFUNCTION("""COMPUTED_VALUE"""),"train")</f>
        <v>train</v>
      </c>
      <c r="E233" s="15">
        <f>IFERROR(__xludf.DUMMYFUNCTION("""COMPUTED_VALUE"""),157.0)</f>
        <v>157</v>
      </c>
      <c r="F233" s="15" t="str">
        <f>IFERROR(__xludf.DUMMYFUNCTION("""COMPUTED_VALUE"""),"QUAD")</f>
        <v>QUAD</v>
      </c>
      <c r="G233" s="15" t="str">
        <f>IFERROR(__xludf.DUMMYFUNCTION("""COMPUTED_VALUE"""),"unknown, unknown, unknown, unknown, ")</f>
        <v>unknown, unknown, unknown, unknown, </v>
      </c>
      <c r="H233" s="15">
        <f>IFERROR(__xludf.DUMMYFUNCTION("""COMPUTED_VALUE"""),950.0)</f>
        <v>950</v>
      </c>
      <c r="I233" s="15">
        <f>IFERROR(__xludf.DUMMYFUNCTION("""COMPUTED_VALUE"""),1675.0)</f>
        <v>1675</v>
      </c>
      <c r="J233" s="15">
        <f>IFERROR(__xludf.DUMMYFUNCTION("""COMPUTED_VALUE"""),1585.0)</f>
        <v>1585</v>
      </c>
      <c r="K233" s="16" t="str">
        <f>IFERROR(__xludf.DUMMYFUNCTION("""COMPUTED_VALUE"""),"23/08/2023, 15:29:11")</f>
        <v>23/08/2023, 15:29:11</v>
      </c>
    </row>
    <row r="234">
      <c r="A234" s="18" t="str">
        <f>IFERROR(__xludf.DUMMYFUNCTION("""COMPUTED_VALUE"""),"64e375fe7225d01c8be18b25")</f>
        <v>64e375fe7225d01c8be18b25</v>
      </c>
      <c r="B234" s="15" t="str">
        <f>IFERROR(__xludf.DUMMYFUNCTION("""COMPUTED_VALUE"""),"official_batch_1_rider_for_train_updated_tagged_images")</f>
        <v>official_batch_1_rider_for_train_updated_tagged_images</v>
      </c>
      <c r="C234" s="15" t="str">
        <f>IFERROR(__xludf.DUMMYFUNCTION("""COMPUTED_VALUE"""),"train")</f>
        <v>train</v>
      </c>
      <c r="D234" s="15" t="str">
        <f>IFERROR(__xludf.DUMMYFUNCTION("""COMPUTED_VALUE"""),"train")</f>
        <v>train</v>
      </c>
      <c r="E234" s="15">
        <f>IFERROR(__xludf.DUMMYFUNCTION("""COMPUTED_VALUE"""),1798.0)</f>
        <v>1798</v>
      </c>
      <c r="F234" s="15" t="str">
        <f>IFERROR(__xludf.DUMMYFUNCTION("""COMPUTED_VALUE"""),"QUAD")</f>
        <v>QUAD</v>
      </c>
      <c r="G234" s="15" t="str">
        <f>IFERROR(__xludf.DUMMYFUNCTION("""COMPUTED_VALUE"""),"unknown, unknown, unknown, unknown, ")</f>
        <v>unknown, unknown, unknown, unknown, </v>
      </c>
      <c r="H234" s="15">
        <f>IFERROR(__xludf.DUMMYFUNCTION("""COMPUTED_VALUE"""),950.0)</f>
        <v>950</v>
      </c>
      <c r="I234" s="15">
        <f>IFERROR(__xludf.DUMMYFUNCTION("""COMPUTED_VALUE"""),1675.0)</f>
        <v>1675</v>
      </c>
      <c r="J234" s="15">
        <f>IFERROR(__xludf.DUMMYFUNCTION("""COMPUTED_VALUE"""),1585.0)</f>
        <v>1585</v>
      </c>
      <c r="K234" s="16" t="str">
        <f>IFERROR(__xludf.DUMMYFUNCTION("""COMPUTED_VALUE"""),"23/08/2023, 15:29:11")</f>
        <v>23/08/2023, 15:29:11</v>
      </c>
    </row>
    <row r="235">
      <c r="A235" s="18" t="str">
        <f>IFERROR(__xludf.DUMMYFUNCTION("""COMPUTED_VALUE"""),"64e3869f7225d01c8be18b88")</f>
        <v>64e3869f7225d01c8be18b88</v>
      </c>
      <c r="B235" s="15" t="str">
        <f>IFERROR(__xludf.DUMMYFUNCTION("""COMPUTED_VALUE"""),"official_combined_night_urban_and_highway_2_for_train_updated_added_to_official_super_set_od_train_quad")</f>
        <v>official_combined_night_urban_and_highway_2_for_train_updated_added_to_official_super_set_od_train_quad</v>
      </c>
      <c r="C235" s="15" t="str">
        <f>IFERROR(__xludf.DUMMYFUNCTION("""COMPUTED_VALUE"""),"train")</f>
        <v>train</v>
      </c>
      <c r="D235" s="15" t="str">
        <f>IFERROR(__xludf.DUMMYFUNCTION("""COMPUTED_VALUE"""),"train")</f>
        <v>train</v>
      </c>
      <c r="E235" s="15">
        <f>IFERROR(__xludf.DUMMYFUNCTION("""COMPUTED_VALUE"""),1067.0)</f>
        <v>1067</v>
      </c>
      <c r="F235" s="15" t="str">
        <f>IFERROR(__xludf.DUMMYFUNCTION("""COMPUTED_VALUE"""),"QUAD")</f>
        <v>QUAD</v>
      </c>
      <c r="G235" s="15" t="str">
        <f>IFERROR(__xludf.DUMMYFUNCTION("""COMPUTED_VALUE"""),"unknown, unknown, unknown, unknown, ")</f>
        <v>unknown, unknown, unknown, unknown, </v>
      </c>
      <c r="H235" s="15">
        <f>IFERROR(__xludf.DUMMYFUNCTION("""COMPUTED_VALUE"""),950.0)</f>
        <v>950</v>
      </c>
      <c r="I235" s="15">
        <f>IFERROR(__xludf.DUMMYFUNCTION("""COMPUTED_VALUE"""),1675.0)</f>
        <v>1675</v>
      </c>
      <c r="J235" s="15">
        <f>IFERROR(__xludf.DUMMYFUNCTION("""COMPUTED_VALUE"""),1585.0)</f>
        <v>1585</v>
      </c>
      <c r="K235" s="16" t="str">
        <f>IFERROR(__xludf.DUMMYFUNCTION("""COMPUTED_VALUE"""),"23/08/2023, 15:29:11")</f>
        <v>23/08/2023, 15:29:11</v>
      </c>
    </row>
    <row r="236">
      <c r="A236" s="25" t="str">
        <f>IFERROR(__xludf.DUMMYFUNCTION("""COMPUTED_VALUE"""),"64e75f557225d01c8be1a729")</f>
        <v>64e75f557225d01c8be1a729</v>
      </c>
      <c r="B236" s="26" t="str">
        <f>IFERROR(__xludf.DUMMYFUNCTION("""COMPUTED_VALUE"""),"official_od_acordion_buses_for_train_21_08_23_for_test_tagged")</f>
        <v>official_od_acordion_buses_for_train_21_08_23_for_test_tagged</v>
      </c>
      <c r="C236" s="26" t="str">
        <f>IFERROR(__xludf.DUMMYFUNCTION("""COMPUTED_VALUE"""),"test")</f>
        <v>test</v>
      </c>
      <c r="D236" s="26" t="str">
        <f>IFERROR(__xludf.DUMMYFUNCTION("""COMPUTED_VALUE"""),"test")</f>
        <v>test</v>
      </c>
      <c r="E236" s="26">
        <f>IFERROR(__xludf.DUMMYFUNCTION("""COMPUTED_VALUE"""),50.0)</f>
        <v>50</v>
      </c>
      <c r="F236" s="26" t="str">
        <f>IFERROR(__xludf.DUMMYFUNCTION("""COMPUTED_VALUE"""),"8MP_JPG")</f>
        <v>8MP_JPG</v>
      </c>
      <c r="G236" s="26" t="str">
        <f>IFERROR(__xludf.DUMMYFUNCTION("""COMPUTED_VALUE"""),"day, clear, tel_aviv, israel, urban, accordion_bus")</f>
        <v>day, clear, tel_aviv, israel, urban, accordion_bus</v>
      </c>
      <c r="H236" s="26">
        <f>IFERROR(__xludf.DUMMYFUNCTION("""COMPUTED_VALUE"""),950.0)</f>
        <v>950</v>
      </c>
      <c r="I236" s="26">
        <f>IFERROR(__xludf.DUMMYFUNCTION("""COMPUTED_VALUE"""),1675.0)</f>
        <v>1675</v>
      </c>
      <c r="J236" s="26">
        <f>IFERROR(__xludf.DUMMYFUNCTION("""COMPUTED_VALUE"""),1585.0)</f>
        <v>1585</v>
      </c>
      <c r="K236" s="27" t="str">
        <f>IFERROR(__xludf.DUMMYFUNCTION("""COMPUTED_VALUE"""),"24/08/2023, 16:47:43")</f>
        <v>24/08/2023, 16:47:43</v>
      </c>
    </row>
    <row r="237">
      <c r="A237" s="18" t="str">
        <f>IFERROR(__xludf.DUMMYFUNCTION("""COMPUTED_VALUE"""),"64e766607225d01c8be1a79f")</f>
        <v>64e766607225d01c8be1a79f</v>
      </c>
      <c r="B237" s="15" t="str">
        <f>IFERROR(__xludf.DUMMYFUNCTION("""COMPUTED_VALUE"""),"official_od_special_trucks_focused_on_cement_mixer_and_24_08_2023_for_test_tagged")</f>
        <v>official_od_special_trucks_focused_on_cement_mixer_and_24_08_2023_for_test_tagged</v>
      </c>
      <c r="C237" s="15" t="str">
        <f>IFERROR(__xludf.DUMMYFUNCTION("""COMPUTED_VALUE"""),"test")</f>
        <v>test</v>
      </c>
      <c r="D237" s="15" t="str">
        <f>IFERROR(__xludf.DUMMYFUNCTION("""COMPUTED_VALUE"""),"test")</f>
        <v>test</v>
      </c>
      <c r="E237" s="15">
        <f>IFERROR(__xludf.DUMMYFUNCTION("""COMPUTED_VALUE"""),3089.0)</f>
        <v>3089</v>
      </c>
      <c r="F237" s="15" t="str">
        <f>IFERROR(__xludf.DUMMYFUNCTION("""COMPUTED_VALUE"""),"8MP_JPG")</f>
        <v>8MP_JPG</v>
      </c>
      <c r="G237" s="15" t="str">
        <f>IFERROR(__xludf.DUMMYFUNCTION("""COMPUTED_VALUE"""),"day, clear, israel, special_trucks, cement_mixer")</f>
        <v>day, clear, israel, special_trucks, cement_mixer</v>
      </c>
      <c r="H237" s="15">
        <f>IFERROR(__xludf.DUMMYFUNCTION("""COMPUTED_VALUE"""),950.0)</f>
        <v>950</v>
      </c>
      <c r="I237" s="15">
        <f>IFERROR(__xludf.DUMMYFUNCTION("""COMPUTED_VALUE"""),1675.0)</f>
        <v>1675</v>
      </c>
      <c r="J237" s="15">
        <f>IFERROR(__xludf.DUMMYFUNCTION("""COMPUTED_VALUE"""),1585.0)</f>
        <v>1585</v>
      </c>
      <c r="K237" s="16" t="str">
        <f>IFERROR(__xludf.DUMMYFUNCTION("""COMPUTED_VALUE"""),"24/08/2023, 17:27:21")</f>
        <v>24/08/2023, 17:27:21</v>
      </c>
    </row>
    <row r="238">
      <c r="A238" s="18" t="str">
        <f>IFERROR(__xludf.DUMMYFUNCTION("""COMPUTED_VALUE"""),"6522d6d554107825f76a3a46")</f>
        <v>6522d6d554107825f76a3a46</v>
      </c>
      <c r="B238" s="15" t="str">
        <f>IFERROR(__xludf.DUMMYFUNCTION("""COMPUTED_VALUE"""),"official_od_collected_night_issues_from_wolfsburg_demo_v2_batch_8_split_by_size_of_200_od_for_train_tagged")</f>
        <v>official_od_collected_night_issues_from_wolfsburg_demo_v2_batch_8_split_by_size_of_200_od_for_train_tagged</v>
      </c>
      <c r="C238" s="15" t="str">
        <f>IFERROR(__xludf.DUMMYFUNCTION("""COMPUTED_VALUE"""),"train")</f>
        <v>train</v>
      </c>
      <c r="D238" s="15" t="str">
        <f>IFERROR(__xludf.DUMMYFUNCTION("""COMPUTED_VALUE"""),"train")</f>
        <v>train</v>
      </c>
      <c r="E238" s="15">
        <f>IFERROR(__xludf.DUMMYFUNCTION("""COMPUTED_VALUE"""),200.0)</f>
        <v>200</v>
      </c>
      <c r="F238" s="15" t="str">
        <f>IFERROR(__xludf.DUMMYFUNCTION("""COMPUTED_VALUE"""),"8MP_JPG")</f>
        <v>8MP_JPG</v>
      </c>
      <c r="G238" s="15" t="str">
        <f>IFERROR(__xludf.DUMMYFUNCTION("""COMPUTED_VALUE"""),"demo, germany, issues, night, v2, wolfsburg")</f>
        <v>demo, germany, issues, night, v2, wolfsburg</v>
      </c>
      <c r="H238" s="15">
        <f>IFERROR(__xludf.DUMMYFUNCTION("""COMPUTED_VALUE"""),950.0)</f>
        <v>950</v>
      </c>
      <c r="I238" s="15">
        <f>IFERROR(__xludf.DUMMYFUNCTION("""COMPUTED_VALUE"""),1675.0)</f>
        <v>1675</v>
      </c>
      <c r="J238" s="15">
        <f>IFERROR(__xludf.DUMMYFUNCTION("""COMPUTED_VALUE"""),1585.0)</f>
        <v>1585</v>
      </c>
      <c r="K238" s="28">
        <f>IFERROR(__xludf.DUMMYFUNCTION("""COMPUTED_VALUE"""),45148.806238425925)</f>
        <v>45148.80624</v>
      </c>
    </row>
    <row r="239">
      <c r="A239" s="18" t="str">
        <f>IFERROR(__xludf.DUMMYFUNCTION("""COMPUTED_VALUE"""),"6522d81b54107825f76a3a53")</f>
        <v>6522d81b54107825f76a3a53</v>
      </c>
      <c r="B239" s="15" t="str">
        <f>IFERROR(__xludf.DUMMYFUNCTION("""COMPUTED_VALUE"""),"official_od_od_issues_by_videos_filtering_night_wolfsburg_demo_0_1_batch_7_split_by_size_of_116_od_for_train_tagged_added_to_official_super_set_od_train_8mp")</f>
        <v>official_od_od_issues_by_videos_filtering_night_wolfsburg_demo_0_1_batch_7_split_by_size_of_116_od_for_train_tagged_added_to_official_super_set_od_train_8mp</v>
      </c>
      <c r="C239" s="15" t="str">
        <f>IFERROR(__xludf.DUMMYFUNCTION("""COMPUTED_VALUE"""),"train")</f>
        <v>train</v>
      </c>
      <c r="D239" s="15" t="str">
        <f>IFERROR(__xludf.DUMMYFUNCTION("""COMPUTED_VALUE"""),"train")</f>
        <v>train</v>
      </c>
      <c r="E239" s="15">
        <f>IFERROR(__xludf.DUMMYFUNCTION("""COMPUTED_VALUE"""),115.0)</f>
        <v>115</v>
      </c>
      <c r="F239" s="15" t="str">
        <f>IFERROR(__xludf.DUMMYFUNCTION("""COMPUTED_VALUE"""),"8MP_JPG")</f>
        <v>8MP_JPG</v>
      </c>
      <c r="G239" s="15" t="str">
        <f>IFERROR(__xludf.DUMMYFUNCTION("""COMPUTED_VALUE"""),"demo, germany, night, train, wolfsburg")</f>
        <v>demo, germany, night, train, wolfsburg</v>
      </c>
      <c r="H239" s="15">
        <f>IFERROR(__xludf.DUMMYFUNCTION("""COMPUTED_VALUE"""),950.0)</f>
        <v>950</v>
      </c>
      <c r="I239" s="15">
        <f>IFERROR(__xludf.DUMMYFUNCTION("""COMPUTED_VALUE"""),1675.0)</f>
        <v>1675</v>
      </c>
      <c r="J239" s="15">
        <f>IFERROR(__xludf.DUMMYFUNCTION("""COMPUTED_VALUE"""),1585.0)</f>
        <v>1585</v>
      </c>
      <c r="K239" s="28">
        <f>IFERROR(__xludf.DUMMYFUNCTION("""COMPUTED_VALUE"""),45148.80979166667)</f>
        <v>45148.80979</v>
      </c>
    </row>
    <row r="240">
      <c r="A240" s="25" t="str">
        <f>IFERROR(__xludf.DUMMYFUNCTION("""COMPUTED_VALUE"""),"6522d83f54107825f76a3a55")</f>
        <v>6522d83f54107825f76a3a55</v>
      </c>
      <c r="B240" s="26" t="str">
        <f>IFERROR(__xludf.DUMMYFUNCTION("""COMPUTED_VALUE"""),"official_od_od_issues_by_videos_filtering_night_wolfsburg_demo_0_1_batch_6_split_by_size_of_116_od_for_train_tagged_added_to_official_super_set_od_train_8mp")</f>
        <v>official_od_od_issues_by_videos_filtering_night_wolfsburg_demo_0_1_batch_6_split_by_size_of_116_od_for_train_tagged_added_to_official_super_set_od_train_8mp</v>
      </c>
      <c r="C240" s="26" t="str">
        <f>IFERROR(__xludf.DUMMYFUNCTION("""COMPUTED_VALUE"""),"train")</f>
        <v>train</v>
      </c>
      <c r="D240" s="26" t="str">
        <f>IFERROR(__xludf.DUMMYFUNCTION("""COMPUTED_VALUE"""),"train")</f>
        <v>train</v>
      </c>
      <c r="E240" s="26">
        <f>IFERROR(__xludf.DUMMYFUNCTION("""COMPUTED_VALUE"""),115.0)</f>
        <v>115</v>
      </c>
      <c r="F240" s="26" t="str">
        <f>IFERROR(__xludf.DUMMYFUNCTION("""COMPUTED_VALUE"""),"8MP_JPG")</f>
        <v>8MP_JPG</v>
      </c>
      <c r="G240" s="26" t="str">
        <f>IFERROR(__xludf.DUMMYFUNCTION("""COMPUTED_VALUE"""),"demo, germany, night, train, wolfsburg")</f>
        <v>demo, germany, night, train, wolfsburg</v>
      </c>
      <c r="H240" s="26">
        <f>IFERROR(__xludf.DUMMYFUNCTION("""COMPUTED_VALUE"""),950.0)</f>
        <v>950</v>
      </c>
      <c r="I240" s="26">
        <f>IFERROR(__xludf.DUMMYFUNCTION("""COMPUTED_VALUE"""),1675.0)</f>
        <v>1675</v>
      </c>
      <c r="J240" s="26">
        <f>IFERROR(__xludf.DUMMYFUNCTION("""COMPUTED_VALUE"""),1585.0)</f>
        <v>1585</v>
      </c>
      <c r="K240" s="29">
        <f>IFERROR(__xludf.DUMMYFUNCTION("""COMPUTED_VALUE"""),45148.81019675926)</f>
        <v>45148.8102</v>
      </c>
    </row>
    <row r="241">
      <c r="A241" s="18" t="str">
        <f>IFERROR(__xludf.DUMMYFUNCTION("""COMPUTED_VALUE"""),"6522d84954107825f76a3a56")</f>
        <v>6522d84954107825f76a3a56</v>
      </c>
      <c r="B241" s="15" t="str">
        <f>IFERROR(__xludf.DUMMYFUNCTION("""COMPUTED_VALUE"""),"official_od_od_issues_by_videos_filtering_night_wolfsburg_demo_0_1_batch_5_split_by_size_of_116_od_for_train_tagged")</f>
        <v>official_od_od_issues_by_videos_filtering_night_wolfsburg_demo_0_1_batch_5_split_by_size_of_116_od_for_train_tagged</v>
      </c>
      <c r="C241" s="15" t="str">
        <f>IFERROR(__xludf.DUMMYFUNCTION("""COMPUTED_VALUE"""),"train")</f>
        <v>train</v>
      </c>
      <c r="D241" s="15" t="str">
        <f>IFERROR(__xludf.DUMMYFUNCTION("""COMPUTED_VALUE"""),"train")</f>
        <v>train</v>
      </c>
      <c r="E241" s="15">
        <f>IFERROR(__xludf.DUMMYFUNCTION("""COMPUTED_VALUE"""),116.0)</f>
        <v>116</v>
      </c>
      <c r="F241" s="15" t="str">
        <f>IFERROR(__xludf.DUMMYFUNCTION("""COMPUTED_VALUE"""),"8MP_JPG")</f>
        <v>8MP_JPG</v>
      </c>
      <c r="G241" s="15" t="str">
        <f>IFERROR(__xludf.DUMMYFUNCTION("""COMPUTED_VALUE"""),"demo, germany, night, train, wolfsburg")</f>
        <v>demo, germany, night, train, wolfsburg</v>
      </c>
      <c r="H241" s="15">
        <f>IFERROR(__xludf.DUMMYFUNCTION("""COMPUTED_VALUE"""),950.0)</f>
        <v>950</v>
      </c>
      <c r="I241" s="15">
        <f>IFERROR(__xludf.DUMMYFUNCTION("""COMPUTED_VALUE"""),1675.0)</f>
        <v>1675</v>
      </c>
      <c r="J241" s="15">
        <f>IFERROR(__xludf.DUMMYFUNCTION("""COMPUTED_VALUE"""),1585.0)</f>
        <v>1585</v>
      </c>
      <c r="K241" s="28">
        <f>IFERROR(__xludf.DUMMYFUNCTION("""COMPUTED_VALUE"""),45148.81055555555)</f>
        <v>45148.81056</v>
      </c>
    </row>
    <row r="242">
      <c r="A242" s="18" t="str">
        <f>IFERROR(__xludf.DUMMYFUNCTION("""COMPUTED_VALUE"""),"6526a79f54107825f76a4c70")</f>
        <v>6526a79f54107825f76a4c70</v>
      </c>
      <c r="B242" s="15" t="str">
        <f>IFERROR(__xludf.DUMMYFUNCTION("""COMPUTED_VALUE"""),"official_od_collected_night_random_from_wolfsburg_demo_v2_batch_30_split_by_size_of_200_od_for_train_tagged")</f>
        <v>official_od_collected_night_random_from_wolfsburg_demo_v2_batch_30_split_by_size_of_200_od_for_train_tagged</v>
      </c>
      <c r="C242" s="15" t="str">
        <f>IFERROR(__xludf.DUMMYFUNCTION("""COMPUTED_VALUE"""),"train")</f>
        <v>train</v>
      </c>
      <c r="D242" s="15" t="str">
        <f>IFERROR(__xludf.DUMMYFUNCTION("""COMPUTED_VALUE"""),"train")</f>
        <v>train</v>
      </c>
      <c r="E242" s="15">
        <f>IFERROR(__xludf.DUMMYFUNCTION("""COMPUTED_VALUE"""),83.0)</f>
        <v>83</v>
      </c>
      <c r="F242" s="15" t="str">
        <f>IFERROR(__xludf.DUMMYFUNCTION("""COMPUTED_VALUE"""),"8MP_JPG")</f>
        <v>8MP_JPG</v>
      </c>
      <c r="G242" s="15" t="str">
        <f>IFERROR(__xludf.DUMMYFUNCTION("""COMPUTED_VALUE"""),"demo, germany, night, random, v2, wolfsburg")</f>
        <v>demo, germany, night, random, v2, wolfsburg</v>
      </c>
      <c r="H242" s="15">
        <f>IFERROR(__xludf.DUMMYFUNCTION("""COMPUTED_VALUE"""),-1.0)</f>
        <v>-1</v>
      </c>
      <c r="I242" s="15">
        <f>IFERROR(__xludf.DUMMYFUNCTION("""COMPUTED_VALUE"""),-1.0)</f>
        <v>-1</v>
      </c>
      <c r="J242" s="15">
        <f>IFERROR(__xludf.DUMMYFUNCTION("""COMPUTED_VALUE"""),-1.0)</f>
        <v>-1</v>
      </c>
      <c r="K242" s="30">
        <f>IFERROR(__xludf.DUMMYFUNCTION("""COMPUTED_VALUE"""),45240.70079861111)</f>
        <v>45240.7008</v>
      </c>
    </row>
    <row r="243">
      <c r="A243" s="18" t="str">
        <f>IFERROR(__xludf.DUMMYFUNCTION("""COMPUTED_VALUE"""),"6526aa2554107825f76a4c78")</f>
        <v>6526aa2554107825f76a4c78</v>
      </c>
      <c r="B243" s="15" t="str">
        <f>IFERROR(__xludf.DUMMYFUNCTION("""COMPUTED_VALUE"""),"official_od_collected_night_random_from_wolfsburg_demo_v2_batch_18_split_by_size_of_200_od_for_train_tagged")</f>
        <v>official_od_collected_night_random_from_wolfsburg_demo_v2_batch_18_split_by_size_of_200_od_for_train_tagged</v>
      </c>
      <c r="C243" s="15" t="str">
        <f>IFERROR(__xludf.DUMMYFUNCTION("""COMPUTED_VALUE"""),"train")</f>
        <v>train</v>
      </c>
      <c r="D243" s="15" t="str">
        <f>IFERROR(__xludf.DUMMYFUNCTION("""COMPUTED_VALUE"""),"train")</f>
        <v>train</v>
      </c>
      <c r="E243" s="15">
        <f>IFERROR(__xludf.DUMMYFUNCTION("""COMPUTED_VALUE"""),189.0)</f>
        <v>189</v>
      </c>
      <c r="F243" s="15" t="str">
        <f>IFERROR(__xludf.DUMMYFUNCTION("""COMPUTED_VALUE"""),"8MP_JPG")</f>
        <v>8MP_JPG</v>
      </c>
      <c r="G243" s="15" t="str">
        <f>IFERROR(__xludf.DUMMYFUNCTION("""COMPUTED_VALUE"""),"demo, germany, night, random, v2, wolfsburg")</f>
        <v>demo, germany, night, random, v2, wolfsburg</v>
      </c>
      <c r="H243" s="15">
        <f>IFERROR(__xludf.DUMMYFUNCTION("""COMPUTED_VALUE"""),-1.0)</f>
        <v>-1</v>
      </c>
      <c r="I243" s="15">
        <f>IFERROR(__xludf.DUMMYFUNCTION("""COMPUTED_VALUE"""),-1.0)</f>
        <v>-1</v>
      </c>
      <c r="J243" s="15">
        <f>IFERROR(__xludf.DUMMYFUNCTION("""COMPUTED_VALUE"""),-1.0)</f>
        <v>-1</v>
      </c>
      <c r="K243" s="30">
        <f>IFERROR(__xludf.DUMMYFUNCTION("""COMPUTED_VALUE"""),45240.70915509259)</f>
        <v>45240.70916</v>
      </c>
    </row>
    <row r="244">
      <c r="A244" s="18" t="str">
        <f>IFERROR(__xludf.DUMMYFUNCTION("""COMPUTED_VALUE"""),"6526acb454107825f76a4c90")</f>
        <v>6526acb454107825f76a4c90</v>
      </c>
      <c r="B244" s="15" t="str">
        <f>IFERROR(__xludf.DUMMYFUNCTION("""COMPUTED_VALUE"""),"official_od_collected_night_random_from_wolfsburg_demo_v2_batch_12_split_by_size_of_200_od_for_train_tagged")</f>
        <v>official_od_collected_night_random_from_wolfsburg_demo_v2_batch_12_split_by_size_of_200_od_for_train_tagged</v>
      </c>
      <c r="C244" s="15" t="str">
        <f>IFERROR(__xludf.DUMMYFUNCTION("""COMPUTED_VALUE"""),"train")</f>
        <v>train</v>
      </c>
      <c r="D244" s="15" t="str">
        <f>IFERROR(__xludf.DUMMYFUNCTION("""COMPUTED_VALUE"""),"train")</f>
        <v>train</v>
      </c>
      <c r="E244" s="15">
        <f>IFERROR(__xludf.DUMMYFUNCTION("""COMPUTED_VALUE"""),60.0)</f>
        <v>60</v>
      </c>
      <c r="F244" s="15" t="str">
        <f>IFERROR(__xludf.DUMMYFUNCTION("""COMPUTED_VALUE"""),"8MP_JPG")</f>
        <v>8MP_JPG</v>
      </c>
      <c r="G244" s="15" t="str">
        <f>IFERROR(__xludf.DUMMYFUNCTION("""COMPUTED_VALUE"""),"demo, germany, night, random, v2, wolfsburg")</f>
        <v>demo, germany, night, random, v2, wolfsburg</v>
      </c>
      <c r="H244" s="15">
        <f>IFERROR(__xludf.DUMMYFUNCTION("""COMPUTED_VALUE"""),-1.0)</f>
        <v>-1</v>
      </c>
      <c r="I244" s="15">
        <f>IFERROR(__xludf.DUMMYFUNCTION("""COMPUTED_VALUE"""),-1.0)</f>
        <v>-1</v>
      </c>
      <c r="J244" s="15">
        <f>IFERROR(__xludf.DUMMYFUNCTION("""COMPUTED_VALUE"""),-1.0)</f>
        <v>-1</v>
      </c>
      <c r="K244" s="30">
        <f>IFERROR(__xludf.DUMMYFUNCTION("""COMPUTED_VALUE"""),45240.71671296296)</f>
        <v>45240.71671</v>
      </c>
    </row>
    <row r="245">
      <c r="A245" s="25" t="str">
        <f>IFERROR(__xludf.DUMMYFUNCTION("""COMPUTED_VALUE"""),"6526b6b354107825f76a4d23")</f>
        <v>6526b6b354107825f76a4d23</v>
      </c>
      <c r="B245" s="26" t="str">
        <f>IFERROR(__xludf.DUMMYFUNCTION("""COMPUTED_VALUE"""),"official_od_collected_night_issues_from_wolfsburg_demo_v2_batch_11_split_by_size_of_200_od_for_train_tagged")</f>
        <v>official_od_collected_night_issues_from_wolfsburg_demo_v2_batch_11_split_by_size_of_200_od_for_train_tagged</v>
      </c>
      <c r="C245" s="26" t="str">
        <f>IFERROR(__xludf.DUMMYFUNCTION("""COMPUTED_VALUE"""),"train")</f>
        <v>train</v>
      </c>
      <c r="D245" s="26" t="str">
        <f>IFERROR(__xludf.DUMMYFUNCTION("""COMPUTED_VALUE"""),"train")</f>
        <v>train</v>
      </c>
      <c r="E245" s="26">
        <f>IFERROR(__xludf.DUMMYFUNCTION("""COMPUTED_VALUE"""),200.0)</f>
        <v>200</v>
      </c>
      <c r="F245" s="26" t="str">
        <f>IFERROR(__xludf.DUMMYFUNCTION("""COMPUTED_VALUE"""),"8MP_JPG")</f>
        <v>8MP_JPG</v>
      </c>
      <c r="G245" s="26" t="str">
        <f>IFERROR(__xludf.DUMMYFUNCTION("""COMPUTED_VALUE"""),"demo, germany, issues, night, v2, wolfsburg")</f>
        <v>demo, germany, issues, night, v2, wolfsburg</v>
      </c>
      <c r="H245" s="26">
        <f>IFERROR(__xludf.DUMMYFUNCTION("""COMPUTED_VALUE"""),-1.0)</f>
        <v>-1</v>
      </c>
      <c r="I245" s="26">
        <f>IFERROR(__xludf.DUMMYFUNCTION("""COMPUTED_VALUE"""),-1.0)</f>
        <v>-1</v>
      </c>
      <c r="J245" s="26">
        <f>IFERROR(__xludf.DUMMYFUNCTION("""COMPUTED_VALUE"""),-1.0)</f>
        <v>-1</v>
      </c>
      <c r="K245" s="31">
        <f>IFERROR(__xludf.DUMMYFUNCTION("""COMPUTED_VALUE"""),45240.74701388889)</f>
        <v>45240.74701</v>
      </c>
    </row>
    <row r="246">
      <c r="A246" s="25" t="str">
        <f>IFERROR(__xludf.DUMMYFUNCTION("""COMPUTED_VALUE"""),"6526b7ae54107825f76a4d2e")</f>
        <v>6526b7ae54107825f76a4d2e</v>
      </c>
      <c r="B246" s="26" t="str">
        <f>IFERROR(__xludf.DUMMYFUNCTION("""COMPUTED_VALUE"""),"official_od_collected_night_issues_from_wolfsburg_demo_v2_batch_10_split_by_size_of_200_od_for_train_tagged")</f>
        <v>official_od_collected_night_issues_from_wolfsburg_demo_v2_batch_10_split_by_size_of_200_od_for_train_tagged</v>
      </c>
      <c r="C246" s="26" t="str">
        <f>IFERROR(__xludf.DUMMYFUNCTION("""COMPUTED_VALUE"""),"train")</f>
        <v>train</v>
      </c>
      <c r="D246" s="26" t="str">
        <f>IFERROR(__xludf.DUMMYFUNCTION("""COMPUTED_VALUE"""),"train")</f>
        <v>train</v>
      </c>
      <c r="E246" s="26">
        <f>IFERROR(__xludf.DUMMYFUNCTION("""COMPUTED_VALUE"""),200.0)</f>
        <v>200</v>
      </c>
      <c r="F246" s="26" t="str">
        <f>IFERROR(__xludf.DUMMYFUNCTION("""COMPUTED_VALUE"""),"8MP_JPG")</f>
        <v>8MP_JPG</v>
      </c>
      <c r="G246" s="26" t="str">
        <f>IFERROR(__xludf.DUMMYFUNCTION("""COMPUTED_VALUE"""),"demo, germany, issues, night, v2, wolfsburg")</f>
        <v>demo, germany, issues, night, v2, wolfsburg</v>
      </c>
      <c r="H246" s="26">
        <f>IFERROR(__xludf.DUMMYFUNCTION("""COMPUTED_VALUE"""),-1.0)</f>
        <v>-1</v>
      </c>
      <c r="I246" s="26">
        <f>IFERROR(__xludf.DUMMYFUNCTION("""COMPUTED_VALUE"""),-1.0)</f>
        <v>-1</v>
      </c>
      <c r="J246" s="26">
        <f>IFERROR(__xludf.DUMMYFUNCTION("""COMPUTED_VALUE"""),-1.0)</f>
        <v>-1</v>
      </c>
      <c r="K246" s="31">
        <f>IFERROR(__xludf.DUMMYFUNCTION("""COMPUTED_VALUE"""),45240.74994212963)</f>
        <v>45240.74994</v>
      </c>
    </row>
    <row r="247">
      <c r="A247" s="18" t="str">
        <f>IFERROR(__xludf.DUMMYFUNCTION("""COMPUTED_VALUE"""),"6527c4fb54107825f76a5056")</f>
        <v>6527c4fb54107825f76a5056</v>
      </c>
      <c r="B247" s="15" t="str">
        <f>IFERROR(__xludf.DUMMYFUNCTION("""COMPUTED_VALUE"""),"official_od__sheep_superset_6502aaf17edfb609dc1b4ab9_for_fa_removal_train_skipped_every_10_img_batch_10_split_by_size_of_100_od_for_train_tagged")</f>
        <v>official_od__sheep_superset_6502aaf17edfb609dc1b4ab9_for_fa_removal_train_skipped_every_10_img_batch_10_split_by_size_of_100_od_for_train_tagged</v>
      </c>
      <c r="C247" s="15" t="str">
        <f>IFERROR(__xludf.DUMMYFUNCTION("""COMPUTED_VALUE"""),"train")</f>
        <v>train</v>
      </c>
      <c r="D247" s="15" t="str">
        <f>IFERROR(__xludf.DUMMYFUNCTION("""COMPUTED_VALUE"""),"train")</f>
        <v>train</v>
      </c>
      <c r="E247" s="15">
        <f>IFERROR(__xludf.DUMMYFUNCTION("""COMPUTED_VALUE"""),100.0)</f>
        <v>100</v>
      </c>
      <c r="F247" s="15" t="str">
        <f>IFERROR(__xludf.DUMMYFUNCTION("""COMPUTED_VALUE"""),"8MP_JPG")</f>
        <v>8MP_JPG</v>
      </c>
      <c r="G247" s="15" t="str">
        <f>IFERROR(__xludf.DUMMYFUNCTION("""COMPUTED_VALUE"""),"germany, kitzigen, test_track, wolfsburg")</f>
        <v>germany, kitzigen, test_track, wolfsburg</v>
      </c>
      <c r="H247" s="15">
        <f>IFERROR(__xludf.DUMMYFUNCTION("""COMPUTED_VALUE"""),-1.0)</f>
        <v>-1</v>
      </c>
      <c r="I247" s="15">
        <f>IFERROR(__xludf.DUMMYFUNCTION("""COMPUTED_VALUE"""),-1.0)</f>
        <v>-1</v>
      </c>
      <c r="J247" s="15">
        <f>IFERROR(__xludf.DUMMYFUNCTION("""COMPUTED_VALUE"""),-1.0)</f>
        <v>-1</v>
      </c>
      <c r="K247" s="30">
        <f>IFERROR(__xludf.DUMMYFUNCTION("""COMPUTED_VALUE"""),45270.54592592592)</f>
        <v>45270.54593</v>
      </c>
    </row>
    <row r="248">
      <c r="A248" s="18" t="str">
        <f>IFERROR(__xludf.DUMMYFUNCTION("""COMPUTED_VALUE"""),"6527c60d54107825f76a505e")</f>
        <v>6527c60d54107825f76a505e</v>
      </c>
      <c r="B248" s="15" t="str">
        <f>IFERROR(__xludf.DUMMYFUNCTION("""COMPUTED_VALUE"""),"official_od__sheep_superset_6502aaf17edfb609dc1b4ab9_for_fa_removal_train_skipped_every_10_img_batch_3_split_by_size_of_100_od_for_train_tagged")</f>
        <v>official_od__sheep_superset_6502aaf17edfb609dc1b4ab9_for_fa_removal_train_skipped_every_10_img_batch_3_split_by_size_of_100_od_for_train_tagged</v>
      </c>
      <c r="C248" s="15" t="str">
        <f>IFERROR(__xludf.DUMMYFUNCTION("""COMPUTED_VALUE"""),"train")</f>
        <v>train</v>
      </c>
      <c r="D248" s="15" t="str">
        <f>IFERROR(__xludf.DUMMYFUNCTION("""COMPUTED_VALUE"""),"train")</f>
        <v>train</v>
      </c>
      <c r="E248" s="15">
        <f>IFERROR(__xludf.DUMMYFUNCTION("""COMPUTED_VALUE"""),84.0)</f>
        <v>84</v>
      </c>
      <c r="F248" s="15" t="str">
        <f>IFERROR(__xludf.DUMMYFUNCTION("""COMPUTED_VALUE"""),"8MP_JPG")</f>
        <v>8MP_JPG</v>
      </c>
      <c r="G248" s="15" t="str">
        <f>IFERROR(__xludf.DUMMYFUNCTION("""COMPUTED_VALUE"""),"germany, kitzigen, test_track, wolfsburg")</f>
        <v>germany, kitzigen, test_track, wolfsburg</v>
      </c>
      <c r="H248" s="15">
        <f>IFERROR(__xludf.DUMMYFUNCTION("""COMPUTED_VALUE"""),-1.0)</f>
        <v>-1</v>
      </c>
      <c r="I248" s="15">
        <f>IFERROR(__xludf.DUMMYFUNCTION("""COMPUTED_VALUE"""),-1.0)</f>
        <v>-1</v>
      </c>
      <c r="J248" s="15">
        <f>IFERROR(__xludf.DUMMYFUNCTION("""COMPUTED_VALUE"""),-1.0)</f>
        <v>-1</v>
      </c>
      <c r="K248" s="30">
        <f>IFERROR(__xludf.DUMMYFUNCTION("""COMPUTED_VALUE"""),45270.54908564815)</f>
        <v>45270.54909</v>
      </c>
    </row>
    <row r="249">
      <c r="A249" s="18" t="str">
        <f>IFERROR(__xludf.DUMMYFUNCTION("""COMPUTED_VALUE"""),"6527c63454107825f76a505f")</f>
        <v>6527c63454107825f76a505f</v>
      </c>
      <c r="B249" s="15" t="str">
        <f>IFERROR(__xludf.DUMMYFUNCTION("""COMPUTED_VALUE"""),"official_od__sheep_superset_6502aaf17edfb609dc1b4ab9_for_fa_removal_train_skipped_every_10_img_batch_2_split_by_size_of_100_od_for_train_tagged")</f>
        <v>official_od__sheep_superset_6502aaf17edfb609dc1b4ab9_for_fa_removal_train_skipped_every_10_img_batch_2_split_by_size_of_100_od_for_train_tagged</v>
      </c>
      <c r="C249" s="15" t="str">
        <f>IFERROR(__xludf.DUMMYFUNCTION("""COMPUTED_VALUE"""),"train")</f>
        <v>train</v>
      </c>
      <c r="D249" s="15" t="str">
        <f>IFERROR(__xludf.DUMMYFUNCTION("""COMPUTED_VALUE"""),"train")</f>
        <v>train</v>
      </c>
      <c r="E249" s="15">
        <f>IFERROR(__xludf.DUMMYFUNCTION("""COMPUTED_VALUE"""),100.0)</f>
        <v>100</v>
      </c>
      <c r="F249" s="15" t="str">
        <f>IFERROR(__xludf.DUMMYFUNCTION("""COMPUTED_VALUE"""),"8MP_JPG")</f>
        <v>8MP_JPG</v>
      </c>
      <c r="G249" s="15" t="str">
        <f>IFERROR(__xludf.DUMMYFUNCTION("""COMPUTED_VALUE"""),"germany, kitzigen, test_track, wolfsburg")</f>
        <v>germany, kitzigen, test_track, wolfsburg</v>
      </c>
      <c r="H249" s="15">
        <f>IFERROR(__xludf.DUMMYFUNCTION("""COMPUTED_VALUE"""),-1.0)</f>
        <v>-1</v>
      </c>
      <c r="I249" s="15">
        <f>IFERROR(__xludf.DUMMYFUNCTION("""COMPUTED_VALUE"""),-1.0)</f>
        <v>-1</v>
      </c>
      <c r="J249" s="15">
        <f>IFERROR(__xludf.DUMMYFUNCTION("""COMPUTED_VALUE"""),-1.0)</f>
        <v>-1</v>
      </c>
      <c r="K249" s="30">
        <f>IFERROR(__xludf.DUMMYFUNCTION("""COMPUTED_VALUE"""),45270.549525462964)</f>
        <v>45270.54953</v>
      </c>
    </row>
    <row r="250">
      <c r="A250" s="18" t="str">
        <f>IFERROR(__xludf.DUMMYFUNCTION("""COMPUTED_VALUE"""),"6527c65b54107825f76a5060")</f>
        <v>6527c65b54107825f76a5060</v>
      </c>
      <c r="B250" s="15" t="str">
        <f>IFERROR(__xludf.DUMMYFUNCTION("""COMPUTED_VALUE"""),"official_od__sheep_superset_6502aaf17edfb609dc1b4ab9_for_fa_removal_train_skipped_every_10_img_batch_1_split_by_size_of_100_od_for_train_tagged")</f>
        <v>official_od__sheep_superset_6502aaf17edfb609dc1b4ab9_for_fa_removal_train_skipped_every_10_img_batch_1_split_by_size_of_100_od_for_train_tagged</v>
      </c>
      <c r="C250" s="15" t="str">
        <f>IFERROR(__xludf.DUMMYFUNCTION("""COMPUTED_VALUE"""),"train")</f>
        <v>train</v>
      </c>
      <c r="D250" s="15" t="str">
        <f>IFERROR(__xludf.DUMMYFUNCTION("""COMPUTED_VALUE"""),"train")</f>
        <v>train</v>
      </c>
      <c r="E250" s="15">
        <f>IFERROR(__xludf.DUMMYFUNCTION("""COMPUTED_VALUE"""),100.0)</f>
        <v>100</v>
      </c>
      <c r="F250" s="15" t="str">
        <f>IFERROR(__xludf.DUMMYFUNCTION("""COMPUTED_VALUE"""),"8MP_JPG")</f>
        <v>8MP_JPG</v>
      </c>
      <c r="G250" s="15" t="str">
        <f>IFERROR(__xludf.DUMMYFUNCTION("""COMPUTED_VALUE"""),"germany, kitzigen, test_track, wolfsburg")</f>
        <v>germany, kitzigen, test_track, wolfsburg</v>
      </c>
      <c r="H250" s="15">
        <f>IFERROR(__xludf.DUMMYFUNCTION("""COMPUTED_VALUE"""),-1.0)</f>
        <v>-1</v>
      </c>
      <c r="I250" s="15">
        <f>IFERROR(__xludf.DUMMYFUNCTION("""COMPUTED_VALUE"""),-1.0)</f>
        <v>-1</v>
      </c>
      <c r="J250" s="15">
        <f>IFERROR(__xludf.DUMMYFUNCTION("""COMPUTED_VALUE"""),-1.0)</f>
        <v>-1</v>
      </c>
      <c r="K250" s="30">
        <f>IFERROR(__xludf.DUMMYFUNCTION("""COMPUTED_VALUE"""),45270.55)</f>
        <v>45270.55</v>
      </c>
    </row>
    <row r="251">
      <c r="A251" s="18" t="str">
        <f>IFERROR(__xludf.DUMMYFUNCTION("""COMPUTED_VALUE"""),"6527c68354107825f76a5061")</f>
        <v>6527c68354107825f76a5061</v>
      </c>
      <c r="B251" s="15" t="str">
        <f>IFERROR(__xludf.DUMMYFUNCTION("""COMPUTED_VALUE"""),"official_od__sheep_superset_6502aaf17edfb609dc1b4ab9_for_fa_removal_train_skipped_every_10_img_batch_0_split_by_size_of_100_od_for_train_tagged")</f>
        <v>official_od__sheep_superset_6502aaf17edfb609dc1b4ab9_for_fa_removal_train_skipped_every_10_img_batch_0_split_by_size_of_100_od_for_train_tagged</v>
      </c>
      <c r="C251" s="15" t="str">
        <f>IFERROR(__xludf.DUMMYFUNCTION("""COMPUTED_VALUE"""),"train")</f>
        <v>train</v>
      </c>
      <c r="D251" s="15" t="str">
        <f>IFERROR(__xludf.DUMMYFUNCTION("""COMPUTED_VALUE"""),"train")</f>
        <v>train</v>
      </c>
      <c r="E251" s="15">
        <f>IFERROR(__xludf.DUMMYFUNCTION("""COMPUTED_VALUE"""),100.0)</f>
        <v>100</v>
      </c>
      <c r="F251" s="15" t="str">
        <f>IFERROR(__xludf.DUMMYFUNCTION("""COMPUTED_VALUE"""),"8MP_JPG")</f>
        <v>8MP_JPG</v>
      </c>
      <c r="G251" s="15" t="str">
        <f>IFERROR(__xludf.DUMMYFUNCTION("""COMPUTED_VALUE"""),"germany, kitzigen, test_track, wolfsburg")</f>
        <v>germany, kitzigen, test_track, wolfsburg</v>
      </c>
      <c r="H251" s="15">
        <f>IFERROR(__xludf.DUMMYFUNCTION("""COMPUTED_VALUE"""),-1.0)</f>
        <v>-1</v>
      </c>
      <c r="I251" s="15">
        <f>IFERROR(__xludf.DUMMYFUNCTION("""COMPUTED_VALUE"""),-1.0)</f>
        <v>-1</v>
      </c>
      <c r="J251" s="15">
        <f>IFERROR(__xludf.DUMMYFUNCTION("""COMPUTED_VALUE"""),-1.0)</f>
        <v>-1</v>
      </c>
      <c r="K251" s="30">
        <f>IFERROR(__xludf.DUMMYFUNCTION("""COMPUTED_VALUE"""),45270.55045138889)</f>
        <v>45270.55045</v>
      </c>
    </row>
    <row r="252">
      <c r="A252" s="18" t="str">
        <f>IFERROR(__xludf.DUMMYFUNCTION("""COMPUTED_VALUE"""),"653507a654107825f76b9879")</f>
        <v>653507a654107825f76b9879</v>
      </c>
      <c r="B252" s="15" t="str">
        <f>IFERROR(__xludf.DUMMYFUNCTION("""COMPUTED_VALUE"""),"official_od_disappointing_palm_springs_skip_10_od_for_test_tagged")</f>
        <v>official_od_disappointing_palm_springs_skip_10_od_for_test_tagged</v>
      </c>
      <c r="C252" s="15" t="str">
        <f>IFERROR(__xludf.DUMMYFUNCTION("""COMPUTED_VALUE"""),"test")</f>
        <v>test</v>
      </c>
      <c r="D252" s="15" t="str">
        <f>IFERROR(__xludf.DUMMYFUNCTION("""COMPUTED_VALUE"""),"test")</f>
        <v>test</v>
      </c>
      <c r="E252" s="15">
        <f>IFERROR(__xludf.DUMMYFUNCTION("""COMPUTED_VALUE"""),88.0)</f>
        <v>88</v>
      </c>
      <c r="F252" s="15" t="str">
        <f>IFERROR(__xludf.DUMMYFUNCTION("""COMPUTED_VALUE"""),"8MP_JPG")</f>
        <v>8MP_JPG</v>
      </c>
      <c r="G252" s="15" t="str">
        <f>IFERROR(__xludf.DUMMYFUNCTION("""COMPUTED_VALUE"""),"/PRE_DAG_UPLOUDS/IL_AB/2023_08_23/2023_08_23_22_39_06/2023_08_23_22_39_06, day, highway, israel, night, urban")</f>
        <v>/PRE_DAG_UPLOUDS/IL_AB/2023_08_23/2023_08_23_22_39_06/2023_08_23_22_39_06, day, highway, israel, night, urban</v>
      </c>
      <c r="H252" s="15">
        <f>IFERROR(__xludf.DUMMYFUNCTION("""COMPUTED_VALUE"""),-1.0)</f>
        <v>-1</v>
      </c>
      <c r="I252" s="15">
        <f>IFERROR(__xludf.DUMMYFUNCTION("""COMPUTED_VALUE"""),-1.0)</f>
        <v>-1</v>
      </c>
      <c r="J252" s="15">
        <f>IFERROR(__xludf.DUMMYFUNCTION("""COMPUTED_VALUE"""),-1.0)</f>
        <v>-1</v>
      </c>
      <c r="K252" s="16" t="str">
        <f>IFERROR(__xludf.DUMMYFUNCTION("""COMPUTED_VALUE"""),"22/10/2023, 14:29:46")</f>
        <v>22/10/2023, 14:29:46</v>
      </c>
    </row>
    <row r="253">
      <c r="A253" s="18" t="str">
        <f>IFERROR(__xludf.DUMMYFUNCTION("""COMPUTED_VALUE"""),"654ccf4c54107825f7758267")</f>
        <v>654ccf4c54107825f7758267</v>
      </c>
      <c r="B253" s="15" t="str">
        <f>IFERROR(__xludf.DUMMYFUNCTION("""COMPUTED_VALUE"""),"_combined_night_recs_for_od_test_batch_9_split_by_size_of_294_for_test_od_tagged")</f>
        <v>_combined_night_recs_for_od_test_batch_9_split_by_size_of_294_for_test_od_tagged</v>
      </c>
      <c r="C253" s="15" t="str">
        <f>IFERROR(__xludf.DUMMYFUNCTION("""COMPUTED_VALUE"""),"test")</f>
        <v>test</v>
      </c>
      <c r="D253" s="15" t="str">
        <f>IFERROR(__xludf.DUMMYFUNCTION("""COMPUTED_VALUE"""),"test")</f>
        <v>test</v>
      </c>
      <c r="E253" s="15">
        <f>IFERROR(__xludf.DUMMYFUNCTION("""COMPUTED_VALUE"""),240.0)</f>
        <v>240</v>
      </c>
      <c r="F253" s="15" t="str">
        <f>IFERROR(__xludf.DUMMYFUNCTION("""COMPUTED_VALUE"""),"8MP_JPG")</f>
        <v>8MP_JPG</v>
      </c>
      <c r="G253" s="15" t="str">
        <f>IFERROR(__xludf.DUMMYFUNCTION("""COMPUTED_VALUE"""),"europe, germany, night, test")</f>
        <v>europe, germany, night, test</v>
      </c>
      <c r="H253" s="15">
        <f>IFERROR(__xludf.DUMMYFUNCTION("""COMPUTED_VALUE"""),-1.0)</f>
        <v>-1</v>
      </c>
      <c r="I253" s="15">
        <f>IFERROR(__xludf.DUMMYFUNCTION("""COMPUTED_VALUE"""),-1.0)</f>
        <v>-1</v>
      </c>
      <c r="J253" s="15">
        <f>IFERROR(__xludf.DUMMYFUNCTION("""COMPUTED_VALUE"""),-1.0)</f>
        <v>-1</v>
      </c>
      <c r="K253" s="28">
        <f>IFERROR(__xludf.DUMMYFUNCTION("""COMPUTED_VALUE"""),45180.59979166667)</f>
        <v>45180.59979</v>
      </c>
    </row>
    <row r="254">
      <c r="A254" s="18" t="str">
        <f>IFERROR(__xludf.DUMMYFUNCTION("""COMPUTED_VALUE"""),"654ccf5254107825f7758b06")</f>
        <v>654ccf5254107825f7758b06</v>
      </c>
      <c r="B254" s="15" t="str">
        <f>IFERROR(__xludf.DUMMYFUNCTION("""COMPUTED_VALUE"""),"_combined_night_recs_for_od_test_batch_8_split_by_size_of_294_for_test_od_tagged")</f>
        <v>_combined_night_recs_for_od_test_batch_8_split_by_size_of_294_for_test_od_tagged</v>
      </c>
      <c r="C254" s="15" t="str">
        <f>IFERROR(__xludf.DUMMYFUNCTION("""COMPUTED_VALUE"""),"test")</f>
        <v>test</v>
      </c>
      <c r="D254" s="15" t="str">
        <f>IFERROR(__xludf.DUMMYFUNCTION("""COMPUTED_VALUE"""),"test")</f>
        <v>test</v>
      </c>
      <c r="E254" s="15">
        <f>IFERROR(__xludf.DUMMYFUNCTION("""COMPUTED_VALUE"""),284.0)</f>
        <v>284</v>
      </c>
      <c r="F254" s="15" t="str">
        <f>IFERROR(__xludf.DUMMYFUNCTION("""COMPUTED_VALUE"""),"8MP_JPG")</f>
        <v>8MP_JPG</v>
      </c>
      <c r="G254" s="15" t="str">
        <f>IFERROR(__xludf.DUMMYFUNCTION("""COMPUTED_VALUE"""),"europe, germany, night, test")</f>
        <v>europe, germany, night, test</v>
      </c>
      <c r="H254" s="15">
        <f>IFERROR(__xludf.DUMMYFUNCTION("""COMPUTED_VALUE"""),-1.0)</f>
        <v>-1</v>
      </c>
      <c r="I254" s="15">
        <f>IFERROR(__xludf.DUMMYFUNCTION("""COMPUTED_VALUE"""),-1.0)</f>
        <v>-1</v>
      </c>
      <c r="J254" s="15">
        <f>IFERROR(__xludf.DUMMYFUNCTION("""COMPUTED_VALUE"""),-1.0)</f>
        <v>-1</v>
      </c>
      <c r="K254" s="28">
        <f>IFERROR(__xludf.DUMMYFUNCTION("""COMPUTED_VALUE"""),45180.59986111111)</f>
        <v>45180.59986</v>
      </c>
    </row>
    <row r="255">
      <c r="A255" s="18" t="str">
        <f>IFERROR(__xludf.DUMMYFUNCTION("""COMPUTED_VALUE"""),"654ccf5854107825f775914c")</f>
        <v>654ccf5854107825f775914c</v>
      </c>
      <c r="B255" s="15" t="str">
        <f>IFERROR(__xludf.DUMMYFUNCTION("""COMPUTED_VALUE"""),"_combined_night_recs_for_od_test_batch_7_split_by_size_of_294_for_test_od_tagged")</f>
        <v>_combined_night_recs_for_od_test_batch_7_split_by_size_of_294_for_test_od_tagged</v>
      </c>
      <c r="C255" s="15" t="str">
        <f>IFERROR(__xludf.DUMMYFUNCTION("""COMPUTED_VALUE"""),"test")</f>
        <v>test</v>
      </c>
      <c r="D255" s="15" t="str">
        <f>IFERROR(__xludf.DUMMYFUNCTION("""COMPUTED_VALUE"""),"test")</f>
        <v>test</v>
      </c>
      <c r="E255" s="15">
        <f>IFERROR(__xludf.DUMMYFUNCTION("""COMPUTED_VALUE"""),271.0)</f>
        <v>271</v>
      </c>
      <c r="F255" s="15" t="str">
        <f>IFERROR(__xludf.DUMMYFUNCTION("""COMPUTED_VALUE"""),"8MP_JPG")</f>
        <v>8MP_JPG</v>
      </c>
      <c r="G255" s="15" t="str">
        <f>IFERROR(__xludf.DUMMYFUNCTION("""COMPUTED_VALUE"""),"europe, germany, night, test")</f>
        <v>europe, germany, night, test</v>
      </c>
      <c r="H255" s="15">
        <f>IFERROR(__xludf.DUMMYFUNCTION("""COMPUTED_VALUE"""),-1.0)</f>
        <v>-1</v>
      </c>
      <c r="I255" s="15">
        <f>IFERROR(__xludf.DUMMYFUNCTION("""COMPUTED_VALUE"""),-1.0)</f>
        <v>-1</v>
      </c>
      <c r="J255" s="15">
        <f>IFERROR(__xludf.DUMMYFUNCTION("""COMPUTED_VALUE"""),-1.0)</f>
        <v>-1</v>
      </c>
      <c r="K255" s="28">
        <f>IFERROR(__xludf.DUMMYFUNCTION("""COMPUTED_VALUE"""),45180.59993055555)</f>
        <v>45180.59993</v>
      </c>
    </row>
    <row r="256">
      <c r="A256" s="18" t="str">
        <f>IFERROR(__xludf.DUMMYFUNCTION("""COMPUTED_VALUE"""),"654ccf5e54107825f77598d9")</f>
        <v>654ccf5e54107825f77598d9</v>
      </c>
      <c r="B256" s="15" t="str">
        <f>IFERROR(__xludf.DUMMYFUNCTION("""COMPUTED_VALUE"""),"_combined_night_recs_for_od_test_batch_6_split_by_size_of_294_for_test_od_tagged")</f>
        <v>_combined_night_recs_for_od_test_batch_6_split_by_size_of_294_for_test_od_tagged</v>
      </c>
      <c r="C256" s="15" t="str">
        <f>IFERROR(__xludf.DUMMYFUNCTION("""COMPUTED_VALUE"""),"test")</f>
        <v>test</v>
      </c>
      <c r="D256" s="15" t="str">
        <f>IFERROR(__xludf.DUMMYFUNCTION("""COMPUTED_VALUE"""),"test")</f>
        <v>test</v>
      </c>
      <c r="E256" s="15">
        <f>IFERROR(__xludf.DUMMYFUNCTION("""COMPUTED_VALUE"""),290.0)</f>
        <v>290</v>
      </c>
      <c r="F256" s="15" t="str">
        <f>IFERROR(__xludf.DUMMYFUNCTION("""COMPUTED_VALUE"""),"8MP_JPG")</f>
        <v>8MP_JPG</v>
      </c>
      <c r="G256" s="15" t="str">
        <f>IFERROR(__xludf.DUMMYFUNCTION("""COMPUTED_VALUE"""),"europe, germany, night, test")</f>
        <v>europe, germany, night, test</v>
      </c>
      <c r="H256" s="15">
        <f>IFERROR(__xludf.DUMMYFUNCTION("""COMPUTED_VALUE"""),-1.0)</f>
        <v>-1</v>
      </c>
      <c r="I256" s="15">
        <f>IFERROR(__xludf.DUMMYFUNCTION("""COMPUTED_VALUE"""),-1.0)</f>
        <v>-1</v>
      </c>
      <c r="J256" s="15">
        <f>IFERROR(__xludf.DUMMYFUNCTION("""COMPUTED_VALUE"""),-1.0)</f>
        <v>-1</v>
      </c>
      <c r="K256" s="28">
        <f>IFERROR(__xludf.DUMMYFUNCTION("""COMPUTED_VALUE"""),45180.6)</f>
        <v>45180.6</v>
      </c>
    </row>
    <row r="257">
      <c r="A257" s="18" t="str">
        <f>IFERROR(__xludf.DUMMYFUNCTION("""COMPUTED_VALUE"""),"654ccf6554107825f775a08d")</f>
        <v>654ccf6554107825f775a08d</v>
      </c>
      <c r="B257" s="15" t="str">
        <f>IFERROR(__xludf.DUMMYFUNCTION("""COMPUTED_VALUE"""),"_combined_night_recs_for_od_test_batch_5_split_by_size_of_294_for_test_od_tagged")</f>
        <v>_combined_night_recs_for_od_test_batch_5_split_by_size_of_294_for_test_od_tagged</v>
      </c>
      <c r="C257" s="15" t="str">
        <f>IFERROR(__xludf.DUMMYFUNCTION("""COMPUTED_VALUE"""),"test")</f>
        <v>test</v>
      </c>
      <c r="D257" s="15" t="str">
        <f>IFERROR(__xludf.DUMMYFUNCTION("""COMPUTED_VALUE"""),"test")</f>
        <v>test</v>
      </c>
      <c r="E257" s="15">
        <f>IFERROR(__xludf.DUMMYFUNCTION("""COMPUTED_VALUE"""),292.0)</f>
        <v>292</v>
      </c>
      <c r="F257" s="15" t="str">
        <f>IFERROR(__xludf.DUMMYFUNCTION("""COMPUTED_VALUE"""),"8MP_JPG")</f>
        <v>8MP_JPG</v>
      </c>
      <c r="G257" s="15" t="str">
        <f>IFERROR(__xludf.DUMMYFUNCTION("""COMPUTED_VALUE"""),"europe, germany, night, test")</f>
        <v>europe, germany, night, test</v>
      </c>
      <c r="H257" s="15">
        <f>IFERROR(__xludf.DUMMYFUNCTION("""COMPUTED_VALUE"""),-1.0)</f>
        <v>-1</v>
      </c>
      <c r="I257" s="15">
        <f>IFERROR(__xludf.DUMMYFUNCTION("""COMPUTED_VALUE"""),-1.0)</f>
        <v>-1</v>
      </c>
      <c r="J257" s="15">
        <f>IFERROR(__xludf.DUMMYFUNCTION("""COMPUTED_VALUE"""),-1.0)</f>
        <v>-1</v>
      </c>
      <c r="K257" s="28">
        <f>IFERROR(__xludf.DUMMYFUNCTION("""COMPUTED_VALUE"""),45180.60008101852)</f>
        <v>45180.60008</v>
      </c>
    </row>
    <row r="258">
      <c r="A258" s="18" t="str">
        <f>IFERROR(__xludf.DUMMYFUNCTION("""COMPUTED_VALUE"""),"654ccf6b54107825f775ab91")</f>
        <v>654ccf6b54107825f775ab91</v>
      </c>
      <c r="B258" s="15" t="str">
        <f>IFERROR(__xludf.DUMMYFUNCTION("""COMPUTED_VALUE"""),"_combined_night_recs_for_od_test_batch_4_split_by_size_of_294_for_test_od_tagged")</f>
        <v>_combined_night_recs_for_od_test_batch_4_split_by_size_of_294_for_test_od_tagged</v>
      </c>
      <c r="C258" s="15" t="str">
        <f>IFERROR(__xludf.DUMMYFUNCTION("""COMPUTED_VALUE"""),"test")</f>
        <v>test</v>
      </c>
      <c r="D258" s="15" t="str">
        <f>IFERROR(__xludf.DUMMYFUNCTION("""COMPUTED_VALUE"""),"test")</f>
        <v>test</v>
      </c>
      <c r="E258" s="15">
        <f>IFERROR(__xludf.DUMMYFUNCTION("""COMPUTED_VALUE"""),294.0)</f>
        <v>294</v>
      </c>
      <c r="F258" s="15" t="str">
        <f>IFERROR(__xludf.DUMMYFUNCTION("""COMPUTED_VALUE"""),"8MP_JPG")</f>
        <v>8MP_JPG</v>
      </c>
      <c r="G258" s="15" t="str">
        <f>IFERROR(__xludf.DUMMYFUNCTION("""COMPUTED_VALUE"""),"europe, germany, night, test")</f>
        <v>europe, germany, night, test</v>
      </c>
      <c r="H258" s="15">
        <f>IFERROR(__xludf.DUMMYFUNCTION("""COMPUTED_VALUE"""),-1.0)</f>
        <v>-1</v>
      </c>
      <c r="I258" s="15">
        <f>IFERROR(__xludf.DUMMYFUNCTION("""COMPUTED_VALUE"""),-1.0)</f>
        <v>-1</v>
      </c>
      <c r="J258" s="15">
        <f>IFERROR(__xludf.DUMMYFUNCTION("""COMPUTED_VALUE"""),-1.0)</f>
        <v>-1</v>
      </c>
      <c r="K258" s="28">
        <f>IFERROR(__xludf.DUMMYFUNCTION("""COMPUTED_VALUE"""),45180.60015046296)</f>
        <v>45180.60015</v>
      </c>
    </row>
    <row r="259">
      <c r="A259" s="18" t="str">
        <f>IFERROR(__xludf.DUMMYFUNCTION("""COMPUTED_VALUE"""),"654ccf7154107825f775bb00")</f>
        <v>654ccf7154107825f775bb00</v>
      </c>
      <c r="B259" s="15" t="str">
        <f>IFERROR(__xludf.DUMMYFUNCTION("""COMPUTED_VALUE"""),"_combined_night_recs_for_od_test_batch_3_split_by_size_of_294_for_test_od_tagged")</f>
        <v>_combined_night_recs_for_od_test_batch_3_split_by_size_of_294_for_test_od_tagged</v>
      </c>
      <c r="C259" s="15" t="str">
        <f>IFERROR(__xludf.DUMMYFUNCTION("""COMPUTED_VALUE"""),"test")</f>
        <v>test</v>
      </c>
      <c r="D259" s="15" t="str">
        <f>IFERROR(__xludf.DUMMYFUNCTION("""COMPUTED_VALUE"""),"test")</f>
        <v>test</v>
      </c>
      <c r="E259" s="15">
        <f>IFERROR(__xludf.DUMMYFUNCTION("""COMPUTED_VALUE"""),222.0)</f>
        <v>222</v>
      </c>
      <c r="F259" s="15" t="str">
        <f>IFERROR(__xludf.DUMMYFUNCTION("""COMPUTED_VALUE"""),"8MP_JPG")</f>
        <v>8MP_JPG</v>
      </c>
      <c r="G259" s="15" t="str">
        <f>IFERROR(__xludf.DUMMYFUNCTION("""COMPUTED_VALUE"""),"europe, germany, night, test")</f>
        <v>europe, germany, night, test</v>
      </c>
      <c r="H259" s="15">
        <f>IFERROR(__xludf.DUMMYFUNCTION("""COMPUTED_VALUE"""),-1.0)</f>
        <v>-1</v>
      </c>
      <c r="I259" s="15">
        <f>IFERROR(__xludf.DUMMYFUNCTION("""COMPUTED_VALUE"""),-1.0)</f>
        <v>-1</v>
      </c>
      <c r="J259" s="15">
        <f>IFERROR(__xludf.DUMMYFUNCTION("""COMPUTED_VALUE"""),-1.0)</f>
        <v>-1</v>
      </c>
      <c r="K259" s="28">
        <f>IFERROR(__xludf.DUMMYFUNCTION("""COMPUTED_VALUE"""),45180.60021990741)</f>
        <v>45180.60022</v>
      </c>
    </row>
    <row r="260">
      <c r="A260" s="18" t="str">
        <f>IFERROR(__xludf.DUMMYFUNCTION("""COMPUTED_VALUE"""),"654ccf7854107825f775c7de")</f>
        <v>654ccf7854107825f775c7de</v>
      </c>
      <c r="B260" s="15" t="str">
        <f>IFERROR(__xludf.DUMMYFUNCTION("""COMPUTED_VALUE"""),"_combined_night_recs_for_od_test_batch_2_split_by_size_of_294_for_test_od_tagged")</f>
        <v>_combined_night_recs_for_od_test_batch_2_split_by_size_of_294_for_test_od_tagged</v>
      </c>
      <c r="C260" s="15" t="str">
        <f>IFERROR(__xludf.DUMMYFUNCTION("""COMPUTED_VALUE"""),"test")</f>
        <v>test</v>
      </c>
      <c r="D260" s="15" t="str">
        <f>IFERROR(__xludf.DUMMYFUNCTION("""COMPUTED_VALUE"""),"test")</f>
        <v>test</v>
      </c>
      <c r="E260" s="15">
        <f>IFERROR(__xludf.DUMMYFUNCTION("""COMPUTED_VALUE"""),280.0)</f>
        <v>280</v>
      </c>
      <c r="F260" s="15" t="str">
        <f>IFERROR(__xludf.DUMMYFUNCTION("""COMPUTED_VALUE"""),"8MP_JPG")</f>
        <v>8MP_JPG</v>
      </c>
      <c r="G260" s="15" t="str">
        <f>IFERROR(__xludf.DUMMYFUNCTION("""COMPUTED_VALUE"""),"europe, germany, night, test")</f>
        <v>europe, germany, night, test</v>
      </c>
      <c r="H260" s="15">
        <f>IFERROR(__xludf.DUMMYFUNCTION("""COMPUTED_VALUE"""),-1.0)</f>
        <v>-1</v>
      </c>
      <c r="I260" s="15">
        <f>IFERROR(__xludf.DUMMYFUNCTION("""COMPUTED_VALUE"""),-1.0)</f>
        <v>-1</v>
      </c>
      <c r="J260" s="15">
        <f>IFERROR(__xludf.DUMMYFUNCTION("""COMPUTED_VALUE"""),-1.0)</f>
        <v>-1</v>
      </c>
      <c r="K260" s="28">
        <f>IFERROR(__xludf.DUMMYFUNCTION("""COMPUTED_VALUE"""),45180.60030092593)</f>
        <v>45180.6003</v>
      </c>
    </row>
    <row r="261">
      <c r="A261" s="18" t="str">
        <f>IFERROR(__xludf.DUMMYFUNCTION("""COMPUTED_VALUE"""),"654ccf7e54107825f775d2c2")</f>
        <v>654ccf7e54107825f775d2c2</v>
      </c>
      <c r="B261" s="15" t="str">
        <f>IFERROR(__xludf.DUMMYFUNCTION("""COMPUTED_VALUE"""),"_combined_night_recs_for_od_test_batch_1_split_by_size_of_294_for_test_od_tagged")</f>
        <v>_combined_night_recs_for_od_test_batch_1_split_by_size_of_294_for_test_od_tagged</v>
      </c>
      <c r="C261" s="15" t="str">
        <f>IFERROR(__xludf.DUMMYFUNCTION("""COMPUTED_VALUE"""),"test")</f>
        <v>test</v>
      </c>
      <c r="D261" s="15" t="str">
        <f>IFERROR(__xludf.DUMMYFUNCTION("""COMPUTED_VALUE"""),"test")</f>
        <v>test</v>
      </c>
      <c r="E261" s="15">
        <f>IFERROR(__xludf.DUMMYFUNCTION("""COMPUTED_VALUE"""),263.0)</f>
        <v>263</v>
      </c>
      <c r="F261" s="15" t="str">
        <f>IFERROR(__xludf.DUMMYFUNCTION("""COMPUTED_VALUE"""),"8MP_JPG")</f>
        <v>8MP_JPG</v>
      </c>
      <c r="G261" s="15" t="str">
        <f>IFERROR(__xludf.DUMMYFUNCTION("""COMPUTED_VALUE"""),"europe, germany, night, test")</f>
        <v>europe, germany, night, test</v>
      </c>
      <c r="H261" s="15">
        <f>IFERROR(__xludf.DUMMYFUNCTION("""COMPUTED_VALUE"""),-1.0)</f>
        <v>-1</v>
      </c>
      <c r="I261" s="15">
        <f>IFERROR(__xludf.DUMMYFUNCTION("""COMPUTED_VALUE"""),-1.0)</f>
        <v>-1</v>
      </c>
      <c r="J261" s="15">
        <f>IFERROR(__xludf.DUMMYFUNCTION("""COMPUTED_VALUE"""),-1.0)</f>
        <v>-1</v>
      </c>
      <c r="K261" s="28">
        <f>IFERROR(__xludf.DUMMYFUNCTION("""COMPUTED_VALUE"""),45180.60037037037)</f>
        <v>45180.60037</v>
      </c>
    </row>
    <row r="262">
      <c r="A262" s="25" t="str">
        <f>IFERROR(__xludf.DUMMYFUNCTION("""COMPUTED_VALUE"""),"654ccf8554107825f775e146")</f>
        <v>654ccf8554107825f775e146</v>
      </c>
      <c r="B262" s="26" t="str">
        <f>IFERROR(__xludf.DUMMYFUNCTION("""COMPUTED_VALUE"""),"_combined_night_recs_for_od_test_batch_0_split_by_size_of_294_for_test_od_tagged")</f>
        <v>_combined_night_recs_for_od_test_batch_0_split_by_size_of_294_for_test_od_tagged</v>
      </c>
      <c r="C262" s="26" t="str">
        <f>IFERROR(__xludf.DUMMYFUNCTION("""COMPUTED_VALUE"""),"test")</f>
        <v>test</v>
      </c>
      <c r="D262" s="26" t="str">
        <f>IFERROR(__xludf.DUMMYFUNCTION("""COMPUTED_VALUE"""),"test")</f>
        <v>test</v>
      </c>
      <c r="E262" s="26">
        <f>IFERROR(__xludf.DUMMYFUNCTION("""COMPUTED_VALUE"""),246.0)</f>
        <v>246</v>
      </c>
      <c r="F262" s="26" t="str">
        <f>IFERROR(__xludf.DUMMYFUNCTION("""COMPUTED_VALUE"""),"8MP_JPG")</f>
        <v>8MP_JPG</v>
      </c>
      <c r="G262" s="26" t="str">
        <f>IFERROR(__xludf.DUMMYFUNCTION("""COMPUTED_VALUE"""),"europe, germany, night, test")</f>
        <v>europe, germany, night, test</v>
      </c>
      <c r="H262" s="26">
        <f>IFERROR(__xludf.DUMMYFUNCTION("""COMPUTED_VALUE"""),-1.0)</f>
        <v>-1</v>
      </c>
      <c r="I262" s="26">
        <f>IFERROR(__xludf.DUMMYFUNCTION("""COMPUTED_VALUE"""),-1.0)</f>
        <v>-1</v>
      </c>
      <c r="J262" s="26">
        <f>IFERROR(__xludf.DUMMYFUNCTION("""COMPUTED_VALUE"""),-1.0)</f>
        <v>-1</v>
      </c>
      <c r="K262" s="29">
        <f>IFERROR(__xludf.DUMMYFUNCTION("""COMPUTED_VALUE"""),45180.60045138889)</f>
        <v>45180.60045</v>
      </c>
    </row>
    <row r="263">
      <c r="A263" s="18" t="str">
        <f>IFERROR(__xludf.DUMMYFUNCTION("""COMPUTED_VALUE"""),"654ccee954107825f77576b0")</f>
        <v>654ccee954107825f77576b0</v>
      </c>
      <c r="B263" s="15" t="str">
        <f>IFERROR(__xludf.DUMMYFUNCTION("""COMPUTED_VALUE"""),"_2023_07_29_23_32_38_bonlanden_vaihingen_rain_night_1_fps_for_test_batch_4_split_by_size_of_200_tagged")</f>
        <v>_2023_07_29_23_32_38_bonlanden_vaihingen_rain_night_1_fps_for_test_batch_4_split_by_size_of_200_tagged</v>
      </c>
      <c r="C263" s="15" t="str">
        <f>IFERROR(__xludf.DUMMYFUNCTION("""COMPUTED_VALUE"""),"test")</f>
        <v>test</v>
      </c>
      <c r="D263" s="15" t="str">
        <f>IFERROR(__xludf.DUMMYFUNCTION("""COMPUTED_VALUE"""),"test")</f>
        <v>test</v>
      </c>
      <c r="E263" s="15">
        <f>IFERROR(__xludf.DUMMYFUNCTION("""COMPUTED_VALUE"""),5.0)</f>
        <v>5</v>
      </c>
      <c r="F263" s="15" t="str">
        <f>IFERROR(__xludf.DUMMYFUNCTION("""COMPUTED_VALUE"""),"8MP_JPG")</f>
        <v>8MP_JPG</v>
      </c>
      <c r="G263" s="15" t="str">
        <f>IFERROR(__xludf.DUMMYFUNCTION("""COMPUTED_VALUE"""),"2023_07_29_23_32_38_bonlanden_vaihingen_rain_night, highway, munich, night, rain, test")</f>
        <v>2023_07_29_23_32_38_bonlanden_vaihingen_rain_night, highway, munich, night, rain, test</v>
      </c>
      <c r="H263" s="15">
        <f>IFERROR(__xludf.DUMMYFUNCTION("""COMPUTED_VALUE"""),-1.0)</f>
        <v>-1</v>
      </c>
      <c r="I263" s="15">
        <f>IFERROR(__xludf.DUMMYFUNCTION("""COMPUTED_VALUE"""),-1.0)</f>
        <v>-1</v>
      </c>
      <c r="J263" s="15">
        <f>IFERROR(__xludf.DUMMYFUNCTION("""COMPUTED_VALUE"""),-1.0)</f>
        <v>-1</v>
      </c>
      <c r="K263" s="28">
        <f>IFERROR(__xludf.DUMMYFUNCTION("""COMPUTED_VALUE"""),45180.64356481482)</f>
        <v>45180.64356</v>
      </c>
    </row>
    <row r="264">
      <c r="A264" s="18" t="str">
        <f>IFERROR(__xludf.DUMMYFUNCTION("""COMPUTED_VALUE"""),"654cceef54107825f7757886")</f>
        <v>654cceef54107825f7757886</v>
      </c>
      <c r="B264" s="15" t="str">
        <f>IFERROR(__xludf.DUMMYFUNCTION("""COMPUTED_VALUE"""),"_2023_07_29_23_32_38_bonlanden_vaihingen_rain_night_1_fps_for_test_batch_3_split_by_size_of_200_tagged")</f>
        <v>_2023_07_29_23_32_38_bonlanden_vaihingen_rain_night_1_fps_for_test_batch_3_split_by_size_of_200_tagged</v>
      </c>
      <c r="C264" s="15" t="str">
        <f>IFERROR(__xludf.DUMMYFUNCTION("""COMPUTED_VALUE"""),"test")</f>
        <v>test</v>
      </c>
      <c r="D264" s="15" t="str">
        <f>IFERROR(__xludf.DUMMYFUNCTION("""COMPUTED_VALUE"""),"test")</f>
        <v>test</v>
      </c>
      <c r="E264" s="15">
        <f>IFERROR(__xludf.DUMMYFUNCTION("""COMPUTED_VALUE"""),200.0)</f>
        <v>200</v>
      </c>
      <c r="F264" s="15" t="str">
        <f>IFERROR(__xludf.DUMMYFUNCTION("""COMPUTED_VALUE"""),"8MP_JPG")</f>
        <v>8MP_JPG</v>
      </c>
      <c r="G264" s="15" t="str">
        <f>IFERROR(__xludf.DUMMYFUNCTION("""COMPUTED_VALUE"""),"2023_07_29_23_32_38_bonlanden_vaihingen_rain_night, highway, munich, night, rain, test")</f>
        <v>2023_07_29_23_32_38_bonlanden_vaihingen_rain_night, highway, munich, night, rain, test</v>
      </c>
      <c r="H264" s="15">
        <f>IFERROR(__xludf.DUMMYFUNCTION("""COMPUTED_VALUE"""),-1.0)</f>
        <v>-1</v>
      </c>
      <c r="I264" s="15">
        <f>IFERROR(__xludf.DUMMYFUNCTION("""COMPUTED_VALUE"""),-1.0)</f>
        <v>-1</v>
      </c>
      <c r="J264" s="15">
        <f>IFERROR(__xludf.DUMMYFUNCTION("""COMPUTED_VALUE"""),-1.0)</f>
        <v>-1</v>
      </c>
      <c r="K264" s="28">
        <f>IFERROR(__xludf.DUMMYFUNCTION("""COMPUTED_VALUE"""),45180.643738425926)</f>
        <v>45180.64374</v>
      </c>
    </row>
    <row r="265">
      <c r="A265" s="18" t="str">
        <f>IFERROR(__xludf.DUMMYFUNCTION("""COMPUTED_VALUE"""),"654cde6054107825f7768ab2")</f>
        <v>654cde6054107825f7768ab2</v>
      </c>
      <c r="B265" s="15" t="str">
        <f>IFERROR(__xludf.DUMMYFUNCTION("""COMPUTED_VALUE"""),"_2023_07_29_23_32_38_bonlanden_vaihingen_rain_night_1_fps_for_test_batch_1_split_by_size_of_200_tagged")</f>
        <v>_2023_07_29_23_32_38_bonlanden_vaihingen_rain_night_1_fps_for_test_batch_1_split_by_size_of_200_tagged</v>
      </c>
      <c r="C265" s="15" t="str">
        <f>IFERROR(__xludf.DUMMYFUNCTION("""COMPUTED_VALUE"""),"test")</f>
        <v>test</v>
      </c>
      <c r="D265" s="15" t="str">
        <f>IFERROR(__xludf.DUMMYFUNCTION("""COMPUTED_VALUE"""),"test")</f>
        <v>test</v>
      </c>
      <c r="E265" s="15">
        <f>IFERROR(__xludf.DUMMYFUNCTION("""COMPUTED_VALUE"""),200.0)</f>
        <v>200</v>
      </c>
      <c r="F265" s="15" t="str">
        <f>IFERROR(__xludf.DUMMYFUNCTION("""COMPUTED_VALUE"""),"8MP_JPG")</f>
        <v>8MP_JPG</v>
      </c>
      <c r="G265" s="15" t="str">
        <f>IFERROR(__xludf.DUMMYFUNCTION("""COMPUTED_VALUE"""),"2023_07_29_23_32_38_bonlanden_vaihingen_rain_night, highway, munich, night, rain, test")</f>
        <v>2023_07_29_23_32_38_bonlanden_vaihingen_rain_night, highway, munich, night, rain, test</v>
      </c>
      <c r="H265" s="15">
        <f>IFERROR(__xludf.DUMMYFUNCTION("""COMPUTED_VALUE"""),-1.0)</f>
        <v>-1</v>
      </c>
      <c r="I265" s="15">
        <f>IFERROR(__xludf.DUMMYFUNCTION("""COMPUTED_VALUE"""),-1.0)</f>
        <v>-1</v>
      </c>
      <c r="J265" s="15">
        <f>IFERROR(__xludf.DUMMYFUNCTION("""COMPUTED_VALUE"""),-1.0)</f>
        <v>-1</v>
      </c>
      <c r="K265" s="28">
        <f>IFERROR(__xludf.DUMMYFUNCTION("""COMPUTED_VALUE"""),45180.644467592596)</f>
        <v>45180.64447</v>
      </c>
    </row>
    <row r="266">
      <c r="A266" s="18" t="str">
        <f>IFERROR(__xludf.DUMMYFUNCTION("""COMPUTED_VALUE"""),"63b6ab412426700446d1ffc8")</f>
        <v>63b6ab412426700446d1ffc8</v>
      </c>
      <c r="B266" s="15" t="str">
        <f>IFERROR(__xludf.DUMMYFUNCTION("""COMPUTED_VALUE"""),"official_batch_1_fp_from_conti_for_train_updated")</f>
        <v>official_batch_1_fp_from_conti_for_train_updated</v>
      </c>
      <c r="C266" s="15" t="str">
        <f>IFERROR(__xludf.DUMMYFUNCTION("""COMPUTED_VALUE"""),"train")</f>
        <v>train</v>
      </c>
      <c r="D266" s="15" t="str">
        <f>IFERROR(__xludf.DUMMYFUNCTION("""COMPUTED_VALUE"""),"train")</f>
        <v>train</v>
      </c>
      <c r="E266" s="15">
        <f>IFERROR(__xludf.DUMMYFUNCTION("""COMPUTED_VALUE"""),1772.0)</f>
        <v>1772</v>
      </c>
      <c r="F266" s="15" t="str">
        <f>IFERROR(__xludf.DUMMYFUNCTION("""COMPUTED_VALUE"""),"QUAD")</f>
        <v>QUAD</v>
      </c>
      <c r="G266" s="15" t="str">
        <f>IFERROR(__xludf.DUMMYFUNCTION("""COMPUTED_VALUE"""),"2w, day, cloudy")</f>
        <v>2w, day, cloudy</v>
      </c>
      <c r="H266" s="15">
        <f>IFERROR(__xludf.DUMMYFUNCTION("""COMPUTED_VALUE"""),-1.0)</f>
        <v>-1</v>
      </c>
      <c r="I266" s="15">
        <f>IFERROR(__xludf.DUMMYFUNCTION("""COMPUTED_VALUE"""),-1.0)</f>
        <v>-1</v>
      </c>
      <c r="J266" s="15">
        <f>IFERROR(__xludf.DUMMYFUNCTION("""COMPUTED_VALUE"""),-1.0)</f>
        <v>-1</v>
      </c>
      <c r="K266" s="16" t="str">
        <f>IFERROR(__xludf.DUMMYFUNCTION("""COMPUTED_VALUE"""),"27/11/2023, 10:25:43")</f>
        <v>27/11/2023, 10:25:43</v>
      </c>
    </row>
    <row r="267">
      <c r="A267" s="18" t="str">
        <f>IFERROR(__xludf.DUMMYFUNCTION("""COMPUTED_VALUE"""),"6564534e54107825f77c5c67")</f>
        <v>6564534e54107825f77c5c67</v>
      </c>
      <c r="B267" s="15" t="str">
        <f>IFERROR(__xludf.DUMMYFUNCTION("""COMPUTED_VALUE"""),"official_od_on_sr_data_01_peds_2w_filtered_for_train_updated")</f>
        <v>official_od_on_sr_data_01_peds_2w_filtered_for_train_updated</v>
      </c>
      <c r="C267" s="15" t="str">
        <f>IFERROR(__xludf.DUMMYFUNCTION("""COMPUTED_VALUE"""),"train")</f>
        <v>train</v>
      </c>
      <c r="D267" s="15" t="str">
        <f>IFERROR(__xludf.DUMMYFUNCTION("""COMPUTED_VALUE"""),"train")</f>
        <v>train</v>
      </c>
      <c r="E267" s="15">
        <f>IFERROR(__xludf.DUMMYFUNCTION("""COMPUTED_VALUE"""),829.0)</f>
        <v>829</v>
      </c>
      <c r="F267" s="15" t="str">
        <f>IFERROR(__xludf.DUMMYFUNCTION("""COMPUTED_VALUE"""),"QUAD")</f>
        <v>QUAD</v>
      </c>
      <c r="G267" s="15" t="str">
        <f>IFERROR(__xludf.DUMMYFUNCTION("""COMPUTED_VALUE"""),"2w, day, cloudy")</f>
        <v>2w, day, cloudy</v>
      </c>
      <c r="H267" s="15">
        <f>IFERROR(__xludf.DUMMYFUNCTION("""COMPUTED_VALUE"""),-1.0)</f>
        <v>-1</v>
      </c>
      <c r="I267" s="15">
        <f>IFERROR(__xludf.DUMMYFUNCTION("""COMPUTED_VALUE"""),-1.0)</f>
        <v>-1</v>
      </c>
      <c r="J267" s="15">
        <f>IFERROR(__xludf.DUMMYFUNCTION("""COMPUTED_VALUE"""),-1.0)</f>
        <v>-1</v>
      </c>
      <c r="K267" s="16" t="str">
        <f>IFERROR(__xludf.DUMMYFUNCTION("""COMPUTED_VALUE"""),"27/11/2023, 10:29:07")</f>
        <v>27/11/2023, 10:29:07</v>
      </c>
    </row>
    <row r="268">
      <c r="A268" s="18" t="str">
        <f>IFERROR(__xludf.DUMMYFUNCTION("""COMPUTED_VALUE"""),"63b6cd502426700446d2d367")</f>
        <v>63b6cd502426700446d2d367</v>
      </c>
      <c r="B268" s="15" t="str">
        <f>IFERROR(__xludf.DUMMYFUNCTION("""COMPUTED_VALUE"""),"official_big_set_2w_rider_03_for_train_updated")</f>
        <v>official_big_set_2w_rider_03_for_train_updated</v>
      </c>
      <c r="C268" s="15" t="str">
        <f>IFERROR(__xludf.DUMMYFUNCTION("""COMPUTED_VALUE"""),"train")</f>
        <v>train</v>
      </c>
      <c r="D268" s="15" t="str">
        <f>IFERROR(__xludf.DUMMYFUNCTION("""COMPUTED_VALUE"""),"train")</f>
        <v>train</v>
      </c>
      <c r="E268" s="15">
        <f>IFERROR(__xludf.DUMMYFUNCTION("""COMPUTED_VALUE"""),719.0)</f>
        <v>719</v>
      </c>
      <c r="F268" s="15" t="str">
        <f>IFERROR(__xludf.DUMMYFUNCTION("""COMPUTED_VALUE"""),"QUAD")</f>
        <v>QUAD</v>
      </c>
      <c r="G268" s="15" t="str">
        <f>IFERROR(__xludf.DUMMYFUNCTION("""COMPUTED_VALUE"""),"2w, day, cloudy")</f>
        <v>2w, day, cloudy</v>
      </c>
      <c r="H268" s="15">
        <f>IFERROR(__xludf.DUMMYFUNCTION("""COMPUTED_VALUE"""),-1.0)</f>
        <v>-1</v>
      </c>
      <c r="I268" s="15">
        <f>IFERROR(__xludf.DUMMYFUNCTION("""COMPUTED_VALUE"""),-1.0)</f>
        <v>-1</v>
      </c>
      <c r="J268" s="15">
        <f>IFERROR(__xludf.DUMMYFUNCTION("""COMPUTED_VALUE"""),-1.0)</f>
        <v>-1</v>
      </c>
      <c r="K268" s="16" t="str">
        <f>IFERROR(__xludf.DUMMYFUNCTION("""COMPUTED_VALUE"""),"27/11/2023, 10:29:14")</f>
        <v>27/11/2023, 10:29:14</v>
      </c>
    </row>
    <row r="269">
      <c r="A269" s="18" t="str">
        <f>IFERROR(__xludf.DUMMYFUNCTION("""COMPUTED_VALUE"""),"63b6cd092426700446d2d30b")</f>
        <v>63b6cd092426700446d2d30b</v>
      </c>
      <c r="B269" s="15" t="str">
        <f>IFERROR(__xludf.DUMMYFUNCTION("""COMPUTED_VALUE"""),"official_big_set_2w_rider_02_for_train_updated")</f>
        <v>official_big_set_2w_rider_02_for_train_updated</v>
      </c>
      <c r="C269" s="15" t="str">
        <f>IFERROR(__xludf.DUMMYFUNCTION("""COMPUTED_VALUE"""),"train")</f>
        <v>train</v>
      </c>
      <c r="D269" s="15" t="str">
        <f>IFERROR(__xludf.DUMMYFUNCTION("""COMPUTED_VALUE"""),"train")</f>
        <v>train</v>
      </c>
      <c r="E269" s="15">
        <f>IFERROR(__xludf.DUMMYFUNCTION("""COMPUTED_VALUE"""),1208.0)</f>
        <v>1208</v>
      </c>
      <c r="F269" s="15" t="str">
        <f>IFERROR(__xludf.DUMMYFUNCTION("""COMPUTED_VALUE"""),"QUAD")</f>
        <v>QUAD</v>
      </c>
      <c r="G269" s="15" t="str">
        <f>IFERROR(__xludf.DUMMYFUNCTION("""COMPUTED_VALUE"""),"2w, day, cloudy")</f>
        <v>2w, day, cloudy</v>
      </c>
      <c r="H269" s="15">
        <f>IFERROR(__xludf.DUMMYFUNCTION("""COMPUTED_VALUE"""),-1.0)</f>
        <v>-1</v>
      </c>
      <c r="I269" s="15">
        <f>IFERROR(__xludf.DUMMYFUNCTION("""COMPUTED_VALUE"""),-1.0)</f>
        <v>-1</v>
      </c>
      <c r="J269" s="15">
        <f>IFERROR(__xludf.DUMMYFUNCTION("""COMPUTED_VALUE"""),-1.0)</f>
        <v>-1</v>
      </c>
      <c r="K269" s="16" t="str">
        <f>IFERROR(__xludf.DUMMYFUNCTION("""COMPUTED_VALUE"""),"27/11/2023, 10:29:19")</f>
        <v>27/11/2023, 10:29:19</v>
      </c>
    </row>
    <row r="270">
      <c r="A270" s="25" t="str">
        <f>IFERROR(__xludf.DUMMYFUNCTION("""COMPUTED_VALUE"""),"6565f3b3fa38f84eb4f861b5")</f>
        <v>6565f3b3fa38f84eb4f861b5</v>
      </c>
      <c r="B270" s="26" t="str">
        <f>IFERROR(__xludf.DUMMYFUNCTION("""COMPUTED_VALUE"""),"_collected_night_random_from_wolfsburg_demo_v2_batch_25_split_by_size_of_200_for_train_od_tagged")</f>
        <v>_collected_night_random_from_wolfsburg_demo_v2_batch_25_split_by_size_of_200_for_train_od_tagged</v>
      </c>
      <c r="C270" s="26" t="str">
        <f>IFERROR(__xludf.DUMMYFUNCTION("""COMPUTED_VALUE"""),"train")</f>
        <v>train</v>
      </c>
      <c r="D270" s="26" t="str">
        <f>IFERROR(__xludf.DUMMYFUNCTION("""COMPUTED_VALUE"""),"train")</f>
        <v>train</v>
      </c>
      <c r="E270" s="26">
        <f>IFERROR(__xludf.DUMMYFUNCTION("""COMPUTED_VALUE"""),191.0)</f>
        <v>191</v>
      </c>
      <c r="F270" s="26" t="str">
        <f>IFERROR(__xludf.DUMMYFUNCTION("""COMPUTED_VALUE"""),"8MP_JPG")</f>
        <v>8MP_JPG</v>
      </c>
      <c r="G270" s="26" t="str">
        <f>IFERROR(__xludf.DUMMYFUNCTION("""COMPUTED_VALUE"""),"demo, germany, night, random, v2, wolfsburg")</f>
        <v>demo, germany, night, random, v2, wolfsburg</v>
      </c>
      <c r="H270" s="26">
        <f>IFERROR(__xludf.DUMMYFUNCTION("""COMPUTED_VALUE"""),-1.0)</f>
        <v>-1</v>
      </c>
      <c r="I270" s="26">
        <f>IFERROR(__xludf.DUMMYFUNCTION("""COMPUTED_VALUE"""),-1.0)</f>
        <v>-1</v>
      </c>
      <c r="J270" s="26">
        <f>IFERROR(__xludf.DUMMYFUNCTION("""COMPUTED_VALUE"""),-1.0)</f>
        <v>-1</v>
      </c>
      <c r="K270" s="27" t="str">
        <f>IFERROR(__xludf.DUMMYFUNCTION("""COMPUTED_VALUE"""),"28/11/2023, 16:05:44")</f>
        <v>28/11/2023, 16:05:44</v>
      </c>
    </row>
    <row r="271">
      <c r="A271" s="18" t="str">
        <f>IFERROR(__xludf.DUMMYFUNCTION("""COMPUTED_VALUE"""),"6565f3d6fa38f84eb4f872c5")</f>
        <v>6565f3d6fa38f84eb4f872c5</v>
      </c>
      <c r="B271" s="15" t="str">
        <f>IFERROR(__xludf.DUMMYFUNCTION("""COMPUTED_VALUE"""),"_collected_night_random_from_wolfsburg_demo_v2_batch_2_split_by_size_of_200_for_train_od_tagged")</f>
        <v>_collected_night_random_from_wolfsburg_demo_v2_batch_2_split_by_size_of_200_for_train_od_tagged</v>
      </c>
      <c r="C271" s="15" t="str">
        <f>IFERROR(__xludf.DUMMYFUNCTION("""COMPUTED_VALUE"""),"train")</f>
        <v>train</v>
      </c>
      <c r="D271" s="15" t="str">
        <f>IFERROR(__xludf.DUMMYFUNCTION("""COMPUTED_VALUE"""),"train")</f>
        <v>train</v>
      </c>
      <c r="E271" s="15">
        <f>IFERROR(__xludf.DUMMYFUNCTION("""COMPUTED_VALUE"""),147.0)</f>
        <v>147</v>
      </c>
      <c r="F271" s="15" t="str">
        <f>IFERROR(__xludf.DUMMYFUNCTION("""COMPUTED_VALUE"""),"8MP_JPG")</f>
        <v>8MP_JPG</v>
      </c>
      <c r="G271" s="15" t="str">
        <f>IFERROR(__xludf.DUMMYFUNCTION("""COMPUTED_VALUE"""),"demo, germany, night, random, v2, wolfsburg")</f>
        <v>demo, germany, night, random, v2, wolfsburg</v>
      </c>
      <c r="H271" s="15">
        <f>IFERROR(__xludf.DUMMYFUNCTION("""COMPUTED_VALUE"""),-1.0)</f>
        <v>-1</v>
      </c>
      <c r="I271" s="15">
        <f>IFERROR(__xludf.DUMMYFUNCTION("""COMPUTED_VALUE"""),-1.0)</f>
        <v>-1</v>
      </c>
      <c r="J271" s="15">
        <f>IFERROR(__xludf.DUMMYFUNCTION("""COMPUTED_VALUE"""),-1.0)</f>
        <v>-1</v>
      </c>
      <c r="K271" s="16" t="str">
        <f>IFERROR(__xludf.DUMMYFUNCTION("""COMPUTED_VALUE"""),"28/11/2023, 16:06:18")</f>
        <v>28/11/2023, 16:06:18</v>
      </c>
    </row>
    <row r="272">
      <c r="A272" s="18" t="str">
        <f>IFERROR(__xludf.DUMMYFUNCTION("""COMPUTED_VALUE"""),"6565f45bfa38f84eb4f87b89")</f>
        <v>6565f45bfa38f84eb4f87b89</v>
      </c>
      <c r="B272" s="15" t="str">
        <f>IFERROR(__xludf.DUMMYFUNCTION("""COMPUTED_VALUE"""),"_hideous_visalia_for_train_od_skip_30_tagged")</f>
        <v>_hideous_visalia_for_train_od_skip_30_tagged</v>
      </c>
      <c r="C272" s="15" t="str">
        <f>IFERROR(__xludf.DUMMYFUNCTION("""COMPUTED_VALUE"""),"train")</f>
        <v>train</v>
      </c>
      <c r="D272" s="15" t="str">
        <f>IFERROR(__xludf.DUMMYFUNCTION("""COMPUTED_VALUE"""),"train")</f>
        <v>train</v>
      </c>
      <c r="E272" s="15">
        <f>IFERROR(__xludf.DUMMYFUNCTION("""COMPUTED_VALUE"""),60.0)</f>
        <v>60</v>
      </c>
      <c r="F272" s="15" t="str">
        <f>IFERROR(__xludf.DUMMYFUNCTION("""COMPUTED_VALUE"""),"8MP_JPG")</f>
        <v>8MP_JPG</v>
      </c>
      <c r="G272" s="15" t="str">
        <f>IFERROR(__xludf.DUMMYFUNCTION("""COMPUTED_VALUE"""),"/PRE_DAG_UPLOUDS/IL_AB/2023_08_23/2023_08_23_22_39_06/2023_08_23_22_39_06, day, highway, israel, night, urban")</f>
        <v>/PRE_DAG_UPLOUDS/IL_AB/2023_08_23/2023_08_23_22_39_06/2023_08_23_22_39_06, day, highway, israel, night, urban</v>
      </c>
      <c r="H272" s="15">
        <f>IFERROR(__xludf.DUMMYFUNCTION("""COMPUTED_VALUE"""),-1.0)</f>
        <v>-1</v>
      </c>
      <c r="I272" s="15">
        <f>IFERROR(__xludf.DUMMYFUNCTION("""COMPUTED_VALUE"""),-1.0)</f>
        <v>-1</v>
      </c>
      <c r="J272" s="15">
        <f>IFERROR(__xludf.DUMMYFUNCTION("""COMPUTED_VALUE"""),-1.0)</f>
        <v>-1</v>
      </c>
      <c r="K272" s="16" t="str">
        <f>IFERROR(__xludf.DUMMYFUNCTION("""COMPUTED_VALUE"""),"28/11/2023, 16:08:30")</f>
        <v>28/11/2023, 16:08:30</v>
      </c>
    </row>
    <row r="273">
      <c r="A273" s="18" t="str">
        <f>IFERROR(__xludf.DUMMYFUNCTION("""COMPUTED_VALUE"""),"656846edfa38f84eb4fe0070")</f>
        <v>656846edfa38f84eb4fe0070</v>
      </c>
      <c r="B273" s="15" t="str">
        <f>IFERROR(__xludf.DUMMYFUNCTION("""COMPUTED_VALUE"""),"_combined_test_set_from_europe_and_israel_highway_and_urban_batch__19_tagged")</f>
        <v>_combined_test_set_from_europe_and_israel_highway_and_urban_batch__19_tagged</v>
      </c>
      <c r="C273" s="15" t="str">
        <f>IFERROR(__xludf.DUMMYFUNCTION("""COMPUTED_VALUE"""),"test")</f>
        <v>test</v>
      </c>
      <c r="D273" s="15" t="str">
        <f>IFERROR(__xludf.DUMMYFUNCTION("""COMPUTED_VALUE"""),"test")</f>
        <v>test</v>
      </c>
      <c r="E273" s="15">
        <f>IFERROR(__xludf.DUMMYFUNCTION("""COMPUTED_VALUE"""),537.0)</f>
        <v>537</v>
      </c>
      <c r="F273" s="15" t="str">
        <f>IFERROR(__xludf.DUMMYFUNCTION("""COMPUTED_VALUE"""),"8MP_JPG")</f>
        <v>8MP_JPG</v>
      </c>
      <c r="G273" s="15" t="str">
        <f>IFERROR(__xludf.DUMMYFUNCTION("""COMPUTED_VALUE"""),"mix, sequential")</f>
        <v>mix, sequential</v>
      </c>
      <c r="H273" s="15">
        <f>IFERROR(__xludf.DUMMYFUNCTION("""COMPUTED_VALUE"""),-1.0)</f>
        <v>-1</v>
      </c>
      <c r="I273" s="15">
        <f>IFERROR(__xludf.DUMMYFUNCTION("""COMPUTED_VALUE"""),-1.0)</f>
        <v>-1</v>
      </c>
      <c r="J273" s="15">
        <f>IFERROR(__xludf.DUMMYFUNCTION("""COMPUTED_VALUE"""),-1.0)</f>
        <v>-1</v>
      </c>
      <c r="K273" s="16" t="str">
        <f>IFERROR(__xludf.DUMMYFUNCTION("""COMPUTED_VALUE"""),"30/11/2023, 10:25:22")</f>
        <v>30/11/2023, 10:25:22</v>
      </c>
    </row>
    <row r="274">
      <c r="A274" s="18" t="str">
        <f>IFERROR(__xludf.DUMMYFUNCTION("""COMPUTED_VALUE"""),"65684710fa38f84eb4fe7734")</f>
        <v>65684710fa38f84eb4fe7734</v>
      </c>
      <c r="B274" s="15" t="str">
        <f>IFERROR(__xludf.DUMMYFUNCTION("""COMPUTED_VALUE"""),"_combined_test_set_from_europe_and_israel_highway_and_urban_batch__16_tagged")</f>
        <v>_combined_test_set_from_europe_and_israel_highway_and_urban_batch__16_tagged</v>
      </c>
      <c r="C274" s="15" t="str">
        <f>IFERROR(__xludf.DUMMYFUNCTION("""COMPUTED_VALUE"""),"test")</f>
        <v>test</v>
      </c>
      <c r="D274" s="15" t="str">
        <f>IFERROR(__xludf.DUMMYFUNCTION("""COMPUTED_VALUE"""),"test")</f>
        <v>test</v>
      </c>
      <c r="E274" s="15">
        <f>IFERROR(__xludf.DUMMYFUNCTION("""COMPUTED_VALUE"""),549.0)</f>
        <v>549</v>
      </c>
      <c r="F274" s="15" t="str">
        <f>IFERROR(__xludf.DUMMYFUNCTION("""COMPUTED_VALUE"""),"8MP_JPG")</f>
        <v>8MP_JPG</v>
      </c>
      <c r="G274" s="15" t="str">
        <f>IFERROR(__xludf.DUMMYFUNCTION("""COMPUTED_VALUE"""),"mix, sequential")</f>
        <v>mix, sequential</v>
      </c>
      <c r="H274" s="15">
        <f>IFERROR(__xludf.DUMMYFUNCTION("""COMPUTED_VALUE"""),-1.0)</f>
        <v>-1</v>
      </c>
      <c r="I274" s="15">
        <f>IFERROR(__xludf.DUMMYFUNCTION("""COMPUTED_VALUE"""),-1.0)</f>
        <v>-1</v>
      </c>
      <c r="J274" s="15">
        <f>IFERROR(__xludf.DUMMYFUNCTION("""COMPUTED_VALUE"""),-1.0)</f>
        <v>-1</v>
      </c>
      <c r="K274" s="16" t="str">
        <f>IFERROR(__xludf.DUMMYFUNCTION("""COMPUTED_VALUE"""),"30/11/2023, 10:25:56")</f>
        <v>30/11/2023, 10:25:56</v>
      </c>
    </row>
    <row r="275">
      <c r="A275" s="18" t="str">
        <f>IFERROR(__xludf.DUMMYFUNCTION("""COMPUTED_VALUE"""),"6568471afa38f84eb4fe9cae")</f>
        <v>6568471afa38f84eb4fe9cae</v>
      </c>
      <c r="B275" s="15" t="str">
        <f>IFERROR(__xludf.DUMMYFUNCTION("""COMPUTED_VALUE"""),"_combined_test_set_from_europe_and_israel_highway_and_urban_batch__15_tagged")</f>
        <v>_combined_test_set_from_europe_and_israel_highway_and_urban_batch__15_tagged</v>
      </c>
      <c r="C275" s="15" t="str">
        <f>IFERROR(__xludf.DUMMYFUNCTION("""COMPUTED_VALUE"""),"test")</f>
        <v>test</v>
      </c>
      <c r="D275" s="15" t="str">
        <f>IFERROR(__xludf.DUMMYFUNCTION("""COMPUTED_VALUE"""),"test")</f>
        <v>test</v>
      </c>
      <c r="E275" s="15">
        <f>IFERROR(__xludf.DUMMYFUNCTION("""COMPUTED_VALUE"""),494.0)</f>
        <v>494</v>
      </c>
      <c r="F275" s="15" t="str">
        <f>IFERROR(__xludf.DUMMYFUNCTION("""COMPUTED_VALUE"""),"8MP_JPG")</f>
        <v>8MP_JPG</v>
      </c>
      <c r="G275" s="15" t="str">
        <f>IFERROR(__xludf.DUMMYFUNCTION("""COMPUTED_VALUE"""),"mix, sequential")</f>
        <v>mix, sequential</v>
      </c>
      <c r="H275" s="15">
        <f>IFERROR(__xludf.DUMMYFUNCTION("""COMPUTED_VALUE"""),-1.0)</f>
        <v>-1</v>
      </c>
      <c r="I275" s="15">
        <f>IFERROR(__xludf.DUMMYFUNCTION("""COMPUTED_VALUE"""),-1.0)</f>
        <v>-1</v>
      </c>
      <c r="J275" s="15">
        <f>IFERROR(__xludf.DUMMYFUNCTION("""COMPUTED_VALUE"""),-1.0)</f>
        <v>-1</v>
      </c>
      <c r="K275" s="16" t="str">
        <f>IFERROR(__xludf.DUMMYFUNCTION("""COMPUTED_VALUE"""),"30/11/2023, 10:26:07")</f>
        <v>30/11/2023, 10:26:07</v>
      </c>
    </row>
    <row r="276">
      <c r="A276" s="18" t="str">
        <f>IFERROR(__xludf.DUMMYFUNCTION("""COMPUTED_VALUE"""),"65684726fa38f84eb4feb668")</f>
        <v>65684726fa38f84eb4feb668</v>
      </c>
      <c r="B276" s="15" t="str">
        <f>IFERROR(__xludf.DUMMYFUNCTION("""COMPUTED_VALUE"""),"_combined_test_set_from_europe_and_israel_highway_and_urban_batch__14_tagged")</f>
        <v>_combined_test_set_from_europe_and_israel_highway_and_urban_batch__14_tagged</v>
      </c>
      <c r="C276" s="15" t="str">
        <f>IFERROR(__xludf.DUMMYFUNCTION("""COMPUTED_VALUE"""),"test")</f>
        <v>test</v>
      </c>
      <c r="D276" s="15" t="str">
        <f>IFERROR(__xludf.DUMMYFUNCTION("""COMPUTED_VALUE"""),"test")</f>
        <v>test</v>
      </c>
      <c r="E276" s="15">
        <f>IFERROR(__xludf.DUMMYFUNCTION("""COMPUTED_VALUE"""),539.0)</f>
        <v>539</v>
      </c>
      <c r="F276" s="15" t="str">
        <f>IFERROR(__xludf.DUMMYFUNCTION("""COMPUTED_VALUE"""),"8MP_JPG")</f>
        <v>8MP_JPG</v>
      </c>
      <c r="G276" s="15" t="str">
        <f>IFERROR(__xludf.DUMMYFUNCTION("""COMPUTED_VALUE"""),"mix, sequential")</f>
        <v>mix, sequential</v>
      </c>
      <c r="H276" s="15">
        <f>IFERROR(__xludf.DUMMYFUNCTION("""COMPUTED_VALUE"""),-1.0)</f>
        <v>-1</v>
      </c>
      <c r="I276" s="15">
        <f>IFERROR(__xludf.DUMMYFUNCTION("""COMPUTED_VALUE"""),-1.0)</f>
        <v>-1</v>
      </c>
      <c r="J276" s="15">
        <f>IFERROR(__xludf.DUMMYFUNCTION("""COMPUTED_VALUE"""),-1.0)</f>
        <v>-1</v>
      </c>
      <c r="K276" s="16" t="str">
        <f>IFERROR(__xludf.DUMMYFUNCTION("""COMPUTED_VALUE"""),"30/11/2023, 10:26:18")</f>
        <v>30/11/2023, 10:26:18</v>
      </c>
    </row>
    <row r="277">
      <c r="A277" s="25" t="str">
        <f>IFERROR(__xludf.DUMMYFUNCTION("""COMPUTED_VALUE"""),"65684731fa38f84eb4fedd03")</f>
        <v>65684731fa38f84eb4fedd03</v>
      </c>
      <c r="B277" s="26" t="str">
        <f>IFERROR(__xludf.DUMMYFUNCTION("""COMPUTED_VALUE"""),"_combined_test_set_from_europe_and_israel_highway_and_urban_batch__13_tagged")</f>
        <v>_combined_test_set_from_europe_and_israel_highway_and_urban_batch__13_tagged</v>
      </c>
      <c r="C277" s="26" t="str">
        <f>IFERROR(__xludf.DUMMYFUNCTION("""COMPUTED_VALUE"""),"test")</f>
        <v>test</v>
      </c>
      <c r="D277" s="26" t="str">
        <f>IFERROR(__xludf.DUMMYFUNCTION("""COMPUTED_VALUE"""),"test")</f>
        <v>test</v>
      </c>
      <c r="E277" s="26">
        <f>IFERROR(__xludf.DUMMYFUNCTION("""COMPUTED_VALUE"""),550.0)</f>
        <v>550</v>
      </c>
      <c r="F277" s="26" t="str">
        <f>IFERROR(__xludf.DUMMYFUNCTION("""COMPUTED_VALUE"""),"8MP_JPG")</f>
        <v>8MP_JPG</v>
      </c>
      <c r="G277" s="26" t="str">
        <f>IFERROR(__xludf.DUMMYFUNCTION("""COMPUTED_VALUE"""),"mix, sequential")</f>
        <v>mix, sequential</v>
      </c>
      <c r="H277" s="26">
        <f>IFERROR(__xludf.DUMMYFUNCTION("""COMPUTED_VALUE"""),-1.0)</f>
        <v>-1</v>
      </c>
      <c r="I277" s="26">
        <f>IFERROR(__xludf.DUMMYFUNCTION("""COMPUTED_VALUE"""),-1.0)</f>
        <v>-1</v>
      </c>
      <c r="J277" s="26">
        <f>IFERROR(__xludf.DUMMYFUNCTION("""COMPUTED_VALUE"""),-1.0)</f>
        <v>-1</v>
      </c>
      <c r="K277" s="27" t="str">
        <f>IFERROR(__xludf.DUMMYFUNCTION("""COMPUTED_VALUE"""),"30/11/2023, 10:26:29")</f>
        <v>30/11/2023, 10:26:29</v>
      </c>
    </row>
    <row r="278">
      <c r="A278" s="18" t="str">
        <f>IFERROR(__xludf.DUMMYFUNCTION("""COMPUTED_VALUE"""),"6568473cfa38f84eb4feff56")</f>
        <v>6568473cfa38f84eb4feff56</v>
      </c>
      <c r="B278" s="15" t="str">
        <f>IFERROR(__xludf.DUMMYFUNCTION("""COMPUTED_VALUE"""),"_combined_test_set_from_europe_and_israel_highway_and_urban_batch__12_tagged")</f>
        <v>_combined_test_set_from_europe_and_israel_highway_and_urban_batch__12_tagged</v>
      </c>
      <c r="C278" s="15" t="str">
        <f>IFERROR(__xludf.DUMMYFUNCTION("""COMPUTED_VALUE"""),"test")</f>
        <v>test</v>
      </c>
      <c r="D278" s="15" t="str">
        <f>IFERROR(__xludf.DUMMYFUNCTION("""COMPUTED_VALUE"""),"test")</f>
        <v>test</v>
      </c>
      <c r="E278" s="15">
        <f>IFERROR(__xludf.DUMMYFUNCTION("""COMPUTED_VALUE"""),544.0)</f>
        <v>544</v>
      </c>
      <c r="F278" s="15" t="str">
        <f>IFERROR(__xludf.DUMMYFUNCTION("""COMPUTED_VALUE"""),"8MP_JPG")</f>
        <v>8MP_JPG</v>
      </c>
      <c r="G278" s="15" t="str">
        <f>IFERROR(__xludf.DUMMYFUNCTION("""COMPUTED_VALUE"""),"mix, sequential")</f>
        <v>mix, sequential</v>
      </c>
      <c r="H278" s="15">
        <f>IFERROR(__xludf.DUMMYFUNCTION("""COMPUTED_VALUE"""),-1.0)</f>
        <v>-1</v>
      </c>
      <c r="I278" s="15">
        <f>IFERROR(__xludf.DUMMYFUNCTION("""COMPUTED_VALUE"""),-1.0)</f>
        <v>-1</v>
      </c>
      <c r="J278" s="15">
        <f>IFERROR(__xludf.DUMMYFUNCTION("""COMPUTED_VALUE"""),-1.0)</f>
        <v>-1</v>
      </c>
      <c r="K278" s="16" t="str">
        <f>IFERROR(__xludf.DUMMYFUNCTION("""COMPUTED_VALUE"""),"30/11/2023, 10:26:40")</f>
        <v>30/11/2023, 10:26:40</v>
      </c>
    </row>
    <row r="279">
      <c r="A279" s="18" t="str">
        <f>IFERROR(__xludf.DUMMYFUNCTION("""COMPUTED_VALUE"""),"65684745fa38f84eb4ff1324")</f>
        <v>65684745fa38f84eb4ff1324</v>
      </c>
      <c r="B279" s="15" t="str">
        <f>IFERROR(__xludf.DUMMYFUNCTION("""COMPUTED_VALUE"""),"_combined_test_set_from_europe_and_israel_highway_and_urban_batch__11_tagged")</f>
        <v>_combined_test_set_from_europe_and_israel_highway_and_urban_batch__11_tagged</v>
      </c>
      <c r="C279" s="15" t="str">
        <f>IFERROR(__xludf.DUMMYFUNCTION("""COMPUTED_VALUE"""),"test")</f>
        <v>test</v>
      </c>
      <c r="D279" s="15" t="str">
        <f>IFERROR(__xludf.DUMMYFUNCTION("""COMPUTED_VALUE"""),"test")</f>
        <v>test</v>
      </c>
      <c r="E279" s="15">
        <f>IFERROR(__xludf.DUMMYFUNCTION("""COMPUTED_VALUE"""),404.0)</f>
        <v>404</v>
      </c>
      <c r="F279" s="15" t="str">
        <f>IFERROR(__xludf.DUMMYFUNCTION("""COMPUTED_VALUE"""),"8MP_JPG")</f>
        <v>8MP_JPG</v>
      </c>
      <c r="G279" s="15" t="str">
        <f>IFERROR(__xludf.DUMMYFUNCTION("""COMPUTED_VALUE"""),"mix, sequential")</f>
        <v>mix, sequential</v>
      </c>
      <c r="H279" s="15">
        <f>IFERROR(__xludf.DUMMYFUNCTION("""COMPUTED_VALUE"""),-1.0)</f>
        <v>-1</v>
      </c>
      <c r="I279" s="15">
        <f>IFERROR(__xludf.DUMMYFUNCTION("""COMPUTED_VALUE"""),-1.0)</f>
        <v>-1</v>
      </c>
      <c r="J279" s="15">
        <f>IFERROR(__xludf.DUMMYFUNCTION("""COMPUTED_VALUE"""),-1.0)</f>
        <v>-1</v>
      </c>
      <c r="K279" s="16" t="str">
        <f>IFERROR(__xludf.DUMMYFUNCTION("""COMPUTED_VALUE"""),"30/11/2023, 10:26:49")</f>
        <v>30/11/2023, 10:26:49</v>
      </c>
    </row>
    <row r="280">
      <c r="A280" s="18" t="str">
        <f>IFERROR(__xludf.DUMMYFUNCTION("""COMPUTED_VALUE"""),"6568474ffa38f84eb4ff297c")</f>
        <v>6568474ffa38f84eb4ff297c</v>
      </c>
      <c r="B280" s="15" t="str">
        <f>IFERROR(__xludf.DUMMYFUNCTION("""COMPUTED_VALUE"""),"_combined_test_set_from_europe_and_israel_highway_and_urban_batch__10_tagged")</f>
        <v>_combined_test_set_from_europe_and_israel_highway_and_urban_batch__10_tagged</v>
      </c>
      <c r="C280" s="15" t="str">
        <f>IFERROR(__xludf.DUMMYFUNCTION("""COMPUTED_VALUE"""),"test")</f>
        <v>test</v>
      </c>
      <c r="D280" s="15" t="str">
        <f>IFERROR(__xludf.DUMMYFUNCTION("""COMPUTED_VALUE"""),"test")</f>
        <v>test</v>
      </c>
      <c r="E280" s="15">
        <f>IFERROR(__xludf.DUMMYFUNCTION("""COMPUTED_VALUE"""),541.0)</f>
        <v>541</v>
      </c>
      <c r="F280" s="15" t="str">
        <f>IFERROR(__xludf.DUMMYFUNCTION("""COMPUTED_VALUE"""),"8MP_JPG")</f>
        <v>8MP_JPG</v>
      </c>
      <c r="G280" s="15" t="str">
        <f>IFERROR(__xludf.DUMMYFUNCTION("""COMPUTED_VALUE"""),"mix, sequential")</f>
        <v>mix, sequential</v>
      </c>
      <c r="H280" s="15">
        <f>IFERROR(__xludf.DUMMYFUNCTION("""COMPUTED_VALUE"""),-1.0)</f>
        <v>-1</v>
      </c>
      <c r="I280" s="15">
        <f>IFERROR(__xludf.DUMMYFUNCTION("""COMPUTED_VALUE"""),-1.0)</f>
        <v>-1</v>
      </c>
      <c r="J280" s="15">
        <f>IFERROR(__xludf.DUMMYFUNCTION("""COMPUTED_VALUE"""),-1.0)</f>
        <v>-1</v>
      </c>
      <c r="K280" s="16" t="str">
        <f>IFERROR(__xludf.DUMMYFUNCTION("""COMPUTED_VALUE"""),"30/11/2023, 10:27:00")</f>
        <v>30/11/2023, 10:27:00</v>
      </c>
    </row>
    <row r="281">
      <c r="A281" s="18" t="str">
        <f>IFERROR(__xludf.DUMMYFUNCTION("""COMPUTED_VALUE"""),"6568475afa38f84eb4ff46da")</f>
        <v>6568475afa38f84eb4ff46da</v>
      </c>
      <c r="B281" s="15" t="str">
        <f>IFERROR(__xludf.DUMMYFUNCTION("""COMPUTED_VALUE"""),"_combined_test_set_from_europe_and_israel_highway_and_urban_batch__9_tagged")</f>
        <v>_combined_test_set_from_europe_and_israel_highway_and_urban_batch__9_tagged</v>
      </c>
      <c r="C281" s="15" t="str">
        <f>IFERROR(__xludf.DUMMYFUNCTION("""COMPUTED_VALUE"""),"test")</f>
        <v>test</v>
      </c>
      <c r="D281" s="15" t="str">
        <f>IFERROR(__xludf.DUMMYFUNCTION("""COMPUTED_VALUE"""),"test")</f>
        <v>test</v>
      </c>
      <c r="E281" s="15">
        <f>IFERROR(__xludf.DUMMYFUNCTION("""COMPUTED_VALUE"""),550.0)</f>
        <v>550</v>
      </c>
      <c r="F281" s="15" t="str">
        <f>IFERROR(__xludf.DUMMYFUNCTION("""COMPUTED_VALUE"""),"8MP_JPG")</f>
        <v>8MP_JPG</v>
      </c>
      <c r="G281" s="15" t="str">
        <f>IFERROR(__xludf.DUMMYFUNCTION("""COMPUTED_VALUE"""),"mix, sequential")</f>
        <v>mix, sequential</v>
      </c>
      <c r="H281" s="15">
        <f>IFERROR(__xludf.DUMMYFUNCTION("""COMPUTED_VALUE"""),-1.0)</f>
        <v>-1</v>
      </c>
      <c r="I281" s="15">
        <f>IFERROR(__xludf.DUMMYFUNCTION("""COMPUTED_VALUE"""),-1.0)</f>
        <v>-1</v>
      </c>
      <c r="J281" s="15">
        <f>IFERROR(__xludf.DUMMYFUNCTION("""COMPUTED_VALUE"""),-1.0)</f>
        <v>-1</v>
      </c>
      <c r="K281" s="16" t="str">
        <f>IFERROR(__xludf.DUMMYFUNCTION("""COMPUTED_VALUE"""),"30/11/2023, 10:27:10")</f>
        <v>30/11/2023, 10:27:10</v>
      </c>
    </row>
    <row r="282">
      <c r="A282" s="18" t="str">
        <f>IFERROR(__xludf.DUMMYFUNCTION("""COMPUTED_VALUE"""),"65684764fa38f84eb4ff65d2")</f>
        <v>65684764fa38f84eb4ff65d2</v>
      </c>
      <c r="B282" s="15" t="str">
        <f>IFERROR(__xludf.DUMMYFUNCTION("""COMPUTED_VALUE"""),"_combined_test_set_from_europe_and_israel_highway_and_urban_batch__8_tagged")</f>
        <v>_combined_test_set_from_europe_and_israel_highway_and_urban_batch__8_tagged</v>
      </c>
      <c r="C282" s="15" t="str">
        <f>IFERROR(__xludf.DUMMYFUNCTION("""COMPUTED_VALUE"""),"test")</f>
        <v>test</v>
      </c>
      <c r="D282" s="15" t="str">
        <f>IFERROR(__xludf.DUMMYFUNCTION("""COMPUTED_VALUE"""),"test")</f>
        <v>test</v>
      </c>
      <c r="E282" s="15">
        <f>IFERROR(__xludf.DUMMYFUNCTION("""COMPUTED_VALUE"""),550.0)</f>
        <v>550</v>
      </c>
      <c r="F282" s="15" t="str">
        <f>IFERROR(__xludf.DUMMYFUNCTION("""COMPUTED_VALUE"""),"8MP_JPG")</f>
        <v>8MP_JPG</v>
      </c>
      <c r="G282" s="15" t="str">
        <f>IFERROR(__xludf.DUMMYFUNCTION("""COMPUTED_VALUE"""),"mix, sequential")</f>
        <v>mix, sequential</v>
      </c>
      <c r="H282" s="15">
        <f>IFERROR(__xludf.DUMMYFUNCTION("""COMPUTED_VALUE"""),-1.0)</f>
        <v>-1</v>
      </c>
      <c r="I282" s="15">
        <f>IFERROR(__xludf.DUMMYFUNCTION("""COMPUTED_VALUE"""),-1.0)</f>
        <v>-1</v>
      </c>
      <c r="J282" s="15">
        <f>IFERROR(__xludf.DUMMYFUNCTION("""COMPUTED_VALUE"""),-1.0)</f>
        <v>-1</v>
      </c>
      <c r="K282" s="16" t="str">
        <f>IFERROR(__xludf.DUMMYFUNCTION("""COMPUTED_VALUE"""),"30/11/2023, 10:27:20")</f>
        <v>30/11/2023, 10:27:20</v>
      </c>
    </row>
    <row r="283">
      <c r="A283" s="18" t="str">
        <f>IFERROR(__xludf.DUMMYFUNCTION("""COMPUTED_VALUE"""),"6568476efa38f84eb4ff79ad")</f>
        <v>6568476efa38f84eb4ff79ad</v>
      </c>
      <c r="B283" s="15" t="str">
        <f>IFERROR(__xludf.DUMMYFUNCTION("""COMPUTED_VALUE"""),"_combined_test_set_from_europe_and_israel_highway_and_urban_batch__7_tagged")</f>
        <v>_combined_test_set_from_europe_and_israel_highway_and_urban_batch__7_tagged</v>
      </c>
      <c r="C283" s="15" t="str">
        <f>IFERROR(__xludf.DUMMYFUNCTION("""COMPUTED_VALUE"""),"test")</f>
        <v>test</v>
      </c>
      <c r="D283" s="15" t="str">
        <f>IFERROR(__xludf.DUMMYFUNCTION("""COMPUTED_VALUE"""),"test")</f>
        <v>test</v>
      </c>
      <c r="E283" s="15">
        <f>IFERROR(__xludf.DUMMYFUNCTION("""COMPUTED_VALUE"""),550.0)</f>
        <v>550</v>
      </c>
      <c r="F283" s="15" t="str">
        <f>IFERROR(__xludf.DUMMYFUNCTION("""COMPUTED_VALUE"""),"8MP_JPG")</f>
        <v>8MP_JPG</v>
      </c>
      <c r="G283" s="15" t="str">
        <f>IFERROR(__xludf.DUMMYFUNCTION("""COMPUTED_VALUE"""),"mix, sequential")</f>
        <v>mix, sequential</v>
      </c>
      <c r="H283" s="15">
        <f>IFERROR(__xludf.DUMMYFUNCTION("""COMPUTED_VALUE"""),-1.0)</f>
        <v>-1</v>
      </c>
      <c r="I283" s="15">
        <f>IFERROR(__xludf.DUMMYFUNCTION("""COMPUTED_VALUE"""),-1.0)</f>
        <v>-1</v>
      </c>
      <c r="J283" s="15">
        <f>IFERROR(__xludf.DUMMYFUNCTION("""COMPUTED_VALUE"""),-1.0)</f>
        <v>-1</v>
      </c>
      <c r="K283" s="16" t="str">
        <f>IFERROR(__xludf.DUMMYFUNCTION("""COMPUTED_VALUE"""),"30/11/2023, 10:27:30")</f>
        <v>30/11/2023, 10:27:30</v>
      </c>
    </row>
    <row r="284">
      <c r="A284" s="18" t="str">
        <f>IFERROR(__xludf.DUMMYFUNCTION("""COMPUTED_VALUE"""),"65684779fa38f84eb4ff999e")</f>
        <v>65684779fa38f84eb4ff999e</v>
      </c>
      <c r="B284" s="15" t="str">
        <f>IFERROR(__xludf.DUMMYFUNCTION("""COMPUTED_VALUE"""),"_combined_test_set_from_europe_and_israel_highway_and_urban_batch__6_tagged")</f>
        <v>_combined_test_set_from_europe_and_israel_highway_and_urban_batch__6_tagged</v>
      </c>
      <c r="C284" s="15" t="str">
        <f>IFERROR(__xludf.DUMMYFUNCTION("""COMPUTED_VALUE"""),"test")</f>
        <v>test</v>
      </c>
      <c r="D284" s="15" t="str">
        <f>IFERROR(__xludf.DUMMYFUNCTION("""COMPUTED_VALUE"""),"test")</f>
        <v>test</v>
      </c>
      <c r="E284" s="15">
        <f>IFERROR(__xludf.DUMMYFUNCTION("""COMPUTED_VALUE"""),550.0)</f>
        <v>550</v>
      </c>
      <c r="F284" s="15" t="str">
        <f>IFERROR(__xludf.DUMMYFUNCTION("""COMPUTED_VALUE"""),"8MP_JPG")</f>
        <v>8MP_JPG</v>
      </c>
      <c r="G284" s="15" t="str">
        <f>IFERROR(__xludf.DUMMYFUNCTION("""COMPUTED_VALUE"""),"mix, sequential")</f>
        <v>mix, sequential</v>
      </c>
      <c r="H284" s="15">
        <f>IFERROR(__xludf.DUMMYFUNCTION("""COMPUTED_VALUE"""),-1.0)</f>
        <v>-1</v>
      </c>
      <c r="I284" s="15">
        <f>IFERROR(__xludf.DUMMYFUNCTION("""COMPUTED_VALUE"""),-1.0)</f>
        <v>-1</v>
      </c>
      <c r="J284" s="15">
        <f>IFERROR(__xludf.DUMMYFUNCTION("""COMPUTED_VALUE"""),-1.0)</f>
        <v>-1</v>
      </c>
      <c r="K284" s="16" t="str">
        <f>IFERROR(__xludf.DUMMYFUNCTION("""COMPUTED_VALUE"""),"30/11/2023, 10:27:41")</f>
        <v>30/11/2023, 10:27:41</v>
      </c>
    </row>
    <row r="285">
      <c r="A285" s="18" t="str">
        <f>IFERROR(__xludf.DUMMYFUNCTION("""COMPUTED_VALUE"""),"65684fc9fa38f84eb4ff9f47")</f>
        <v>65684fc9fa38f84eb4ff9f47</v>
      </c>
      <c r="B285" s="15" t="str">
        <f>IFERROR(__xludf.DUMMYFUNCTION("""COMPUTED_VALUE"""),"_night_highway_france_test_for_test_od_tagged")</f>
        <v>_night_highway_france_test_for_test_od_tagged</v>
      </c>
      <c r="C285" s="15" t="str">
        <f>IFERROR(__xludf.DUMMYFUNCTION("""COMPUTED_VALUE"""),"test")</f>
        <v>test</v>
      </c>
      <c r="D285" s="15" t="str">
        <f>IFERROR(__xludf.DUMMYFUNCTION("""COMPUTED_VALUE"""),"test")</f>
        <v>test</v>
      </c>
      <c r="E285" s="15">
        <f>IFERROR(__xludf.DUMMYFUNCTION("""COMPUTED_VALUE"""),238.0)</f>
        <v>238</v>
      </c>
      <c r="F285" s="15" t="str">
        <f>IFERROR(__xludf.DUMMYFUNCTION("""COMPUTED_VALUE"""),"8MP_JPG")</f>
        <v>8MP_JPG</v>
      </c>
      <c r="G285" s="15" t="str">
        <f>IFERROR(__xludf.DUMMYFUNCTION("""COMPUTED_VALUE"""),"france, highway, night, test")</f>
        <v>france, highway, night, test</v>
      </c>
      <c r="H285" s="15">
        <f>IFERROR(__xludf.DUMMYFUNCTION("""COMPUTED_VALUE"""),-1.0)</f>
        <v>-1</v>
      </c>
      <c r="I285" s="15">
        <f>IFERROR(__xludf.DUMMYFUNCTION("""COMPUTED_VALUE"""),-1.0)</f>
        <v>-1</v>
      </c>
      <c r="J285" s="15">
        <f>IFERROR(__xludf.DUMMYFUNCTION("""COMPUTED_VALUE"""),-1.0)</f>
        <v>-1</v>
      </c>
      <c r="K285" s="16" t="str">
        <f>IFERROR(__xludf.DUMMYFUNCTION("""COMPUTED_VALUE"""),"30/11/2023, 11:03:09")</f>
        <v>30/11/2023, 11:03:09</v>
      </c>
    </row>
    <row r="286">
      <c r="A286" s="18" t="str">
        <f>IFERROR(__xludf.DUMMYFUNCTION("""COMPUTED_VALUE"""),"65684fd1fa38f84eb4ffa193")</f>
        <v>65684fd1fa38f84eb4ffa193</v>
      </c>
      <c r="B286" s="15" t="str">
        <f>IFERROR(__xludf.DUMMYFUNCTION("""COMPUTED_VALUE"""),"_od_night_highway_germany_test_for_test_od_tagged")</f>
        <v>_od_night_highway_germany_test_for_test_od_tagged</v>
      </c>
      <c r="C286" s="15" t="str">
        <f>IFERROR(__xludf.DUMMYFUNCTION("""COMPUTED_VALUE"""),"test")</f>
        <v>test</v>
      </c>
      <c r="D286" s="15" t="str">
        <f>IFERROR(__xludf.DUMMYFUNCTION("""COMPUTED_VALUE"""),"test")</f>
        <v>test</v>
      </c>
      <c r="E286" s="15">
        <f>IFERROR(__xludf.DUMMYFUNCTION("""COMPUTED_VALUE"""),181.0)</f>
        <v>181</v>
      </c>
      <c r="F286" s="15" t="str">
        <f>IFERROR(__xludf.DUMMYFUNCTION("""COMPUTED_VALUE"""),"8MP_JPG")</f>
        <v>8MP_JPG</v>
      </c>
      <c r="G286" s="15" t="str">
        <f>IFERROR(__xludf.DUMMYFUNCTION("""COMPUTED_VALUE"""),"germany, highway, night, test")</f>
        <v>germany, highway, night, test</v>
      </c>
      <c r="H286" s="15">
        <f>IFERROR(__xludf.DUMMYFUNCTION("""COMPUTED_VALUE"""),-1.0)</f>
        <v>-1</v>
      </c>
      <c r="I286" s="15">
        <f>IFERROR(__xludf.DUMMYFUNCTION("""COMPUTED_VALUE"""),-1.0)</f>
        <v>-1</v>
      </c>
      <c r="J286" s="15">
        <f>IFERROR(__xludf.DUMMYFUNCTION("""COMPUTED_VALUE"""),-1.0)</f>
        <v>-1</v>
      </c>
      <c r="K286" s="16" t="str">
        <f>IFERROR(__xludf.DUMMYFUNCTION("""COMPUTED_VALUE"""),"30/11/2023, 11:03:15")</f>
        <v>30/11/2023, 11:03:15</v>
      </c>
    </row>
    <row r="287">
      <c r="A287" s="25" t="str">
        <f>IFERROR(__xludf.DUMMYFUNCTION("""COMPUTED_VALUE"""),"65684fd6fa38f84eb4ffa323")</f>
        <v>65684fd6fa38f84eb4ffa323</v>
      </c>
      <c r="B287" s="26" t="str">
        <f>IFERROR(__xludf.DUMMYFUNCTION("""COMPUTED_VALUE"""),"_od_night_urban_germany_test_batch_3_split_by_size_of_250_for_test_od_tagged")</f>
        <v>_od_night_urban_germany_test_batch_3_split_by_size_of_250_for_test_od_tagged</v>
      </c>
      <c r="C287" s="26" t="str">
        <f>IFERROR(__xludf.DUMMYFUNCTION("""COMPUTED_VALUE"""),"test")</f>
        <v>test</v>
      </c>
      <c r="D287" s="26" t="str">
        <f>IFERROR(__xludf.DUMMYFUNCTION("""COMPUTED_VALUE"""),"test")</f>
        <v>test</v>
      </c>
      <c r="E287" s="26">
        <f>IFERROR(__xludf.DUMMYFUNCTION("""COMPUTED_VALUE"""),69.0)</f>
        <v>69</v>
      </c>
      <c r="F287" s="26" t="str">
        <f>IFERROR(__xludf.DUMMYFUNCTION("""COMPUTED_VALUE"""),"8MP_JPG")</f>
        <v>8MP_JPG</v>
      </c>
      <c r="G287" s="26" t="str">
        <f>IFERROR(__xludf.DUMMYFUNCTION("""COMPUTED_VALUE"""),"germany, night, test, urban")</f>
        <v>germany, night, test, urban</v>
      </c>
      <c r="H287" s="26">
        <f>IFERROR(__xludf.DUMMYFUNCTION("""COMPUTED_VALUE"""),-1.0)</f>
        <v>-1</v>
      </c>
      <c r="I287" s="26">
        <f>IFERROR(__xludf.DUMMYFUNCTION("""COMPUTED_VALUE"""),-1.0)</f>
        <v>-1</v>
      </c>
      <c r="J287" s="26">
        <f>IFERROR(__xludf.DUMMYFUNCTION("""COMPUTED_VALUE"""),-1.0)</f>
        <v>-1</v>
      </c>
      <c r="K287" s="27" t="str">
        <f>IFERROR(__xludf.DUMMYFUNCTION("""COMPUTED_VALUE"""),"30/11/2023, 11:03:21")</f>
        <v>30/11/2023, 11:03:21</v>
      </c>
    </row>
    <row r="288">
      <c r="A288" s="18" t="str">
        <f>IFERROR(__xludf.DUMMYFUNCTION("""COMPUTED_VALUE"""),"65684fddfa38f84eb4ffab66")</f>
        <v>65684fddfa38f84eb4ffab66</v>
      </c>
      <c r="B288" s="15" t="str">
        <f>IFERROR(__xludf.DUMMYFUNCTION("""COMPUTED_VALUE"""),"_od_night_urban_germany_test_batch_2_split_by_size_of_250_for_test_od_tagged")</f>
        <v>_od_night_urban_germany_test_batch_2_split_by_size_of_250_for_test_od_tagged</v>
      </c>
      <c r="C288" s="15" t="str">
        <f>IFERROR(__xludf.DUMMYFUNCTION("""COMPUTED_VALUE"""),"test")</f>
        <v>test</v>
      </c>
      <c r="D288" s="15" t="str">
        <f>IFERROR(__xludf.DUMMYFUNCTION("""COMPUTED_VALUE"""),"test")</f>
        <v>test</v>
      </c>
      <c r="E288" s="15">
        <f>IFERROR(__xludf.DUMMYFUNCTION("""COMPUTED_VALUE"""),246.0)</f>
        <v>246</v>
      </c>
      <c r="F288" s="15" t="str">
        <f>IFERROR(__xludf.DUMMYFUNCTION("""COMPUTED_VALUE"""),"8MP_JPG")</f>
        <v>8MP_JPG</v>
      </c>
      <c r="G288" s="15" t="str">
        <f>IFERROR(__xludf.DUMMYFUNCTION("""COMPUTED_VALUE"""),"germany, night, test, urban")</f>
        <v>germany, night, test, urban</v>
      </c>
      <c r="H288" s="15">
        <f>IFERROR(__xludf.DUMMYFUNCTION("""COMPUTED_VALUE"""),-1.0)</f>
        <v>-1</v>
      </c>
      <c r="I288" s="15">
        <f>IFERROR(__xludf.DUMMYFUNCTION("""COMPUTED_VALUE"""),-1.0)</f>
        <v>-1</v>
      </c>
      <c r="J288" s="15">
        <f>IFERROR(__xludf.DUMMYFUNCTION("""COMPUTED_VALUE"""),-1.0)</f>
        <v>-1</v>
      </c>
      <c r="K288" s="16" t="str">
        <f>IFERROR(__xludf.DUMMYFUNCTION("""COMPUTED_VALUE"""),"30/11/2023, 11:03:29")</f>
        <v>30/11/2023, 11:03:29</v>
      </c>
    </row>
    <row r="289">
      <c r="A289" s="25" t="str">
        <f>IFERROR(__xludf.DUMMYFUNCTION("""COMPUTED_VALUE"""),"65684fe6fa38f84eb4ffb30f")</f>
        <v>65684fe6fa38f84eb4ffb30f</v>
      </c>
      <c r="B289" s="26" t="str">
        <f>IFERROR(__xludf.DUMMYFUNCTION("""COMPUTED_VALUE"""),"_od_night_urban_germany_test_batch_1_split_by_size_of_250_for_test_od_tagged")</f>
        <v>_od_night_urban_germany_test_batch_1_split_by_size_of_250_for_test_od_tagged</v>
      </c>
      <c r="C289" s="26" t="str">
        <f>IFERROR(__xludf.DUMMYFUNCTION("""COMPUTED_VALUE"""),"test")</f>
        <v>test</v>
      </c>
      <c r="D289" s="26" t="str">
        <f>IFERROR(__xludf.DUMMYFUNCTION("""COMPUTED_VALUE"""),"test")</f>
        <v>test</v>
      </c>
      <c r="E289" s="26">
        <f>IFERROR(__xludf.DUMMYFUNCTION("""COMPUTED_VALUE"""),195.0)</f>
        <v>195</v>
      </c>
      <c r="F289" s="26" t="str">
        <f>IFERROR(__xludf.DUMMYFUNCTION("""COMPUTED_VALUE"""),"8MP_JPG")</f>
        <v>8MP_JPG</v>
      </c>
      <c r="G289" s="26" t="str">
        <f>IFERROR(__xludf.DUMMYFUNCTION("""COMPUTED_VALUE"""),"germany, night, test, urban")</f>
        <v>germany, night, test, urban</v>
      </c>
      <c r="H289" s="26">
        <f>IFERROR(__xludf.DUMMYFUNCTION("""COMPUTED_VALUE"""),-1.0)</f>
        <v>-1</v>
      </c>
      <c r="I289" s="26">
        <f>IFERROR(__xludf.DUMMYFUNCTION("""COMPUTED_VALUE"""),-1.0)</f>
        <v>-1</v>
      </c>
      <c r="J289" s="26">
        <f>IFERROR(__xludf.DUMMYFUNCTION("""COMPUTED_VALUE"""),-1.0)</f>
        <v>-1</v>
      </c>
      <c r="K289" s="27" t="str">
        <f>IFERROR(__xludf.DUMMYFUNCTION("""COMPUTED_VALUE"""),"30/11/2023, 11:03:37")</f>
        <v>30/11/2023, 11:03:37</v>
      </c>
    </row>
    <row r="290">
      <c r="A290" s="18" t="str">
        <f>IFERROR(__xludf.DUMMYFUNCTION("""COMPUTED_VALUE"""),"65684fedfa38f84eb4ffb918")</f>
        <v>65684fedfa38f84eb4ffb918</v>
      </c>
      <c r="B290" s="15" t="str">
        <f>IFERROR(__xludf.DUMMYFUNCTION("""COMPUTED_VALUE"""),"_od_night_urban_germany_test_batch_0_split_by_size_of_250_for_test_od_tagged")</f>
        <v>_od_night_urban_germany_test_batch_0_split_by_size_of_250_for_test_od_tagged</v>
      </c>
      <c r="C290" s="15" t="str">
        <f>IFERROR(__xludf.DUMMYFUNCTION("""COMPUTED_VALUE"""),"test")</f>
        <v>test</v>
      </c>
      <c r="D290" s="15" t="str">
        <f>IFERROR(__xludf.DUMMYFUNCTION("""COMPUTED_VALUE"""),"test")</f>
        <v>test</v>
      </c>
      <c r="E290" s="15">
        <f>IFERROR(__xludf.DUMMYFUNCTION("""COMPUTED_VALUE"""),218.0)</f>
        <v>218</v>
      </c>
      <c r="F290" s="15" t="str">
        <f>IFERROR(__xludf.DUMMYFUNCTION("""COMPUTED_VALUE"""),"8MP_JPG")</f>
        <v>8MP_JPG</v>
      </c>
      <c r="G290" s="15" t="str">
        <f>IFERROR(__xludf.DUMMYFUNCTION("""COMPUTED_VALUE"""),"germany, night, test, urban")</f>
        <v>germany, night, test, urban</v>
      </c>
      <c r="H290" s="15">
        <f>IFERROR(__xludf.DUMMYFUNCTION("""COMPUTED_VALUE"""),-1.0)</f>
        <v>-1</v>
      </c>
      <c r="I290" s="15">
        <f>IFERROR(__xludf.DUMMYFUNCTION("""COMPUTED_VALUE"""),-1.0)</f>
        <v>-1</v>
      </c>
      <c r="J290" s="15">
        <f>IFERROR(__xludf.DUMMYFUNCTION("""COMPUTED_VALUE"""),-1.0)</f>
        <v>-1</v>
      </c>
      <c r="K290" s="16" t="str">
        <f>IFERROR(__xludf.DUMMYFUNCTION("""COMPUTED_VALUE"""),"30/11/2023, 11:03:44")</f>
        <v>30/11/2023, 11:03:44</v>
      </c>
    </row>
    <row r="291">
      <c r="A291" s="18" t="str">
        <f>IFERROR(__xludf.DUMMYFUNCTION("""COMPUTED_VALUE"""),"65687568fa38f84eb4ffe34f")</f>
        <v>65687568fa38f84eb4ffe34f</v>
      </c>
      <c r="B291" s="15" t="str">
        <f>IFERROR(__xludf.DUMMYFUNCTION("""COMPUTED_VALUE"""),"_heavy_rain_day_stuttgart_leonberg_test_batch_6_split_by_size_of_250_for_test_od_tagged")</f>
        <v>_heavy_rain_day_stuttgart_leonberg_test_batch_6_split_by_size_of_250_for_test_od_tagged</v>
      </c>
      <c r="C291" s="15" t="str">
        <f>IFERROR(__xludf.DUMMYFUNCTION("""COMPUTED_VALUE"""),"test")</f>
        <v>test</v>
      </c>
      <c r="D291" s="15" t="str">
        <f>IFERROR(__xludf.DUMMYFUNCTION("""COMPUTED_VALUE"""),"test")</f>
        <v>test</v>
      </c>
      <c r="E291" s="15">
        <f>IFERROR(__xludf.DUMMYFUNCTION("""COMPUTED_VALUE"""),89.0)</f>
        <v>89</v>
      </c>
      <c r="F291" s="15" t="str">
        <f>IFERROR(__xludf.DUMMYFUNCTION("""COMPUTED_VALUE"""),"8MP_JPG")</f>
        <v>8MP_JPG</v>
      </c>
      <c r="G291" s="15" t="str">
        <f>IFERROR(__xludf.DUMMYFUNCTION("""COMPUTED_VALUE"""),"day, germany, heavy_rain, leonberg, rain, stuttgart")</f>
        <v>day, germany, heavy_rain, leonberg, rain, stuttgart</v>
      </c>
      <c r="H291" s="15">
        <f>IFERROR(__xludf.DUMMYFUNCTION("""COMPUTED_VALUE"""),-1.0)</f>
        <v>-1</v>
      </c>
      <c r="I291" s="15">
        <f>IFERROR(__xludf.DUMMYFUNCTION("""COMPUTED_VALUE"""),-1.0)</f>
        <v>-1</v>
      </c>
      <c r="J291" s="15">
        <f>IFERROR(__xludf.DUMMYFUNCTION("""COMPUTED_VALUE"""),-1.0)</f>
        <v>-1</v>
      </c>
      <c r="K291" s="16" t="str">
        <f>IFERROR(__xludf.DUMMYFUNCTION("""COMPUTED_VALUE"""),"30/11/2023, 13:43:39")</f>
        <v>30/11/2023, 13:43:39</v>
      </c>
    </row>
    <row r="292">
      <c r="A292" s="18" t="str">
        <f>IFERROR(__xludf.DUMMYFUNCTION("""COMPUTED_VALUE"""),"65687570fa38f84eb4ffeceb")</f>
        <v>65687570fa38f84eb4ffeceb</v>
      </c>
      <c r="B292" s="15" t="str">
        <f>IFERROR(__xludf.DUMMYFUNCTION("""COMPUTED_VALUE"""),"_heavy_rain_day_stuttgart_leonberg_test_batch_4_split_by_size_of_250_for_test_od_tagged")</f>
        <v>_heavy_rain_day_stuttgart_leonberg_test_batch_4_split_by_size_of_250_for_test_od_tagged</v>
      </c>
      <c r="C292" s="15" t="str">
        <f>IFERROR(__xludf.DUMMYFUNCTION("""COMPUTED_VALUE"""),"test")</f>
        <v>test</v>
      </c>
      <c r="D292" s="15" t="str">
        <f>IFERROR(__xludf.DUMMYFUNCTION("""COMPUTED_VALUE"""),"test")</f>
        <v>test</v>
      </c>
      <c r="E292" s="15">
        <f>IFERROR(__xludf.DUMMYFUNCTION("""COMPUTED_VALUE"""),249.0)</f>
        <v>249</v>
      </c>
      <c r="F292" s="15" t="str">
        <f>IFERROR(__xludf.DUMMYFUNCTION("""COMPUTED_VALUE"""),"8MP_JPG")</f>
        <v>8MP_JPG</v>
      </c>
      <c r="G292" s="15" t="str">
        <f>IFERROR(__xludf.DUMMYFUNCTION("""COMPUTED_VALUE"""),"day, germany, heavy_rain, leonberg, rain, stuttgart")</f>
        <v>day, germany, heavy_rain, leonberg, rain, stuttgart</v>
      </c>
      <c r="H292" s="15">
        <f>IFERROR(__xludf.DUMMYFUNCTION("""COMPUTED_VALUE"""),-1.0)</f>
        <v>-1</v>
      </c>
      <c r="I292" s="15">
        <f>IFERROR(__xludf.DUMMYFUNCTION("""COMPUTED_VALUE"""),-1.0)</f>
        <v>-1</v>
      </c>
      <c r="J292" s="15">
        <f>IFERROR(__xludf.DUMMYFUNCTION("""COMPUTED_VALUE"""),-1.0)</f>
        <v>-1</v>
      </c>
      <c r="K292" s="16" t="str">
        <f>IFERROR(__xludf.DUMMYFUNCTION("""COMPUTED_VALUE"""),"30/11/2023, 13:43:47")</f>
        <v>30/11/2023, 13:43:47</v>
      </c>
    </row>
    <row r="293">
      <c r="A293" s="25" t="str">
        <f>IFERROR(__xludf.DUMMYFUNCTION("""COMPUTED_VALUE"""),"65687579fa38f84eb4fffc49")</f>
        <v>65687579fa38f84eb4fffc49</v>
      </c>
      <c r="B293" s="26" t="str">
        <f>IFERROR(__xludf.DUMMYFUNCTION("""COMPUTED_VALUE"""),"_heavy_rain_day_stuttgart_leonberg_test_batch_3_split_by_size_of_250_for_test_od_tagged")</f>
        <v>_heavy_rain_day_stuttgart_leonberg_test_batch_3_split_by_size_of_250_for_test_od_tagged</v>
      </c>
      <c r="C293" s="26" t="str">
        <f>IFERROR(__xludf.DUMMYFUNCTION("""COMPUTED_VALUE"""),"test")</f>
        <v>test</v>
      </c>
      <c r="D293" s="26" t="str">
        <f>IFERROR(__xludf.DUMMYFUNCTION("""COMPUTED_VALUE"""),"test")</f>
        <v>test</v>
      </c>
      <c r="E293" s="26">
        <f>IFERROR(__xludf.DUMMYFUNCTION("""COMPUTED_VALUE"""),249.0)</f>
        <v>249</v>
      </c>
      <c r="F293" s="26" t="str">
        <f>IFERROR(__xludf.DUMMYFUNCTION("""COMPUTED_VALUE"""),"8MP_JPG")</f>
        <v>8MP_JPG</v>
      </c>
      <c r="G293" s="26" t="str">
        <f>IFERROR(__xludf.DUMMYFUNCTION("""COMPUTED_VALUE"""),"day, germany, heavy_rain, leonberg, rain, stuttgart")</f>
        <v>day, germany, heavy_rain, leonberg, rain, stuttgart</v>
      </c>
      <c r="H293" s="26">
        <f>IFERROR(__xludf.DUMMYFUNCTION("""COMPUTED_VALUE"""),-1.0)</f>
        <v>-1</v>
      </c>
      <c r="I293" s="26">
        <f>IFERROR(__xludf.DUMMYFUNCTION("""COMPUTED_VALUE"""),-1.0)</f>
        <v>-1</v>
      </c>
      <c r="J293" s="26">
        <f>IFERROR(__xludf.DUMMYFUNCTION("""COMPUTED_VALUE"""),-1.0)</f>
        <v>-1</v>
      </c>
      <c r="K293" s="27" t="str">
        <f>IFERROR(__xludf.DUMMYFUNCTION("""COMPUTED_VALUE"""),"30/11/2023, 13:43:55")</f>
        <v>30/11/2023, 13:43:55</v>
      </c>
    </row>
    <row r="294">
      <c r="A294" s="18" t="str">
        <f>IFERROR(__xludf.DUMMYFUNCTION("""COMPUTED_VALUE"""),"65687581fa38f84eb40008a8")</f>
        <v>65687581fa38f84eb40008a8</v>
      </c>
      <c r="B294" s="15" t="str">
        <f>IFERROR(__xludf.DUMMYFUNCTION("""COMPUTED_VALUE"""),"_heavy_rain_day_stuttgart_leonberg_test_batch_2_split_by_size_of_250_for_test_od_tagged")</f>
        <v>_heavy_rain_day_stuttgart_leonberg_test_batch_2_split_by_size_of_250_for_test_od_tagged</v>
      </c>
      <c r="C294" s="15" t="str">
        <f>IFERROR(__xludf.DUMMYFUNCTION("""COMPUTED_VALUE"""),"test")</f>
        <v>test</v>
      </c>
      <c r="D294" s="15" t="str">
        <f>IFERROR(__xludf.DUMMYFUNCTION("""COMPUTED_VALUE"""),"test")</f>
        <v>test</v>
      </c>
      <c r="E294" s="15">
        <f>IFERROR(__xludf.DUMMYFUNCTION("""COMPUTED_VALUE"""),247.0)</f>
        <v>247</v>
      </c>
      <c r="F294" s="15" t="str">
        <f>IFERROR(__xludf.DUMMYFUNCTION("""COMPUTED_VALUE"""),"8MP_JPG")</f>
        <v>8MP_JPG</v>
      </c>
      <c r="G294" s="15" t="str">
        <f>IFERROR(__xludf.DUMMYFUNCTION("""COMPUTED_VALUE"""),"day, germany, heavy_rain, leonberg, rain, stuttgart")</f>
        <v>day, germany, heavy_rain, leonberg, rain, stuttgart</v>
      </c>
      <c r="H294" s="15">
        <f>IFERROR(__xludf.DUMMYFUNCTION("""COMPUTED_VALUE"""),-1.0)</f>
        <v>-1</v>
      </c>
      <c r="I294" s="15">
        <f>IFERROR(__xludf.DUMMYFUNCTION("""COMPUTED_VALUE"""),-1.0)</f>
        <v>-1</v>
      </c>
      <c r="J294" s="15">
        <f>IFERROR(__xludf.DUMMYFUNCTION("""COMPUTED_VALUE"""),-1.0)</f>
        <v>-1</v>
      </c>
      <c r="K294" s="16" t="str">
        <f>IFERROR(__xludf.DUMMYFUNCTION("""COMPUTED_VALUE"""),"30/11/2023, 13:44:04")</f>
        <v>30/11/2023, 13:44:04</v>
      </c>
    </row>
    <row r="295">
      <c r="A295" s="18" t="str">
        <f>IFERROR(__xludf.DUMMYFUNCTION("""COMPUTED_VALUE"""),"6568758afa38f84eb40019a8")</f>
        <v>6568758afa38f84eb40019a8</v>
      </c>
      <c r="B295" s="15" t="str">
        <f>IFERROR(__xludf.DUMMYFUNCTION("""COMPUTED_VALUE"""),"_heavy_rain_day_stuttgart_leonberg_test_batch_1_split_by_size_of_250_for_test_od_tagged")</f>
        <v>_heavy_rain_day_stuttgart_leonberg_test_batch_1_split_by_size_of_250_for_test_od_tagged</v>
      </c>
      <c r="C295" s="15" t="str">
        <f>IFERROR(__xludf.DUMMYFUNCTION("""COMPUTED_VALUE"""),"test")</f>
        <v>test</v>
      </c>
      <c r="D295" s="15" t="str">
        <f>IFERROR(__xludf.DUMMYFUNCTION("""COMPUTED_VALUE"""),"test")</f>
        <v>test</v>
      </c>
      <c r="E295" s="15">
        <f>IFERROR(__xludf.DUMMYFUNCTION("""COMPUTED_VALUE"""),250.0)</f>
        <v>250</v>
      </c>
      <c r="F295" s="15" t="str">
        <f>IFERROR(__xludf.DUMMYFUNCTION("""COMPUTED_VALUE"""),"8MP_JPG")</f>
        <v>8MP_JPG</v>
      </c>
      <c r="G295" s="15" t="str">
        <f>IFERROR(__xludf.DUMMYFUNCTION("""COMPUTED_VALUE"""),"day, germany, heavy_rain, leonberg, rain, stuttgart")</f>
        <v>day, germany, heavy_rain, leonberg, rain, stuttgart</v>
      </c>
      <c r="H295" s="15">
        <f>IFERROR(__xludf.DUMMYFUNCTION("""COMPUTED_VALUE"""),-1.0)</f>
        <v>-1</v>
      </c>
      <c r="I295" s="15">
        <f>IFERROR(__xludf.DUMMYFUNCTION("""COMPUTED_VALUE"""),-1.0)</f>
        <v>-1</v>
      </c>
      <c r="J295" s="15">
        <f>IFERROR(__xludf.DUMMYFUNCTION("""COMPUTED_VALUE"""),-1.0)</f>
        <v>-1</v>
      </c>
      <c r="K295" s="16" t="str">
        <f>IFERROR(__xludf.DUMMYFUNCTION("""COMPUTED_VALUE"""),"30/11/2023, 13:44:14")</f>
        <v>30/11/2023, 13:44:14</v>
      </c>
    </row>
    <row r="296">
      <c r="A296" s="18" t="str">
        <f>IFERROR(__xludf.DUMMYFUNCTION("""COMPUTED_VALUE"""),"659aaa9ad8ef2d6f5c4ec3f3")</f>
        <v>659aaa9ad8ef2d6f5c4ec3f3</v>
      </c>
      <c r="B296" s="15" t="str">
        <f>IFERROR(__xludf.DUMMYFUNCTION("""COMPUTED_VALUE"""),"europe_usa_uniuqe_vehicles_for_test_added_to_official_super_set_od_test_8mp")</f>
        <v>europe_usa_uniuqe_vehicles_for_test_added_to_official_super_set_od_test_8mp</v>
      </c>
      <c r="C296" s="15" t="str">
        <f>IFERROR(__xludf.DUMMYFUNCTION("""COMPUTED_VALUE"""),"test")</f>
        <v>test</v>
      </c>
      <c r="D296" s="15" t="str">
        <f>IFERROR(__xludf.DUMMYFUNCTION("""COMPUTED_VALUE"""),"test")</f>
        <v>test</v>
      </c>
      <c r="E296" s="15">
        <f>IFERROR(__xludf.DUMMYFUNCTION("""COMPUTED_VALUE"""),428.0)</f>
        <v>428</v>
      </c>
      <c r="F296" s="15" t="str">
        <f>IFERROR(__xludf.DUMMYFUNCTION("""COMPUTED_VALUE"""),"8MP_JPG")</f>
        <v>8MP_JPG</v>
      </c>
      <c r="G296" s="15" t="str">
        <f>IFERROR(__xludf.DUMMYFUNCTION("""COMPUTED_VALUE"""),"USA, RAIN, GERMANY, DAY, EUROPE, LAS_VEGAS, CLEAR, HEAVY_RAIN")</f>
        <v>USA, RAIN, GERMANY, DAY, EUROPE, LAS_VEGAS, CLEAR, HEAVY_RAIN</v>
      </c>
      <c r="H296" s="15">
        <f>IFERROR(__xludf.DUMMYFUNCTION("""COMPUTED_VALUE"""),-1.0)</f>
        <v>-1</v>
      </c>
      <c r="I296" s="15">
        <f>IFERROR(__xludf.DUMMYFUNCTION("""COMPUTED_VALUE"""),-1.0)</f>
        <v>-1</v>
      </c>
      <c r="J296" s="15">
        <f>IFERROR(__xludf.DUMMYFUNCTION("""COMPUTED_VALUE"""),-1.0)</f>
        <v>-1</v>
      </c>
      <c r="K296" s="28">
        <f>IFERROR(__xludf.DUMMYFUNCTION("""COMPUTED_VALUE"""),45474.65594907408)</f>
        <v>45474.65595</v>
      </c>
    </row>
    <row r="297">
      <c r="A297" s="18" t="str">
        <f>IFERROR(__xludf.DUMMYFUNCTION("""COMPUTED_VALUE"""),"654cab2354107825f7756fc0")</f>
        <v>654cab2354107825f7756fc0</v>
      </c>
      <c r="B297" s="15" t="str">
        <f>IFERROR(__xludf.DUMMYFUNCTION("""COMPUTED_VALUE"""),"od_ncap_vw_closed_loop_demo_tt_test")</f>
        <v>od_ncap_vw_closed_loop_demo_tt_test</v>
      </c>
      <c r="C297" s="15" t="str">
        <f>IFERROR(__xludf.DUMMYFUNCTION("""COMPUTED_VALUE"""),"test")</f>
        <v>test</v>
      </c>
      <c r="D297" s="15" t="str">
        <f>IFERROR(__xludf.DUMMYFUNCTION("""COMPUTED_VALUE"""),"test")</f>
        <v>test</v>
      </c>
      <c r="E297" s="15">
        <f>IFERROR(__xludf.DUMMYFUNCTION("""COMPUTED_VALUE"""),1465.0)</f>
        <v>1465</v>
      </c>
      <c r="F297" s="15" t="str">
        <f>IFERROR(__xludf.DUMMYFUNCTION("""COMPUTED_VALUE"""),"8MP_JPG")</f>
        <v>8MP_JPG</v>
      </c>
      <c r="G297" s="15" t="str">
        <f>IFERROR(__xludf.DUMMYFUNCTION("""COMPUTED_VALUE"""),"GERMANY, DAY, CLEAR")</f>
        <v>GERMANY, DAY, CLEAR</v>
      </c>
      <c r="H297" s="15">
        <f>IFERROR(__xludf.DUMMYFUNCTION("""COMPUTED_VALUE"""),-1.0)</f>
        <v>-1</v>
      </c>
      <c r="I297" s="15">
        <f>IFERROR(__xludf.DUMMYFUNCTION("""COMPUTED_VALUE"""),-1.0)</f>
        <v>-1</v>
      </c>
      <c r="J297" s="15">
        <f>IFERROR(__xludf.DUMMYFUNCTION("""COMPUTED_VALUE"""),-1.0)</f>
        <v>-1</v>
      </c>
      <c r="K297" s="28">
        <f>IFERROR(__xludf.DUMMYFUNCTION("""COMPUTED_VALUE"""),45474.742789351854)</f>
        <v>45474.74279</v>
      </c>
    </row>
    <row r="298">
      <c r="A298" s="25" t="str">
        <f>IFERROR(__xludf.DUMMYFUNCTION("""COMPUTED_VALUE"""),"659acbb6d8ef2d6f5c529e2f")</f>
        <v>659acbb6d8ef2d6f5c529e2f</v>
      </c>
      <c r="B298" s="26" t="str">
        <f>IFERROR(__xludf.DUMMYFUNCTION("""COMPUTED_VALUE"""),"official_europe_munich_test")</f>
        <v>official_europe_munich_test</v>
      </c>
      <c r="C298" s="26" t="str">
        <f>IFERROR(__xludf.DUMMYFUNCTION("""COMPUTED_VALUE"""),"test")</f>
        <v>test</v>
      </c>
      <c r="D298" s="26" t="str">
        <f>IFERROR(__xludf.DUMMYFUNCTION("""COMPUTED_VALUE"""),"test")</f>
        <v>test</v>
      </c>
      <c r="E298" s="26">
        <f>IFERROR(__xludf.DUMMYFUNCTION("""COMPUTED_VALUE"""),299.0)</f>
        <v>299</v>
      </c>
      <c r="F298" s="26" t="str">
        <f>IFERROR(__xludf.DUMMYFUNCTION("""COMPUTED_VALUE"""),"8MP_JPG")</f>
        <v>8MP_JPG</v>
      </c>
      <c r="G298" s="26"/>
      <c r="H298" s="26">
        <f>IFERROR(__xludf.DUMMYFUNCTION("""COMPUTED_VALUE"""),-1.0)</f>
        <v>-1</v>
      </c>
      <c r="I298" s="26">
        <f>IFERROR(__xludf.DUMMYFUNCTION("""COMPUTED_VALUE"""),-1.0)</f>
        <v>-1</v>
      </c>
      <c r="J298" s="26">
        <f>IFERROR(__xludf.DUMMYFUNCTION("""COMPUTED_VALUE"""),-1.0)</f>
        <v>-1</v>
      </c>
      <c r="K298" s="29">
        <f>IFERROR(__xludf.DUMMYFUNCTION("""COMPUTED_VALUE"""),45474.75378472222)</f>
        <v>45474.75378</v>
      </c>
    </row>
    <row r="299">
      <c r="A299" s="25" t="str">
        <f>IFERROR(__xludf.DUMMYFUNCTION("""COMPUTED_VALUE"""),"659acde7d8ef2d6f5c52d9c1")</f>
        <v>659acde7d8ef2d6f5c52d9c1</v>
      </c>
      <c r="B299" s="26" t="str">
        <f>IFERROR(__xludf.DUMMYFUNCTION("""COMPUTED_VALUE"""),"official_las_vegas_usa_test")</f>
        <v>official_las_vegas_usa_test</v>
      </c>
      <c r="C299" s="26" t="str">
        <f>IFERROR(__xludf.DUMMYFUNCTION("""COMPUTED_VALUE"""),"test")</f>
        <v>test</v>
      </c>
      <c r="D299" s="26" t="str">
        <f>IFERROR(__xludf.DUMMYFUNCTION("""COMPUTED_VALUE"""),"test")</f>
        <v>test</v>
      </c>
      <c r="E299" s="26">
        <f>IFERROR(__xludf.DUMMYFUNCTION("""COMPUTED_VALUE"""),440.0)</f>
        <v>440</v>
      </c>
      <c r="F299" s="26" t="str">
        <f>IFERROR(__xludf.DUMMYFUNCTION("""COMPUTED_VALUE"""),"8MP_JPG")</f>
        <v>8MP_JPG</v>
      </c>
      <c r="G299" s="26" t="str">
        <f>IFERROR(__xludf.DUMMYFUNCTION("""COMPUTED_VALUE"""),"USA, LAS_VEGAS, DAY")</f>
        <v>USA, LAS_VEGAS, DAY</v>
      </c>
      <c r="H299" s="26">
        <f>IFERROR(__xludf.DUMMYFUNCTION("""COMPUTED_VALUE"""),-1.0)</f>
        <v>-1</v>
      </c>
      <c r="I299" s="26">
        <f>IFERROR(__xludf.DUMMYFUNCTION("""COMPUTED_VALUE"""),-1.0)</f>
        <v>-1</v>
      </c>
      <c r="J299" s="26">
        <f>IFERROR(__xludf.DUMMYFUNCTION("""COMPUTED_VALUE"""),-1.0)</f>
        <v>-1</v>
      </c>
      <c r="K299" s="29">
        <f>IFERROR(__xludf.DUMMYFUNCTION("""COMPUTED_VALUE"""),45474.7602662037)</f>
        <v>45474.76027</v>
      </c>
    </row>
    <row r="300">
      <c r="A300" s="18" t="str">
        <f>IFERROR(__xludf.DUMMYFUNCTION("""COMPUTED_VALUE"""),"65cb36f0ab0e1008324427c1")</f>
        <v>65cb36f0ab0e1008324427c1</v>
      </c>
      <c r="B300" s="15" t="str">
        <f>IFERROR(__xludf.DUMMYFUNCTION("""COMPUTED_VALUE"""),"_buildings_test_track_kitzingen_superset_6502b36e7edfb609dc1b4b00_for_fa_removal_train_skipped_every_10_img_batch_4_split_by_size_of_108_for_train_od_tagged")</f>
        <v>_buildings_test_track_kitzingen_superset_6502b36e7edfb609dc1b4b00_for_fa_removal_train_skipped_every_10_img_batch_4_split_by_size_of_108_for_train_od_tagged</v>
      </c>
      <c r="C300" s="15" t="str">
        <f>IFERROR(__xludf.DUMMYFUNCTION("""COMPUTED_VALUE"""),"train")</f>
        <v>train</v>
      </c>
      <c r="D300" s="15" t="str">
        <f>IFERROR(__xludf.DUMMYFUNCTION("""COMPUTED_VALUE"""),"train")</f>
        <v>train</v>
      </c>
      <c r="E300" s="15">
        <f>IFERROR(__xludf.DUMMYFUNCTION("""COMPUTED_VALUE"""),44.0)</f>
        <v>44</v>
      </c>
      <c r="F300" s="15" t="str">
        <f>IFERROR(__xludf.DUMMYFUNCTION("""COMPUTED_VALUE"""),"8MP_JPG")</f>
        <v>8MP_JPG</v>
      </c>
      <c r="G300" s="15" t="str">
        <f>IFERROR(__xludf.DUMMYFUNCTION("""COMPUTED_VALUE"""),"germany, kitzigen, test_track, wolfsburg")</f>
        <v>germany, kitzigen, test_track, wolfsburg</v>
      </c>
      <c r="H300" s="15">
        <f>IFERROR(__xludf.DUMMYFUNCTION("""COMPUTED_VALUE"""),-1.0)</f>
        <v>-1</v>
      </c>
      <c r="I300" s="15">
        <f>IFERROR(__xludf.DUMMYFUNCTION("""COMPUTED_VALUE"""),-1.0)</f>
        <v>-1</v>
      </c>
      <c r="J300" s="15">
        <f>IFERROR(__xludf.DUMMYFUNCTION("""COMPUTED_VALUE"""),-1.0)</f>
        <v>-1</v>
      </c>
      <c r="K300" s="16" t="str">
        <f>IFERROR(__xludf.DUMMYFUNCTION("""COMPUTED_VALUE"""),"13/02/2024, 11:31:31")</f>
        <v>13/02/2024, 11:31:31</v>
      </c>
    </row>
    <row r="301">
      <c r="A301" s="18" t="str">
        <f>IFERROR(__xludf.DUMMYFUNCTION("""COMPUTED_VALUE"""),"65cb373cab0e100832442a35")</f>
        <v>65cb373cab0e100832442a35</v>
      </c>
      <c r="B301" s="15" t="str">
        <f>IFERROR(__xludf.DUMMYFUNCTION("""COMPUTED_VALUE"""),"_buildings_test_track_kitzingen_superset_6502b36e7edfb609dc1b4b00_for_fa_removal_train_skipped_every_10_img_batch_2_split_by_size_of_108_for_train_od_tagged")</f>
        <v>_buildings_test_track_kitzingen_superset_6502b36e7edfb609dc1b4b00_for_fa_removal_train_skipped_every_10_img_batch_2_split_by_size_of_108_for_train_od_tagged</v>
      </c>
      <c r="C301" s="15" t="str">
        <f>IFERROR(__xludf.DUMMYFUNCTION("""COMPUTED_VALUE"""),"train")</f>
        <v>train</v>
      </c>
      <c r="D301" s="15" t="str">
        <f>IFERROR(__xludf.DUMMYFUNCTION("""COMPUTED_VALUE"""),"train")</f>
        <v>train</v>
      </c>
      <c r="E301" s="15">
        <f>IFERROR(__xludf.DUMMYFUNCTION("""COMPUTED_VALUE"""),45.0)</f>
        <v>45</v>
      </c>
      <c r="F301" s="15" t="str">
        <f>IFERROR(__xludf.DUMMYFUNCTION("""COMPUTED_VALUE"""),"8MP_JPG")</f>
        <v>8MP_JPG</v>
      </c>
      <c r="G301" s="15" t="str">
        <f>IFERROR(__xludf.DUMMYFUNCTION("""COMPUTED_VALUE"""),"germany, kitzigen, test_track, wolfsburg")</f>
        <v>germany, kitzigen, test_track, wolfsburg</v>
      </c>
      <c r="H301" s="15">
        <f>IFERROR(__xludf.DUMMYFUNCTION("""COMPUTED_VALUE"""),-1.0)</f>
        <v>-1</v>
      </c>
      <c r="I301" s="15">
        <f>IFERROR(__xludf.DUMMYFUNCTION("""COMPUTED_VALUE"""),-1.0)</f>
        <v>-1</v>
      </c>
      <c r="J301" s="15">
        <f>IFERROR(__xludf.DUMMYFUNCTION("""COMPUTED_VALUE"""),-1.0)</f>
        <v>-1</v>
      </c>
      <c r="K301" s="16" t="str">
        <f>IFERROR(__xludf.DUMMYFUNCTION("""COMPUTED_VALUE"""),"13/02/2024, 12:30:53")</f>
        <v>13/02/2024, 12:30:53</v>
      </c>
    </row>
    <row r="302">
      <c r="A302" s="18" t="str">
        <f>IFERROR(__xludf.DUMMYFUNCTION("""COMPUTED_VALUE"""),"65cb450eab0e100832449c7e")</f>
        <v>65cb450eab0e100832449c7e</v>
      </c>
      <c r="B302" s="15" t="str">
        <f>IFERROR(__xludf.DUMMYFUNCTION("""COMPUTED_VALUE"""),"_pert_palatine_for_train_od_tagged")</f>
        <v>_pert_palatine_for_train_od_tagged</v>
      </c>
      <c r="C302" s="15" t="str">
        <f>IFERROR(__xludf.DUMMYFUNCTION("""COMPUTED_VALUE"""),"train")</f>
        <v>train</v>
      </c>
      <c r="D302" s="15" t="str">
        <f>IFERROR(__xludf.DUMMYFUNCTION("""COMPUTED_VALUE"""),"train")</f>
        <v>train</v>
      </c>
      <c r="E302" s="15">
        <f>IFERROR(__xludf.DUMMYFUNCTION("""COMPUTED_VALUE"""),1066.0)</f>
        <v>1066</v>
      </c>
      <c r="F302" s="15" t="str">
        <f>IFERROR(__xludf.DUMMYFUNCTION("""COMPUTED_VALUE"""),"8MP_JPG")</f>
        <v>8MP_JPG</v>
      </c>
      <c r="G302" s="15" t="str">
        <f>IFERROR(__xludf.DUMMYFUNCTION("""COMPUTED_VALUE"""),"/PRE_DAG_UPLOUDS/IL_AB/2023_08_23/2023_08_23_22_39_06/2023_08_23_22_39_06, day, highway, israel, night, urban")</f>
        <v>/PRE_DAG_UPLOUDS/IL_AB/2023_08_23/2023_08_23_22_39_06/2023_08_23_22_39_06, day, highway, israel, night, urban</v>
      </c>
      <c r="H302" s="15">
        <f>IFERROR(__xludf.DUMMYFUNCTION("""COMPUTED_VALUE"""),-1.0)</f>
        <v>-1</v>
      </c>
      <c r="I302" s="15">
        <f>IFERROR(__xludf.DUMMYFUNCTION("""COMPUTED_VALUE"""),-1.0)</f>
        <v>-1</v>
      </c>
      <c r="J302" s="15">
        <f>IFERROR(__xludf.DUMMYFUNCTION("""COMPUTED_VALUE"""),-1.0)</f>
        <v>-1</v>
      </c>
      <c r="K302" s="16" t="str">
        <f>IFERROR(__xludf.DUMMYFUNCTION("""COMPUTED_VALUE"""),"13/02/2024, 12:31:45")</f>
        <v>13/02/2024, 12:31:45</v>
      </c>
    </row>
    <row r="303">
      <c r="A303" s="18" t="str">
        <f>IFERROR(__xludf.DUMMYFUNCTION("""COMPUTED_VALUE"""),"62f8f4ae07d51f1227be1751")</f>
        <v>62f8f4ae07d51f1227be1751</v>
      </c>
      <c r="B303" s="15" t="str">
        <f>IFERROR(__xludf.DUMMYFUNCTION("""COMPUTED_VALUE"""),"sanity_longi_ped_day_test_14_08")</f>
        <v>sanity_longi_ped_day_test_14_08</v>
      </c>
      <c r="C303" s="15" t="str">
        <f>IFERROR(__xludf.DUMMYFUNCTION("""COMPUTED_VALUE"""),"test")</f>
        <v>test</v>
      </c>
      <c r="D303" s="15" t="str">
        <f>IFERROR(__xludf.DUMMYFUNCTION("""COMPUTED_VALUE"""),"undefined")</f>
        <v>undefined</v>
      </c>
      <c r="E303" s="15">
        <f>IFERROR(__xludf.DUMMYFUNCTION("""COMPUTED_VALUE"""),12286.0)</f>
        <v>12286</v>
      </c>
      <c r="F303" s="15" t="str">
        <f>IFERROR(__xludf.DUMMYFUNCTION("""COMPUTED_VALUE"""),"QUAD")</f>
        <v>QUAD</v>
      </c>
      <c r="G303" s="15"/>
      <c r="H303" s="15">
        <f>IFERROR(__xludf.DUMMYFUNCTION("""COMPUTED_VALUE"""),-1.0)</f>
        <v>-1</v>
      </c>
      <c r="I303" s="15">
        <f>IFERROR(__xludf.DUMMYFUNCTION("""COMPUTED_VALUE"""),-1.0)</f>
        <v>-1</v>
      </c>
      <c r="J303" s="15">
        <f>IFERROR(__xludf.DUMMYFUNCTION("""COMPUTED_VALUE"""),-1.0)</f>
        <v>-1</v>
      </c>
      <c r="K303" s="16" t="str">
        <f>IFERROR(__xludf.DUMMYFUNCTION("""COMPUTED_VALUE"""),"15/02/2024, 13:59:03")</f>
        <v>15/02/2024, 13:59:03</v>
      </c>
    </row>
    <row r="304">
      <c r="A304" s="18" t="str">
        <f>IFERROR(__xludf.DUMMYFUNCTION("""COMPUTED_VALUE"""),"62f8f53a07d51f1227be17a8")</f>
        <v>62f8f53a07d51f1227be17a8</v>
      </c>
      <c r="B304" s="15" t="str">
        <f>IFERROR(__xludf.DUMMYFUNCTION("""COMPUTED_VALUE"""),"sanity_longi_2w_day_test_14_08")</f>
        <v>sanity_longi_2w_day_test_14_08</v>
      </c>
      <c r="C304" s="15" t="str">
        <f>IFERROR(__xludf.DUMMYFUNCTION("""COMPUTED_VALUE"""),"test")</f>
        <v>test</v>
      </c>
      <c r="D304" s="15" t="str">
        <f>IFERROR(__xludf.DUMMYFUNCTION("""COMPUTED_VALUE"""),"undefined")</f>
        <v>undefined</v>
      </c>
      <c r="E304" s="15">
        <f>IFERROR(__xludf.DUMMYFUNCTION("""COMPUTED_VALUE"""),4958.0)</f>
        <v>4958</v>
      </c>
      <c r="F304" s="15" t="str">
        <f>IFERROR(__xludf.DUMMYFUNCTION("""COMPUTED_VALUE"""),"QUAD")</f>
        <v>QUAD</v>
      </c>
      <c r="G304" s="15"/>
      <c r="H304" s="15">
        <f>IFERROR(__xludf.DUMMYFUNCTION("""COMPUTED_VALUE"""),-1.0)</f>
        <v>-1</v>
      </c>
      <c r="I304" s="15">
        <f>IFERROR(__xludf.DUMMYFUNCTION("""COMPUTED_VALUE"""),-1.0)</f>
        <v>-1</v>
      </c>
      <c r="J304" s="15">
        <f>IFERROR(__xludf.DUMMYFUNCTION("""COMPUTED_VALUE"""),-1.0)</f>
        <v>-1</v>
      </c>
      <c r="K304" s="16" t="str">
        <f>IFERROR(__xludf.DUMMYFUNCTION("""COMPUTED_VALUE"""),"15/02/2024, 14:06:19")</f>
        <v>15/02/2024, 14:06:19</v>
      </c>
    </row>
    <row r="305">
      <c r="A305" s="18" t="str">
        <f>IFERROR(__xludf.DUMMYFUNCTION("""COMPUTED_VALUE"""),"62f8f62307d51f1227be19a3")</f>
        <v>62f8f62307d51f1227be19a3</v>
      </c>
      <c r="B305" s="15" t="str">
        <f>IFERROR(__xludf.DUMMYFUNCTION("""COMPUTED_VALUE"""),"sanity_crossing_2w_day_test_14_08")</f>
        <v>sanity_crossing_2w_day_test_14_08</v>
      </c>
      <c r="C305" s="15" t="str">
        <f>IFERROR(__xludf.DUMMYFUNCTION("""COMPUTED_VALUE"""),"test")</f>
        <v>test</v>
      </c>
      <c r="D305" s="15" t="str">
        <f>IFERROR(__xludf.DUMMYFUNCTION("""COMPUTED_VALUE"""),"undefined")</f>
        <v>undefined</v>
      </c>
      <c r="E305" s="15">
        <f>IFERROR(__xludf.DUMMYFUNCTION("""COMPUTED_VALUE"""),3024.0)</f>
        <v>3024</v>
      </c>
      <c r="F305" s="15" t="str">
        <f>IFERROR(__xludf.DUMMYFUNCTION("""COMPUTED_VALUE"""),"QUAD")</f>
        <v>QUAD</v>
      </c>
      <c r="G305" s="15"/>
      <c r="H305" s="15">
        <f>IFERROR(__xludf.DUMMYFUNCTION("""COMPUTED_VALUE"""),-1.0)</f>
        <v>-1</v>
      </c>
      <c r="I305" s="15">
        <f>IFERROR(__xludf.DUMMYFUNCTION("""COMPUTED_VALUE"""),-1.0)</f>
        <v>-1</v>
      </c>
      <c r="J305" s="15">
        <f>IFERROR(__xludf.DUMMYFUNCTION("""COMPUTED_VALUE"""),-1.0)</f>
        <v>-1</v>
      </c>
      <c r="K305" s="16" t="str">
        <f>IFERROR(__xludf.DUMMYFUNCTION("""COMPUTED_VALUE"""),"15/02/2024, 14:09:24")</f>
        <v>15/02/2024, 14:09:24</v>
      </c>
    </row>
    <row r="306">
      <c r="A306" s="18" t="str">
        <f>IFERROR(__xludf.DUMMYFUNCTION("""COMPUTED_VALUE"""),"62f8f66f07d51f1227be1e5a")</f>
        <v>62f8f66f07d51f1227be1e5a</v>
      </c>
      <c r="B306" s="15" t="str">
        <f>IFERROR(__xludf.DUMMYFUNCTION("""COMPUTED_VALUE"""),"sanity_longi_4w_day_test_14_08")</f>
        <v>sanity_longi_4w_day_test_14_08</v>
      </c>
      <c r="C306" s="15" t="str">
        <f>IFERROR(__xludf.DUMMYFUNCTION("""COMPUTED_VALUE"""),"test")</f>
        <v>test</v>
      </c>
      <c r="D306" s="15" t="str">
        <f>IFERROR(__xludf.DUMMYFUNCTION("""COMPUTED_VALUE"""),"undefined")</f>
        <v>undefined</v>
      </c>
      <c r="E306" s="15">
        <f>IFERROR(__xludf.DUMMYFUNCTION("""COMPUTED_VALUE"""),3176.0)</f>
        <v>3176</v>
      </c>
      <c r="F306" s="15" t="str">
        <f>IFERROR(__xludf.DUMMYFUNCTION("""COMPUTED_VALUE"""),"QUAD")</f>
        <v>QUAD</v>
      </c>
      <c r="G306" s="15"/>
      <c r="H306" s="15">
        <f>IFERROR(__xludf.DUMMYFUNCTION("""COMPUTED_VALUE"""),-1.0)</f>
        <v>-1</v>
      </c>
      <c r="I306" s="15">
        <f>IFERROR(__xludf.DUMMYFUNCTION("""COMPUTED_VALUE"""),-1.0)</f>
        <v>-1</v>
      </c>
      <c r="J306" s="15">
        <f>IFERROR(__xludf.DUMMYFUNCTION("""COMPUTED_VALUE"""),-1.0)</f>
        <v>-1</v>
      </c>
      <c r="K306" s="16" t="str">
        <f>IFERROR(__xludf.DUMMYFUNCTION("""COMPUTED_VALUE"""),"15/02/2024, 14:11:21")</f>
        <v>15/02/2024, 14:11:21</v>
      </c>
    </row>
    <row r="307">
      <c r="A307" s="18" t="str">
        <f>IFERROR(__xludf.DUMMYFUNCTION("""COMPUTED_VALUE"""),"62f8f0aa07d51f1227be0e7b")</f>
        <v>62f8f0aa07d51f1227be0e7b</v>
      </c>
      <c r="B307" s="15" t="str">
        <f>IFERROR(__xludf.DUMMYFUNCTION("""COMPUTED_VALUE"""),"sanity_crossing_ped_night_test_14_08")</f>
        <v>sanity_crossing_ped_night_test_14_08</v>
      </c>
      <c r="C307" s="15" t="str">
        <f>IFERROR(__xludf.DUMMYFUNCTION("""COMPUTED_VALUE"""),"test")</f>
        <v>test</v>
      </c>
      <c r="D307" s="15" t="str">
        <f>IFERROR(__xludf.DUMMYFUNCTION("""COMPUTED_VALUE"""),"undefined")</f>
        <v>undefined</v>
      </c>
      <c r="E307" s="15">
        <f>IFERROR(__xludf.DUMMYFUNCTION("""COMPUTED_VALUE"""),2922.0)</f>
        <v>2922</v>
      </c>
      <c r="F307" s="15" t="str">
        <f>IFERROR(__xludf.DUMMYFUNCTION("""COMPUTED_VALUE"""),"QUAD")</f>
        <v>QUAD</v>
      </c>
      <c r="G307" s="15"/>
      <c r="H307" s="15">
        <f>IFERROR(__xludf.DUMMYFUNCTION("""COMPUTED_VALUE"""),-1.0)</f>
        <v>-1</v>
      </c>
      <c r="I307" s="15">
        <f>IFERROR(__xludf.DUMMYFUNCTION("""COMPUTED_VALUE"""),-1.0)</f>
        <v>-1</v>
      </c>
      <c r="J307" s="15">
        <f>IFERROR(__xludf.DUMMYFUNCTION("""COMPUTED_VALUE"""),-1.0)</f>
        <v>-1</v>
      </c>
      <c r="K307" s="16" t="str">
        <f>IFERROR(__xludf.DUMMYFUNCTION("""COMPUTED_VALUE"""),"15/02/2024, 14:15:51")</f>
        <v>15/02/2024, 14:15:51</v>
      </c>
    </row>
    <row r="308">
      <c r="A308" s="18" t="str">
        <f>IFERROR(__xludf.DUMMYFUNCTION("""COMPUTED_VALUE"""),"62f8f0f507d51f1227be0e9f")</f>
        <v>62f8f0f507d51f1227be0e9f</v>
      </c>
      <c r="B308" s="15" t="str">
        <f>IFERROR(__xludf.DUMMYFUNCTION("""COMPUTED_VALUE"""),"sanity_longi_ped_night_test_14_08")</f>
        <v>sanity_longi_ped_night_test_14_08</v>
      </c>
      <c r="C308" s="15" t="str">
        <f>IFERROR(__xludf.DUMMYFUNCTION("""COMPUTED_VALUE"""),"test")</f>
        <v>test</v>
      </c>
      <c r="D308" s="15" t="str">
        <f>IFERROR(__xludf.DUMMYFUNCTION("""COMPUTED_VALUE"""),"undefined")</f>
        <v>undefined</v>
      </c>
      <c r="E308" s="15">
        <f>IFERROR(__xludf.DUMMYFUNCTION("""COMPUTED_VALUE"""),1480.0)</f>
        <v>1480</v>
      </c>
      <c r="F308" s="15" t="str">
        <f>IFERROR(__xludf.DUMMYFUNCTION("""COMPUTED_VALUE"""),"QUAD")</f>
        <v>QUAD</v>
      </c>
      <c r="G308" s="15"/>
      <c r="H308" s="15">
        <f>IFERROR(__xludf.DUMMYFUNCTION("""COMPUTED_VALUE"""),-1.0)</f>
        <v>-1</v>
      </c>
      <c r="I308" s="15">
        <f>IFERROR(__xludf.DUMMYFUNCTION("""COMPUTED_VALUE"""),-1.0)</f>
        <v>-1</v>
      </c>
      <c r="J308" s="15">
        <f>IFERROR(__xludf.DUMMYFUNCTION("""COMPUTED_VALUE"""),-1.0)</f>
        <v>-1</v>
      </c>
      <c r="K308" s="16" t="str">
        <f>IFERROR(__xludf.DUMMYFUNCTION("""COMPUTED_VALUE"""),"15/02/2024, 14:17:46")</f>
        <v>15/02/2024, 14:17:46</v>
      </c>
    </row>
    <row r="309">
      <c r="A309" s="18" t="str">
        <f>IFERROR(__xludf.DUMMYFUNCTION("""COMPUTED_VALUE"""),"62f8e8cb07d51f1227bdee21")</f>
        <v>62f8e8cb07d51f1227bdee21</v>
      </c>
      <c r="B309" s="15" t="str">
        <f>IFERROR(__xludf.DUMMYFUNCTION("""COMPUTED_VALUE"""),"ncap_longi_ped_day_test_14_08")</f>
        <v>ncap_longi_ped_day_test_14_08</v>
      </c>
      <c r="C309" s="15" t="str">
        <f>IFERROR(__xludf.DUMMYFUNCTION("""COMPUTED_VALUE"""),"test")</f>
        <v>test</v>
      </c>
      <c r="D309" s="15" t="str">
        <f>IFERROR(__xludf.DUMMYFUNCTION("""COMPUTED_VALUE"""),"undefined")</f>
        <v>undefined</v>
      </c>
      <c r="E309" s="15">
        <f>IFERROR(__xludf.DUMMYFUNCTION("""COMPUTED_VALUE"""),2011.0)</f>
        <v>2011</v>
      </c>
      <c r="F309" s="15" t="str">
        <f>IFERROR(__xludf.DUMMYFUNCTION("""COMPUTED_VALUE"""),"QUAD")</f>
        <v>QUAD</v>
      </c>
      <c r="G309" s="15" t="str">
        <f>IFERROR(__xludf.DUMMYFUNCTION("""COMPUTED_VALUE"""),"CPFA, SPEED_55, DAY, CPLA, SPEED_40, NCAP, SPEED_60")</f>
        <v>CPFA, SPEED_55, DAY, CPLA, SPEED_40, NCAP, SPEED_60</v>
      </c>
      <c r="H309" s="15">
        <f>IFERROR(__xludf.DUMMYFUNCTION("""COMPUTED_VALUE"""),-1.0)</f>
        <v>-1</v>
      </c>
      <c r="I309" s="15">
        <f>IFERROR(__xludf.DUMMYFUNCTION("""COMPUTED_VALUE"""),-1.0)</f>
        <v>-1</v>
      </c>
      <c r="J309" s="15">
        <f>IFERROR(__xludf.DUMMYFUNCTION("""COMPUTED_VALUE"""),-1.0)</f>
        <v>-1</v>
      </c>
      <c r="K309" s="16" t="str">
        <f>IFERROR(__xludf.DUMMYFUNCTION("""COMPUTED_VALUE"""),"15/02/2024, 14:18:49")</f>
        <v>15/02/2024, 14:18:49</v>
      </c>
    </row>
    <row r="310">
      <c r="A310" s="18" t="str">
        <f>IFERROR(__xludf.DUMMYFUNCTION("""COMPUTED_VALUE"""),"62f8e6de07d51f1227bde8ac")</f>
        <v>62f8e6de07d51f1227bde8ac</v>
      </c>
      <c r="B310" s="15" t="str">
        <f>IFERROR(__xludf.DUMMYFUNCTION("""COMPUTED_VALUE"""),"combined_ncap_longi_2w_day_test_14_08")</f>
        <v>combined_ncap_longi_2w_day_test_14_08</v>
      </c>
      <c r="C310" s="15" t="str">
        <f>IFERROR(__xludf.DUMMYFUNCTION("""COMPUTED_VALUE"""),"test")</f>
        <v>test</v>
      </c>
      <c r="D310" s="15" t="str">
        <f>IFERROR(__xludf.DUMMYFUNCTION("""COMPUTED_VALUE"""),"undefined")</f>
        <v>undefined</v>
      </c>
      <c r="E310" s="15">
        <f>IFERROR(__xludf.DUMMYFUNCTION("""COMPUTED_VALUE"""),3572.0)</f>
        <v>3572</v>
      </c>
      <c r="F310" s="15" t="str">
        <f>IFERROR(__xludf.DUMMYFUNCTION("""COMPUTED_VALUE"""),"QUAD")</f>
        <v>QUAD</v>
      </c>
      <c r="G310" s="15" t="str">
        <f>IFERROR(__xludf.DUMMYFUNCTION("""COMPUTED_VALUE"""),"SPEED_40, SPEED_60, DAY, CBLA, NCAP, SPEED_30")</f>
        <v>SPEED_40, SPEED_60, DAY, CBLA, NCAP, SPEED_30</v>
      </c>
      <c r="H310" s="15">
        <f>IFERROR(__xludf.DUMMYFUNCTION("""COMPUTED_VALUE"""),-1.0)</f>
        <v>-1</v>
      </c>
      <c r="I310" s="15">
        <f>IFERROR(__xludf.DUMMYFUNCTION("""COMPUTED_VALUE"""),-1.0)</f>
        <v>-1</v>
      </c>
      <c r="J310" s="15">
        <f>IFERROR(__xludf.DUMMYFUNCTION("""COMPUTED_VALUE"""),-1.0)</f>
        <v>-1</v>
      </c>
      <c r="K310" s="16" t="str">
        <f>IFERROR(__xludf.DUMMYFUNCTION("""COMPUTED_VALUE"""),"15/02/2024, 15:12:18")</f>
        <v>15/02/2024, 15:12:18</v>
      </c>
    </row>
    <row r="311">
      <c r="A311" s="18" t="str">
        <f>IFERROR(__xludf.DUMMYFUNCTION("""COMPUTED_VALUE"""),"65ce0db5ab0e100832451c52")</f>
        <v>65ce0db5ab0e100832451c52</v>
      </c>
      <c r="B311" s="15" t="str">
        <f>IFERROR(__xludf.DUMMYFUNCTION("""COMPUTED_VALUE"""),"ncap_crossing_2w_day_test_14_08_added_to_odtaggeddataboard")</f>
        <v>ncap_crossing_2w_day_test_14_08_added_to_odtaggeddataboard</v>
      </c>
      <c r="C311" s="15" t="str">
        <f>IFERROR(__xludf.DUMMYFUNCTION("""COMPUTED_VALUE"""),"test")</f>
        <v>test</v>
      </c>
      <c r="D311" s="15" t="str">
        <f>IFERROR(__xludf.DUMMYFUNCTION("""COMPUTED_VALUE"""),"test")</f>
        <v>test</v>
      </c>
      <c r="E311" s="15">
        <f>IFERROR(__xludf.DUMMYFUNCTION("""COMPUTED_VALUE"""),2012.0)</f>
        <v>2012</v>
      </c>
      <c r="F311" s="15" t="str">
        <f>IFERROR(__xludf.DUMMYFUNCTION("""COMPUTED_VALUE"""),"QUAD")</f>
        <v>QUAD</v>
      </c>
      <c r="G311" s="15" t="str">
        <f>IFERROR(__xludf.DUMMYFUNCTION("""COMPUTED_VALUE"""),"NCAP")</f>
        <v>NCAP</v>
      </c>
      <c r="H311" s="15">
        <f>IFERROR(__xludf.DUMMYFUNCTION("""COMPUTED_VALUE"""),-1.0)</f>
        <v>-1</v>
      </c>
      <c r="I311" s="15">
        <f>IFERROR(__xludf.DUMMYFUNCTION("""COMPUTED_VALUE"""),-1.0)</f>
        <v>-1</v>
      </c>
      <c r="J311" s="15">
        <f>IFERROR(__xludf.DUMMYFUNCTION("""COMPUTED_VALUE"""),-1.0)</f>
        <v>-1</v>
      </c>
      <c r="K311" s="16" t="str">
        <f>IFERROR(__xludf.DUMMYFUNCTION("""COMPUTED_VALUE"""),"15/02/2024, 15:12:32")</f>
        <v>15/02/2024, 15:12:32</v>
      </c>
    </row>
    <row r="312">
      <c r="A312" s="18" t="str">
        <f>IFERROR(__xludf.DUMMYFUNCTION("""COMPUTED_VALUE"""),"62f8e7b607d51f1227bded18")</f>
        <v>62f8e7b607d51f1227bded18</v>
      </c>
      <c r="B312" s="15" t="str">
        <f>IFERROR(__xludf.DUMMYFUNCTION("""COMPUTED_VALUE"""),"combined_ncap_longi_4w_day_test_14_08")</f>
        <v>combined_ncap_longi_4w_day_test_14_08</v>
      </c>
      <c r="C312" s="15" t="str">
        <f>IFERROR(__xludf.DUMMYFUNCTION("""COMPUTED_VALUE"""),"test")</f>
        <v>test</v>
      </c>
      <c r="D312" s="15" t="str">
        <f>IFERROR(__xludf.DUMMYFUNCTION("""COMPUTED_VALUE"""),"undefined")</f>
        <v>undefined</v>
      </c>
      <c r="E312" s="15">
        <f>IFERROR(__xludf.DUMMYFUNCTION("""COMPUTED_VALUE"""),2452.0)</f>
        <v>2452</v>
      </c>
      <c r="F312" s="15" t="str">
        <f>IFERROR(__xludf.DUMMYFUNCTION("""COMPUTED_VALUE"""),"QUAD")</f>
        <v>QUAD</v>
      </c>
      <c r="G312" s="15" t="str">
        <f>IFERROR(__xludf.DUMMYFUNCTION("""COMPUTED_VALUE"""),"DAY, CCRM, NCAP, SPEED_80, OVERLAP_75")</f>
        <v>DAY, CCRM, NCAP, SPEED_80, OVERLAP_75</v>
      </c>
      <c r="H312" s="15">
        <f>IFERROR(__xludf.DUMMYFUNCTION("""COMPUTED_VALUE"""),-1.0)</f>
        <v>-1</v>
      </c>
      <c r="I312" s="15">
        <f>IFERROR(__xludf.DUMMYFUNCTION("""COMPUTED_VALUE"""),-1.0)</f>
        <v>-1</v>
      </c>
      <c r="J312" s="15">
        <f>IFERROR(__xludf.DUMMYFUNCTION("""COMPUTED_VALUE"""),-1.0)</f>
        <v>-1</v>
      </c>
      <c r="K312" s="16" t="str">
        <f>IFERROR(__xludf.DUMMYFUNCTION("""COMPUTED_VALUE"""),"15/02/2024, 15:12:36")</f>
        <v>15/02/2024, 15:12:36</v>
      </c>
    </row>
    <row r="313">
      <c r="A313" s="18" t="str">
        <f>IFERROR(__xludf.DUMMYFUNCTION("""COMPUTED_VALUE"""),"62f8e89807d51f1227bdede4")</f>
        <v>62f8e89807d51f1227bdede4</v>
      </c>
      <c r="B313" s="15" t="str">
        <f>IFERROR(__xludf.DUMMYFUNCTION("""COMPUTED_VALUE"""),"combined_ncap_crossing_ped_day_test_14_08")</f>
        <v>combined_ncap_crossing_ped_day_test_14_08</v>
      </c>
      <c r="C313" s="15" t="str">
        <f>IFERROR(__xludf.DUMMYFUNCTION("""COMPUTED_VALUE"""),"test")</f>
        <v>test</v>
      </c>
      <c r="D313" s="15" t="str">
        <f>IFERROR(__xludf.DUMMYFUNCTION("""COMPUTED_VALUE"""),"undefined")</f>
        <v>undefined</v>
      </c>
      <c r="E313" s="15">
        <f>IFERROR(__xludf.DUMMYFUNCTION("""COMPUTED_VALUE"""),1330.0)</f>
        <v>1330</v>
      </c>
      <c r="F313" s="15" t="str">
        <f>IFERROR(__xludf.DUMMYFUNCTION("""COMPUTED_VALUE"""),"QUAD")</f>
        <v>QUAD</v>
      </c>
      <c r="G313" s="15" t="str">
        <f>IFERROR(__xludf.DUMMYFUNCTION("""COMPUTED_VALUE"""),"DAY, SPEED_35, CPNC, NCAP, SPEED_20")</f>
        <v>DAY, SPEED_35, CPNC, NCAP, SPEED_20</v>
      </c>
      <c r="H313" s="15">
        <f>IFERROR(__xludf.DUMMYFUNCTION("""COMPUTED_VALUE"""),-1.0)</f>
        <v>-1</v>
      </c>
      <c r="I313" s="15">
        <f>IFERROR(__xludf.DUMMYFUNCTION("""COMPUTED_VALUE"""),-1.0)</f>
        <v>-1</v>
      </c>
      <c r="J313" s="15">
        <f>IFERROR(__xludf.DUMMYFUNCTION("""COMPUTED_VALUE"""),-1.0)</f>
        <v>-1</v>
      </c>
      <c r="K313" s="16" t="str">
        <f>IFERROR(__xludf.DUMMYFUNCTION("""COMPUTED_VALUE"""),"15/02/2024, 16:06:54")</f>
        <v>15/02/2024, 16:06:54</v>
      </c>
    </row>
    <row r="314">
      <c r="A314" s="18" t="str">
        <f>IFERROR(__xludf.DUMMYFUNCTION("""COMPUTED_VALUE"""),"63baba282426700446d4e8e4")</f>
        <v>63baba282426700446d4e8e4</v>
      </c>
      <c r="B314" s="15" t="str">
        <f>IFERROR(__xludf.DUMMYFUNCTION("""COMPUTED_VALUE"""),"official_4w_highway_and_urban_night_dataset_for_train_updated")</f>
        <v>official_4w_highway_and_urban_night_dataset_for_train_updated</v>
      </c>
      <c r="C314" s="15" t="str">
        <f>IFERROR(__xludf.DUMMYFUNCTION("""COMPUTED_VALUE"""),"train")</f>
        <v>train</v>
      </c>
      <c r="D314" s="15" t="str">
        <f>IFERROR(__xludf.DUMMYFUNCTION("""COMPUTED_VALUE"""),"train")</f>
        <v>train</v>
      </c>
      <c r="E314" s="15">
        <f>IFERROR(__xludf.DUMMYFUNCTION("""COMPUTED_VALUE"""),764.0)</f>
        <v>764</v>
      </c>
      <c r="F314" s="15" t="str">
        <f>IFERROR(__xludf.DUMMYFUNCTION("""COMPUTED_VALUE"""),"QUAD")</f>
        <v>QUAD</v>
      </c>
      <c r="G314" s="15" t="str">
        <f>IFERROR(__xludf.DUMMYFUNCTION("""COMPUTED_VALUE"""),"fixing, night, train")</f>
        <v>fixing, night, train</v>
      </c>
      <c r="H314" s="15">
        <f>IFERROR(__xludf.DUMMYFUNCTION("""COMPUTED_VALUE"""),-1.0)</f>
        <v>-1</v>
      </c>
      <c r="I314" s="15">
        <f>IFERROR(__xludf.DUMMYFUNCTION("""COMPUTED_VALUE"""),-1.0)</f>
        <v>-1</v>
      </c>
      <c r="J314" s="15">
        <f>IFERROR(__xludf.DUMMYFUNCTION("""COMPUTED_VALUE"""),-1.0)</f>
        <v>-1</v>
      </c>
      <c r="K314" s="16" t="str">
        <f>IFERROR(__xludf.DUMMYFUNCTION("""COMPUTED_VALUE"""),"28/02/2024, 12:32:51")</f>
        <v>28/02/2024, 12:32:51</v>
      </c>
    </row>
    <row r="315">
      <c r="A315" s="18" t="str">
        <f>IFERROR(__xludf.DUMMYFUNCTION("""COMPUTED_VALUE"""),"63bac7372426700446d546e4")</f>
        <v>63bac7372426700446d546e4</v>
      </c>
      <c r="B315" s="15" t="str">
        <f>IFERROR(__xludf.DUMMYFUNCTION("""COMPUTED_VALUE"""),"official_batch4_night_set_for_train_updated")</f>
        <v>official_batch4_night_set_for_train_updated</v>
      </c>
      <c r="C315" s="15" t="str">
        <f>IFERROR(__xludf.DUMMYFUNCTION("""COMPUTED_VALUE"""),"train")</f>
        <v>train</v>
      </c>
      <c r="D315" s="15" t="str">
        <f>IFERROR(__xludf.DUMMYFUNCTION("""COMPUTED_VALUE"""),"train")</f>
        <v>train</v>
      </c>
      <c r="E315" s="15">
        <f>IFERROR(__xludf.DUMMYFUNCTION("""COMPUTED_VALUE"""),1347.0)</f>
        <v>1347</v>
      </c>
      <c r="F315" s="15" t="str">
        <f>IFERROR(__xludf.DUMMYFUNCTION("""COMPUTED_VALUE"""),"QUAD")</f>
        <v>QUAD</v>
      </c>
      <c r="G315" s="15" t="str">
        <f>IFERROR(__xludf.DUMMYFUNCTION("""COMPUTED_VALUE"""),"fixing, night, train")</f>
        <v>fixing, night, train</v>
      </c>
      <c r="H315" s="15">
        <f>IFERROR(__xludf.DUMMYFUNCTION("""COMPUTED_VALUE"""),-1.0)</f>
        <v>-1</v>
      </c>
      <c r="I315" s="15">
        <f>IFERROR(__xludf.DUMMYFUNCTION("""COMPUTED_VALUE"""),-1.0)</f>
        <v>-1</v>
      </c>
      <c r="J315" s="15">
        <f>IFERROR(__xludf.DUMMYFUNCTION("""COMPUTED_VALUE"""),-1.0)</f>
        <v>-1</v>
      </c>
      <c r="K315" s="16" t="str">
        <f>IFERROR(__xludf.DUMMYFUNCTION("""COMPUTED_VALUE"""),"28/02/2024, 12:33:40")</f>
        <v>28/02/2024, 12:33:40</v>
      </c>
    </row>
    <row r="316">
      <c r="A316" s="18" t="str">
        <f>IFERROR(__xludf.DUMMYFUNCTION("""COMPUTED_VALUE"""),"63bad9d52426700446d5b900")</f>
        <v>63bad9d52426700446d5b900</v>
      </c>
      <c r="B316" s="15" t="str">
        <f>IFERROR(__xludf.DUMMYFUNCTION("""COMPUTED_VALUE"""),"official_night_issues_set_for_train_updated")</f>
        <v>official_night_issues_set_for_train_updated</v>
      </c>
      <c r="C316" s="15" t="str">
        <f>IFERROR(__xludf.DUMMYFUNCTION("""COMPUTED_VALUE"""),"train")</f>
        <v>train</v>
      </c>
      <c r="D316" s="15" t="str">
        <f>IFERROR(__xludf.DUMMYFUNCTION("""COMPUTED_VALUE"""),"train")</f>
        <v>train</v>
      </c>
      <c r="E316" s="15">
        <f>IFERROR(__xludf.DUMMYFUNCTION("""COMPUTED_VALUE"""),1603.0)</f>
        <v>1603</v>
      </c>
      <c r="F316" s="15" t="str">
        <f>IFERROR(__xludf.DUMMYFUNCTION("""COMPUTED_VALUE"""),"QUAD")</f>
        <v>QUAD</v>
      </c>
      <c r="G316" s="15" t="str">
        <f>IFERROR(__xludf.DUMMYFUNCTION("""COMPUTED_VALUE"""),"fixing, night, train")</f>
        <v>fixing, night, train</v>
      </c>
      <c r="H316" s="15">
        <f>IFERROR(__xludf.DUMMYFUNCTION("""COMPUTED_VALUE"""),-1.0)</f>
        <v>-1</v>
      </c>
      <c r="I316" s="15">
        <f>IFERROR(__xludf.DUMMYFUNCTION("""COMPUTED_VALUE"""),-1.0)</f>
        <v>-1</v>
      </c>
      <c r="J316" s="15">
        <f>IFERROR(__xludf.DUMMYFUNCTION("""COMPUTED_VALUE"""),-1.0)</f>
        <v>-1</v>
      </c>
      <c r="K316" s="16" t="str">
        <f>IFERROR(__xludf.DUMMYFUNCTION("""COMPUTED_VALUE"""),"28/02/2024, 12:35:48")</f>
        <v>28/02/2024, 12:35:48</v>
      </c>
    </row>
    <row r="317">
      <c r="A317" s="18" t="str">
        <f>IFERROR(__xludf.DUMMYFUNCTION("""COMPUTED_VALUE"""),"63babaab2426700446d4e98d")</f>
        <v>63babaab2426700446d4e98d</v>
      </c>
      <c r="B317" s="15" t="str">
        <f>IFERROR(__xludf.DUMMYFUNCTION("""COMPUTED_VALUE"""),"official_night_dataset_week_27_for_train_updated")</f>
        <v>official_night_dataset_week_27_for_train_updated</v>
      </c>
      <c r="C317" s="15" t="str">
        <f>IFERROR(__xludf.DUMMYFUNCTION("""COMPUTED_VALUE"""),"train")</f>
        <v>train</v>
      </c>
      <c r="D317" s="15" t="str">
        <f>IFERROR(__xludf.DUMMYFUNCTION("""COMPUTED_VALUE"""),"train")</f>
        <v>train</v>
      </c>
      <c r="E317" s="15">
        <f>IFERROR(__xludf.DUMMYFUNCTION("""COMPUTED_VALUE"""),831.0)</f>
        <v>831</v>
      </c>
      <c r="F317" s="15" t="str">
        <f>IFERROR(__xludf.DUMMYFUNCTION("""COMPUTED_VALUE"""),"QUAD")</f>
        <v>QUAD</v>
      </c>
      <c r="G317" s="15" t="str">
        <f>IFERROR(__xludf.DUMMYFUNCTION("""COMPUTED_VALUE"""),"fixing, night, train")</f>
        <v>fixing, night, train</v>
      </c>
      <c r="H317" s="15">
        <f>IFERROR(__xludf.DUMMYFUNCTION("""COMPUTED_VALUE"""),-1.0)</f>
        <v>-1</v>
      </c>
      <c r="I317" s="15">
        <f>IFERROR(__xludf.DUMMYFUNCTION("""COMPUTED_VALUE"""),-1.0)</f>
        <v>-1</v>
      </c>
      <c r="J317" s="15">
        <f>IFERROR(__xludf.DUMMYFUNCTION("""COMPUTED_VALUE"""),-1.0)</f>
        <v>-1</v>
      </c>
      <c r="K317" s="16" t="str">
        <f>IFERROR(__xludf.DUMMYFUNCTION("""COMPUTED_VALUE"""),"28/02/2024, 12:36:47")</f>
        <v>28/02/2024, 12:36:47</v>
      </c>
    </row>
    <row r="318">
      <c r="A318" s="18" t="str">
        <f>IFERROR(__xludf.DUMMYFUNCTION("""COMPUTED_VALUE"""),"63bacf302426700446d5af5b")</f>
        <v>63bacf302426700446d5af5b</v>
      </c>
      <c r="B318" s="15" t="str">
        <f>IFERROR(__xludf.DUMMYFUNCTION("""COMPUTED_VALUE"""),"official_newman_conti_mfc520_japan_night_for_train_updated")</f>
        <v>official_newman_conti_mfc520_japan_night_for_train_updated</v>
      </c>
      <c r="C318" s="15" t="str">
        <f>IFERROR(__xludf.DUMMYFUNCTION("""COMPUTED_VALUE"""),"train")</f>
        <v>train</v>
      </c>
      <c r="D318" s="15" t="str">
        <f>IFERROR(__xludf.DUMMYFUNCTION("""COMPUTED_VALUE"""),"train")</f>
        <v>train</v>
      </c>
      <c r="E318" s="15">
        <f>IFERROR(__xludf.DUMMYFUNCTION("""COMPUTED_VALUE"""),15760.0)</f>
        <v>15760</v>
      </c>
      <c r="F318" s="15" t="str">
        <f>IFERROR(__xludf.DUMMYFUNCTION("""COMPUTED_VALUE"""),"QUAD")</f>
        <v>QUAD</v>
      </c>
      <c r="G318" s="15" t="str">
        <f>IFERROR(__xludf.DUMMYFUNCTION("""COMPUTED_VALUE"""),"night")</f>
        <v>night</v>
      </c>
      <c r="H318" s="15">
        <f>IFERROR(__xludf.DUMMYFUNCTION("""COMPUTED_VALUE"""),-1.0)</f>
        <v>-1</v>
      </c>
      <c r="I318" s="15">
        <f>IFERROR(__xludf.DUMMYFUNCTION("""COMPUTED_VALUE"""),-1.0)</f>
        <v>-1</v>
      </c>
      <c r="J318" s="15">
        <f>IFERROR(__xludf.DUMMYFUNCTION("""COMPUTED_VALUE"""),-1.0)</f>
        <v>-1</v>
      </c>
      <c r="K318" s="16" t="str">
        <f>IFERROR(__xludf.DUMMYFUNCTION("""COMPUTED_VALUE"""),"28/02/2024, 15:21:27")</f>
        <v>28/02/2024, 15:21:27</v>
      </c>
    </row>
    <row r="319">
      <c r="A319" s="18" t="str">
        <f>IFERROR(__xludf.DUMMYFUNCTION("""COMPUTED_VALUE"""),"63babc4c2426700446d4ea3a")</f>
        <v>63babc4c2426700446d4ea3a</v>
      </c>
      <c r="B319" s="15" t="str">
        <f>IFERROR(__xludf.DUMMYFUNCTION("""COMPUTED_VALUE"""),"official_combined_night_urban_and_highway_3_for_train_updated")</f>
        <v>official_combined_night_urban_and_highway_3_for_train_updated</v>
      </c>
      <c r="C319" s="15" t="str">
        <f>IFERROR(__xludf.DUMMYFUNCTION("""COMPUTED_VALUE"""),"train")</f>
        <v>train</v>
      </c>
      <c r="D319" s="15" t="str">
        <f>IFERROR(__xludf.DUMMYFUNCTION("""COMPUTED_VALUE"""),"train")</f>
        <v>train</v>
      </c>
      <c r="E319" s="15">
        <f>IFERROR(__xludf.DUMMYFUNCTION("""COMPUTED_VALUE"""),4888.0)</f>
        <v>4888</v>
      </c>
      <c r="F319" s="15" t="str">
        <f>IFERROR(__xludf.DUMMYFUNCTION("""COMPUTED_VALUE"""),"QUAD")</f>
        <v>QUAD</v>
      </c>
      <c r="G319" s="15" t="str">
        <f>IFERROR(__xludf.DUMMYFUNCTION("""COMPUTED_VALUE"""),"night")</f>
        <v>night</v>
      </c>
      <c r="H319" s="15">
        <f>IFERROR(__xludf.DUMMYFUNCTION("""COMPUTED_VALUE"""),-1.0)</f>
        <v>-1</v>
      </c>
      <c r="I319" s="15">
        <f>IFERROR(__xludf.DUMMYFUNCTION("""COMPUTED_VALUE"""),-1.0)</f>
        <v>-1</v>
      </c>
      <c r="J319" s="15">
        <f>IFERROR(__xludf.DUMMYFUNCTION("""COMPUTED_VALUE"""),-1.0)</f>
        <v>-1</v>
      </c>
      <c r="K319" s="16" t="str">
        <f>IFERROR(__xludf.DUMMYFUNCTION("""COMPUTED_VALUE"""),"28/02/2024, 15:21:33")</f>
        <v>28/02/2024, 15:21:33</v>
      </c>
    </row>
    <row r="320">
      <c r="A320" s="18" t="str">
        <f>IFERROR(__xludf.DUMMYFUNCTION("""COMPUTED_VALUE"""),"64e375c97225d01c8be18b23")</f>
        <v>64e375c97225d01c8be18b23</v>
      </c>
      <c r="B320" s="15" t="str">
        <f>IFERROR(__xludf.DUMMYFUNCTION("""COMPUTED_VALUE"""),"official_combined_night_urban_and_highway_2_for_train_updated_tagged_images")</f>
        <v>official_combined_night_urban_and_highway_2_for_train_updated_tagged_images</v>
      </c>
      <c r="C320" s="15" t="str">
        <f>IFERROR(__xludf.DUMMYFUNCTION("""COMPUTED_VALUE"""),"train")</f>
        <v>train</v>
      </c>
      <c r="D320" s="15" t="str">
        <f>IFERROR(__xludf.DUMMYFUNCTION("""COMPUTED_VALUE"""),"train")</f>
        <v>train</v>
      </c>
      <c r="E320" s="15">
        <f>IFERROR(__xludf.DUMMYFUNCTION("""COMPUTED_VALUE"""),3878.0)</f>
        <v>3878</v>
      </c>
      <c r="F320" s="15" t="str">
        <f>IFERROR(__xludf.DUMMYFUNCTION("""COMPUTED_VALUE"""),"QUAD")</f>
        <v>QUAD</v>
      </c>
      <c r="G320" s="15" t="str">
        <f>IFERROR(__xludf.DUMMYFUNCTION("""COMPUTED_VALUE"""),"fixing, night, train")</f>
        <v>fixing, night, train</v>
      </c>
      <c r="H320" s="15">
        <f>IFERROR(__xludf.DUMMYFUNCTION("""COMPUTED_VALUE"""),-1.0)</f>
        <v>-1</v>
      </c>
      <c r="I320" s="15">
        <f>IFERROR(__xludf.DUMMYFUNCTION("""COMPUTED_VALUE"""),-1.0)</f>
        <v>-1</v>
      </c>
      <c r="J320" s="15">
        <f>IFERROR(__xludf.DUMMYFUNCTION("""COMPUTED_VALUE"""),-1.0)</f>
        <v>-1</v>
      </c>
      <c r="K320" s="28">
        <f>IFERROR(__xludf.DUMMYFUNCTION("""COMPUTED_VALUE"""),45568.70694444444)</f>
        <v>45568.70694</v>
      </c>
    </row>
    <row r="321">
      <c r="A321" s="18" t="str">
        <f>IFERROR(__xludf.DUMMYFUNCTION("""COMPUTED_VALUE"""),"63bac6de2426700446d5378e")</f>
        <v>63bac6de2426700446d5378e</v>
      </c>
      <c r="B321" s="15" t="str">
        <f>IFERROR(__xludf.DUMMYFUNCTION("""COMPUTED_VALUE"""),"official_batch5_night_set_for_train_updated")</f>
        <v>official_batch5_night_set_for_train_updated</v>
      </c>
      <c r="C321" s="15" t="str">
        <f>IFERROR(__xludf.DUMMYFUNCTION("""COMPUTED_VALUE"""),"train")</f>
        <v>train</v>
      </c>
      <c r="D321" s="15" t="str">
        <f>IFERROR(__xludf.DUMMYFUNCTION("""COMPUTED_VALUE"""),"train")</f>
        <v>train</v>
      </c>
      <c r="E321" s="15">
        <f>IFERROR(__xludf.DUMMYFUNCTION("""COMPUTED_VALUE"""),1147.0)</f>
        <v>1147</v>
      </c>
      <c r="F321" s="15" t="str">
        <f>IFERROR(__xludf.DUMMYFUNCTION("""COMPUTED_VALUE"""),"QUAD")</f>
        <v>QUAD</v>
      </c>
      <c r="G321" s="15" t="str">
        <f>IFERROR(__xludf.DUMMYFUNCTION("""COMPUTED_VALUE"""),"fixing, night, train")</f>
        <v>fixing, night, train</v>
      </c>
      <c r="H321" s="15">
        <f>IFERROR(__xludf.DUMMYFUNCTION("""COMPUTED_VALUE"""),-1.0)</f>
        <v>-1</v>
      </c>
      <c r="I321" s="15">
        <f>IFERROR(__xludf.DUMMYFUNCTION("""COMPUTED_VALUE"""),-1.0)</f>
        <v>-1</v>
      </c>
      <c r="J321" s="15">
        <f>IFERROR(__xludf.DUMMYFUNCTION("""COMPUTED_VALUE"""),-1.0)</f>
        <v>-1</v>
      </c>
      <c r="K321" s="28">
        <f>IFERROR(__xludf.DUMMYFUNCTION("""COMPUTED_VALUE"""),45568.70935185185)</f>
        <v>45568.70935</v>
      </c>
    </row>
    <row r="322">
      <c r="A322" s="18" t="str">
        <f>IFERROR(__xludf.DUMMYFUNCTION("""COMPUTED_VALUE"""),"6535079854107825f76b908f")</f>
        <v>6535079854107825f76b908f</v>
      </c>
      <c r="B322" s="15" t="str">
        <f>IFERROR(__xludf.DUMMYFUNCTION("""COMPUTED_VALUE"""),"official_od_collected_night_random_from_wolfsburg_demo_v2_batch_3_split_by_size_of_200_od_for_train_tagged")</f>
        <v>official_od_collected_night_random_from_wolfsburg_demo_v2_batch_3_split_by_size_of_200_od_for_train_tagged</v>
      </c>
      <c r="C322" s="15" t="str">
        <f>IFERROR(__xludf.DUMMYFUNCTION("""COMPUTED_VALUE"""),"train")</f>
        <v>train</v>
      </c>
      <c r="D322" s="15" t="str">
        <f>IFERROR(__xludf.DUMMYFUNCTION("""COMPUTED_VALUE"""),"train")</f>
        <v>train</v>
      </c>
      <c r="E322" s="15">
        <f>IFERROR(__xludf.DUMMYFUNCTION("""COMPUTED_VALUE"""),200.0)</f>
        <v>200</v>
      </c>
      <c r="F322" s="15" t="str">
        <f>IFERROR(__xludf.DUMMYFUNCTION("""COMPUTED_VALUE"""),"8MP_JPG")</f>
        <v>8MP_JPG</v>
      </c>
      <c r="G322" s="15" t="str">
        <f>IFERROR(__xludf.DUMMYFUNCTION("""COMPUTED_VALUE"""),"fixing")</f>
        <v>fixing</v>
      </c>
      <c r="H322" s="15">
        <f>IFERROR(__xludf.DUMMYFUNCTION("""COMPUTED_VALUE"""),-1.0)</f>
        <v>-1</v>
      </c>
      <c r="I322" s="15">
        <f>IFERROR(__xludf.DUMMYFUNCTION("""COMPUTED_VALUE"""),-1.0)</f>
        <v>-1</v>
      </c>
      <c r="J322" s="15">
        <f>IFERROR(__xludf.DUMMYFUNCTION("""COMPUTED_VALUE"""),-1.0)</f>
        <v>-1</v>
      </c>
      <c r="K322" s="28">
        <f>IFERROR(__xludf.DUMMYFUNCTION("""COMPUTED_VALUE"""),45568.72657407408)</f>
        <v>45568.72657</v>
      </c>
    </row>
    <row r="323">
      <c r="A323" s="18" t="str">
        <f>IFERROR(__xludf.DUMMYFUNCTION("""COMPUTED_VALUE"""),"65ed7b9879512c347d507908")</f>
        <v>65ed7b9879512c347d507908</v>
      </c>
      <c r="B323" s="15" t="str">
        <f>IFERROR(__xludf.DUMMYFUNCTION("""COMPUTED_VALUE"""),"_endemic_north_las_vegas_chosen_to_tag_every_3_images_to_tag_batch_1_each_300")</f>
        <v>_endemic_north_las_vegas_chosen_to_tag_every_3_images_to_tag_batch_1_each_300</v>
      </c>
      <c r="C323" s="15" t="str">
        <f>IFERROR(__xludf.DUMMYFUNCTION("""COMPUTED_VALUE"""),"train")</f>
        <v>train</v>
      </c>
      <c r="D323" s="15" t="str">
        <f>IFERROR(__xludf.DUMMYFUNCTION("""COMPUTED_VALUE"""),"train")</f>
        <v>train</v>
      </c>
      <c r="E323" s="15">
        <f>IFERROR(__xludf.DUMMYFUNCTION("""COMPUTED_VALUE"""),53.0)</f>
        <v>53</v>
      </c>
      <c r="F323" s="15" t="str">
        <f>IFERROR(__xludf.DUMMYFUNCTION("""COMPUTED_VALUE"""),"8MP_JPG")</f>
        <v>8MP_JPG</v>
      </c>
      <c r="G323" s="15" t="str">
        <f>IFERROR(__xludf.DUMMYFUNCTION("""COMPUTED_VALUE"""),"CLEAR, TEL_AVIV, TAR_LINES, DAY, ISRAEL, ARROWS")</f>
        <v>CLEAR, TEL_AVIV, TAR_LINES, DAY, ISRAEL, ARROWS</v>
      </c>
      <c r="H323" s="15">
        <f>IFERROR(__xludf.DUMMYFUNCTION("""COMPUTED_VALUE"""),-1.0)</f>
        <v>-1</v>
      </c>
      <c r="I323" s="15">
        <f>IFERROR(__xludf.DUMMYFUNCTION("""COMPUTED_VALUE"""),-1.0)</f>
        <v>-1</v>
      </c>
      <c r="J323" s="15">
        <f>IFERROR(__xludf.DUMMYFUNCTION("""COMPUTED_VALUE"""),-1.0)</f>
        <v>-1</v>
      </c>
      <c r="K323" s="16" t="str">
        <f>IFERROR(__xludf.DUMMYFUNCTION("""COMPUTED_VALUE"""),"16/04/2024, 18:37:47")</f>
        <v>16/04/2024, 18:37:47</v>
      </c>
    </row>
    <row r="324">
      <c r="A324" s="18" t="str">
        <f>IFERROR(__xludf.DUMMYFUNCTION("""COMPUTED_VALUE"""),"665ed99306e1a362691f11dd")</f>
        <v>665ed99306e1a362691f11dd</v>
      </c>
      <c r="B324" s="15" t="str">
        <f>IFERROR(__xludf.DUMMYFUNCTION("""COMPUTED_VALUE"""),"2w_crossing_100m_yv1_renault_demo_to_tag")</f>
        <v>2w_crossing_100m_yv1_renault_demo_to_tag</v>
      </c>
      <c r="C324" s="15" t="str">
        <f>IFERROR(__xludf.DUMMYFUNCTION("""COMPUTED_VALUE"""),"train")</f>
        <v>train</v>
      </c>
      <c r="D324" s="15" t="str">
        <f>IFERROR(__xludf.DUMMYFUNCTION("""COMPUTED_VALUE"""),"train")</f>
        <v>train</v>
      </c>
      <c r="E324" s="15">
        <f>IFERROR(__xludf.DUMMYFUNCTION("""COMPUTED_VALUE"""),120.0)</f>
        <v>120</v>
      </c>
      <c r="F324" s="15" t="str">
        <f>IFERROR(__xludf.DUMMYFUNCTION("""COMPUTED_VALUE"""),"8MP_JPG")</f>
        <v>8MP_JPG</v>
      </c>
      <c r="G324" s="15" t="str">
        <f>IFERROR(__xludf.DUMMYFUNCTION("""COMPUTED_VALUE"""),"GERMANY, DAY, YELLOW_VEST")</f>
        <v>GERMANY, DAY, YELLOW_VEST</v>
      </c>
      <c r="H324" s="15">
        <f>IFERROR(__xludf.DUMMYFUNCTION("""COMPUTED_VALUE"""),-1.0)</f>
        <v>-1</v>
      </c>
      <c r="I324" s="15">
        <f>IFERROR(__xludf.DUMMYFUNCTION("""COMPUTED_VALUE"""),-1.0)</f>
        <v>-1</v>
      </c>
      <c r="J324" s="15">
        <f>IFERROR(__xludf.DUMMYFUNCTION("""COMPUTED_VALUE"""),-1.0)</f>
        <v>-1</v>
      </c>
      <c r="K324" s="28">
        <f>IFERROR(__xludf.DUMMYFUNCTION("""COMPUTED_VALUE"""),45388.55490740741)</f>
        <v>45388.55491</v>
      </c>
    </row>
    <row r="325">
      <c r="A325" s="25" t="str">
        <f>IFERROR(__xludf.DUMMYFUNCTION("""COMPUTED_VALUE"""),"665ed99306e1a362691f11dc")</f>
        <v>665ed99306e1a362691f11dc</v>
      </c>
      <c r="B325" s="26" t="str">
        <f>IFERROR(__xludf.DUMMYFUNCTION("""COMPUTED_VALUE"""),"2w_crossing_60m_yv_renault_demo_to_tag")</f>
        <v>2w_crossing_60m_yv_renault_demo_to_tag</v>
      </c>
      <c r="C325" s="26" t="str">
        <f>IFERROR(__xludf.DUMMYFUNCTION("""COMPUTED_VALUE"""),"train")</f>
        <v>train</v>
      </c>
      <c r="D325" s="26" t="str">
        <f>IFERROR(__xludf.DUMMYFUNCTION("""COMPUTED_VALUE"""),"train")</f>
        <v>train</v>
      </c>
      <c r="E325" s="26">
        <f>IFERROR(__xludf.DUMMYFUNCTION("""COMPUTED_VALUE"""),120.0)</f>
        <v>120</v>
      </c>
      <c r="F325" s="26" t="str">
        <f>IFERROR(__xludf.DUMMYFUNCTION("""COMPUTED_VALUE"""),"8MP_JPG")</f>
        <v>8MP_JPG</v>
      </c>
      <c r="G325" s="26" t="str">
        <f>IFERROR(__xludf.DUMMYFUNCTION("""COMPUTED_VALUE"""),"GERMANY, CLEAR, DAY, YELLOW_VEST")</f>
        <v>GERMANY, CLEAR, DAY, YELLOW_VEST</v>
      </c>
      <c r="H325" s="26">
        <f>IFERROR(__xludf.DUMMYFUNCTION("""COMPUTED_VALUE"""),-1.0)</f>
        <v>-1</v>
      </c>
      <c r="I325" s="26">
        <f>IFERROR(__xludf.DUMMYFUNCTION("""COMPUTED_VALUE"""),-1.0)</f>
        <v>-1</v>
      </c>
      <c r="J325" s="26">
        <f>IFERROR(__xludf.DUMMYFUNCTION("""COMPUTED_VALUE"""),-1.0)</f>
        <v>-1</v>
      </c>
      <c r="K325" s="29">
        <f>IFERROR(__xludf.DUMMYFUNCTION("""COMPUTED_VALUE"""),45388.55504629629)</f>
        <v>45388.55505</v>
      </c>
    </row>
    <row r="326">
      <c r="A326" s="18" t="str">
        <f>IFERROR(__xludf.DUMMYFUNCTION("""COMPUTED_VALUE"""),"665ed99206e1a362691f11db")</f>
        <v>665ed99206e1a362691f11db</v>
      </c>
      <c r="B326" s="15" t="str">
        <f>IFERROR(__xludf.DUMMYFUNCTION("""COMPUTED_VALUE"""),"ped_crossing_40m_2_scenario_renault_demo_to_tag")</f>
        <v>ped_crossing_40m_2_scenario_renault_demo_to_tag</v>
      </c>
      <c r="C326" s="15" t="str">
        <f>IFERROR(__xludf.DUMMYFUNCTION("""COMPUTED_VALUE"""),"train")</f>
        <v>train</v>
      </c>
      <c r="D326" s="15" t="str">
        <f>IFERROR(__xludf.DUMMYFUNCTION("""COMPUTED_VALUE"""),"train")</f>
        <v>train</v>
      </c>
      <c r="E326" s="15">
        <f>IFERROR(__xludf.DUMMYFUNCTION("""COMPUTED_VALUE"""),120.0)</f>
        <v>120</v>
      </c>
      <c r="F326" s="15" t="str">
        <f>IFERROR(__xludf.DUMMYFUNCTION("""COMPUTED_VALUE"""),"8MP_JPG")</f>
        <v>8MP_JPG</v>
      </c>
      <c r="G326" s="15" t="str">
        <f>IFERROR(__xludf.DUMMYFUNCTION("""COMPUTED_VALUE"""),"GERMANY, DAY")</f>
        <v>GERMANY, DAY</v>
      </c>
      <c r="H326" s="15">
        <f>IFERROR(__xludf.DUMMYFUNCTION("""COMPUTED_VALUE"""),-1.0)</f>
        <v>-1</v>
      </c>
      <c r="I326" s="15">
        <f>IFERROR(__xludf.DUMMYFUNCTION("""COMPUTED_VALUE"""),-1.0)</f>
        <v>-1</v>
      </c>
      <c r="J326" s="15">
        <f>IFERROR(__xludf.DUMMYFUNCTION("""COMPUTED_VALUE"""),-1.0)</f>
        <v>-1</v>
      </c>
      <c r="K326" s="28">
        <f>IFERROR(__xludf.DUMMYFUNCTION("""COMPUTED_VALUE"""),45388.55517361111)</f>
        <v>45388.55517</v>
      </c>
    </row>
    <row r="327">
      <c r="A327" s="18" t="str">
        <f>IFERROR(__xludf.DUMMYFUNCTION("""COMPUTED_VALUE"""),"665ebe4806e1a362691f0501")</f>
        <v>665ebe4806e1a362691f0501</v>
      </c>
      <c r="B327" s="15" t="str">
        <f>IFERROR(__xludf.DUMMYFUNCTION("""COMPUTED_VALUE"""),"_4w_crossing_80m_80kph_1_scenario_renault_demo_to_tag")</f>
        <v>_4w_crossing_80m_80kph_1_scenario_renault_demo_to_tag</v>
      </c>
      <c r="C327" s="15" t="str">
        <f>IFERROR(__xludf.DUMMYFUNCTION("""COMPUTED_VALUE"""),"train")</f>
        <v>train</v>
      </c>
      <c r="D327" s="15" t="str">
        <f>IFERROR(__xludf.DUMMYFUNCTION("""COMPUTED_VALUE"""),"train")</f>
        <v>train</v>
      </c>
      <c r="E327" s="15">
        <f>IFERROR(__xludf.DUMMYFUNCTION("""COMPUTED_VALUE"""),49.0)</f>
        <v>49</v>
      </c>
      <c r="F327" s="15" t="str">
        <f>IFERROR(__xludf.DUMMYFUNCTION("""COMPUTED_VALUE"""),"8MP_JPG")</f>
        <v>8MP_JPG</v>
      </c>
      <c r="G327" s="15" t="str">
        <f>IFERROR(__xludf.DUMMYFUNCTION("""COMPUTED_VALUE"""),"GERMANY, DAY")</f>
        <v>GERMANY, DAY</v>
      </c>
      <c r="H327" s="15">
        <f>IFERROR(__xludf.DUMMYFUNCTION("""COMPUTED_VALUE"""),-1.0)</f>
        <v>-1</v>
      </c>
      <c r="I327" s="15">
        <f>IFERROR(__xludf.DUMMYFUNCTION("""COMPUTED_VALUE"""),-1.0)</f>
        <v>-1</v>
      </c>
      <c r="J327" s="15">
        <f>IFERROR(__xludf.DUMMYFUNCTION("""COMPUTED_VALUE"""),-1.0)</f>
        <v>-1</v>
      </c>
      <c r="K327" s="28">
        <f>IFERROR(__xludf.DUMMYFUNCTION("""COMPUTED_VALUE"""),45388.555289351854)</f>
        <v>45388.55529</v>
      </c>
    </row>
    <row r="328">
      <c r="A328" s="18" t="str">
        <f>IFERROR(__xludf.DUMMYFUNCTION("""COMPUTED_VALUE"""),"665ebe4706e1a362691f0500")</f>
        <v>665ebe4706e1a362691f0500</v>
      </c>
      <c r="B328" s="15" t="str">
        <f>IFERROR(__xludf.DUMMYFUNCTION("""COMPUTED_VALUE"""),"_ped_crossing_60m_yv_renault_demo_to_tag")</f>
        <v>_ped_crossing_60m_yv_renault_demo_to_tag</v>
      </c>
      <c r="C328" s="15" t="str">
        <f>IFERROR(__xludf.DUMMYFUNCTION("""COMPUTED_VALUE"""),"train")</f>
        <v>train</v>
      </c>
      <c r="D328" s="15" t="str">
        <f>IFERROR(__xludf.DUMMYFUNCTION("""COMPUTED_VALUE"""),"train")</f>
        <v>train</v>
      </c>
      <c r="E328" s="15">
        <f>IFERROR(__xludf.DUMMYFUNCTION("""COMPUTED_VALUE"""),180.0)</f>
        <v>180</v>
      </c>
      <c r="F328" s="15" t="str">
        <f>IFERROR(__xludf.DUMMYFUNCTION("""COMPUTED_VALUE"""),"8MP_JPG")</f>
        <v>8MP_JPG</v>
      </c>
      <c r="G328" s="15" t="str">
        <f>IFERROR(__xludf.DUMMYFUNCTION("""COMPUTED_VALUE"""),"GERMANY, DAY, YELLOW_VEST")</f>
        <v>GERMANY, DAY, YELLOW_VEST</v>
      </c>
      <c r="H328" s="15">
        <f>IFERROR(__xludf.DUMMYFUNCTION("""COMPUTED_VALUE"""),-1.0)</f>
        <v>-1</v>
      </c>
      <c r="I328" s="15">
        <f>IFERROR(__xludf.DUMMYFUNCTION("""COMPUTED_VALUE"""),-1.0)</f>
        <v>-1</v>
      </c>
      <c r="J328" s="15">
        <f>IFERROR(__xludf.DUMMYFUNCTION("""COMPUTED_VALUE"""),-1.0)</f>
        <v>-1</v>
      </c>
      <c r="K328" s="28">
        <f>IFERROR(__xludf.DUMMYFUNCTION("""COMPUTED_VALUE"""),45388.555439814816)</f>
        <v>45388.55544</v>
      </c>
    </row>
    <row r="329">
      <c r="A329" s="18" t="str">
        <f>IFERROR(__xludf.DUMMYFUNCTION("""COMPUTED_VALUE"""),"665ebe4606e1a362691f04ff")</f>
        <v>665ebe4606e1a362691f04ff</v>
      </c>
      <c r="B329" s="15" t="str">
        <f>IFERROR(__xludf.DUMMYFUNCTION("""COMPUTED_VALUE"""),"_4w_crossing_120m_80kph_1_scenario_renault_demo_to_tag")</f>
        <v>_4w_crossing_120m_80kph_1_scenario_renault_demo_to_tag</v>
      </c>
      <c r="C329" s="15" t="str">
        <f>IFERROR(__xludf.DUMMYFUNCTION("""COMPUTED_VALUE"""),"train")</f>
        <v>train</v>
      </c>
      <c r="D329" s="15" t="str">
        <f>IFERROR(__xludf.DUMMYFUNCTION("""COMPUTED_VALUE"""),"train")</f>
        <v>train</v>
      </c>
      <c r="E329" s="15">
        <f>IFERROR(__xludf.DUMMYFUNCTION("""COMPUTED_VALUE"""),58.0)</f>
        <v>58</v>
      </c>
      <c r="F329" s="15" t="str">
        <f>IFERROR(__xludf.DUMMYFUNCTION("""COMPUTED_VALUE"""),"8MP_JPG")</f>
        <v>8MP_JPG</v>
      </c>
      <c r="G329" s="15" t="str">
        <f>IFERROR(__xludf.DUMMYFUNCTION("""COMPUTED_VALUE"""),"GERMANY, DAY")</f>
        <v>GERMANY, DAY</v>
      </c>
      <c r="H329" s="15">
        <f>IFERROR(__xludf.DUMMYFUNCTION("""COMPUTED_VALUE"""),-1.0)</f>
        <v>-1</v>
      </c>
      <c r="I329" s="15">
        <f>IFERROR(__xludf.DUMMYFUNCTION("""COMPUTED_VALUE"""),-1.0)</f>
        <v>-1</v>
      </c>
      <c r="J329" s="15">
        <f>IFERROR(__xludf.DUMMYFUNCTION("""COMPUTED_VALUE"""),-1.0)</f>
        <v>-1</v>
      </c>
      <c r="K329" s="28">
        <f>IFERROR(__xludf.DUMMYFUNCTION("""COMPUTED_VALUE"""),45388.555555555555)</f>
        <v>45388.55556</v>
      </c>
    </row>
    <row r="330">
      <c r="A330" s="18" t="str">
        <f>IFERROR(__xludf.DUMMYFUNCTION("""COMPUTED_VALUE"""),"665ebe4506e1a362691f04fe")</f>
        <v>665ebe4506e1a362691f04fe</v>
      </c>
      <c r="B330" s="15" t="str">
        <f>IFERROR(__xludf.DUMMYFUNCTION("""COMPUTED_VALUE"""),"_ped_crossing_80m_yv_renault_demo_to_tag")</f>
        <v>_ped_crossing_80m_yv_renault_demo_to_tag</v>
      </c>
      <c r="C330" s="15" t="str">
        <f>IFERROR(__xludf.DUMMYFUNCTION("""COMPUTED_VALUE"""),"train")</f>
        <v>train</v>
      </c>
      <c r="D330" s="15" t="str">
        <f>IFERROR(__xludf.DUMMYFUNCTION("""COMPUTED_VALUE"""),"train")</f>
        <v>train</v>
      </c>
      <c r="E330" s="15">
        <f>IFERROR(__xludf.DUMMYFUNCTION("""COMPUTED_VALUE"""),240.0)</f>
        <v>240</v>
      </c>
      <c r="F330" s="15" t="str">
        <f>IFERROR(__xludf.DUMMYFUNCTION("""COMPUTED_VALUE"""),"8MP_JPG")</f>
        <v>8MP_JPG</v>
      </c>
      <c r="G330" s="15" t="str">
        <f>IFERROR(__xludf.DUMMYFUNCTION("""COMPUTED_VALUE"""),"GERMANY, DAY, YELLOW_VEST")</f>
        <v>GERMANY, DAY, YELLOW_VEST</v>
      </c>
      <c r="H330" s="15">
        <f>IFERROR(__xludf.DUMMYFUNCTION("""COMPUTED_VALUE"""),-1.0)</f>
        <v>-1</v>
      </c>
      <c r="I330" s="15">
        <f>IFERROR(__xludf.DUMMYFUNCTION("""COMPUTED_VALUE"""),-1.0)</f>
        <v>-1</v>
      </c>
      <c r="J330" s="15">
        <f>IFERROR(__xludf.DUMMYFUNCTION("""COMPUTED_VALUE"""),-1.0)</f>
        <v>-1</v>
      </c>
      <c r="K330" s="28">
        <f>IFERROR(__xludf.DUMMYFUNCTION("""COMPUTED_VALUE"""),45388.55571759259)</f>
        <v>45388.55572</v>
      </c>
    </row>
    <row r="331">
      <c r="A331" s="25" t="str">
        <f>IFERROR(__xludf.DUMMYFUNCTION("""COMPUTED_VALUE"""),"665ebe4406e1a362691f04fd")</f>
        <v>665ebe4406e1a362691f04fd</v>
      </c>
      <c r="B331" s="26" t="str">
        <f>IFERROR(__xludf.DUMMYFUNCTION("""COMPUTED_VALUE"""),"_ped_crossing_70m_yv_renault_demo_to_tag")</f>
        <v>_ped_crossing_70m_yv_renault_demo_to_tag</v>
      </c>
      <c r="C331" s="26" t="str">
        <f>IFERROR(__xludf.DUMMYFUNCTION("""COMPUTED_VALUE"""),"train")</f>
        <v>train</v>
      </c>
      <c r="D331" s="26" t="str">
        <f>IFERROR(__xludf.DUMMYFUNCTION("""COMPUTED_VALUE"""),"train")</f>
        <v>train</v>
      </c>
      <c r="E331" s="26">
        <f>IFERROR(__xludf.DUMMYFUNCTION("""COMPUTED_VALUE"""),180.0)</f>
        <v>180</v>
      </c>
      <c r="F331" s="26" t="str">
        <f>IFERROR(__xludf.DUMMYFUNCTION("""COMPUTED_VALUE"""),"8MP_JPG")</f>
        <v>8MP_JPG</v>
      </c>
      <c r="G331" s="26" t="str">
        <f>IFERROR(__xludf.DUMMYFUNCTION("""COMPUTED_VALUE"""),"GERMANY, DAY, YELLOW_VEST")</f>
        <v>GERMANY, DAY, YELLOW_VEST</v>
      </c>
      <c r="H331" s="26">
        <f>IFERROR(__xludf.DUMMYFUNCTION("""COMPUTED_VALUE"""),-1.0)</f>
        <v>-1</v>
      </c>
      <c r="I331" s="26">
        <f>IFERROR(__xludf.DUMMYFUNCTION("""COMPUTED_VALUE"""),-1.0)</f>
        <v>-1</v>
      </c>
      <c r="J331" s="26">
        <f>IFERROR(__xludf.DUMMYFUNCTION("""COMPUTED_VALUE"""),-1.0)</f>
        <v>-1</v>
      </c>
      <c r="K331" s="29">
        <f>IFERROR(__xludf.DUMMYFUNCTION("""COMPUTED_VALUE"""),45388.555868055555)</f>
        <v>45388.55587</v>
      </c>
    </row>
    <row r="332">
      <c r="A332" s="18" t="str">
        <f>IFERROR(__xludf.DUMMYFUNCTION("""COMPUTED_VALUE"""),"665ebe4106e1a362691f04fb")</f>
        <v>665ebe4106e1a362691f04fb</v>
      </c>
      <c r="B332" s="15" t="str">
        <f>IFERROR(__xludf.DUMMYFUNCTION("""COMPUTED_VALUE"""),"_2w_crossing_100m_3_scenario_renault_demo_to_tag")</f>
        <v>_2w_crossing_100m_3_scenario_renault_demo_to_tag</v>
      </c>
      <c r="C332" s="15" t="str">
        <f>IFERROR(__xludf.DUMMYFUNCTION("""COMPUTED_VALUE"""),"train")</f>
        <v>train</v>
      </c>
      <c r="D332" s="15" t="str">
        <f>IFERROR(__xludf.DUMMYFUNCTION("""COMPUTED_VALUE"""),"train")</f>
        <v>train</v>
      </c>
      <c r="E332" s="15">
        <f>IFERROR(__xludf.DUMMYFUNCTION("""COMPUTED_VALUE"""),120.0)</f>
        <v>120</v>
      </c>
      <c r="F332" s="15" t="str">
        <f>IFERROR(__xludf.DUMMYFUNCTION("""COMPUTED_VALUE"""),"8MP_JPG")</f>
        <v>8MP_JPG</v>
      </c>
      <c r="G332" s="15" t="str">
        <f>IFERROR(__xludf.DUMMYFUNCTION("""COMPUTED_VALUE"""),"GERMANY, DAY")</f>
        <v>GERMANY, DAY</v>
      </c>
      <c r="H332" s="15">
        <f>IFERROR(__xludf.DUMMYFUNCTION("""COMPUTED_VALUE"""),-1.0)</f>
        <v>-1</v>
      </c>
      <c r="I332" s="15">
        <f>IFERROR(__xludf.DUMMYFUNCTION("""COMPUTED_VALUE"""),-1.0)</f>
        <v>-1</v>
      </c>
      <c r="J332" s="15">
        <f>IFERROR(__xludf.DUMMYFUNCTION("""COMPUTED_VALUE"""),-1.0)</f>
        <v>-1</v>
      </c>
      <c r="K332" s="28">
        <f>IFERROR(__xludf.DUMMYFUNCTION("""COMPUTED_VALUE"""),45388.55615740741)</f>
        <v>45388.55616</v>
      </c>
    </row>
    <row r="333">
      <c r="A333" s="25" t="str">
        <f>IFERROR(__xludf.DUMMYFUNCTION("""COMPUTED_VALUE"""),"665ebe4006e1a362691f04fa")</f>
        <v>665ebe4006e1a362691f04fa</v>
      </c>
      <c r="B333" s="26" t="str">
        <f>IFERROR(__xludf.DUMMYFUNCTION("""COMPUTED_VALUE"""),"_2w_crossing_60m_3_scenario_renault_demo_to_tag")</f>
        <v>_2w_crossing_60m_3_scenario_renault_demo_to_tag</v>
      </c>
      <c r="C333" s="26" t="str">
        <f>IFERROR(__xludf.DUMMYFUNCTION("""COMPUTED_VALUE"""),"train")</f>
        <v>train</v>
      </c>
      <c r="D333" s="26" t="str">
        <f>IFERROR(__xludf.DUMMYFUNCTION("""COMPUTED_VALUE"""),"train")</f>
        <v>train</v>
      </c>
      <c r="E333" s="26">
        <f>IFERROR(__xludf.DUMMYFUNCTION("""COMPUTED_VALUE"""),180.0)</f>
        <v>180</v>
      </c>
      <c r="F333" s="26" t="str">
        <f>IFERROR(__xludf.DUMMYFUNCTION("""COMPUTED_VALUE"""),"8MP_JPG")</f>
        <v>8MP_JPG</v>
      </c>
      <c r="G333" s="26" t="str">
        <f>IFERROR(__xludf.DUMMYFUNCTION("""COMPUTED_VALUE"""),"GERMANY, DAY")</f>
        <v>GERMANY, DAY</v>
      </c>
      <c r="H333" s="26">
        <f>IFERROR(__xludf.DUMMYFUNCTION("""COMPUTED_VALUE"""),-1.0)</f>
        <v>-1</v>
      </c>
      <c r="I333" s="26">
        <f>IFERROR(__xludf.DUMMYFUNCTION("""COMPUTED_VALUE"""),-1.0)</f>
        <v>-1</v>
      </c>
      <c r="J333" s="26">
        <f>IFERROR(__xludf.DUMMYFUNCTION("""COMPUTED_VALUE"""),-1.0)</f>
        <v>-1</v>
      </c>
      <c r="K333" s="29">
        <f>IFERROR(__xludf.DUMMYFUNCTION("""COMPUTED_VALUE"""),45388.556284722225)</f>
        <v>45388.55628</v>
      </c>
    </row>
    <row r="334">
      <c r="A334" s="25" t="str">
        <f>IFERROR(__xludf.DUMMYFUNCTION("""COMPUTED_VALUE"""),"665ebe3f06e1a362691f04f9")</f>
        <v>665ebe3f06e1a362691f04f9</v>
      </c>
      <c r="B334" s="26" t="str">
        <f>IFERROR(__xludf.DUMMYFUNCTION("""COMPUTED_VALUE"""),"_2w_crossing_40m_yv_renault_demo_to_tag")</f>
        <v>_2w_crossing_40m_yv_renault_demo_to_tag</v>
      </c>
      <c r="C334" s="26" t="str">
        <f>IFERROR(__xludf.DUMMYFUNCTION("""COMPUTED_VALUE"""),"train")</f>
        <v>train</v>
      </c>
      <c r="D334" s="26" t="str">
        <f>IFERROR(__xludf.DUMMYFUNCTION("""COMPUTED_VALUE"""),"train")</f>
        <v>train</v>
      </c>
      <c r="E334" s="26">
        <f>IFERROR(__xludf.DUMMYFUNCTION("""COMPUTED_VALUE"""),180.0)</f>
        <v>180</v>
      </c>
      <c r="F334" s="26" t="str">
        <f>IFERROR(__xludf.DUMMYFUNCTION("""COMPUTED_VALUE"""),"8MP_JPG")</f>
        <v>8MP_JPG</v>
      </c>
      <c r="G334" s="26" t="str">
        <f>IFERROR(__xludf.DUMMYFUNCTION("""COMPUTED_VALUE"""),"GERMANY, DAY, YELLOW_VEST")</f>
        <v>GERMANY, DAY, YELLOW_VEST</v>
      </c>
      <c r="H334" s="26">
        <f>IFERROR(__xludf.DUMMYFUNCTION("""COMPUTED_VALUE"""),-1.0)</f>
        <v>-1</v>
      </c>
      <c r="I334" s="26">
        <f>IFERROR(__xludf.DUMMYFUNCTION("""COMPUTED_VALUE"""),-1.0)</f>
        <v>-1</v>
      </c>
      <c r="J334" s="26">
        <f>IFERROR(__xludf.DUMMYFUNCTION("""COMPUTED_VALUE"""),-1.0)</f>
        <v>-1</v>
      </c>
      <c r="K334" s="29">
        <f>IFERROR(__xludf.DUMMYFUNCTION("""COMPUTED_VALUE"""),45388.55642361111)</f>
        <v>45388.55642</v>
      </c>
    </row>
    <row r="335">
      <c r="A335" s="18" t="str">
        <f>IFERROR(__xludf.DUMMYFUNCTION("""COMPUTED_VALUE"""),"665ebe3e06e1a362691f04f8")</f>
        <v>665ebe3e06e1a362691f04f8</v>
      </c>
      <c r="B335" s="15" t="str">
        <f>IFERROR(__xludf.DUMMYFUNCTION("""COMPUTED_VALUE"""),"_2w_crossing_40m_3_scenario_renault_demo_to_tag")</f>
        <v>_2w_crossing_40m_3_scenario_renault_demo_to_tag</v>
      </c>
      <c r="C335" s="15" t="str">
        <f>IFERROR(__xludf.DUMMYFUNCTION("""COMPUTED_VALUE"""),"train")</f>
        <v>train</v>
      </c>
      <c r="D335" s="15" t="str">
        <f>IFERROR(__xludf.DUMMYFUNCTION("""COMPUTED_VALUE"""),"train")</f>
        <v>train</v>
      </c>
      <c r="E335" s="15">
        <f>IFERROR(__xludf.DUMMYFUNCTION("""COMPUTED_VALUE"""),120.0)</f>
        <v>120</v>
      </c>
      <c r="F335" s="15" t="str">
        <f>IFERROR(__xludf.DUMMYFUNCTION("""COMPUTED_VALUE"""),"8MP_JPG")</f>
        <v>8MP_JPG</v>
      </c>
      <c r="G335" s="15" t="str">
        <f>IFERROR(__xludf.DUMMYFUNCTION("""COMPUTED_VALUE"""),"GERMANY, DAY")</f>
        <v>GERMANY, DAY</v>
      </c>
      <c r="H335" s="15">
        <f>IFERROR(__xludf.DUMMYFUNCTION("""COMPUTED_VALUE"""),-1.0)</f>
        <v>-1</v>
      </c>
      <c r="I335" s="15">
        <f>IFERROR(__xludf.DUMMYFUNCTION("""COMPUTED_VALUE"""),-1.0)</f>
        <v>-1</v>
      </c>
      <c r="J335" s="15">
        <f>IFERROR(__xludf.DUMMYFUNCTION("""COMPUTED_VALUE"""),-1.0)</f>
        <v>-1</v>
      </c>
      <c r="K335" s="28">
        <f>IFERROR(__xludf.DUMMYFUNCTION("""COMPUTED_VALUE"""),45388.55652777778)</f>
        <v>45388.55653</v>
      </c>
    </row>
    <row r="336">
      <c r="A336" s="25" t="str">
        <f>IFERROR(__xludf.DUMMYFUNCTION("""COMPUTED_VALUE"""),"665ddfb906e1a362691efa13")</f>
        <v>665ddfb906e1a362691efa13</v>
      </c>
      <c r="B336" s="26" t="str">
        <f>IFERROR(__xludf.DUMMYFUNCTION("""COMPUTED_VALUE"""),"od_sanity_4w_heading_static_30m_deg_45_renault_fr")</f>
        <v>od_sanity_4w_heading_static_30m_deg_45_renault_fr</v>
      </c>
      <c r="C336" s="26" t="str">
        <f>IFERROR(__xludf.DUMMYFUNCTION("""COMPUTED_VALUE"""),"train")</f>
        <v>train</v>
      </c>
      <c r="D336" s="26" t="str">
        <f>IFERROR(__xludf.DUMMYFUNCTION("""COMPUTED_VALUE"""),"train")</f>
        <v>train</v>
      </c>
      <c r="E336" s="26">
        <f>IFERROR(__xludf.DUMMYFUNCTION("""COMPUTED_VALUE"""),21.0)</f>
        <v>21</v>
      </c>
      <c r="F336" s="26" t="str">
        <f>IFERROR(__xludf.DUMMYFUNCTION("""COMPUTED_VALUE"""),"8MP_JPG")</f>
        <v>8MP_JPG</v>
      </c>
      <c r="G336" s="26" t="str">
        <f>IFERROR(__xludf.DUMMYFUNCTION("""COMPUTED_VALUE"""),"GERMANY, DAY, RENAULT, DEMO")</f>
        <v>GERMANY, DAY, RENAULT, DEMO</v>
      </c>
      <c r="H336" s="26">
        <f>IFERROR(__xludf.DUMMYFUNCTION("""COMPUTED_VALUE"""),-1.0)</f>
        <v>-1</v>
      </c>
      <c r="I336" s="26">
        <f>IFERROR(__xludf.DUMMYFUNCTION("""COMPUTED_VALUE"""),-1.0)</f>
        <v>-1</v>
      </c>
      <c r="J336" s="26">
        <f>IFERROR(__xludf.DUMMYFUNCTION("""COMPUTED_VALUE"""),-1.0)</f>
        <v>-1</v>
      </c>
      <c r="K336" s="29">
        <f>IFERROR(__xludf.DUMMYFUNCTION("""COMPUTED_VALUE"""),45388.55662037037)</f>
        <v>45388.55662</v>
      </c>
    </row>
    <row r="337">
      <c r="A337" s="25" t="str">
        <f>IFERROR(__xludf.DUMMYFUNCTION("""COMPUTED_VALUE"""),"665dd9b106e1a362691ef9fc")</f>
        <v>665dd9b106e1a362691ef9fc</v>
      </c>
      <c r="B337" s="26" t="str">
        <f>IFERROR(__xludf.DUMMYFUNCTION("""COMPUTED_VALUE"""),"4w_longi_300m_20kph_2_scenario_with_b2b_train_therapeutic_hoboken")</f>
        <v>4w_longi_300m_20kph_2_scenario_with_b2b_train_therapeutic_hoboken</v>
      </c>
      <c r="C337" s="26" t="str">
        <f>IFERROR(__xludf.DUMMYFUNCTION("""COMPUTED_VALUE"""),"train")</f>
        <v>train</v>
      </c>
      <c r="D337" s="26" t="str">
        <f>IFERROR(__xludf.DUMMYFUNCTION("""COMPUTED_VALUE"""),"train")</f>
        <v>train</v>
      </c>
      <c r="E337" s="26">
        <f>IFERROR(__xludf.DUMMYFUNCTION("""COMPUTED_VALUE"""),120.0)</f>
        <v>120</v>
      </c>
      <c r="F337" s="26" t="str">
        <f>IFERROR(__xludf.DUMMYFUNCTION("""COMPUTED_VALUE"""),"8MP_JPG")</f>
        <v>8MP_JPG</v>
      </c>
      <c r="G337" s="26" t="str">
        <f>IFERROR(__xludf.DUMMYFUNCTION("""COMPUTED_VALUE"""),"GERMANY, DAY, CLOUDY, DEMO")</f>
        <v>GERMANY, DAY, CLOUDY, DEMO</v>
      </c>
      <c r="H337" s="26">
        <f>IFERROR(__xludf.DUMMYFUNCTION("""COMPUTED_VALUE"""),-1.0)</f>
        <v>-1</v>
      </c>
      <c r="I337" s="26">
        <f>IFERROR(__xludf.DUMMYFUNCTION("""COMPUTED_VALUE"""),-1.0)</f>
        <v>-1</v>
      </c>
      <c r="J337" s="26">
        <f>IFERROR(__xludf.DUMMYFUNCTION("""COMPUTED_VALUE"""),-1.0)</f>
        <v>-1</v>
      </c>
      <c r="K337" s="29">
        <f>IFERROR(__xludf.DUMMYFUNCTION("""COMPUTED_VALUE"""),45388.55673611111)</f>
        <v>45388.55674</v>
      </c>
    </row>
    <row r="338">
      <c r="A338" s="18" t="str">
        <f>IFERROR(__xludf.DUMMYFUNCTION("""COMPUTED_VALUE"""),"665dd26206e1a362691ef4a3")</f>
        <v>665dd26206e1a362691ef4a3</v>
      </c>
      <c r="B338" s="15" t="str">
        <f>IFERROR(__xludf.DUMMYFUNCTION("""COMPUTED_VALUE"""),"od_sanity_4w_heading_static_30m_deg_315_renault_fr")</f>
        <v>od_sanity_4w_heading_static_30m_deg_315_renault_fr</v>
      </c>
      <c r="C338" s="15" t="str">
        <f>IFERROR(__xludf.DUMMYFUNCTION("""COMPUTED_VALUE"""),"train")</f>
        <v>train</v>
      </c>
      <c r="D338" s="15" t="str">
        <f>IFERROR(__xludf.DUMMYFUNCTION("""COMPUTED_VALUE"""),"train")</f>
        <v>train</v>
      </c>
      <c r="E338" s="15">
        <f>IFERROR(__xludf.DUMMYFUNCTION("""COMPUTED_VALUE"""),20.0)</f>
        <v>20</v>
      </c>
      <c r="F338" s="15" t="str">
        <f>IFERROR(__xludf.DUMMYFUNCTION("""COMPUTED_VALUE"""),"8MP_JPG")</f>
        <v>8MP_JPG</v>
      </c>
      <c r="G338" s="15" t="str">
        <f>IFERROR(__xludf.DUMMYFUNCTION("""COMPUTED_VALUE"""),"GERMANY, DAY, RENAULT, DEMO")</f>
        <v>GERMANY, DAY, RENAULT, DEMO</v>
      </c>
      <c r="H338" s="15">
        <f>IFERROR(__xludf.DUMMYFUNCTION("""COMPUTED_VALUE"""),-1.0)</f>
        <v>-1</v>
      </c>
      <c r="I338" s="15">
        <f>IFERROR(__xludf.DUMMYFUNCTION("""COMPUTED_VALUE"""),-1.0)</f>
        <v>-1</v>
      </c>
      <c r="J338" s="15">
        <f>IFERROR(__xludf.DUMMYFUNCTION("""COMPUTED_VALUE"""),-1.0)</f>
        <v>-1</v>
      </c>
      <c r="K338" s="28">
        <f>IFERROR(__xludf.DUMMYFUNCTION("""COMPUTED_VALUE"""),45388.55681712963)</f>
        <v>45388.55682</v>
      </c>
    </row>
    <row r="339">
      <c r="A339" s="18" t="str">
        <f>IFERROR(__xludf.DUMMYFUNCTION("""COMPUTED_VALUE"""),"665dd16806e1a362691ef3fd")</f>
        <v>665dd16806e1a362691ef3fd</v>
      </c>
      <c r="B339" s="15" t="str">
        <f>IFERROR(__xludf.DUMMYFUNCTION("""COMPUTED_VALUE"""),"od_sanity_4w_heading_static_30m_deg_225_renault_fr")</f>
        <v>od_sanity_4w_heading_static_30m_deg_225_renault_fr</v>
      </c>
      <c r="C339" s="15" t="str">
        <f>IFERROR(__xludf.DUMMYFUNCTION("""COMPUTED_VALUE"""),"train")</f>
        <v>train</v>
      </c>
      <c r="D339" s="15" t="str">
        <f>IFERROR(__xludf.DUMMYFUNCTION("""COMPUTED_VALUE"""),"train")</f>
        <v>train</v>
      </c>
      <c r="E339" s="15">
        <f>IFERROR(__xludf.DUMMYFUNCTION("""COMPUTED_VALUE"""),20.0)</f>
        <v>20</v>
      </c>
      <c r="F339" s="15" t="str">
        <f>IFERROR(__xludf.DUMMYFUNCTION("""COMPUTED_VALUE"""),"8MP_JPG")</f>
        <v>8MP_JPG</v>
      </c>
      <c r="G339" s="15" t="str">
        <f>IFERROR(__xludf.DUMMYFUNCTION("""COMPUTED_VALUE"""),"GERMANY, DAY, TWILIGHT, DEMO, CLOUDY, RENAULT")</f>
        <v>GERMANY, DAY, TWILIGHT, DEMO, CLOUDY, RENAULT</v>
      </c>
      <c r="H339" s="15">
        <f>IFERROR(__xludf.DUMMYFUNCTION("""COMPUTED_VALUE"""),-1.0)</f>
        <v>-1</v>
      </c>
      <c r="I339" s="15">
        <f>IFERROR(__xludf.DUMMYFUNCTION("""COMPUTED_VALUE"""),-1.0)</f>
        <v>-1</v>
      </c>
      <c r="J339" s="15">
        <f>IFERROR(__xludf.DUMMYFUNCTION("""COMPUTED_VALUE"""),-1.0)</f>
        <v>-1</v>
      </c>
      <c r="K339" s="28">
        <f>IFERROR(__xludf.DUMMYFUNCTION("""COMPUTED_VALUE"""),45388.556909722225)</f>
        <v>45388.55691</v>
      </c>
    </row>
    <row r="340">
      <c r="A340" s="18" t="str">
        <f>IFERROR(__xludf.DUMMYFUNCTION("""COMPUTED_VALUE"""),"665dcfb306e1a362691ef205")</f>
        <v>665dcfb306e1a362691ef205</v>
      </c>
      <c r="B340" s="15" t="str">
        <f>IFERROR(__xludf.DUMMYFUNCTION("""COMPUTED_VALUE"""),"od_sanity_4w_heading_static_30m_deg_270_renault_fr")</f>
        <v>od_sanity_4w_heading_static_30m_deg_270_renault_fr</v>
      </c>
      <c r="C340" s="15" t="str">
        <f>IFERROR(__xludf.DUMMYFUNCTION("""COMPUTED_VALUE"""),"train")</f>
        <v>train</v>
      </c>
      <c r="D340" s="15" t="str">
        <f>IFERROR(__xludf.DUMMYFUNCTION("""COMPUTED_VALUE"""),"train")</f>
        <v>train</v>
      </c>
      <c r="E340" s="15">
        <f>IFERROR(__xludf.DUMMYFUNCTION("""COMPUTED_VALUE"""),20.0)</f>
        <v>20</v>
      </c>
      <c r="F340" s="15" t="str">
        <f>IFERROR(__xludf.DUMMYFUNCTION("""COMPUTED_VALUE"""),"8MP_JPG")</f>
        <v>8MP_JPG</v>
      </c>
      <c r="G340" s="15" t="str">
        <f>IFERROR(__xludf.DUMMYFUNCTION("""COMPUTED_VALUE"""),"GERMANY, DAY, RENAULT, DEMO")</f>
        <v>GERMANY, DAY, RENAULT, DEMO</v>
      </c>
      <c r="H340" s="15">
        <f>IFERROR(__xludf.DUMMYFUNCTION("""COMPUTED_VALUE"""),-1.0)</f>
        <v>-1</v>
      </c>
      <c r="I340" s="15">
        <f>IFERROR(__xludf.DUMMYFUNCTION("""COMPUTED_VALUE"""),-1.0)</f>
        <v>-1</v>
      </c>
      <c r="J340" s="15">
        <f>IFERROR(__xludf.DUMMYFUNCTION("""COMPUTED_VALUE"""),-1.0)</f>
        <v>-1</v>
      </c>
      <c r="K340" s="28">
        <f>IFERROR(__xludf.DUMMYFUNCTION("""COMPUTED_VALUE"""),45388.55701388889)</f>
        <v>45388.55701</v>
      </c>
    </row>
    <row r="341">
      <c r="A341" s="18" t="str">
        <f>IFERROR(__xludf.DUMMYFUNCTION("""COMPUTED_VALUE"""),"665da13906e1a362691e9ee9")</f>
        <v>665da13906e1a362691e9ee9</v>
      </c>
      <c r="B341" s="15" t="str">
        <f>IFERROR(__xludf.DUMMYFUNCTION("""COMPUTED_VALUE"""),"unintelligent_fishers_every_30_images")</f>
        <v>unintelligent_fishers_every_30_images</v>
      </c>
      <c r="C341" s="15" t="str">
        <f>IFERROR(__xludf.DUMMYFUNCTION("""COMPUTED_VALUE"""),"train")</f>
        <v>train</v>
      </c>
      <c r="D341" s="15" t="str">
        <f>IFERROR(__xludf.DUMMYFUNCTION("""COMPUTED_VALUE"""),"train")</f>
        <v>train</v>
      </c>
      <c r="E341" s="15">
        <f>IFERROR(__xludf.DUMMYFUNCTION("""COMPUTED_VALUE"""),60.0)</f>
        <v>60</v>
      </c>
      <c r="F341" s="15" t="str">
        <f>IFERROR(__xludf.DUMMYFUNCTION("""COMPUTED_VALUE"""),"8MP_JPG")</f>
        <v>8MP_JPG</v>
      </c>
      <c r="G341" s="15" t="str">
        <f>IFERROR(__xludf.DUMMYFUNCTION("""COMPUTED_VALUE"""),"GERMANY, DAY, CLOUDY")</f>
        <v>GERMANY, DAY, CLOUDY</v>
      </c>
      <c r="H341" s="15">
        <f>IFERROR(__xludf.DUMMYFUNCTION("""COMPUTED_VALUE"""),-1.0)</f>
        <v>-1</v>
      </c>
      <c r="I341" s="15">
        <f>IFERROR(__xludf.DUMMYFUNCTION("""COMPUTED_VALUE"""),-1.0)</f>
        <v>-1</v>
      </c>
      <c r="J341" s="15">
        <f>IFERROR(__xludf.DUMMYFUNCTION("""COMPUTED_VALUE"""),-1.0)</f>
        <v>-1</v>
      </c>
      <c r="K341" s="28">
        <f>IFERROR(__xludf.DUMMYFUNCTION("""COMPUTED_VALUE"""),45388.557118055556)</f>
        <v>45388.55712</v>
      </c>
    </row>
    <row r="342">
      <c r="A342" s="18" t="str">
        <f>IFERROR(__xludf.DUMMYFUNCTION("""COMPUTED_VALUE"""),"665dbf8306e1a362691eed11")</f>
        <v>665dbf8306e1a362691eed11</v>
      </c>
      <c r="B342" s="15" t="str">
        <f>IFERROR(__xludf.DUMMYFUNCTION("""COMPUTED_VALUE"""),"passing_spokane_valley_with_b2b_train")</f>
        <v>passing_spokane_valley_with_b2b_train</v>
      </c>
      <c r="C342" s="15" t="str">
        <f>IFERROR(__xludf.DUMMYFUNCTION("""COMPUTED_VALUE"""),"train")</f>
        <v>train</v>
      </c>
      <c r="D342" s="15" t="str">
        <f>IFERROR(__xludf.DUMMYFUNCTION("""COMPUTED_VALUE"""),"train")</f>
        <v>train</v>
      </c>
      <c r="E342" s="15">
        <f>IFERROR(__xludf.DUMMYFUNCTION("""COMPUTED_VALUE"""),51.0)</f>
        <v>51</v>
      </c>
      <c r="F342" s="15" t="str">
        <f>IFERROR(__xludf.DUMMYFUNCTION("""COMPUTED_VALUE"""),"8MP_JPG")</f>
        <v>8MP_JPG</v>
      </c>
      <c r="G342" s="15" t="str">
        <f>IFERROR(__xludf.DUMMYFUNCTION("""COMPUTED_VALUE"""),"GERMANY, DAY, CLOUDY")</f>
        <v>GERMANY, DAY, CLOUDY</v>
      </c>
      <c r="H342" s="15">
        <f>IFERROR(__xludf.DUMMYFUNCTION("""COMPUTED_VALUE"""),-1.0)</f>
        <v>-1</v>
      </c>
      <c r="I342" s="15">
        <f>IFERROR(__xludf.DUMMYFUNCTION("""COMPUTED_VALUE"""),-1.0)</f>
        <v>-1</v>
      </c>
      <c r="J342" s="15">
        <f>IFERROR(__xludf.DUMMYFUNCTION("""COMPUTED_VALUE"""),-1.0)</f>
        <v>-1</v>
      </c>
      <c r="K342" s="28">
        <f>IFERROR(__xludf.DUMMYFUNCTION("""COMPUTED_VALUE"""),45388.55743055556)</f>
        <v>45388.55743</v>
      </c>
    </row>
    <row r="343">
      <c r="A343" s="25" t="str">
        <f>IFERROR(__xludf.DUMMYFUNCTION("""COMPUTED_VALUE"""),"665dbf8206e1a362691eed0e")</f>
        <v>665dbf8206e1a362691eed0e</v>
      </c>
      <c r="B343" s="26" t="str">
        <f>IFERROR(__xludf.DUMMYFUNCTION("""COMPUTED_VALUE"""),"double_greeley_with_b2b_train")</f>
        <v>double_greeley_with_b2b_train</v>
      </c>
      <c r="C343" s="26" t="str">
        <f>IFERROR(__xludf.DUMMYFUNCTION("""COMPUTED_VALUE"""),"train")</f>
        <v>train</v>
      </c>
      <c r="D343" s="26" t="str">
        <f>IFERROR(__xludf.DUMMYFUNCTION("""COMPUTED_VALUE"""),"train")</f>
        <v>train</v>
      </c>
      <c r="E343" s="26">
        <f>IFERROR(__xludf.DUMMYFUNCTION("""COMPUTED_VALUE"""),60.0)</f>
        <v>60</v>
      </c>
      <c r="F343" s="26" t="str">
        <f>IFERROR(__xludf.DUMMYFUNCTION("""COMPUTED_VALUE"""),"8MP_JPG")</f>
        <v>8MP_JPG</v>
      </c>
      <c r="G343" s="26" t="str">
        <f>IFERROR(__xludf.DUMMYFUNCTION("""COMPUTED_VALUE"""),"GERMANY, DAY, CLOUDY")</f>
        <v>GERMANY, DAY, CLOUDY</v>
      </c>
      <c r="H343" s="26">
        <f>IFERROR(__xludf.DUMMYFUNCTION("""COMPUTED_VALUE"""),-1.0)</f>
        <v>-1</v>
      </c>
      <c r="I343" s="26">
        <f>IFERROR(__xludf.DUMMYFUNCTION("""COMPUTED_VALUE"""),-1.0)</f>
        <v>-1</v>
      </c>
      <c r="J343" s="26">
        <f>IFERROR(__xludf.DUMMYFUNCTION("""COMPUTED_VALUE"""),-1.0)</f>
        <v>-1</v>
      </c>
      <c r="K343" s="29">
        <f>IFERROR(__xludf.DUMMYFUNCTION("""COMPUTED_VALUE"""),45388.55752314815)</f>
        <v>45388.55752</v>
      </c>
    </row>
    <row r="344">
      <c r="A344" s="18" t="str">
        <f>IFERROR(__xludf.DUMMYFUNCTION("""COMPUTED_VALUE"""),"665dbf8406e1a362691eed13")</f>
        <v>665dbf8406e1a362691eed13</v>
      </c>
      <c r="B344" s="15" t="str">
        <f>IFERROR(__xludf.DUMMYFUNCTION("""COMPUTED_VALUE"""),"wide_shreveport_with_b2b_train")</f>
        <v>wide_shreveport_with_b2b_train</v>
      </c>
      <c r="C344" s="15" t="str">
        <f>IFERROR(__xludf.DUMMYFUNCTION("""COMPUTED_VALUE"""),"train")</f>
        <v>train</v>
      </c>
      <c r="D344" s="15" t="str">
        <f>IFERROR(__xludf.DUMMYFUNCTION("""COMPUTED_VALUE"""),"train")</f>
        <v>train</v>
      </c>
      <c r="E344" s="15">
        <f>IFERROR(__xludf.DUMMYFUNCTION("""COMPUTED_VALUE"""),60.0)</f>
        <v>60</v>
      </c>
      <c r="F344" s="15" t="str">
        <f>IFERROR(__xludf.DUMMYFUNCTION("""COMPUTED_VALUE"""),"8MP_JPG")</f>
        <v>8MP_JPG</v>
      </c>
      <c r="G344" s="15" t="str">
        <f>IFERROR(__xludf.DUMMYFUNCTION("""COMPUTED_VALUE"""),"GERMANY, DAY, CLOUDY")</f>
        <v>GERMANY, DAY, CLOUDY</v>
      </c>
      <c r="H344" s="15">
        <f>IFERROR(__xludf.DUMMYFUNCTION("""COMPUTED_VALUE"""),-1.0)</f>
        <v>-1</v>
      </c>
      <c r="I344" s="15">
        <f>IFERROR(__xludf.DUMMYFUNCTION("""COMPUTED_VALUE"""),-1.0)</f>
        <v>-1</v>
      </c>
      <c r="J344" s="15">
        <f>IFERROR(__xludf.DUMMYFUNCTION("""COMPUTED_VALUE"""),-1.0)</f>
        <v>-1</v>
      </c>
      <c r="K344" s="28">
        <f>IFERROR(__xludf.DUMMYFUNCTION("""COMPUTED_VALUE"""),45388.557754629626)</f>
        <v>45388.55775</v>
      </c>
    </row>
    <row r="345">
      <c r="A345" s="18" t="str">
        <f>IFERROR(__xludf.DUMMYFUNCTION("""COMPUTED_VALUE"""),"665eeb1106e1a362691f3bb5")</f>
        <v>665eeb1106e1a362691f3bb5</v>
      </c>
      <c r="B345" s="15" t="str">
        <f>IFERROR(__xludf.DUMMYFUNCTION("""COMPUTED_VALUE"""),"wide_shreveport_to_tag_batch_0_each_300_added_to_odtaggeddataboard")</f>
        <v>wide_shreveport_to_tag_batch_0_each_300_added_to_odtaggeddataboard</v>
      </c>
      <c r="C345" s="15" t="str">
        <f>IFERROR(__xludf.DUMMYFUNCTION("""COMPUTED_VALUE"""),"train")</f>
        <v>train</v>
      </c>
      <c r="D345" s="15" t="str">
        <f>IFERROR(__xludf.DUMMYFUNCTION("""COMPUTED_VALUE"""),"train")</f>
        <v>train</v>
      </c>
      <c r="E345" s="15">
        <f>IFERROR(__xludf.DUMMYFUNCTION("""COMPUTED_VALUE"""),290.0)</f>
        <v>290</v>
      </c>
      <c r="F345" s="15" t="str">
        <f>IFERROR(__xludf.DUMMYFUNCTION("""COMPUTED_VALUE"""),"8MP_JPG")</f>
        <v>8MP_JPG</v>
      </c>
      <c r="G345" s="15" t="str">
        <f>IFERROR(__xludf.DUMMYFUNCTION("""COMPUTED_VALUE"""),"GERMANY, DAY")</f>
        <v>GERMANY, DAY</v>
      </c>
      <c r="H345" s="15">
        <f>IFERROR(__xludf.DUMMYFUNCTION("""COMPUTED_VALUE"""),-1.0)</f>
        <v>-1</v>
      </c>
      <c r="I345" s="15">
        <f>IFERROR(__xludf.DUMMYFUNCTION("""COMPUTED_VALUE"""),-1.0)</f>
        <v>-1</v>
      </c>
      <c r="J345" s="15">
        <f>IFERROR(__xludf.DUMMYFUNCTION("""COMPUTED_VALUE"""),-1.0)</f>
        <v>-1</v>
      </c>
      <c r="K345" s="28">
        <f>IFERROR(__xludf.DUMMYFUNCTION("""COMPUTED_VALUE"""),45388.55778935185)</f>
        <v>45388.55779</v>
      </c>
    </row>
    <row r="346">
      <c r="A346" s="18" t="str">
        <f>IFERROR(__xludf.DUMMYFUNCTION("""COMPUTED_VALUE"""),"665d833e06e1a362691e9b35")</f>
        <v>665d833e06e1a362691e9b35</v>
      </c>
      <c r="B346" s="15" t="str">
        <f>IFERROR(__xludf.DUMMYFUNCTION("""COMPUTED_VALUE"""),"_medium_hallandale_beach_every_30_images_to_tag")</f>
        <v>_medium_hallandale_beach_every_30_images_to_tag</v>
      </c>
      <c r="C346" s="15" t="str">
        <f>IFERROR(__xludf.DUMMYFUNCTION("""COMPUTED_VALUE"""),"train")</f>
        <v>train</v>
      </c>
      <c r="D346" s="15" t="str">
        <f>IFERROR(__xludf.DUMMYFUNCTION("""COMPUTED_VALUE"""),"train")</f>
        <v>train</v>
      </c>
      <c r="E346" s="15">
        <f>IFERROR(__xludf.DUMMYFUNCTION("""COMPUTED_VALUE"""),240.0)</f>
        <v>240</v>
      </c>
      <c r="F346" s="15" t="str">
        <f>IFERROR(__xludf.DUMMYFUNCTION("""COMPUTED_VALUE"""),"8MP_JPG")</f>
        <v>8MP_JPG</v>
      </c>
      <c r="G346" s="15" t="str">
        <f>IFERROR(__xludf.DUMMYFUNCTION("""COMPUTED_VALUE"""),"GERMANY, DAY, YELLOW_VEST")</f>
        <v>GERMANY, DAY, YELLOW_VEST</v>
      </c>
      <c r="H346" s="15">
        <f>IFERROR(__xludf.DUMMYFUNCTION("""COMPUTED_VALUE"""),-1.0)</f>
        <v>-1</v>
      </c>
      <c r="I346" s="15">
        <f>IFERROR(__xludf.DUMMYFUNCTION("""COMPUTED_VALUE"""),-1.0)</f>
        <v>-1</v>
      </c>
      <c r="J346" s="15">
        <f>IFERROR(__xludf.DUMMYFUNCTION("""COMPUTED_VALUE"""),-1.0)</f>
        <v>-1</v>
      </c>
      <c r="K346" s="28">
        <f>IFERROR(__xludf.DUMMYFUNCTION("""COMPUTED_VALUE"""),45388.559212962966)</f>
        <v>45388.55921</v>
      </c>
    </row>
    <row r="347">
      <c r="A347" s="18" t="str">
        <f>IFERROR(__xludf.DUMMYFUNCTION("""COMPUTED_VALUE"""),"665d833d06e1a362691e9b34")</f>
        <v>665d833d06e1a362691e9b34</v>
      </c>
      <c r="B347" s="15" t="str">
        <f>IFERROR(__xludf.DUMMYFUNCTION("""COMPUTED_VALUE"""),"_bewildered_burien_every_30_images_to_tag")</f>
        <v>_bewildered_burien_every_30_images_to_tag</v>
      </c>
      <c r="C347" s="15" t="str">
        <f>IFERROR(__xludf.DUMMYFUNCTION("""COMPUTED_VALUE"""),"train")</f>
        <v>train</v>
      </c>
      <c r="D347" s="15" t="str">
        <f>IFERROR(__xludf.DUMMYFUNCTION("""COMPUTED_VALUE"""),"train")</f>
        <v>train</v>
      </c>
      <c r="E347" s="15">
        <f>IFERROR(__xludf.DUMMYFUNCTION("""COMPUTED_VALUE"""),199.0)</f>
        <v>199</v>
      </c>
      <c r="F347" s="15" t="str">
        <f>IFERROR(__xludf.DUMMYFUNCTION("""COMPUTED_VALUE"""),"8MP_JPG")</f>
        <v>8MP_JPG</v>
      </c>
      <c r="G347" s="15" t="str">
        <f>IFERROR(__xludf.DUMMYFUNCTION("""COMPUTED_VALUE"""),"GERMANY, DAY")</f>
        <v>GERMANY, DAY</v>
      </c>
      <c r="H347" s="15">
        <f>IFERROR(__xludf.DUMMYFUNCTION("""COMPUTED_VALUE"""),-1.0)</f>
        <v>-1</v>
      </c>
      <c r="I347" s="15">
        <f>IFERROR(__xludf.DUMMYFUNCTION("""COMPUTED_VALUE"""),-1.0)</f>
        <v>-1</v>
      </c>
      <c r="J347" s="15">
        <f>IFERROR(__xludf.DUMMYFUNCTION("""COMPUTED_VALUE"""),-1.0)</f>
        <v>-1</v>
      </c>
      <c r="K347" s="28">
        <f>IFERROR(__xludf.DUMMYFUNCTION("""COMPUTED_VALUE"""),45388.55940972222)</f>
        <v>45388.55941</v>
      </c>
    </row>
    <row r="348">
      <c r="A348" s="18" t="str">
        <f>IFERROR(__xludf.DUMMYFUNCTION("""COMPUTED_VALUE"""),"665f0af806e1a362691f65f6")</f>
        <v>665f0af806e1a362691f65f6</v>
      </c>
      <c r="B348" s="15" t="str">
        <f>IFERROR(__xludf.DUMMYFUNCTION("""COMPUTED_VALUE"""),"od_sanity_4w_heading_static_30m_deg_180_renault_fr_to_tag")</f>
        <v>od_sanity_4w_heading_static_30m_deg_180_renault_fr_to_tag</v>
      </c>
      <c r="C348" s="15" t="str">
        <f>IFERROR(__xludf.DUMMYFUNCTION("""COMPUTED_VALUE"""),"train")</f>
        <v>train</v>
      </c>
      <c r="D348" s="15" t="str">
        <f>IFERROR(__xludf.DUMMYFUNCTION("""COMPUTED_VALUE"""),"train")</f>
        <v>train</v>
      </c>
      <c r="E348" s="15">
        <f>IFERROR(__xludf.DUMMYFUNCTION("""COMPUTED_VALUE"""),21.0)</f>
        <v>21</v>
      </c>
      <c r="F348" s="15" t="str">
        <f>IFERROR(__xludf.DUMMYFUNCTION("""COMPUTED_VALUE"""),"8MP_JPG")</f>
        <v>8MP_JPG</v>
      </c>
      <c r="G348" s="15" t="str">
        <f>IFERROR(__xludf.DUMMYFUNCTION("""COMPUTED_VALUE"""),"CLEAR, GERMANY, DAY")</f>
        <v>CLEAR, GERMANY, DAY</v>
      </c>
      <c r="H348" s="15">
        <f>IFERROR(__xludf.DUMMYFUNCTION("""COMPUTED_VALUE"""),-1.0)</f>
        <v>-1</v>
      </c>
      <c r="I348" s="15">
        <f>IFERROR(__xludf.DUMMYFUNCTION("""COMPUTED_VALUE"""),-1.0)</f>
        <v>-1</v>
      </c>
      <c r="J348" s="15">
        <f>IFERROR(__xludf.DUMMYFUNCTION("""COMPUTED_VALUE"""),-1.0)</f>
        <v>-1</v>
      </c>
      <c r="K348" s="28">
        <f>IFERROR(__xludf.DUMMYFUNCTION("""COMPUTED_VALUE"""),45388.68800925926)</f>
        <v>45388.68801</v>
      </c>
    </row>
    <row r="349">
      <c r="A349" s="18" t="str">
        <f>IFERROR(__xludf.DUMMYFUNCTION("""COMPUTED_VALUE"""),"665f0af506e1a362691f65f3")</f>
        <v>665f0af506e1a362691f65f3</v>
      </c>
      <c r="B349" s="15" t="str">
        <f>IFERROR(__xludf.DUMMYFUNCTION("""COMPUTED_VALUE"""),"od_sanity_4w_heading_static_30m_deg_135_renault_fr_to_tag")</f>
        <v>od_sanity_4w_heading_static_30m_deg_135_renault_fr_to_tag</v>
      </c>
      <c r="C349" s="15" t="str">
        <f>IFERROR(__xludf.DUMMYFUNCTION("""COMPUTED_VALUE"""),"train")</f>
        <v>train</v>
      </c>
      <c r="D349" s="15" t="str">
        <f>IFERROR(__xludf.DUMMYFUNCTION("""COMPUTED_VALUE"""),"train")</f>
        <v>train</v>
      </c>
      <c r="E349" s="15">
        <f>IFERROR(__xludf.DUMMYFUNCTION("""COMPUTED_VALUE"""),21.0)</f>
        <v>21</v>
      </c>
      <c r="F349" s="15" t="str">
        <f>IFERROR(__xludf.DUMMYFUNCTION("""COMPUTED_VALUE"""),"8MP_JPG")</f>
        <v>8MP_JPG</v>
      </c>
      <c r="G349" s="15" t="str">
        <f>IFERROR(__xludf.DUMMYFUNCTION("""COMPUTED_VALUE"""),"CLEAR, GERMANY, DAY")</f>
        <v>CLEAR, GERMANY, DAY</v>
      </c>
      <c r="H349" s="15">
        <f>IFERROR(__xludf.DUMMYFUNCTION("""COMPUTED_VALUE"""),-1.0)</f>
        <v>-1</v>
      </c>
      <c r="I349" s="15">
        <f>IFERROR(__xludf.DUMMYFUNCTION("""COMPUTED_VALUE"""),-1.0)</f>
        <v>-1</v>
      </c>
      <c r="J349" s="15">
        <f>IFERROR(__xludf.DUMMYFUNCTION("""COMPUTED_VALUE"""),-1.0)</f>
        <v>-1</v>
      </c>
      <c r="K349" s="28">
        <f>IFERROR(__xludf.DUMMYFUNCTION("""COMPUTED_VALUE"""),45388.688125)</f>
        <v>45388.68813</v>
      </c>
    </row>
    <row r="350">
      <c r="A350" s="25" t="str">
        <f>IFERROR(__xludf.DUMMYFUNCTION("""COMPUTED_VALUE"""),"665f0af406e1a362691f65f1")</f>
        <v>665f0af406e1a362691f65f1</v>
      </c>
      <c r="B350" s="26" t="str">
        <f>IFERROR(__xludf.DUMMYFUNCTION("""COMPUTED_VALUE"""),"od_sanity_4w_heading_static_30m_deg_90_renault_fr_to_tag")</f>
        <v>od_sanity_4w_heading_static_30m_deg_90_renault_fr_to_tag</v>
      </c>
      <c r="C350" s="26" t="str">
        <f>IFERROR(__xludf.DUMMYFUNCTION("""COMPUTED_VALUE"""),"train")</f>
        <v>train</v>
      </c>
      <c r="D350" s="26" t="str">
        <f>IFERROR(__xludf.DUMMYFUNCTION("""COMPUTED_VALUE"""),"train")</f>
        <v>train</v>
      </c>
      <c r="E350" s="26">
        <f>IFERROR(__xludf.DUMMYFUNCTION("""COMPUTED_VALUE"""),21.0)</f>
        <v>21</v>
      </c>
      <c r="F350" s="26" t="str">
        <f>IFERROR(__xludf.DUMMYFUNCTION("""COMPUTED_VALUE"""),"8MP_JPG")</f>
        <v>8MP_JPG</v>
      </c>
      <c r="G350" s="26" t="str">
        <f>IFERROR(__xludf.DUMMYFUNCTION("""COMPUTED_VALUE"""),"CLEAR, GERMANY, DAY")</f>
        <v>CLEAR, GERMANY, DAY</v>
      </c>
      <c r="H350" s="26">
        <f>IFERROR(__xludf.DUMMYFUNCTION("""COMPUTED_VALUE"""),-1.0)</f>
        <v>-1</v>
      </c>
      <c r="I350" s="26">
        <f>IFERROR(__xludf.DUMMYFUNCTION("""COMPUTED_VALUE"""),-1.0)</f>
        <v>-1</v>
      </c>
      <c r="J350" s="26">
        <f>IFERROR(__xludf.DUMMYFUNCTION("""COMPUTED_VALUE"""),-1.0)</f>
        <v>-1</v>
      </c>
      <c r="K350" s="29">
        <f>IFERROR(__xludf.DUMMYFUNCTION("""COMPUTED_VALUE"""),45388.688206018516)</f>
        <v>45388.68821</v>
      </c>
    </row>
    <row r="351">
      <c r="A351" s="18" t="str">
        <f>IFERROR(__xludf.DUMMYFUNCTION("""COMPUTED_VALUE"""),"665f0af006e1a362691f65ee")</f>
        <v>665f0af006e1a362691f65ee</v>
      </c>
      <c r="B351" s="15" t="str">
        <f>IFERROR(__xludf.DUMMYFUNCTION("""COMPUTED_VALUE"""),"od_sanity_4w_heading_static_30m_deg_0_renault_fr_to_tag")</f>
        <v>od_sanity_4w_heading_static_30m_deg_0_renault_fr_to_tag</v>
      </c>
      <c r="C351" s="15" t="str">
        <f>IFERROR(__xludf.DUMMYFUNCTION("""COMPUTED_VALUE"""),"train")</f>
        <v>train</v>
      </c>
      <c r="D351" s="15" t="str">
        <f>IFERROR(__xludf.DUMMYFUNCTION("""COMPUTED_VALUE"""),"train")</f>
        <v>train</v>
      </c>
      <c r="E351" s="15">
        <f>IFERROR(__xludf.DUMMYFUNCTION("""COMPUTED_VALUE"""),53.0)</f>
        <v>53</v>
      </c>
      <c r="F351" s="15" t="str">
        <f>IFERROR(__xludf.DUMMYFUNCTION("""COMPUTED_VALUE"""),"8MP_JPG")</f>
        <v>8MP_JPG</v>
      </c>
      <c r="G351" s="15" t="str">
        <f>IFERROR(__xludf.DUMMYFUNCTION("""COMPUTED_VALUE"""),"CLEAR, GERMANY, DAY")</f>
        <v>CLEAR, GERMANY, DAY</v>
      </c>
      <c r="H351" s="15">
        <f>IFERROR(__xludf.DUMMYFUNCTION("""COMPUTED_VALUE"""),-1.0)</f>
        <v>-1</v>
      </c>
      <c r="I351" s="15">
        <f>IFERROR(__xludf.DUMMYFUNCTION("""COMPUTED_VALUE"""),-1.0)</f>
        <v>-1</v>
      </c>
      <c r="J351" s="15">
        <f>IFERROR(__xludf.DUMMYFUNCTION("""COMPUTED_VALUE"""),-1.0)</f>
        <v>-1</v>
      </c>
      <c r="K351" s="28">
        <f>IFERROR(__xludf.DUMMYFUNCTION("""COMPUTED_VALUE"""),45388.68829861111)</f>
        <v>45388.6883</v>
      </c>
    </row>
    <row r="352">
      <c r="A352" s="18" t="str">
        <f>IFERROR(__xludf.DUMMYFUNCTION("""COMPUTED_VALUE"""),"665f0aed06e1a362691f65eb")</f>
        <v>665f0aed06e1a362691f65eb</v>
      </c>
      <c r="B352" s="15" t="str">
        <f>IFERROR(__xludf.DUMMYFUNCTION("""COMPUTED_VALUE"""),"ped_crossing_80m_2_scenario_to_tag")</f>
        <v>ped_crossing_80m_2_scenario_to_tag</v>
      </c>
      <c r="C352" s="15" t="str">
        <f>IFERROR(__xludf.DUMMYFUNCTION("""COMPUTED_VALUE"""),"train")</f>
        <v>train</v>
      </c>
      <c r="D352" s="15" t="str">
        <f>IFERROR(__xludf.DUMMYFUNCTION("""COMPUTED_VALUE"""),"train")</f>
        <v>train</v>
      </c>
      <c r="E352" s="15">
        <f>IFERROR(__xludf.DUMMYFUNCTION("""COMPUTED_VALUE"""),240.0)</f>
        <v>240</v>
      </c>
      <c r="F352" s="15" t="str">
        <f>IFERROR(__xludf.DUMMYFUNCTION("""COMPUTED_VALUE"""),"8MP_JPG")</f>
        <v>8MP_JPG</v>
      </c>
      <c r="G352" s="15" t="str">
        <f>IFERROR(__xludf.DUMMYFUNCTION("""COMPUTED_VALUE"""),"CLEAR, GERMANY, DAY")</f>
        <v>CLEAR, GERMANY, DAY</v>
      </c>
      <c r="H352" s="15">
        <f>IFERROR(__xludf.DUMMYFUNCTION("""COMPUTED_VALUE"""),-1.0)</f>
        <v>-1</v>
      </c>
      <c r="I352" s="15">
        <f>IFERROR(__xludf.DUMMYFUNCTION("""COMPUTED_VALUE"""),-1.0)</f>
        <v>-1</v>
      </c>
      <c r="J352" s="15">
        <f>IFERROR(__xludf.DUMMYFUNCTION("""COMPUTED_VALUE"""),-1.0)</f>
        <v>-1</v>
      </c>
      <c r="K352" s="28">
        <f>IFERROR(__xludf.DUMMYFUNCTION("""COMPUTED_VALUE"""),45418.42581018519)</f>
        <v>45418.42581</v>
      </c>
    </row>
    <row r="353">
      <c r="A353" s="18" t="str">
        <f>IFERROR(__xludf.DUMMYFUNCTION("""COMPUTED_VALUE"""),"665ebe4306e1a362691f04fc")</f>
        <v>665ebe4306e1a362691f04fc</v>
      </c>
      <c r="B353" s="15" t="str">
        <f>IFERROR(__xludf.DUMMYFUNCTION("""COMPUTED_VALUE"""),"_ped_crossing_70m_3_scenario_renault_demo_to_tag")</f>
        <v>_ped_crossing_70m_3_scenario_renault_demo_to_tag</v>
      </c>
      <c r="C353" s="15" t="str">
        <f>IFERROR(__xludf.DUMMYFUNCTION("""COMPUTED_VALUE"""),"train")</f>
        <v>train</v>
      </c>
      <c r="D353" s="15" t="str">
        <f>IFERROR(__xludf.DUMMYFUNCTION("""COMPUTED_VALUE"""),"train")</f>
        <v>train</v>
      </c>
      <c r="E353" s="15">
        <f>IFERROR(__xludf.DUMMYFUNCTION("""COMPUTED_VALUE"""),240.0)</f>
        <v>240</v>
      </c>
      <c r="F353" s="15" t="str">
        <f>IFERROR(__xludf.DUMMYFUNCTION("""COMPUTED_VALUE"""),"8MP_JPG")</f>
        <v>8MP_JPG</v>
      </c>
      <c r="G353" s="15" t="str">
        <f>IFERROR(__xludf.DUMMYFUNCTION("""COMPUTED_VALUE"""),"GERMANY, DAY")</f>
        <v>GERMANY, DAY</v>
      </c>
      <c r="H353" s="15">
        <f>IFERROR(__xludf.DUMMYFUNCTION("""COMPUTED_VALUE"""),-1.0)</f>
        <v>-1</v>
      </c>
      <c r="I353" s="15">
        <f>IFERROR(__xludf.DUMMYFUNCTION("""COMPUTED_VALUE"""),-1.0)</f>
        <v>-1</v>
      </c>
      <c r="J353" s="15">
        <f>IFERROR(__xludf.DUMMYFUNCTION("""COMPUTED_VALUE"""),-1.0)</f>
        <v>-1</v>
      </c>
      <c r="K353" s="28">
        <f>IFERROR(__xludf.DUMMYFUNCTION("""COMPUTED_VALUE"""),45418.42585648148)</f>
        <v>45418.42586</v>
      </c>
    </row>
    <row r="354">
      <c r="A354" s="18" t="str">
        <f>IFERROR(__xludf.DUMMYFUNCTION("""COMPUTED_VALUE"""),"665dbf8506e1a362691eed14")</f>
        <v>665dbf8506e1a362691eed14</v>
      </c>
      <c r="B354" s="15" t="str">
        <f>IFERROR(__xludf.DUMMYFUNCTION("""COMPUTED_VALUE"""),"steamy_surprise_with_b2b_train")</f>
        <v>steamy_surprise_with_b2b_train</v>
      </c>
      <c r="C354" s="15" t="str">
        <f>IFERROR(__xludf.DUMMYFUNCTION("""COMPUTED_VALUE"""),"train")</f>
        <v>train</v>
      </c>
      <c r="D354" s="15" t="str">
        <f>IFERROR(__xludf.DUMMYFUNCTION("""COMPUTED_VALUE"""),"train")</f>
        <v>train</v>
      </c>
      <c r="E354" s="15">
        <f>IFERROR(__xludf.DUMMYFUNCTION("""COMPUTED_VALUE"""),240.0)</f>
        <v>240</v>
      </c>
      <c r="F354" s="15" t="str">
        <f>IFERROR(__xludf.DUMMYFUNCTION("""COMPUTED_VALUE"""),"8MP_JPG")</f>
        <v>8MP_JPG</v>
      </c>
      <c r="G354" s="15" t="str">
        <f>IFERROR(__xludf.DUMMYFUNCTION("""COMPUTED_VALUE"""),"GERMANY, DAY")</f>
        <v>GERMANY, DAY</v>
      </c>
      <c r="H354" s="15">
        <f>IFERROR(__xludf.DUMMYFUNCTION("""COMPUTED_VALUE"""),-1.0)</f>
        <v>-1</v>
      </c>
      <c r="I354" s="15">
        <f>IFERROR(__xludf.DUMMYFUNCTION("""COMPUTED_VALUE"""),-1.0)</f>
        <v>-1</v>
      </c>
      <c r="J354" s="15">
        <f>IFERROR(__xludf.DUMMYFUNCTION("""COMPUTED_VALUE"""),-1.0)</f>
        <v>-1</v>
      </c>
      <c r="K354" s="28">
        <f>IFERROR(__xludf.DUMMYFUNCTION("""COMPUTED_VALUE"""),45418.425891203704)</f>
        <v>45418.42589</v>
      </c>
    </row>
    <row r="355">
      <c r="A355" s="25" t="str">
        <f>IFERROR(__xludf.DUMMYFUNCTION("""COMPUTED_VALUE"""),"665dbf8106e1a362691eeb81")</f>
        <v>665dbf8106e1a362691eeb81</v>
      </c>
      <c r="B355" s="26" t="str">
        <f>IFERROR(__xludf.DUMMYFUNCTION("""COMPUTED_VALUE"""),"unorthodox_newport_beach_with_b2b_train")</f>
        <v>unorthodox_newport_beach_with_b2b_train</v>
      </c>
      <c r="C355" s="26" t="str">
        <f>IFERROR(__xludf.DUMMYFUNCTION("""COMPUTED_VALUE"""),"train")</f>
        <v>train</v>
      </c>
      <c r="D355" s="26" t="str">
        <f>IFERROR(__xludf.DUMMYFUNCTION("""COMPUTED_VALUE"""),"train")</f>
        <v>train</v>
      </c>
      <c r="E355" s="26">
        <f>IFERROR(__xludf.DUMMYFUNCTION("""COMPUTED_VALUE"""),54.0)</f>
        <v>54</v>
      </c>
      <c r="F355" s="26" t="str">
        <f>IFERROR(__xludf.DUMMYFUNCTION("""COMPUTED_VALUE"""),"8MP_JPG")</f>
        <v>8MP_JPG</v>
      </c>
      <c r="G355" s="26" t="str">
        <f>IFERROR(__xludf.DUMMYFUNCTION("""COMPUTED_VALUE"""),"GERMANY, CLOUDY, DAY")</f>
        <v>GERMANY, CLOUDY, DAY</v>
      </c>
      <c r="H355" s="26">
        <f>IFERROR(__xludf.DUMMYFUNCTION("""COMPUTED_VALUE"""),-1.0)</f>
        <v>-1</v>
      </c>
      <c r="I355" s="26">
        <f>IFERROR(__xludf.DUMMYFUNCTION("""COMPUTED_VALUE"""),-1.0)</f>
        <v>-1</v>
      </c>
      <c r="J355" s="26">
        <f>IFERROR(__xludf.DUMMYFUNCTION("""COMPUTED_VALUE"""),-1.0)</f>
        <v>-1</v>
      </c>
      <c r="K355" s="29">
        <f>IFERROR(__xludf.DUMMYFUNCTION("""COMPUTED_VALUE"""),45418.42591435185)</f>
        <v>45418.42591</v>
      </c>
    </row>
    <row r="356">
      <c r="A356" s="18" t="str">
        <f>IFERROR(__xludf.DUMMYFUNCTION("""COMPUTED_VALUE"""),"665d838206e1a362691e9b4e")</f>
        <v>665d838206e1a362691e9b4e</v>
      </c>
      <c r="B356" s="15" t="str">
        <f>IFERROR(__xludf.DUMMYFUNCTION("""COMPUTED_VALUE"""),"daunting_lima_every_30_images_to_tag")</f>
        <v>daunting_lima_every_30_images_to_tag</v>
      </c>
      <c r="C356" s="15" t="str">
        <f>IFERROR(__xludf.DUMMYFUNCTION("""COMPUTED_VALUE"""),"train")</f>
        <v>train</v>
      </c>
      <c r="D356" s="15" t="str">
        <f>IFERROR(__xludf.DUMMYFUNCTION("""COMPUTED_VALUE"""),"train")</f>
        <v>train</v>
      </c>
      <c r="E356" s="15">
        <f>IFERROR(__xludf.DUMMYFUNCTION("""COMPUTED_VALUE"""),289.0)</f>
        <v>289</v>
      </c>
      <c r="F356" s="15" t="str">
        <f>IFERROR(__xludf.DUMMYFUNCTION("""COMPUTED_VALUE"""),"8MP_JPG")</f>
        <v>8MP_JPG</v>
      </c>
      <c r="G356" s="15" t="str">
        <f>IFERROR(__xludf.DUMMYFUNCTION("""COMPUTED_VALUE"""),"YELLOW_VEST, GERMANY, DAY")</f>
        <v>YELLOW_VEST, GERMANY, DAY</v>
      </c>
      <c r="H356" s="15">
        <f>IFERROR(__xludf.DUMMYFUNCTION("""COMPUTED_VALUE"""),-1.0)</f>
        <v>-1</v>
      </c>
      <c r="I356" s="15">
        <f>IFERROR(__xludf.DUMMYFUNCTION("""COMPUTED_VALUE"""),-1.0)</f>
        <v>-1</v>
      </c>
      <c r="J356" s="15">
        <f>IFERROR(__xludf.DUMMYFUNCTION("""COMPUTED_VALUE"""),-1.0)</f>
        <v>-1</v>
      </c>
      <c r="K356" s="28">
        <f>IFERROR(__xludf.DUMMYFUNCTION("""COMPUTED_VALUE"""),45418.42594907407)</f>
        <v>45418.42595</v>
      </c>
    </row>
    <row r="357">
      <c r="A357" s="18" t="str">
        <f>IFERROR(__xludf.DUMMYFUNCTION("""COMPUTED_VALUE"""),"665d837206e1a362691e9b48")</f>
        <v>665d837206e1a362691e9b48</v>
      </c>
      <c r="B357" s="15" t="str">
        <f>IFERROR(__xludf.DUMMYFUNCTION("""COMPUTED_VALUE"""),"inharmonious_morgan_hill_every_30_images_to_tag")</f>
        <v>inharmonious_morgan_hill_every_30_images_to_tag</v>
      </c>
      <c r="C357" s="15" t="str">
        <f>IFERROR(__xludf.DUMMYFUNCTION("""COMPUTED_VALUE"""),"train")</f>
        <v>train</v>
      </c>
      <c r="D357" s="15" t="str">
        <f>IFERROR(__xludf.DUMMYFUNCTION("""COMPUTED_VALUE"""),"train")</f>
        <v>train</v>
      </c>
      <c r="E357" s="15">
        <f>IFERROR(__xludf.DUMMYFUNCTION("""COMPUTED_VALUE"""),240.0)</f>
        <v>240</v>
      </c>
      <c r="F357" s="15" t="str">
        <f>IFERROR(__xludf.DUMMYFUNCTION("""COMPUTED_VALUE"""),"8MP_JPG")</f>
        <v>8MP_JPG</v>
      </c>
      <c r="G357" s="15" t="str">
        <f>IFERROR(__xludf.DUMMYFUNCTION("""COMPUTED_VALUE"""),"YELLOW_VEST, GERMANY, DAY")</f>
        <v>YELLOW_VEST, GERMANY, DAY</v>
      </c>
      <c r="H357" s="15">
        <f>IFERROR(__xludf.DUMMYFUNCTION("""COMPUTED_VALUE"""),-1.0)</f>
        <v>-1</v>
      </c>
      <c r="I357" s="15">
        <f>IFERROR(__xludf.DUMMYFUNCTION("""COMPUTED_VALUE"""),-1.0)</f>
        <v>-1</v>
      </c>
      <c r="J357" s="15">
        <f>IFERROR(__xludf.DUMMYFUNCTION("""COMPUTED_VALUE"""),-1.0)</f>
        <v>-1</v>
      </c>
      <c r="K357" s="28">
        <f>IFERROR(__xludf.DUMMYFUNCTION("""COMPUTED_VALUE"""),45418.42597222222)</f>
        <v>45418.42597</v>
      </c>
    </row>
    <row r="358">
      <c r="A358" s="25" t="str">
        <f>IFERROR(__xludf.DUMMYFUNCTION("""COMPUTED_VALUE"""),"665d836406e1a362691e9b43")</f>
        <v>665d836406e1a362691e9b43</v>
      </c>
      <c r="B358" s="26" t="str">
        <f>IFERROR(__xludf.DUMMYFUNCTION("""COMPUTED_VALUE"""),"evening_aliso_viejo_every_30_images_to_tag")</f>
        <v>evening_aliso_viejo_every_30_images_to_tag</v>
      </c>
      <c r="C358" s="26" t="str">
        <f>IFERROR(__xludf.DUMMYFUNCTION("""COMPUTED_VALUE"""),"train")</f>
        <v>train</v>
      </c>
      <c r="D358" s="26" t="str">
        <f>IFERROR(__xludf.DUMMYFUNCTION("""COMPUTED_VALUE"""),"train")</f>
        <v>train</v>
      </c>
      <c r="E358" s="26">
        <f>IFERROR(__xludf.DUMMYFUNCTION("""COMPUTED_VALUE"""),289.0)</f>
        <v>289</v>
      </c>
      <c r="F358" s="26" t="str">
        <f>IFERROR(__xludf.DUMMYFUNCTION("""COMPUTED_VALUE"""),"8MP_JPG")</f>
        <v>8MP_JPG</v>
      </c>
      <c r="G358" s="26" t="str">
        <f>IFERROR(__xludf.DUMMYFUNCTION("""COMPUTED_VALUE"""),"GERMANY, DAY")</f>
        <v>GERMANY, DAY</v>
      </c>
      <c r="H358" s="26">
        <f>IFERROR(__xludf.DUMMYFUNCTION("""COMPUTED_VALUE"""),-1.0)</f>
        <v>-1</v>
      </c>
      <c r="I358" s="26">
        <f>IFERROR(__xludf.DUMMYFUNCTION("""COMPUTED_VALUE"""),-1.0)</f>
        <v>-1</v>
      </c>
      <c r="J358" s="26">
        <f>IFERROR(__xludf.DUMMYFUNCTION("""COMPUTED_VALUE"""),-1.0)</f>
        <v>-1</v>
      </c>
      <c r="K358" s="29">
        <f>IFERROR(__xludf.DUMMYFUNCTION("""COMPUTED_VALUE"""),45418.42599537037)</f>
        <v>45418.426</v>
      </c>
    </row>
    <row r="359">
      <c r="A359" s="25" t="str">
        <f>IFERROR(__xludf.DUMMYFUNCTION("""COMPUTED_VALUE"""),"665d835206e1a362691e9b3d")</f>
        <v>665d835206e1a362691e9b3d</v>
      </c>
      <c r="B359" s="26" t="str">
        <f>IFERROR(__xludf.DUMMYFUNCTION("""COMPUTED_VALUE"""),"clean_bismarck_every_30_images_to_tag")</f>
        <v>clean_bismarck_every_30_images_to_tag</v>
      </c>
      <c r="C359" s="26" t="str">
        <f>IFERROR(__xludf.DUMMYFUNCTION("""COMPUTED_VALUE"""),"train")</f>
        <v>train</v>
      </c>
      <c r="D359" s="26" t="str">
        <f>IFERROR(__xludf.DUMMYFUNCTION("""COMPUTED_VALUE"""),"train")</f>
        <v>train</v>
      </c>
      <c r="E359" s="26">
        <f>IFERROR(__xludf.DUMMYFUNCTION("""COMPUTED_VALUE"""),288.0)</f>
        <v>288</v>
      </c>
      <c r="F359" s="26" t="str">
        <f>IFERROR(__xludf.DUMMYFUNCTION("""COMPUTED_VALUE"""),"8MP_JPG")</f>
        <v>8MP_JPG</v>
      </c>
      <c r="G359" s="26" t="str">
        <f>IFERROR(__xludf.DUMMYFUNCTION("""COMPUTED_VALUE"""),"GERMANY, DAY")</f>
        <v>GERMANY, DAY</v>
      </c>
      <c r="H359" s="26">
        <f>IFERROR(__xludf.DUMMYFUNCTION("""COMPUTED_VALUE"""),-1.0)</f>
        <v>-1</v>
      </c>
      <c r="I359" s="26">
        <f>IFERROR(__xludf.DUMMYFUNCTION("""COMPUTED_VALUE"""),-1.0)</f>
        <v>-1</v>
      </c>
      <c r="J359" s="26">
        <f>IFERROR(__xludf.DUMMYFUNCTION("""COMPUTED_VALUE"""),-1.0)</f>
        <v>-1</v>
      </c>
      <c r="K359" s="29">
        <f>IFERROR(__xludf.DUMMYFUNCTION("""COMPUTED_VALUE"""),45418.42601851852)</f>
        <v>45418.42602</v>
      </c>
    </row>
    <row r="360">
      <c r="A360" s="18" t="str">
        <f>IFERROR(__xludf.DUMMYFUNCTION("""COMPUTED_VALUE"""),"665d834106e1a362691e9b37")</f>
        <v>665d834106e1a362691e9b37</v>
      </c>
      <c r="B360" s="15" t="str">
        <f>IFERROR(__xludf.DUMMYFUNCTION("""COMPUTED_VALUE"""),"flushed_loveland_every_30_images_to_tag")</f>
        <v>flushed_loveland_every_30_images_to_tag</v>
      </c>
      <c r="C360" s="15" t="str">
        <f>IFERROR(__xludf.DUMMYFUNCTION("""COMPUTED_VALUE"""),"train")</f>
        <v>train</v>
      </c>
      <c r="D360" s="15" t="str">
        <f>IFERROR(__xludf.DUMMYFUNCTION("""COMPUTED_VALUE"""),"train")</f>
        <v>train</v>
      </c>
      <c r="E360" s="15">
        <f>IFERROR(__xludf.DUMMYFUNCTION("""COMPUTED_VALUE"""),240.0)</f>
        <v>240</v>
      </c>
      <c r="F360" s="15" t="str">
        <f>IFERROR(__xludf.DUMMYFUNCTION("""COMPUTED_VALUE"""),"8MP_JPG")</f>
        <v>8MP_JPG</v>
      </c>
      <c r="G360" s="15" t="str">
        <f>IFERROR(__xludf.DUMMYFUNCTION("""COMPUTED_VALUE"""),"GERMANY, DAY")</f>
        <v>GERMANY, DAY</v>
      </c>
      <c r="H360" s="15">
        <f>IFERROR(__xludf.DUMMYFUNCTION("""COMPUTED_VALUE"""),-1.0)</f>
        <v>-1</v>
      </c>
      <c r="I360" s="15">
        <f>IFERROR(__xludf.DUMMYFUNCTION("""COMPUTED_VALUE"""),-1.0)</f>
        <v>-1</v>
      </c>
      <c r="J360" s="15">
        <f>IFERROR(__xludf.DUMMYFUNCTION("""COMPUTED_VALUE"""),-1.0)</f>
        <v>-1</v>
      </c>
      <c r="K360" s="28">
        <f>IFERROR(__xludf.DUMMYFUNCTION("""COMPUTED_VALUE"""),45418.426030092596)</f>
        <v>45418.42603</v>
      </c>
    </row>
    <row r="361">
      <c r="A361" s="25" t="str">
        <f>IFERROR(__xludf.DUMMYFUNCTION("""COMPUTED_VALUE"""),"665d834006e1a362691e9b36")</f>
        <v>665d834006e1a362691e9b36</v>
      </c>
      <c r="B361" s="26" t="str">
        <f>IFERROR(__xludf.DUMMYFUNCTION("""COMPUTED_VALUE"""),"_either_las_cruces_every_30_images_to_tag")</f>
        <v>_either_las_cruces_every_30_images_to_tag</v>
      </c>
      <c r="C361" s="26" t="str">
        <f>IFERROR(__xludf.DUMMYFUNCTION("""COMPUTED_VALUE"""),"train")</f>
        <v>train</v>
      </c>
      <c r="D361" s="26" t="str">
        <f>IFERROR(__xludf.DUMMYFUNCTION("""COMPUTED_VALUE"""),"train")</f>
        <v>train</v>
      </c>
      <c r="E361" s="26">
        <f>IFERROR(__xludf.DUMMYFUNCTION("""COMPUTED_VALUE"""),240.0)</f>
        <v>240</v>
      </c>
      <c r="F361" s="26" t="str">
        <f>IFERROR(__xludf.DUMMYFUNCTION("""COMPUTED_VALUE"""),"8MP_JPG")</f>
        <v>8MP_JPG</v>
      </c>
      <c r="G361" s="26" t="str">
        <f>IFERROR(__xludf.DUMMYFUNCTION("""COMPUTED_VALUE"""),"YELLOW_VEST, GERMANY, DAY")</f>
        <v>YELLOW_VEST, GERMANY, DAY</v>
      </c>
      <c r="H361" s="26">
        <f>IFERROR(__xludf.DUMMYFUNCTION("""COMPUTED_VALUE"""),-1.0)</f>
        <v>-1</v>
      </c>
      <c r="I361" s="26">
        <f>IFERROR(__xludf.DUMMYFUNCTION("""COMPUTED_VALUE"""),-1.0)</f>
        <v>-1</v>
      </c>
      <c r="J361" s="26">
        <f>IFERROR(__xludf.DUMMYFUNCTION("""COMPUTED_VALUE"""),-1.0)</f>
        <v>-1</v>
      </c>
      <c r="K361" s="29">
        <f>IFERROR(__xludf.DUMMYFUNCTION("""COMPUTED_VALUE"""),45418.42605324074)</f>
        <v>45418.42605</v>
      </c>
    </row>
    <row r="362">
      <c r="A362" s="18" t="str">
        <f>IFERROR(__xludf.DUMMYFUNCTION("""COMPUTED_VALUE"""),"62f8f2f307d51f1227be0f1f")</f>
        <v>62f8f2f307d51f1227be0f1f</v>
      </c>
      <c r="B362" s="15" t="str">
        <f>IFERROR(__xludf.DUMMYFUNCTION("""COMPUTED_VALUE"""),"sanity_crossing_ped_day_test_14_08")</f>
        <v>sanity_crossing_ped_day_test_14_08</v>
      </c>
      <c r="C362" s="15" t="str">
        <f>IFERROR(__xludf.DUMMYFUNCTION("""COMPUTED_VALUE"""),"undefined")</f>
        <v>undefined</v>
      </c>
      <c r="D362" s="15" t="str">
        <f>IFERROR(__xludf.DUMMYFUNCTION("""COMPUTED_VALUE"""),"undefined")</f>
        <v>undefined</v>
      </c>
      <c r="E362" s="15">
        <f>IFERROR(__xludf.DUMMYFUNCTION("""COMPUTED_VALUE"""),36415.0)</f>
        <v>36415</v>
      </c>
      <c r="F362" s="15" t="str">
        <f>IFERROR(__xludf.DUMMYFUNCTION("""COMPUTED_VALUE"""),"QUAD")</f>
        <v>QUAD</v>
      </c>
      <c r="G362" s="15"/>
      <c r="H362" s="15">
        <f>IFERROR(__xludf.DUMMYFUNCTION("""COMPUTED_VALUE"""),-1.0)</f>
        <v>-1</v>
      </c>
      <c r="I362" s="15">
        <f>IFERROR(__xludf.DUMMYFUNCTION("""COMPUTED_VALUE"""),-1.0)</f>
        <v>-1</v>
      </c>
      <c r="J362" s="15">
        <f>IFERROR(__xludf.DUMMYFUNCTION("""COMPUTED_VALUE"""),-1.0)</f>
        <v>-1</v>
      </c>
      <c r="K362" s="28">
        <f>IFERROR(__xludf.DUMMYFUNCTION("""COMPUTED_VALUE"""),45449.485671296294)</f>
        <v>45449.48567</v>
      </c>
    </row>
    <row r="363">
      <c r="A363" s="25" t="str">
        <f>IFERROR(__xludf.DUMMYFUNCTION("""COMPUTED_VALUE"""),"62f8f6c707d51f1227be20e6")</f>
        <v>62f8f6c707d51f1227be20e6</v>
      </c>
      <c r="B363" s="26" t="str">
        <f>IFERROR(__xludf.DUMMYFUNCTION("""COMPUTED_VALUE"""),"sanity_crossing_4w_day_test_14_08")</f>
        <v>sanity_crossing_4w_day_test_14_08</v>
      </c>
      <c r="C363" s="26" t="str">
        <f>IFERROR(__xludf.DUMMYFUNCTION("""COMPUTED_VALUE"""),"undefined")</f>
        <v>undefined</v>
      </c>
      <c r="D363" s="26" t="str">
        <f>IFERROR(__xludf.DUMMYFUNCTION("""COMPUTED_VALUE"""),"undefined")</f>
        <v>undefined</v>
      </c>
      <c r="E363" s="26">
        <f>IFERROR(__xludf.DUMMYFUNCTION("""COMPUTED_VALUE"""),3814.0)</f>
        <v>3814</v>
      </c>
      <c r="F363" s="26" t="str">
        <f>IFERROR(__xludf.DUMMYFUNCTION("""COMPUTED_VALUE"""),"QUAD")</f>
        <v>QUAD</v>
      </c>
      <c r="G363" s="26"/>
      <c r="H363" s="26">
        <f>IFERROR(__xludf.DUMMYFUNCTION("""COMPUTED_VALUE"""),-1.0)</f>
        <v>-1</v>
      </c>
      <c r="I363" s="26">
        <f>IFERROR(__xludf.DUMMYFUNCTION("""COMPUTED_VALUE"""),-1.0)</f>
        <v>-1</v>
      </c>
      <c r="J363" s="26">
        <f>IFERROR(__xludf.DUMMYFUNCTION("""COMPUTED_VALUE"""),-1.0)</f>
        <v>-1</v>
      </c>
      <c r="K363" s="29">
        <f>IFERROR(__xludf.DUMMYFUNCTION("""COMPUTED_VALUE"""),45449.701145833336)</f>
        <v>45449.70115</v>
      </c>
    </row>
    <row r="364">
      <c r="A364" s="18" t="str">
        <f>IFERROR(__xludf.DUMMYFUNCTION("""COMPUTED_VALUE"""),"65ed7ba579512c347d507919")</f>
        <v>65ed7ba579512c347d507919</v>
      </c>
      <c r="B364" s="15" t="str">
        <f>IFERROR(__xludf.DUMMYFUNCTION("""COMPUTED_VALUE"""),"_tangy_fitchburg_chosen_to_tag_every_3_images_to_tag_batch_1_each_300")</f>
        <v>_tangy_fitchburg_chosen_to_tag_every_3_images_to_tag_batch_1_each_300</v>
      </c>
      <c r="C364" s="15" t="str">
        <f>IFERROR(__xludf.DUMMYFUNCTION("""COMPUTED_VALUE"""),"train")</f>
        <v>train</v>
      </c>
      <c r="D364" s="15" t="str">
        <f>IFERROR(__xludf.DUMMYFUNCTION("""COMPUTED_VALUE"""),"train")</f>
        <v>train</v>
      </c>
      <c r="E364" s="15">
        <f>IFERROR(__xludf.DUMMYFUNCTION("""COMPUTED_VALUE"""),55.0)</f>
        <v>55</v>
      </c>
      <c r="F364" s="15" t="str">
        <f>IFERROR(__xludf.DUMMYFUNCTION("""COMPUTED_VALUE"""),"8MP_JPG")</f>
        <v>8MP_JPG</v>
      </c>
      <c r="G364" s="15" t="str">
        <f>IFERROR(__xludf.DUMMYFUNCTION("""COMPUTED_VALUE"""),"ARROWS, TEL_AVIV, ISRAEL, CLEAR, DAY")</f>
        <v>ARROWS, TEL_AVIV, ISRAEL, CLEAR, DAY</v>
      </c>
      <c r="H364" s="15">
        <f>IFERROR(__xludf.DUMMYFUNCTION("""COMPUTED_VALUE"""),-1.0)</f>
        <v>-1</v>
      </c>
      <c r="I364" s="15">
        <f>IFERROR(__xludf.DUMMYFUNCTION("""COMPUTED_VALUE"""),-1.0)</f>
        <v>-1</v>
      </c>
      <c r="J364" s="15">
        <f>IFERROR(__xludf.DUMMYFUNCTION("""COMPUTED_VALUE"""),-1.0)</f>
        <v>-1</v>
      </c>
      <c r="K364" s="16" t="str">
        <f>IFERROR(__xludf.DUMMYFUNCTION("""COMPUTED_VALUE"""),"16/06/2024, 10:59:58")</f>
        <v>16/06/2024, 10:59:58</v>
      </c>
    </row>
    <row r="365">
      <c r="A365" s="18" t="str">
        <f>IFERROR(__xludf.DUMMYFUNCTION("""COMPUTED_VALUE"""),"65ed7ba279512c347d507915")</f>
        <v>65ed7ba279512c347d507915</v>
      </c>
      <c r="B365" s="15" t="str">
        <f>IFERROR(__xludf.DUMMYFUNCTION("""COMPUTED_VALUE"""),"_potent_valdosta_chosen_to_tag_every_3_images_to_tag_batch_1_each_300")</f>
        <v>_potent_valdosta_chosen_to_tag_every_3_images_to_tag_batch_1_each_300</v>
      </c>
      <c r="C365" s="15" t="str">
        <f>IFERROR(__xludf.DUMMYFUNCTION("""COMPUTED_VALUE"""),"train")</f>
        <v>train</v>
      </c>
      <c r="D365" s="15" t="str">
        <f>IFERROR(__xludf.DUMMYFUNCTION("""COMPUTED_VALUE"""),"train")</f>
        <v>train</v>
      </c>
      <c r="E365" s="15">
        <f>IFERROR(__xludf.DUMMYFUNCTION("""COMPUTED_VALUE"""),190.0)</f>
        <v>190</v>
      </c>
      <c r="F365" s="15" t="str">
        <f>IFERROR(__xludf.DUMMYFUNCTION("""COMPUTED_VALUE"""),"8MP_JPG")</f>
        <v>8MP_JPG</v>
      </c>
      <c r="G365" s="15" t="str">
        <f>IFERROR(__xludf.DUMMYFUNCTION("""COMPUTED_VALUE"""),"ARROWS, TEL_AVIV, ISRAEL, CLEAR, DAY")</f>
        <v>ARROWS, TEL_AVIV, ISRAEL, CLEAR, DAY</v>
      </c>
      <c r="H365" s="15">
        <f>IFERROR(__xludf.DUMMYFUNCTION("""COMPUTED_VALUE"""),-1.0)</f>
        <v>-1</v>
      </c>
      <c r="I365" s="15">
        <f>IFERROR(__xludf.DUMMYFUNCTION("""COMPUTED_VALUE"""),-1.0)</f>
        <v>-1</v>
      </c>
      <c r="J365" s="15">
        <f>IFERROR(__xludf.DUMMYFUNCTION("""COMPUTED_VALUE"""),-1.0)</f>
        <v>-1</v>
      </c>
      <c r="K365" s="16" t="str">
        <f>IFERROR(__xludf.DUMMYFUNCTION("""COMPUTED_VALUE"""),"16/06/2024, 11:00:07")</f>
        <v>16/06/2024, 11:00:07</v>
      </c>
    </row>
    <row r="366">
      <c r="A366" s="18" t="str">
        <f>IFERROR(__xludf.DUMMYFUNCTION("""COMPUTED_VALUE"""),"65ed7b9d79512c347d50790f")</f>
        <v>65ed7b9d79512c347d50790f</v>
      </c>
      <c r="B366" s="15" t="str">
        <f>IFERROR(__xludf.DUMMYFUNCTION("""COMPUTED_VALUE"""),"_likeable_hampton_chosen_to_tag_every_3_images_to_tag_batch_1_each_300")</f>
        <v>_likeable_hampton_chosen_to_tag_every_3_images_to_tag_batch_1_each_300</v>
      </c>
      <c r="C366" s="15" t="str">
        <f>IFERROR(__xludf.DUMMYFUNCTION("""COMPUTED_VALUE"""),"train")</f>
        <v>train</v>
      </c>
      <c r="D366" s="15" t="str">
        <f>IFERROR(__xludf.DUMMYFUNCTION("""COMPUTED_VALUE"""),"train")</f>
        <v>train</v>
      </c>
      <c r="E366" s="15">
        <f>IFERROR(__xludf.DUMMYFUNCTION("""COMPUTED_VALUE"""),37.0)</f>
        <v>37</v>
      </c>
      <c r="F366" s="15" t="str">
        <f>IFERROR(__xludf.DUMMYFUNCTION("""COMPUTED_VALUE"""),"8MP_JPG")</f>
        <v>8MP_JPG</v>
      </c>
      <c r="G366" s="15" t="str">
        <f>IFERROR(__xludf.DUMMYFUNCTION("""COMPUTED_VALUE"""),"ARROWS, TEL_AVIV, ISRAEL, CLEAR, DAY")</f>
        <v>ARROWS, TEL_AVIV, ISRAEL, CLEAR, DAY</v>
      </c>
      <c r="H366" s="15">
        <f>IFERROR(__xludf.DUMMYFUNCTION("""COMPUTED_VALUE"""),-1.0)</f>
        <v>-1</v>
      </c>
      <c r="I366" s="15">
        <f>IFERROR(__xludf.DUMMYFUNCTION("""COMPUTED_VALUE"""),-1.0)</f>
        <v>-1</v>
      </c>
      <c r="J366" s="15">
        <f>IFERROR(__xludf.DUMMYFUNCTION("""COMPUTED_VALUE"""),-1.0)</f>
        <v>-1</v>
      </c>
      <c r="K366" s="16" t="str">
        <f>IFERROR(__xludf.DUMMYFUNCTION("""COMPUTED_VALUE"""),"16/06/2024, 11:00:19")</f>
        <v>16/06/2024, 11:00:19</v>
      </c>
    </row>
    <row r="367">
      <c r="A367" s="18" t="str">
        <f>IFERROR(__xludf.DUMMYFUNCTION("""COMPUTED_VALUE"""),"66719b6821a647736461e72d")</f>
        <v>66719b6821a647736461e72d</v>
      </c>
      <c r="B367" s="15" t="str">
        <f>IFERROR(__xludf.DUMMYFUNCTION("""COMPUTED_VALUE"""),"day_clear_urban_tel_aviv_od_test_10fps")</f>
        <v>day_clear_urban_tel_aviv_od_test_10fps</v>
      </c>
      <c r="C367" s="15" t="str">
        <f>IFERROR(__xludf.DUMMYFUNCTION("""COMPUTED_VALUE"""),"test")</f>
        <v>test</v>
      </c>
      <c r="D367" s="15" t="str">
        <f>IFERROR(__xludf.DUMMYFUNCTION("""COMPUTED_VALUE"""),"test")</f>
        <v>test</v>
      </c>
      <c r="E367" s="15">
        <f>IFERROR(__xludf.DUMMYFUNCTION("""COMPUTED_VALUE"""),13779.0)</f>
        <v>13779</v>
      </c>
      <c r="F367" s="15" t="str">
        <f>IFERROR(__xludf.DUMMYFUNCTION("""COMPUTED_VALUE"""),"8MP_JPG")</f>
        <v>8MP_JPG</v>
      </c>
      <c r="G367" s="15" t="str">
        <f>IFERROR(__xludf.DUMMYFUNCTION("""COMPUTED_VALUE"""),"NIGHT, ARROWS, CLEAR, DAY, SUNNY, ISRAEL")</f>
        <v>NIGHT, ARROWS, CLEAR, DAY, SUNNY, ISRAEL</v>
      </c>
      <c r="H367" s="15">
        <f>IFERROR(__xludf.DUMMYFUNCTION("""COMPUTED_VALUE"""),-1.0)</f>
        <v>-1</v>
      </c>
      <c r="I367" s="15">
        <f>IFERROR(__xludf.DUMMYFUNCTION("""COMPUTED_VALUE"""),-1.0)</f>
        <v>-1</v>
      </c>
      <c r="J367" s="15">
        <f>IFERROR(__xludf.DUMMYFUNCTION("""COMPUTED_VALUE"""),-1.0)</f>
        <v>-1</v>
      </c>
      <c r="K367" s="16" t="str">
        <f>IFERROR(__xludf.DUMMYFUNCTION("""COMPUTED_VALUE"""),"19/06/2024, 17:25:58")</f>
        <v>19/06/2024, 17:25:58</v>
      </c>
    </row>
    <row r="368">
      <c r="A368" s="18" t="str">
        <f>IFERROR(__xludf.DUMMYFUNCTION("""COMPUTED_VALUE"""),"66792eaa0273422c87058526")</f>
        <v>66792eaa0273422c87058526</v>
      </c>
      <c r="B368" s="15" t="str">
        <f>IFERROR(__xludf.DUMMYFUNCTION("""COMPUTED_VALUE"""),"_strange_trucks_task_official_super_set_od_train_8mp_to_tag_batch_244_each_200_added_to_odtaggeddataboard")</f>
        <v>_strange_trucks_task_official_super_set_od_train_8mp_to_tag_batch_244_each_200_added_to_odtaggeddataboard</v>
      </c>
      <c r="C368" s="15" t="str">
        <f>IFERROR(__xludf.DUMMYFUNCTION("""COMPUTED_VALUE"""),"train")</f>
        <v>train</v>
      </c>
      <c r="D368" s="15" t="str">
        <f>IFERROR(__xludf.DUMMYFUNCTION("""COMPUTED_VALUE"""),"train")</f>
        <v>train</v>
      </c>
      <c r="E368" s="15">
        <f>IFERROR(__xludf.DUMMYFUNCTION("""COMPUTED_VALUE"""),5.0)</f>
        <v>5</v>
      </c>
      <c r="F368" s="15" t="str">
        <f>IFERROR(__xludf.DUMMYFUNCTION("""COMPUTED_VALUE"""),"AMBARELLA_3840_1920")</f>
        <v>AMBARELLA_3840_1920</v>
      </c>
      <c r="G368" s="15" t="str">
        <f>IFERROR(__xludf.DUMMYFUNCTION("""COMPUTED_VALUE"""),"CLEAR, DAY, ISRAEL")</f>
        <v>CLEAR, DAY, ISRAEL</v>
      </c>
      <c r="H368" s="15">
        <f>IFERROR(__xludf.DUMMYFUNCTION("""COMPUTED_VALUE"""),-1.0)</f>
        <v>-1</v>
      </c>
      <c r="I368" s="15">
        <f>IFERROR(__xludf.DUMMYFUNCTION("""COMPUTED_VALUE"""),-1.0)</f>
        <v>-1</v>
      </c>
      <c r="J368" s="15">
        <f>IFERROR(__xludf.DUMMYFUNCTION("""COMPUTED_VALUE"""),-1.0)</f>
        <v>-1</v>
      </c>
      <c r="K368" s="16" t="str">
        <f>IFERROR(__xludf.DUMMYFUNCTION("""COMPUTED_VALUE"""),"24/06/2024, 11:30:34")</f>
        <v>24/06/2024, 11:30:34</v>
      </c>
    </row>
    <row r="369">
      <c r="A369" s="18" t="str">
        <f>IFERROR(__xludf.DUMMYFUNCTION("""COMPUTED_VALUE"""),"6527c4aa54107825f76a5053")</f>
        <v>6527c4aa54107825f76a5053</v>
      </c>
      <c r="B369" s="15" t="str">
        <f>IFERROR(__xludf.DUMMYFUNCTION("""COMPUTED_VALUE"""),"official_od__sheep_superset_6502aaf17edfb609dc1b4ab9_for_fa_removal_train_skipped_every_10_img_batch_12_split_by_size_of_100_od_for_train_tagged")</f>
        <v>official_od__sheep_superset_6502aaf17edfb609dc1b4ab9_for_fa_removal_train_skipped_every_10_img_batch_12_split_by_size_of_100_od_for_train_tagged</v>
      </c>
      <c r="C369" s="15" t="str">
        <f>IFERROR(__xludf.DUMMYFUNCTION("""COMPUTED_VALUE"""),"train")</f>
        <v>train</v>
      </c>
      <c r="D369" s="15" t="str">
        <f>IFERROR(__xludf.DUMMYFUNCTION("""COMPUTED_VALUE"""),"train")</f>
        <v>train</v>
      </c>
      <c r="E369" s="15">
        <f>IFERROR(__xludf.DUMMYFUNCTION("""COMPUTED_VALUE"""),100.0)</f>
        <v>100</v>
      </c>
      <c r="F369" s="15" t="str">
        <f>IFERROR(__xludf.DUMMYFUNCTION("""COMPUTED_VALUE"""),"8MP_JPG")</f>
        <v>8MP_JPG</v>
      </c>
      <c r="G369" s="15" t="str">
        <f>IFERROR(__xludf.DUMMYFUNCTION("""COMPUTED_VALUE"""),"CLOUDY, DAY, GERMANY")</f>
        <v>CLOUDY, DAY, GERMANY</v>
      </c>
      <c r="H369" s="15">
        <f>IFERROR(__xludf.DUMMYFUNCTION("""COMPUTED_VALUE"""),-1.0)</f>
        <v>-1</v>
      </c>
      <c r="I369" s="15">
        <f>IFERROR(__xludf.DUMMYFUNCTION("""COMPUTED_VALUE"""),-1.0)</f>
        <v>-1</v>
      </c>
      <c r="J369" s="15">
        <f>IFERROR(__xludf.DUMMYFUNCTION("""COMPUTED_VALUE"""),-1.0)</f>
        <v>-1</v>
      </c>
      <c r="K369" s="16" t="str">
        <f>IFERROR(__xludf.DUMMYFUNCTION("""COMPUTED_VALUE"""),"24/06/2024, 11:36:07")</f>
        <v>24/06/2024, 11:36:07</v>
      </c>
    </row>
    <row r="370">
      <c r="A370" s="18" t="str">
        <f>IFERROR(__xludf.DUMMYFUNCTION("""COMPUTED_VALUE"""),"6527c52354107825f76a5057")</f>
        <v>6527c52354107825f76a5057</v>
      </c>
      <c r="B370" s="15" t="str">
        <f>IFERROR(__xludf.DUMMYFUNCTION("""COMPUTED_VALUE"""),"official_od__sheep_superset_6502aaf17edfb609dc1b4ab9_for_fa_removal_train_skipped_every_10_img_batch_9_split_by_size_of_100_od_for_train_tagged")</f>
        <v>official_od__sheep_superset_6502aaf17edfb609dc1b4ab9_for_fa_removal_train_skipped_every_10_img_batch_9_split_by_size_of_100_od_for_train_tagged</v>
      </c>
      <c r="C370" s="15" t="str">
        <f>IFERROR(__xludf.DUMMYFUNCTION("""COMPUTED_VALUE"""),"train")</f>
        <v>train</v>
      </c>
      <c r="D370" s="15" t="str">
        <f>IFERROR(__xludf.DUMMYFUNCTION("""COMPUTED_VALUE"""),"train")</f>
        <v>train</v>
      </c>
      <c r="E370" s="15">
        <f>IFERROR(__xludf.DUMMYFUNCTION("""COMPUTED_VALUE"""),96.0)</f>
        <v>96</v>
      </c>
      <c r="F370" s="15" t="str">
        <f>IFERROR(__xludf.DUMMYFUNCTION("""COMPUTED_VALUE"""),"8MP_JPG")</f>
        <v>8MP_JPG</v>
      </c>
      <c r="G370" s="15" t="str">
        <f>IFERROR(__xludf.DUMMYFUNCTION("""COMPUTED_VALUE"""),"CLOUDY, DAY, GERMANY")</f>
        <v>CLOUDY, DAY, GERMANY</v>
      </c>
      <c r="H370" s="15">
        <f>IFERROR(__xludf.DUMMYFUNCTION("""COMPUTED_VALUE"""),-1.0)</f>
        <v>-1</v>
      </c>
      <c r="I370" s="15">
        <f>IFERROR(__xludf.DUMMYFUNCTION("""COMPUTED_VALUE"""),-1.0)</f>
        <v>-1</v>
      </c>
      <c r="J370" s="15">
        <f>IFERROR(__xludf.DUMMYFUNCTION("""COMPUTED_VALUE"""),-1.0)</f>
        <v>-1</v>
      </c>
      <c r="K370" s="16" t="str">
        <f>IFERROR(__xludf.DUMMYFUNCTION("""COMPUTED_VALUE"""),"24/06/2024, 11:36:25")</f>
        <v>24/06/2024, 11:36:25</v>
      </c>
    </row>
    <row r="371">
      <c r="A371" s="18" t="str">
        <f>IFERROR(__xludf.DUMMYFUNCTION("""COMPUTED_VALUE"""),"6527c4d354107825f76a5054")</f>
        <v>6527c4d354107825f76a5054</v>
      </c>
      <c r="B371" s="15" t="str">
        <f>IFERROR(__xludf.DUMMYFUNCTION("""COMPUTED_VALUE"""),"official_od__sheep_superset_6502aaf17edfb609dc1b4ab9_for_fa_removal_train_skipped_every_10_img_batch_11_split_by_size_of_100_od_for_train_tagged")</f>
        <v>official_od__sheep_superset_6502aaf17edfb609dc1b4ab9_for_fa_removal_train_skipped_every_10_img_batch_11_split_by_size_of_100_od_for_train_tagged</v>
      </c>
      <c r="C371" s="15" t="str">
        <f>IFERROR(__xludf.DUMMYFUNCTION("""COMPUTED_VALUE"""),"train")</f>
        <v>train</v>
      </c>
      <c r="D371" s="15" t="str">
        <f>IFERROR(__xludf.DUMMYFUNCTION("""COMPUTED_VALUE"""),"train")</f>
        <v>train</v>
      </c>
      <c r="E371" s="15">
        <f>IFERROR(__xludf.DUMMYFUNCTION("""COMPUTED_VALUE"""),100.0)</f>
        <v>100</v>
      </c>
      <c r="F371" s="15" t="str">
        <f>IFERROR(__xludf.DUMMYFUNCTION("""COMPUTED_VALUE"""),"8MP_JPG")</f>
        <v>8MP_JPG</v>
      </c>
      <c r="G371" s="15" t="str">
        <f>IFERROR(__xludf.DUMMYFUNCTION("""COMPUTED_VALUE"""),"CLOUDY, DAY, GERMANY")</f>
        <v>CLOUDY, DAY, GERMANY</v>
      </c>
      <c r="H371" s="15">
        <f>IFERROR(__xludf.DUMMYFUNCTION("""COMPUTED_VALUE"""),-1.0)</f>
        <v>-1</v>
      </c>
      <c r="I371" s="15">
        <f>IFERROR(__xludf.DUMMYFUNCTION("""COMPUTED_VALUE"""),-1.0)</f>
        <v>-1</v>
      </c>
      <c r="J371" s="15">
        <f>IFERROR(__xludf.DUMMYFUNCTION("""COMPUTED_VALUE"""),-1.0)</f>
        <v>-1</v>
      </c>
      <c r="K371" s="16" t="str">
        <f>IFERROR(__xludf.DUMMYFUNCTION("""COMPUTED_VALUE"""),"24/06/2024, 11:36:27")</f>
        <v>24/06/2024, 11:36:27</v>
      </c>
    </row>
    <row r="372">
      <c r="A372" s="18" t="str">
        <f>IFERROR(__xludf.DUMMYFUNCTION("""COMPUTED_VALUE"""),"6527cdb454107825f76a5078")</f>
        <v>6527cdb454107825f76a5078</v>
      </c>
      <c r="B372" s="15" t="str">
        <f>IFERROR(__xludf.DUMMYFUNCTION("""COMPUTED_VALUE"""),"official_od_buildings_test_track_kitzingen_superset_6502b36e7edfb609dc1b4b00_for_fa_removal_train_skipped_every_10_img_batch_0_split_by_size_of_108_od_for_train_tagged")</f>
        <v>official_od_buildings_test_track_kitzingen_superset_6502b36e7edfb609dc1b4b00_for_fa_removal_train_skipped_every_10_img_batch_0_split_by_size_of_108_od_for_train_tagged</v>
      </c>
      <c r="C372" s="15" t="str">
        <f>IFERROR(__xludf.DUMMYFUNCTION("""COMPUTED_VALUE"""),"train")</f>
        <v>train</v>
      </c>
      <c r="D372" s="15" t="str">
        <f>IFERROR(__xludf.DUMMYFUNCTION("""COMPUTED_VALUE"""),"train")</f>
        <v>train</v>
      </c>
      <c r="E372" s="15">
        <f>IFERROR(__xludf.DUMMYFUNCTION("""COMPUTED_VALUE"""),86.0)</f>
        <v>86</v>
      </c>
      <c r="F372" s="15" t="str">
        <f>IFERROR(__xludf.DUMMYFUNCTION("""COMPUTED_VALUE"""),"8MP_JPG")</f>
        <v>8MP_JPG</v>
      </c>
      <c r="G372" s="15" t="str">
        <f>IFERROR(__xludf.DUMMYFUNCTION("""COMPUTED_VALUE"""),"CLOUDY, DAY, GERMANY")</f>
        <v>CLOUDY, DAY, GERMANY</v>
      </c>
      <c r="H372" s="15">
        <f>IFERROR(__xludf.DUMMYFUNCTION("""COMPUTED_VALUE"""),-1.0)</f>
        <v>-1</v>
      </c>
      <c r="I372" s="15">
        <f>IFERROR(__xludf.DUMMYFUNCTION("""COMPUTED_VALUE"""),-1.0)</f>
        <v>-1</v>
      </c>
      <c r="J372" s="15">
        <f>IFERROR(__xludf.DUMMYFUNCTION("""COMPUTED_VALUE"""),-1.0)</f>
        <v>-1</v>
      </c>
      <c r="K372" s="16" t="str">
        <f>IFERROR(__xludf.DUMMYFUNCTION("""COMPUTED_VALUE"""),"24/06/2024, 11:36:38")</f>
        <v>24/06/2024, 11:36:38</v>
      </c>
    </row>
    <row r="373">
      <c r="A373" s="25" t="str">
        <f>IFERROR(__xludf.DUMMYFUNCTION("""COMPUTED_VALUE"""),"6527cd8854107825f76a5077")</f>
        <v>6527cd8854107825f76a5077</v>
      </c>
      <c r="B373" s="26" t="str">
        <f>IFERROR(__xludf.DUMMYFUNCTION("""COMPUTED_VALUE"""),"official_od_buildings_test_track_kitzingen_superset_6502b36e7edfb609dc1b4b00_for_fa_removal_train_skipped_every_10_img_batch_1_split_by_size_of_108_od_for_train_tagged")</f>
        <v>official_od_buildings_test_track_kitzingen_superset_6502b36e7edfb609dc1b4b00_for_fa_removal_train_skipped_every_10_img_batch_1_split_by_size_of_108_od_for_train_tagged</v>
      </c>
      <c r="C373" s="26" t="str">
        <f>IFERROR(__xludf.DUMMYFUNCTION("""COMPUTED_VALUE"""),"train")</f>
        <v>train</v>
      </c>
      <c r="D373" s="26" t="str">
        <f>IFERROR(__xludf.DUMMYFUNCTION("""COMPUTED_VALUE"""),"train")</f>
        <v>train</v>
      </c>
      <c r="E373" s="26">
        <f>IFERROR(__xludf.DUMMYFUNCTION("""COMPUTED_VALUE"""),43.0)</f>
        <v>43</v>
      </c>
      <c r="F373" s="26" t="str">
        <f>IFERROR(__xludf.DUMMYFUNCTION("""COMPUTED_VALUE"""),"8MP_JPG")</f>
        <v>8MP_JPG</v>
      </c>
      <c r="G373" s="26" t="str">
        <f>IFERROR(__xludf.DUMMYFUNCTION("""COMPUTED_VALUE"""),"CLOUDY, DAY, GERMANY")</f>
        <v>CLOUDY, DAY, GERMANY</v>
      </c>
      <c r="H373" s="26">
        <f>IFERROR(__xludf.DUMMYFUNCTION("""COMPUTED_VALUE"""),-1.0)</f>
        <v>-1</v>
      </c>
      <c r="I373" s="26">
        <f>IFERROR(__xludf.DUMMYFUNCTION("""COMPUTED_VALUE"""),-1.0)</f>
        <v>-1</v>
      </c>
      <c r="J373" s="26">
        <f>IFERROR(__xludf.DUMMYFUNCTION("""COMPUTED_VALUE"""),-1.0)</f>
        <v>-1</v>
      </c>
      <c r="K373" s="27" t="str">
        <f>IFERROR(__xludf.DUMMYFUNCTION("""COMPUTED_VALUE"""),"24/06/2024, 11:36:40")</f>
        <v>24/06/2024, 11:36:40</v>
      </c>
    </row>
    <row r="374">
      <c r="A374" s="18" t="str">
        <f>IFERROR(__xludf.DUMMYFUNCTION("""COMPUTED_VALUE"""),"6527cd6654107825f76a5075")</f>
        <v>6527cd6654107825f76a5075</v>
      </c>
      <c r="B374" s="15" t="str">
        <f>IFERROR(__xludf.DUMMYFUNCTION("""COMPUTED_VALUE"""),"official_od_buildings_test_track_kitzingen_superset_6502b36e7edfb609dc1b4b00_for_fa_removal_train_skipped_every_10_img_batch_2_split_by_size_of_108_od_for_train_tagged")</f>
        <v>official_od_buildings_test_track_kitzingen_superset_6502b36e7edfb609dc1b4b00_for_fa_removal_train_skipped_every_10_img_batch_2_split_by_size_of_108_od_for_train_tagged</v>
      </c>
      <c r="C374" s="15" t="str">
        <f>IFERROR(__xludf.DUMMYFUNCTION("""COMPUTED_VALUE"""),"train")</f>
        <v>train</v>
      </c>
      <c r="D374" s="15" t="str">
        <f>IFERROR(__xludf.DUMMYFUNCTION("""COMPUTED_VALUE"""),"train")</f>
        <v>train</v>
      </c>
      <c r="E374" s="15">
        <f>IFERROR(__xludf.DUMMYFUNCTION("""COMPUTED_VALUE"""),63.0)</f>
        <v>63</v>
      </c>
      <c r="F374" s="15" t="str">
        <f>IFERROR(__xludf.DUMMYFUNCTION("""COMPUTED_VALUE"""),"8MP_JPG")</f>
        <v>8MP_JPG</v>
      </c>
      <c r="G374" s="15" t="str">
        <f>IFERROR(__xludf.DUMMYFUNCTION("""COMPUTED_VALUE"""),"CLOUDY, DAY, GERMANY")</f>
        <v>CLOUDY, DAY, GERMANY</v>
      </c>
      <c r="H374" s="15">
        <f>IFERROR(__xludf.DUMMYFUNCTION("""COMPUTED_VALUE"""),-1.0)</f>
        <v>-1</v>
      </c>
      <c r="I374" s="15">
        <f>IFERROR(__xludf.DUMMYFUNCTION("""COMPUTED_VALUE"""),-1.0)</f>
        <v>-1</v>
      </c>
      <c r="J374" s="15">
        <f>IFERROR(__xludf.DUMMYFUNCTION("""COMPUTED_VALUE"""),-1.0)</f>
        <v>-1</v>
      </c>
      <c r="K374" s="16" t="str">
        <f>IFERROR(__xludf.DUMMYFUNCTION("""COMPUTED_VALUE"""),"24/06/2024, 11:36:42")</f>
        <v>24/06/2024, 11:36:42</v>
      </c>
    </row>
    <row r="375">
      <c r="A375" s="18" t="str">
        <f>IFERROR(__xludf.DUMMYFUNCTION("""COMPUTED_VALUE"""),"6527cd3e54107825f76a5074")</f>
        <v>6527cd3e54107825f76a5074</v>
      </c>
      <c r="B375" s="15" t="str">
        <f>IFERROR(__xludf.DUMMYFUNCTION("""COMPUTED_VALUE"""),"official_od_buildings_test_track_kitzingen_superset_6502b36e7edfb609dc1b4b00_for_fa_removal_train_skipped_every_10_img_batch_3_split_by_size_of_108_od_for_train_tagged")</f>
        <v>official_od_buildings_test_track_kitzingen_superset_6502b36e7edfb609dc1b4b00_for_fa_removal_train_skipped_every_10_img_batch_3_split_by_size_of_108_od_for_train_tagged</v>
      </c>
      <c r="C375" s="15" t="str">
        <f>IFERROR(__xludf.DUMMYFUNCTION("""COMPUTED_VALUE"""),"train")</f>
        <v>train</v>
      </c>
      <c r="D375" s="15" t="str">
        <f>IFERROR(__xludf.DUMMYFUNCTION("""COMPUTED_VALUE"""),"train")</f>
        <v>train</v>
      </c>
      <c r="E375" s="15">
        <f>IFERROR(__xludf.DUMMYFUNCTION("""COMPUTED_VALUE"""),108.0)</f>
        <v>108</v>
      </c>
      <c r="F375" s="15" t="str">
        <f>IFERROR(__xludf.DUMMYFUNCTION("""COMPUTED_VALUE"""),"8MP_JPG")</f>
        <v>8MP_JPG</v>
      </c>
      <c r="G375" s="15" t="str">
        <f>IFERROR(__xludf.DUMMYFUNCTION("""COMPUTED_VALUE"""),"CLOUDY, DAY, GERMANY")</f>
        <v>CLOUDY, DAY, GERMANY</v>
      </c>
      <c r="H375" s="15">
        <f>IFERROR(__xludf.DUMMYFUNCTION("""COMPUTED_VALUE"""),-1.0)</f>
        <v>-1</v>
      </c>
      <c r="I375" s="15">
        <f>IFERROR(__xludf.DUMMYFUNCTION("""COMPUTED_VALUE"""),-1.0)</f>
        <v>-1</v>
      </c>
      <c r="J375" s="15">
        <f>IFERROR(__xludf.DUMMYFUNCTION("""COMPUTED_VALUE"""),-1.0)</f>
        <v>-1</v>
      </c>
      <c r="K375" s="16" t="str">
        <f>IFERROR(__xludf.DUMMYFUNCTION("""COMPUTED_VALUE"""),"24/06/2024, 11:36:45")</f>
        <v>24/06/2024, 11:36:45</v>
      </c>
    </row>
    <row r="376">
      <c r="A376" s="18" t="str">
        <f>IFERROR(__xludf.DUMMYFUNCTION("""COMPUTED_VALUE"""),"6527cd0e54107825f76a5072")</f>
        <v>6527cd0e54107825f76a5072</v>
      </c>
      <c r="B376" s="15" t="str">
        <f>IFERROR(__xludf.DUMMYFUNCTION("""COMPUTED_VALUE"""),"official_od_buildings_test_track_kitzingen_superset_6502b36e7edfb609dc1b4b00_for_fa_removal_train_skipped_every_10_img_batch_4_split_by_size_of_108_od_for_train_tagged")</f>
        <v>official_od_buildings_test_track_kitzingen_superset_6502b36e7edfb609dc1b4b00_for_fa_removal_train_skipped_every_10_img_batch_4_split_by_size_of_108_od_for_train_tagged</v>
      </c>
      <c r="C376" s="15" t="str">
        <f>IFERROR(__xludf.DUMMYFUNCTION("""COMPUTED_VALUE"""),"train")</f>
        <v>train</v>
      </c>
      <c r="D376" s="15" t="str">
        <f>IFERROR(__xludf.DUMMYFUNCTION("""COMPUTED_VALUE"""),"train")</f>
        <v>train</v>
      </c>
      <c r="E376" s="15">
        <f>IFERROR(__xludf.DUMMYFUNCTION("""COMPUTED_VALUE"""),64.0)</f>
        <v>64</v>
      </c>
      <c r="F376" s="15" t="str">
        <f>IFERROR(__xludf.DUMMYFUNCTION("""COMPUTED_VALUE"""),"8MP_JPG")</f>
        <v>8MP_JPG</v>
      </c>
      <c r="G376" s="15" t="str">
        <f>IFERROR(__xludf.DUMMYFUNCTION("""COMPUTED_VALUE"""),"CLOUDY, DAY, GERMANY")</f>
        <v>CLOUDY, DAY, GERMANY</v>
      </c>
      <c r="H376" s="15">
        <f>IFERROR(__xludf.DUMMYFUNCTION("""COMPUTED_VALUE"""),-1.0)</f>
        <v>-1</v>
      </c>
      <c r="I376" s="15">
        <f>IFERROR(__xludf.DUMMYFUNCTION("""COMPUTED_VALUE"""),-1.0)</f>
        <v>-1</v>
      </c>
      <c r="J376" s="15">
        <f>IFERROR(__xludf.DUMMYFUNCTION("""COMPUTED_VALUE"""),-1.0)</f>
        <v>-1</v>
      </c>
      <c r="K376" s="16" t="str">
        <f>IFERROR(__xludf.DUMMYFUNCTION("""COMPUTED_VALUE"""),"24/06/2024, 11:36:47")</f>
        <v>24/06/2024, 11:36:47</v>
      </c>
    </row>
    <row r="377">
      <c r="A377" s="18" t="str">
        <f>IFERROR(__xludf.DUMMYFUNCTION("""COMPUTED_VALUE"""),"6527c5e954107825f76a505d")</f>
        <v>6527c5e954107825f76a505d</v>
      </c>
      <c r="B377" s="15" t="str">
        <f>IFERROR(__xludf.DUMMYFUNCTION("""COMPUTED_VALUE"""),"official_od__sheep_superset_6502aaf17edfb609dc1b4ab9_for_fa_removal_train_skipped_every_10_img_batch_4_split_by_size_of_100_od_for_train_tagged")</f>
        <v>official_od__sheep_superset_6502aaf17edfb609dc1b4ab9_for_fa_removal_train_skipped_every_10_img_batch_4_split_by_size_of_100_od_for_train_tagged</v>
      </c>
      <c r="C377" s="15" t="str">
        <f>IFERROR(__xludf.DUMMYFUNCTION("""COMPUTED_VALUE"""),"train")</f>
        <v>train</v>
      </c>
      <c r="D377" s="15" t="str">
        <f>IFERROR(__xludf.DUMMYFUNCTION("""COMPUTED_VALUE"""),"train")</f>
        <v>train</v>
      </c>
      <c r="E377" s="15">
        <f>IFERROR(__xludf.DUMMYFUNCTION("""COMPUTED_VALUE"""),100.0)</f>
        <v>100</v>
      </c>
      <c r="F377" s="15" t="str">
        <f>IFERROR(__xludf.DUMMYFUNCTION("""COMPUTED_VALUE"""),"8MP_JPG")</f>
        <v>8MP_JPG</v>
      </c>
      <c r="G377" s="15" t="str">
        <f>IFERROR(__xludf.DUMMYFUNCTION("""COMPUTED_VALUE"""),"CLOUDY, DAY, GERMANY")</f>
        <v>CLOUDY, DAY, GERMANY</v>
      </c>
      <c r="H377" s="15">
        <f>IFERROR(__xludf.DUMMYFUNCTION("""COMPUTED_VALUE"""),-1.0)</f>
        <v>-1</v>
      </c>
      <c r="I377" s="15">
        <f>IFERROR(__xludf.DUMMYFUNCTION("""COMPUTED_VALUE"""),-1.0)</f>
        <v>-1</v>
      </c>
      <c r="J377" s="15">
        <f>IFERROR(__xludf.DUMMYFUNCTION("""COMPUTED_VALUE"""),-1.0)</f>
        <v>-1</v>
      </c>
      <c r="K377" s="16" t="str">
        <f>IFERROR(__xludf.DUMMYFUNCTION("""COMPUTED_VALUE"""),"24/06/2024, 11:36:50")</f>
        <v>24/06/2024, 11:36:50</v>
      </c>
    </row>
    <row r="378">
      <c r="A378" s="18" t="str">
        <f>IFERROR(__xludf.DUMMYFUNCTION("""COMPUTED_VALUE"""),"6527c5c354107825f76a505c")</f>
        <v>6527c5c354107825f76a505c</v>
      </c>
      <c r="B378" s="15" t="str">
        <f>IFERROR(__xludf.DUMMYFUNCTION("""COMPUTED_VALUE"""),"official_od__sheep_superset_6502aaf17edfb609dc1b4ab9_for_fa_removal_train_skipped_every_10_img_batch_5_split_by_size_of_100_od_for_train_tagged")</f>
        <v>official_od__sheep_superset_6502aaf17edfb609dc1b4ab9_for_fa_removal_train_skipped_every_10_img_batch_5_split_by_size_of_100_od_for_train_tagged</v>
      </c>
      <c r="C378" s="15" t="str">
        <f>IFERROR(__xludf.DUMMYFUNCTION("""COMPUTED_VALUE"""),"train")</f>
        <v>train</v>
      </c>
      <c r="D378" s="15" t="str">
        <f>IFERROR(__xludf.DUMMYFUNCTION("""COMPUTED_VALUE"""),"train")</f>
        <v>train</v>
      </c>
      <c r="E378" s="15">
        <f>IFERROR(__xludf.DUMMYFUNCTION("""COMPUTED_VALUE"""),100.0)</f>
        <v>100</v>
      </c>
      <c r="F378" s="15" t="str">
        <f>IFERROR(__xludf.DUMMYFUNCTION("""COMPUTED_VALUE"""),"8MP_JPG")</f>
        <v>8MP_JPG</v>
      </c>
      <c r="G378" s="15" t="str">
        <f>IFERROR(__xludf.DUMMYFUNCTION("""COMPUTED_VALUE"""),"CLOUDY, DAY, GERMANY")</f>
        <v>CLOUDY, DAY, GERMANY</v>
      </c>
      <c r="H378" s="15">
        <f>IFERROR(__xludf.DUMMYFUNCTION("""COMPUTED_VALUE"""),-1.0)</f>
        <v>-1</v>
      </c>
      <c r="I378" s="15">
        <f>IFERROR(__xludf.DUMMYFUNCTION("""COMPUTED_VALUE"""),-1.0)</f>
        <v>-1</v>
      </c>
      <c r="J378" s="15">
        <f>IFERROR(__xludf.DUMMYFUNCTION("""COMPUTED_VALUE"""),-1.0)</f>
        <v>-1</v>
      </c>
      <c r="K378" s="16" t="str">
        <f>IFERROR(__xludf.DUMMYFUNCTION("""COMPUTED_VALUE"""),"24/06/2024, 11:36:52")</f>
        <v>24/06/2024, 11:36:52</v>
      </c>
    </row>
    <row r="379">
      <c r="A379" s="18" t="str">
        <f>IFERROR(__xludf.DUMMYFUNCTION("""COMPUTED_VALUE"""),"6527c59c54107825f76a505b")</f>
        <v>6527c59c54107825f76a505b</v>
      </c>
      <c r="B379" s="15" t="str">
        <f>IFERROR(__xludf.DUMMYFUNCTION("""COMPUTED_VALUE"""),"official_od__sheep_superset_6502aaf17edfb609dc1b4ab9_for_fa_removal_train_skipped_every_10_img_batch_6_split_by_size_of_100_od_for_train_tagged")</f>
        <v>official_od__sheep_superset_6502aaf17edfb609dc1b4ab9_for_fa_removal_train_skipped_every_10_img_batch_6_split_by_size_of_100_od_for_train_tagged</v>
      </c>
      <c r="C379" s="15" t="str">
        <f>IFERROR(__xludf.DUMMYFUNCTION("""COMPUTED_VALUE"""),"train")</f>
        <v>train</v>
      </c>
      <c r="D379" s="15" t="str">
        <f>IFERROR(__xludf.DUMMYFUNCTION("""COMPUTED_VALUE"""),"train")</f>
        <v>train</v>
      </c>
      <c r="E379" s="15">
        <f>IFERROR(__xludf.DUMMYFUNCTION("""COMPUTED_VALUE"""),98.0)</f>
        <v>98</v>
      </c>
      <c r="F379" s="15" t="str">
        <f>IFERROR(__xludf.DUMMYFUNCTION("""COMPUTED_VALUE"""),"8MP_JPG")</f>
        <v>8MP_JPG</v>
      </c>
      <c r="G379" s="15" t="str">
        <f>IFERROR(__xludf.DUMMYFUNCTION("""COMPUTED_VALUE"""),"CLOUDY, DAY, GERMANY")</f>
        <v>CLOUDY, DAY, GERMANY</v>
      </c>
      <c r="H379" s="15">
        <f>IFERROR(__xludf.DUMMYFUNCTION("""COMPUTED_VALUE"""),-1.0)</f>
        <v>-1</v>
      </c>
      <c r="I379" s="15">
        <f>IFERROR(__xludf.DUMMYFUNCTION("""COMPUTED_VALUE"""),-1.0)</f>
        <v>-1</v>
      </c>
      <c r="J379" s="15">
        <f>IFERROR(__xludf.DUMMYFUNCTION("""COMPUTED_VALUE"""),-1.0)</f>
        <v>-1</v>
      </c>
      <c r="K379" s="16" t="str">
        <f>IFERROR(__xludf.DUMMYFUNCTION("""COMPUTED_VALUE"""),"24/06/2024, 11:36:54")</f>
        <v>24/06/2024, 11:36:54</v>
      </c>
    </row>
    <row r="380">
      <c r="A380" s="18" t="str">
        <f>IFERROR(__xludf.DUMMYFUNCTION("""COMPUTED_VALUE"""),"6527c57354107825f76a5059")</f>
        <v>6527c57354107825f76a5059</v>
      </c>
      <c r="B380" s="15" t="str">
        <f>IFERROR(__xludf.DUMMYFUNCTION("""COMPUTED_VALUE"""),"official_od__sheep_superset_6502aaf17edfb609dc1b4ab9_for_fa_removal_train_skipped_every_10_img_batch_7_split_by_size_of_100_od_for_train_tagged")</f>
        <v>official_od__sheep_superset_6502aaf17edfb609dc1b4ab9_for_fa_removal_train_skipped_every_10_img_batch_7_split_by_size_of_100_od_for_train_tagged</v>
      </c>
      <c r="C380" s="15" t="str">
        <f>IFERROR(__xludf.DUMMYFUNCTION("""COMPUTED_VALUE"""),"train")</f>
        <v>train</v>
      </c>
      <c r="D380" s="15" t="str">
        <f>IFERROR(__xludf.DUMMYFUNCTION("""COMPUTED_VALUE"""),"train")</f>
        <v>train</v>
      </c>
      <c r="E380" s="15">
        <f>IFERROR(__xludf.DUMMYFUNCTION("""COMPUTED_VALUE"""),96.0)</f>
        <v>96</v>
      </c>
      <c r="F380" s="15" t="str">
        <f>IFERROR(__xludf.DUMMYFUNCTION("""COMPUTED_VALUE"""),"8MP_JPG")</f>
        <v>8MP_JPG</v>
      </c>
      <c r="G380" s="15" t="str">
        <f>IFERROR(__xludf.DUMMYFUNCTION("""COMPUTED_VALUE"""),"CLOUDY, DAY, GERMANY")</f>
        <v>CLOUDY, DAY, GERMANY</v>
      </c>
      <c r="H380" s="15">
        <f>IFERROR(__xludf.DUMMYFUNCTION("""COMPUTED_VALUE"""),-1.0)</f>
        <v>-1</v>
      </c>
      <c r="I380" s="15">
        <f>IFERROR(__xludf.DUMMYFUNCTION("""COMPUTED_VALUE"""),-1.0)</f>
        <v>-1</v>
      </c>
      <c r="J380" s="15">
        <f>IFERROR(__xludf.DUMMYFUNCTION("""COMPUTED_VALUE"""),-1.0)</f>
        <v>-1</v>
      </c>
      <c r="K380" s="16" t="str">
        <f>IFERROR(__xludf.DUMMYFUNCTION("""COMPUTED_VALUE"""),"24/06/2024, 11:36:56")</f>
        <v>24/06/2024, 11:36:56</v>
      </c>
    </row>
    <row r="381">
      <c r="A381" s="18" t="str">
        <f>IFERROR(__xludf.DUMMYFUNCTION("""COMPUTED_VALUE"""),"6527c54c54107825f76a5058")</f>
        <v>6527c54c54107825f76a5058</v>
      </c>
      <c r="B381" s="15" t="str">
        <f>IFERROR(__xludf.DUMMYFUNCTION("""COMPUTED_VALUE"""),"official_od__sheep_superset_6502aaf17edfb609dc1b4ab9_for_fa_removal_train_skipped_every_10_img_batch_8_split_by_size_of_100_od_for_train_tagged")</f>
        <v>official_od__sheep_superset_6502aaf17edfb609dc1b4ab9_for_fa_removal_train_skipped_every_10_img_batch_8_split_by_size_of_100_od_for_train_tagged</v>
      </c>
      <c r="C381" s="15" t="str">
        <f>IFERROR(__xludf.DUMMYFUNCTION("""COMPUTED_VALUE"""),"train")</f>
        <v>train</v>
      </c>
      <c r="D381" s="15" t="str">
        <f>IFERROR(__xludf.DUMMYFUNCTION("""COMPUTED_VALUE"""),"train")</f>
        <v>train</v>
      </c>
      <c r="E381" s="15">
        <f>IFERROR(__xludf.DUMMYFUNCTION("""COMPUTED_VALUE"""),100.0)</f>
        <v>100</v>
      </c>
      <c r="F381" s="15" t="str">
        <f>IFERROR(__xludf.DUMMYFUNCTION("""COMPUTED_VALUE"""),"8MP_JPG")</f>
        <v>8MP_JPG</v>
      </c>
      <c r="G381" s="15" t="str">
        <f>IFERROR(__xludf.DUMMYFUNCTION("""COMPUTED_VALUE"""),"CLOUDY, DAY, GERMANY")</f>
        <v>CLOUDY, DAY, GERMANY</v>
      </c>
      <c r="H381" s="15">
        <f>IFERROR(__xludf.DUMMYFUNCTION("""COMPUTED_VALUE"""),-1.0)</f>
        <v>-1</v>
      </c>
      <c r="I381" s="15">
        <f>IFERROR(__xludf.DUMMYFUNCTION("""COMPUTED_VALUE"""),-1.0)</f>
        <v>-1</v>
      </c>
      <c r="J381" s="15">
        <f>IFERROR(__xludf.DUMMYFUNCTION("""COMPUTED_VALUE"""),-1.0)</f>
        <v>-1</v>
      </c>
      <c r="K381" s="16" t="str">
        <f>IFERROR(__xludf.DUMMYFUNCTION("""COMPUTED_VALUE"""),"24/06/2024, 11:36:58")</f>
        <v>24/06/2024, 11:36:58</v>
      </c>
    </row>
    <row r="382">
      <c r="A382" s="18" t="str">
        <f>IFERROR(__xludf.DUMMYFUNCTION("""COMPUTED_VALUE"""),"6535079f54107825f76b951f")</f>
        <v>6535079f54107825f76b951f</v>
      </c>
      <c r="B382" s="15" t="str">
        <f>IFERROR(__xludf.DUMMYFUNCTION("""COMPUTED_VALUE"""),"official_od_collected_night_issues_from_wolfsburg_demo_v2_batch_12_split_by_size_of_200_od_for_train_tagged")</f>
        <v>official_od_collected_night_issues_from_wolfsburg_demo_v2_batch_12_split_by_size_of_200_od_for_train_tagged</v>
      </c>
      <c r="C382" s="15" t="str">
        <f>IFERROR(__xludf.DUMMYFUNCTION("""COMPUTED_VALUE"""),"train")</f>
        <v>train</v>
      </c>
      <c r="D382" s="15" t="str">
        <f>IFERROR(__xludf.DUMMYFUNCTION("""COMPUTED_VALUE"""),"train")</f>
        <v>train</v>
      </c>
      <c r="E382" s="15">
        <f>IFERROR(__xludf.DUMMYFUNCTION("""COMPUTED_VALUE"""),200.0)</f>
        <v>200</v>
      </c>
      <c r="F382" s="15" t="str">
        <f>IFERROR(__xludf.DUMMYFUNCTION("""COMPUTED_VALUE"""),"8MP_JPG")</f>
        <v>8MP_JPG</v>
      </c>
      <c r="G382" s="15" t="str">
        <f>IFERROR(__xludf.DUMMYFUNCTION("""COMPUTED_VALUE"""),"CLEAR, DEMO, NIGHT, GERMANY")</f>
        <v>CLEAR, DEMO, NIGHT, GERMANY</v>
      </c>
      <c r="H382" s="15">
        <f>IFERROR(__xludf.DUMMYFUNCTION("""COMPUTED_VALUE"""),-1.0)</f>
        <v>-1</v>
      </c>
      <c r="I382" s="15">
        <f>IFERROR(__xludf.DUMMYFUNCTION("""COMPUTED_VALUE"""),-1.0)</f>
        <v>-1</v>
      </c>
      <c r="J382" s="15">
        <f>IFERROR(__xludf.DUMMYFUNCTION("""COMPUTED_VALUE"""),-1.0)</f>
        <v>-1</v>
      </c>
      <c r="K382" s="16" t="str">
        <f>IFERROR(__xludf.DUMMYFUNCTION("""COMPUTED_VALUE"""),"24/06/2024, 11:37:34")</f>
        <v>24/06/2024, 11:37:34</v>
      </c>
    </row>
    <row r="383">
      <c r="A383" s="18" t="str">
        <f>IFERROR(__xludf.DUMMYFUNCTION("""COMPUTED_VALUE"""),"6526b88e54107825f76a4d33")</f>
        <v>6526b88e54107825f76a4d33</v>
      </c>
      <c r="B383" s="15" t="str">
        <f>IFERROR(__xludf.DUMMYFUNCTION("""COMPUTED_VALUE"""),"official_od_collected_night_issues_from_wolfsburg_demo_v2_batch_9_split_by_size_of_200_od_for_train_tagged")</f>
        <v>official_od_collected_night_issues_from_wolfsburg_demo_v2_batch_9_split_by_size_of_200_od_for_train_tagged</v>
      </c>
      <c r="C383" s="15" t="str">
        <f>IFERROR(__xludf.DUMMYFUNCTION("""COMPUTED_VALUE"""),"train")</f>
        <v>train</v>
      </c>
      <c r="D383" s="15" t="str">
        <f>IFERROR(__xludf.DUMMYFUNCTION("""COMPUTED_VALUE"""),"train")</f>
        <v>train</v>
      </c>
      <c r="E383" s="15">
        <f>IFERROR(__xludf.DUMMYFUNCTION("""COMPUTED_VALUE"""),106.0)</f>
        <v>106</v>
      </c>
      <c r="F383" s="15" t="str">
        <f>IFERROR(__xludf.DUMMYFUNCTION("""COMPUTED_VALUE"""),"8MP_JPG")</f>
        <v>8MP_JPG</v>
      </c>
      <c r="G383" s="15" t="str">
        <f>IFERROR(__xludf.DUMMYFUNCTION("""COMPUTED_VALUE"""),"CLEAR, DEMO, NIGHT, GERMANY")</f>
        <v>CLEAR, DEMO, NIGHT, GERMANY</v>
      </c>
      <c r="H383" s="15">
        <f>IFERROR(__xludf.DUMMYFUNCTION("""COMPUTED_VALUE"""),-1.0)</f>
        <v>-1</v>
      </c>
      <c r="I383" s="15">
        <f>IFERROR(__xludf.DUMMYFUNCTION("""COMPUTED_VALUE"""),-1.0)</f>
        <v>-1</v>
      </c>
      <c r="J383" s="15">
        <f>IFERROR(__xludf.DUMMYFUNCTION("""COMPUTED_VALUE"""),-1.0)</f>
        <v>-1</v>
      </c>
      <c r="K383" s="16" t="str">
        <f>IFERROR(__xludf.DUMMYFUNCTION("""COMPUTED_VALUE"""),"24/06/2024, 11:37:38")</f>
        <v>24/06/2024, 11:37:38</v>
      </c>
    </row>
    <row r="384">
      <c r="A384" s="25" t="str">
        <f>IFERROR(__xludf.DUMMYFUNCTION("""COMPUTED_VALUE"""),"6526b5ae54107825f76a4d11")</f>
        <v>6526b5ae54107825f76a4d11</v>
      </c>
      <c r="B384" s="26" t="str">
        <f>IFERROR(__xludf.DUMMYFUNCTION("""COMPUTED_VALUE"""),"official_od_collected_night_issues_from_wolfsburg_demo_v2_batch_13_split_by_size_of_200_od_for_train_tagged")</f>
        <v>official_od_collected_night_issues_from_wolfsburg_demo_v2_batch_13_split_by_size_of_200_od_for_train_tagged</v>
      </c>
      <c r="C384" s="26" t="str">
        <f>IFERROR(__xludf.DUMMYFUNCTION("""COMPUTED_VALUE"""),"train")</f>
        <v>train</v>
      </c>
      <c r="D384" s="26" t="str">
        <f>IFERROR(__xludf.DUMMYFUNCTION("""COMPUTED_VALUE"""),"train")</f>
        <v>train</v>
      </c>
      <c r="E384" s="26">
        <f>IFERROR(__xludf.DUMMYFUNCTION("""COMPUTED_VALUE"""),200.0)</f>
        <v>200</v>
      </c>
      <c r="F384" s="26" t="str">
        <f>IFERROR(__xludf.DUMMYFUNCTION("""COMPUTED_VALUE"""),"8MP_JPG")</f>
        <v>8MP_JPG</v>
      </c>
      <c r="G384" s="26" t="str">
        <f>IFERROR(__xludf.DUMMYFUNCTION("""COMPUTED_VALUE"""),"CLEAR, DEMO, NIGHT, GERMANY")</f>
        <v>CLEAR, DEMO, NIGHT, GERMANY</v>
      </c>
      <c r="H384" s="26">
        <f>IFERROR(__xludf.DUMMYFUNCTION("""COMPUTED_VALUE"""),-1.0)</f>
        <v>-1</v>
      </c>
      <c r="I384" s="26">
        <f>IFERROR(__xludf.DUMMYFUNCTION("""COMPUTED_VALUE"""),-1.0)</f>
        <v>-1</v>
      </c>
      <c r="J384" s="26">
        <f>IFERROR(__xludf.DUMMYFUNCTION("""COMPUTED_VALUE"""),-1.0)</f>
        <v>-1</v>
      </c>
      <c r="K384" s="27" t="str">
        <f>IFERROR(__xludf.DUMMYFUNCTION("""COMPUTED_VALUE"""),"24/06/2024, 11:37:42")</f>
        <v>24/06/2024, 11:37:42</v>
      </c>
    </row>
    <row r="385">
      <c r="A385" s="25" t="str">
        <f>IFERROR(__xludf.DUMMYFUNCTION("""COMPUTED_VALUE"""),"6526b48c54107825f76a4d0e")</f>
        <v>6526b48c54107825f76a4d0e</v>
      </c>
      <c r="B385" s="26" t="str">
        <f>IFERROR(__xludf.DUMMYFUNCTION("""COMPUTED_VALUE"""),"official_od_collected_night_issues_from_wolfsburg_demo_v2_batch_14_split_by_size_of_200_od_for_train_tagged")</f>
        <v>official_od_collected_night_issues_from_wolfsburg_demo_v2_batch_14_split_by_size_of_200_od_for_train_tagged</v>
      </c>
      <c r="C385" s="26" t="str">
        <f>IFERROR(__xludf.DUMMYFUNCTION("""COMPUTED_VALUE"""),"train")</f>
        <v>train</v>
      </c>
      <c r="D385" s="26" t="str">
        <f>IFERROR(__xludf.DUMMYFUNCTION("""COMPUTED_VALUE"""),"train")</f>
        <v>train</v>
      </c>
      <c r="E385" s="26">
        <f>IFERROR(__xludf.DUMMYFUNCTION("""COMPUTED_VALUE"""),200.0)</f>
        <v>200</v>
      </c>
      <c r="F385" s="26" t="str">
        <f>IFERROR(__xludf.DUMMYFUNCTION("""COMPUTED_VALUE"""),"8MP_JPG")</f>
        <v>8MP_JPG</v>
      </c>
      <c r="G385" s="26" t="str">
        <f>IFERROR(__xludf.DUMMYFUNCTION("""COMPUTED_VALUE"""),"CLEAR, DEMO, NIGHT, GERMANY")</f>
        <v>CLEAR, DEMO, NIGHT, GERMANY</v>
      </c>
      <c r="H385" s="26">
        <f>IFERROR(__xludf.DUMMYFUNCTION("""COMPUTED_VALUE"""),-1.0)</f>
        <v>-1</v>
      </c>
      <c r="I385" s="26">
        <f>IFERROR(__xludf.DUMMYFUNCTION("""COMPUTED_VALUE"""),-1.0)</f>
        <v>-1</v>
      </c>
      <c r="J385" s="26">
        <f>IFERROR(__xludf.DUMMYFUNCTION("""COMPUTED_VALUE"""),-1.0)</f>
        <v>-1</v>
      </c>
      <c r="K385" s="27" t="str">
        <f>IFERROR(__xludf.DUMMYFUNCTION("""COMPUTED_VALUE"""),"24/06/2024, 11:37:45")</f>
        <v>24/06/2024, 11:37:45</v>
      </c>
    </row>
    <row r="386">
      <c r="A386" s="18" t="str">
        <f>IFERROR(__xludf.DUMMYFUNCTION("""COMPUTED_VALUE"""),"6526b39d54107825f76a4d07")</f>
        <v>6526b39d54107825f76a4d07</v>
      </c>
      <c r="B386" s="15" t="str">
        <f>IFERROR(__xludf.DUMMYFUNCTION("""COMPUTED_VALUE"""),"official_od_collected_night_issues_from_wolfsburg_demo_v2_batch_15_split_by_size_of_200_od_for_train_tagged")</f>
        <v>official_od_collected_night_issues_from_wolfsburg_demo_v2_batch_15_split_by_size_of_200_od_for_train_tagged</v>
      </c>
      <c r="C386" s="15" t="str">
        <f>IFERROR(__xludf.DUMMYFUNCTION("""COMPUTED_VALUE"""),"train")</f>
        <v>train</v>
      </c>
      <c r="D386" s="15" t="str">
        <f>IFERROR(__xludf.DUMMYFUNCTION("""COMPUTED_VALUE"""),"train")</f>
        <v>train</v>
      </c>
      <c r="E386" s="15">
        <f>IFERROR(__xludf.DUMMYFUNCTION("""COMPUTED_VALUE"""),187.0)</f>
        <v>187</v>
      </c>
      <c r="F386" s="15" t="str">
        <f>IFERROR(__xludf.DUMMYFUNCTION("""COMPUTED_VALUE"""),"8MP_JPG")</f>
        <v>8MP_JPG</v>
      </c>
      <c r="G386" s="15" t="str">
        <f>IFERROR(__xludf.DUMMYFUNCTION("""COMPUTED_VALUE"""),"CLEAR, DEMO, NIGHT, GERMANY")</f>
        <v>CLEAR, DEMO, NIGHT, GERMANY</v>
      </c>
      <c r="H386" s="15">
        <f>IFERROR(__xludf.DUMMYFUNCTION("""COMPUTED_VALUE"""),-1.0)</f>
        <v>-1</v>
      </c>
      <c r="I386" s="15">
        <f>IFERROR(__xludf.DUMMYFUNCTION("""COMPUTED_VALUE"""),-1.0)</f>
        <v>-1</v>
      </c>
      <c r="J386" s="15">
        <f>IFERROR(__xludf.DUMMYFUNCTION("""COMPUTED_VALUE"""),-1.0)</f>
        <v>-1</v>
      </c>
      <c r="K386" s="16" t="str">
        <f>IFERROR(__xludf.DUMMYFUNCTION("""COMPUTED_VALUE"""),"24/06/2024, 11:37:47")</f>
        <v>24/06/2024, 11:37:47</v>
      </c>
    </row>
    <row r="387">
      <c r="A387" s="18" t="str">
        <f>IFERROR(__xludf.DUMMYFUNCTION("""COMPUTED_VALUE"""),"6526b99b54107825f76a4d38")</f>
        <v>6526b99b54107825f76a4d38</v>
      </c>
      <c r="B387" s="15" t="str">
        <f>IFERROR(__xludf.DUMMYFUNCTION("""COMPUTED_VALUE"""),"official_od_collected_night_issues_from_wolfsburg_demo_v2_batch_7_split_by_size_of_200_od_for_train_tagged")</f>
        <v>official_od_collected_night_issues_from_wolfsburg_demo_v2_batch_7_split_by_size_of_200_od_for_train_tagged</v>
      </c>
      <c r="C387" s="15" t="str">
        <f>IFERROR(__xludf.DUMMYFUNCTION("""COMPUTED_VALUE"""),"train")</f>
        <v>train</v>
      </c>
      <c r="D387" s="15" t="str">
        <f>IFERROR(__xludf.DUMMYFUNCTION("""COMPUTED_VALUE"""),"train")</f>
        <v>train</v>
      </c>
      <c r="E387" s="15">
        <f>IFERROR(__xludf.DUMMYFUNCTION("""COMPUTED_VALUE"""),199.0)</f>
        <v>199</v>
      </c>
      <c r="F387" s="15" t="str">
        <f>IFERROR(__xludf.DUMMYFUNCTION("""COMPUTED_VALUE"""),"8MP_JPG")</f>
        <v>8MP_JPG</v>
      </c>
      <c r="G387" s="15" t="str">
        <f>IFERROR(__xludf.DUMMYFUNCTION("""COMPUTED_VALUE"""),"CLEAR, GERMANY, DEMO, ARROWS, NIGHT")</f>
        <v>CLEAR, GERMANY, DEMO, ARROWS, NIGHT</v>
      </c>
      <c r="H387" s="15">
        <f>IFERROR(__xludf.DUMMYFUNCTION("""COMPUTED_VALUE"""),-1.0)</f>
        <v>-1</v>
      </c>
      <c r="I387" s="15">
        <f>IFERROR(__xludf.DUMMYFUNCTION("""COMPUTED_VALUE"""),-1.0)</f>
        <v>-1</v>
      </c>
      <c r="J387" s="15">
        <f>IFERROR(__xludf.DUMMYFUNCTION("""COMPUTED_VALUE"""),-1.0)</f>
        <v>-1</v>
      </c>
      <c r="K387" s="16" t="str">
        <f>IFERROR(__xludf.DUMMYFUNCTION("""COMPUTED_VALUE"""),"24/06/2024, 11:37:59")</f>
        <v>24/06/2024, 11:37:59</v>
      </c>
    </row>
    <row r="388">
      <c r="A388" s="18" t="str">
        <f>IFERROR(__xludf.DUMMYFUNCTION("""COMPUTED_VALUE"""),"6522d6f154107825f76a3a47")</f>
        <v>6522d6f154107825f76a3a47</v>
      </c>
      <c r="B388" s="15" t="str">
        <f>IFERROR(__xludf.DUMMYFUNCTION("""COMPUTED_VALUE"""),"official_od_collected_night_issues_from_wolfsburg_demo_v2_batch_6_split_by_size_of_200_od_for_train_tagged")</f>
        <v>official_od_collected_night_issues_from_wolfsburg_demo_v2_batch_6_split_by_size_of_200_od_for_train_tagged</v>
      </c>
      <c r="C388" s="15" t="str">
        <f>IFERROR(__xludf.DUMMYFUNCTION("""COMPUTED_VALUE"""),"train")</f>
        <v>train</v>
      </c>
      <c r="D388" s="15" t="str">
        <f>IFERROR(__xludf.DUMMYFUNCTION("""COMPUTED_VALUE"""),"train")</f>
        <v>train</v>
      </c>
      <c r="E388" s="15">
        <f>IFERROR(__xludf.DUMMYFUNCTION("""COMPUTED_VALUE"""),141.0)</f>
        <v>141</v>
      </c>
      <c r="F388" s="15" t="str">
        <f>IFERROR(__xludf.DUMMYFUNCTION("""COMPUTED_VALUE"""),"8MP_JPG")</f>
        <v>8MP_JPG</v>
      </c>
      <c r="G388" s="15" t="str">
        <f>IFERROR(__xludf.DUMMYFUNCTION("""COMPUTED_VALUE"""),"TAR_LINES, CLEAR, GERMANY, DEMO, NIGHT")</f>
        <v>TAR_LINES, CLEAR, GERMANY, DEMO, NIGHT</v>
      </c>
      <c r="H388" s="15">
        <f>IFERROR(__xludf.DUMMYFUNCTION("""COMPUTED_VALUE"""),950.0)</f>
        <v>950</v>
      </c>
      <c r="I388" s="15">
        <f>IFERROR(__xludf.DUMMYFUNCTION("""COMPUTED_VALUE"""),1675.0)</f>
        <v>1675</v>
      </c>
      <c r="J388" s="15">
        <f>IFERROR(__xludf.DUMMYFUNCTION("""COMPUTED_VALUE"""),1585.0)</f>
        <v>1585</v>
      </c>
      <c r="K388" s="16" t="str">
        <f>IFERROR(__xludf.DUMMYFUNCTION("""COMPUTED_VALUE"""),"24/06/2024, 11:38:04")</f>
        <v>24/06/2024, 11:38:04</v>
      </c>
    </row>
    <row r="389">
      <c r="A389" s="18" t="str">
        <f>IFERROR(__xludf.DUMMYFUNCTION("""COMPUTED_VALUE"""),"6526baab54107825f76a4d3b")</f>
        <v>6526baab54107825f76a4d3b</v>
      </c>
      <c r="B389" s="15" t="str">
        <f>IFERROR(__xludf.DUMMYFUNCTION("""COMPUTED_VALUE"""),"official_od_collected_night_issues_from_wolfsburg_demo_v2_batch_4_split_by_size_of_200_od_for_train_tagged")</f>
        <v>official_od_collected_night_issues_from_wolfsburg_demo_v2_batch_4_split_by_size_of_200_od_for_train_tagged</v>
      </c>
      <c r="C389" s="15" t="str">
        <f>IFERROR(__xludf.DUMMYFUNCTION("""COMPUTED_VALUE"""),"train")</f>
        <v>train</v>
      </c>
      <c r="D389" s="15" t="str">
        <f>IFERROR(__xludf.DUMMYFUNCTION("""COMPUTED_VALUE"""),"train")</f>
        <v>train</v>
      </c>
      <c r="E389" s="15">
        <f>IFERROR(__xludf.DUMMYFUNCTION("""COMPUTED_VALUE"""),118.0)</f>
        <v>118</v>
      </c>
      <c r="F389" s="15" t="str">
        <f>IFERROR(__xludf.DUMMYFUNCTION("""COMPUTED_VALUE"""),"8MP_JPG")</f>
        <v>8MP_JPG</v>
      </c>
      <c r="G389" s="15" t="str">
        <f>IFERROR(__xludf.DUMMYFUNCTION("""COMPUTED_VALUE"""),"CLEAR, GERMANY, DEMO, ARROWS, NIGHT")</f>
        <v>CLEAR, GERMANY, DEMO, ARROWS, NIGHT</v>
      </c>
      <c r="H389" s="15">
        <f>IFERROR(__xludf.DUMMYFUNCTION("""COMPUTED_VALUE"""),-1.0)</f>
        <v>-1</v>
      </c>
      <c r="I389" s="15">
        <f>IFERROR(__xludf.DUMMYFUNCTION("""COMPUTED_VALUE"""),-1.0)</f>
        <v>-1</v>
      </c>
      <c r="J389" s="15">
        <f>IFERROR(__xludf.DUMMYFUNCTION("""COMPUTED_VALUE"""),-1.0)</f>
        <v>-1</v>
      </c>
      <c r="K389" s="16" t="str">
        <f>IFERROR(__xludf.DUMMYFUNCTION("""COMPUTED_VALUE"""),"24/06/2024, 11:38:18")</f>
        <v>24/06/2024, 11:38:18</v>
      </c>
    </row>
    <row r="390">
      <c r="A390" s="18" t="str">
        <f>IFERROR(__xludf.DUMMYFUNCTION("""COMPUTED_VALUE"""),"6565f44efa38f84eb4f876bc")</f>
        <v>6565f44efa38f84eb4f876bc</v>
      </c>
      <c r="B390" s="15" t="str">
        <f>IFERROR(__xludf.DUMMYFUNCTION("""COMPUTED_VALUE"""),"_2023_09_07_23_58_56_wolfsbourg_magna_clear_night1_2_skipped_120_batch_4_split_by_size_of_100_for_train_od_tagged")</f>
        <v>_2023_09_07_23_58_56_wolfsbourg_magna_clear_night1_2_skipped_120_batch_4_split_by_size_of_100_for_train_od_tagged</v>
      </c>
      <c r="C390" s="15" t="str">
        <f>IFERROR(__xludf.DUMMYFUNCTION("""COMPUTED_VALUE"""),"train")</f>
        <v>train</v>
      </c>
      <c r="D390" s="15" t="str">
        <f>IFERROR(__xludf.DUMMYFUNCTION("""COMPUTED_VALUE"""),"train")</f>
        <v>train</v>
      </c>
      <c r="E390" s="15">
        <f>IFERROR(__xludf.DUMMYFUNCTION("""COMPUTED_VALUE"""),45.0)</f>
        <v>45</v>
      </c>
      <c r="F390" s="15" t="str">
        <f>IFERROR(__xludf.DUMMYFUNCTION("""COMPUTED_VALUE"""),"8MP_JPG")</f>
        <v>8MP_JPG</v>
      </c>
      <c r="G390" s="15" t="str">
        <f>IFERROR(__xludf.DUMMYFUNCTION("""COMPUTED_VALUE"""),"CLEAR, EUROPE, GERMANY, DEMO, VWB, NIGHT")</f>
        <v>CLEAR, EUROPE, GERMANY, DEMO, VWB, NIGHT</v>
      </c>
      <c r="H390" s="15">
        <f>IFERROR(__xludf.DUMMYFUNCTION("""COMPUTED_VALUE"""),-1.0)</f>
        <v>-1</v>
      </c>
      <c r="I390" s="15">
        <f>IFERROR(__xludf.DUMMYFUNCTION("""COMPUTED_VALUE"""),-1.0)</f>
        <v>-1</v>
      </c>
      <c r="J390" s="15">
        <f>IFERROR(__xludf.DUMMYFUNCTION("""COMPUTED_VALUE"""),-1.0)</f>
        <v>-1</v>
      </c>
      <c r="K390" s="16" t="str">
        <f>IFERROR(__xludf.DUMMYFUNCTION("""COMPUTED_VALUE"""),"24/06/2024, 11:39:24")</f>
        <v>24/06/2024, 11:39:24</v>
      </c>
    </row>
    <row r="391">
      <c r="A391" s="25" t="str">
        <f>IFERROR(__xludf.DUMMYFUNCTION("""COMPUTED_VALUE"""),"6565f3a1fa38f84eb4f85ba9")</f>
        <v>6565f3a1fa38f84eb4f85ba9</v>
      </c>
      <c r="B391" s="26" t="str">
        <f>IFERROR(__xludf.DUMMYFUNCTION("""COMPUTED_VALUE"""),"_collected_night_random_from_wolfsburg_demo_v2_batch_27_split_by_size_of_200_for_train_od_tagged")</f>
        <v>_collected_night_random_from_wolfsburg_demo_v2_batch_27_split_by_size_of_200_for_train_od_tagged</v>
      </c>
      <c r="C391" s="26" t="str">
        <f>IFERROR(__xludf.DUMMYFUNCTION("""COMPUTED_VALUE"""),"train")</f>
        <v>train</v>
      </c>
      <c r="D391" s="26" t="str">
        <f>IFERROR(__xludf.DUMMYFUNCTION("""COMPUTED_VALUE"""),"train")</f>
        <v>train</v>
      </c>
      <c r="E391" s="26">
        <f>IFERROR(__xludf.DUMMYFUNCTION("""COMPUTED_VALUE"""),200.0)</f>
        <v>200</v>
      </c>
      <c r="F391" s="26" t="str">
        <f>IFERROR(__xludf.DUMMYFUNCTION("""COMPUTED_VALUE"""),"8MP_JPG")</f>
        <v>8MP_JPG</v>
      </c>
      <c r="G391" s="26" t="str">
        <f>IFERROR(__xludf.DUMMYFUNCTION("""COMPUTED_VALUE"""),"DEMO, NIGHT, GERMANY")</f>
        <v>DEMO, NIGHT, GERMANY</v>
      </c>
      <c r="H391" s="26">
        <f>IFERROR(__xludf.DUMMYFUNCTION("""COMPUTED_VALUE"""),-1.0)</f>
        <v>-1</v>
      </c>
      <c r="I391" s="26">
        <f>IFERROR(__xludf.DUMMYFUNCTION("""COMPUTED_VALUE"""),-1.0)</f>
        <v>-1</v>
      </c>
      <c r="J391" s="26">
        <f>IFERROR(__xludf.DUMMYFUNCTION("""COMPUTED_VALUE"""),-1.0)</f>
        <v>-1</v>
      </c>
      <c r="K391" s="27" t="str">
        <f>IFERROR(__xludf.DUMMYFUNCTION("""COMPUTED_VALUE"""),"24/06/2024, 11:41:20")</f>
        <v>24/06/2024, 11:41:20</v>
      </c>
    </row>
    <row r="392">
      <c r="A392" s="18" t="str">
        <f>IFERROR(__xludf.DUMMYFUNCTION("""COMPUTED_VALUE"""),"6565f398fa38f84eb4f856a5")</f>
        <v>6565f398fa38f84eb4f856a5</v>
      </c>
      <c r="B392" s="15" t="str">
        <f>IFERROR(__xludf.DUMMYFUNCTION("""COMPUTED_VALUE"""),"_collected_night_random_from_wolfsburg_demo_v2_batch_28_split_by_size_of_200_for_train_od_tagged")</f>
        <v>_collected_night_random_from_wolfsburg_demo_v2_batch_28_split_by_size_of_200_for_train_od_tagged</v>
      </c>
      <c r="C392" s="15" t="str">
        <f>IFERROR(__xludf.DUMMYFUNCTION("""COMPUTED_VALUE"""),"train")</f>
        <v>train</v>
      </c>
      <c r="D392" s="15" t="str">
        <f>IFERROR(__xludf.DUMMYFUNCTION("""COMPUTED_VALUE"""),"train")</f>
        <v>train</v>
      </c>
      <c r="E392" s="15">
        <f>IFERROR(__xludf.DUMMYFUNCTION("""COMPUTED_VALUE"""),200.0)</f>
        <v>200</v>
      </c>
      <c r="F392" s="15" t="str">
        <f>IFERROR(__xludf.DUMMYFUNCTION("""COMPUTED_VALUE"""),"8MP_JPG")</f>
        <v>8MP_JPG</v>
      </c>
      <c r="G392" s="15" t="str">
        <f>IFERROR(__xludf.DUMMYFUNCTION("""COMPUTED_VALUE"""),"DEMO, NIGHT, GERMANY")</f>
        <v>DEMO, NIGHT, GERMANY</v>
      </c>
      <c r="H392" s="15">
        <f>IFERROR(__xludf.DUMMYFUNCTION("""COMPUTED_VALUE"""),-1.0)</f>
        <v>-1</v>
      </c>
      <c r="I392" s="15">
        <f>IFERROR(__xludf.DUMMYFUNCTION("""COMPUTED_VALUE"""),-1.0)</f>
        <v>-1</v>
      </c>
      <c r="J392" s="15">
        <f>IFERROR(__xludf.DUMMYFUNCTION("""COMPUTED_VALUE"""),-1.0)</f>
        <v>-1</v>
      </c>
      <c r="K392" s="16" t="str">
        <f>IFERROR(__xludf.DUMMYFUNCTION("""COMPUTED_VALUE"""),"24/06/2024, 11:41:24")</f>
        <v>24/06/2024, 11:41:24</v>
      </c>
    </row>
    <row r="393">
      <c r="A393" s="18" t="str">
        <f>IFERROR(__xludf.DUMMYFUNCTION("""COMPUTED_VALUE"""),"6565f3bdfa38f84eb4f86571")</f>
        <v>6565f3bdfa38f84eb4f86571</v>
      </c>
      <c r="B393" s="15" t="str">
        <f>IFERROR(__xludf.DUMMYFUNCTION("""COMPUTED_VALUE"""),"_collected_night_random_from_wolfsburg_demo_v2_batch_24_split_by_size_of_200_for_train_od_tagged")</f>
        <v>_collected_night_random_from_wolfsburg_demo_v2_batch_24_split_by_size_of_200_for_train_od_tagged</v>
      </c>
      <c r="C393" s="15" t="str">
        <f>IFERROR(__xludf.DUMMYFUNCTION("""COMPUTED_VALUE"""),"train")</f>
        <v>train</v>
      </c>
      <c r="D393" s="15" t="str">
        <f>IFERROR(__xludf.DUMMYFUNCTION("""COMPUTED_VALUE"""),"train")</f>
        <v>train</v>
      </c>
      <c r="E393" s="15">
        <f>IFERROR(__xludf.DUMMYFUNCTION("""COMPUTED_VALUE"""),177.0)</f>
        <v>177</v>
      </c>
      <c r="F393" s="15" t="str">
        <f>IFERROR(__xludf.DUMMYFUNCTION("""COMPUTED_VALUE"""),"8MP_JPG")</f>
        <v>8MP_JPG</v>
      </c>
      <c r="G393" s="15" t="str">
        <f>IFERROR(__xludf.DUMMYFUNCTION("""COMPUTED_VALUE"""),"DEMO, NIGHT, GERMANY")</f>
        <v>DEMO, NIGHT, GERMANY</v>
      </c>
      <c r="H393" s="15">
        <f>IFERROR(__xludf.DUMMYFUNCTION("""COMPUTED_VALUE"""),-1.0)</f>
        <v>-1</v>
      </c>
      <c r="I393" s="15">
        <f>IFERROR(__xludf.DUMMYFUNCTION("""COMPUTED_VALUE"""),-1.0)</f>
        <v>-1</v>
      </c>
      <c r="J393" s="15">
        <f>IFERROR(__xludf.DUMMYFUNCTION("""COMPUTED_VALUE"""),-1.0)</f>
        <v>-1</v>
      </c>
      <c r="K393" s="16" t="str">
        <f>IFERROR(__xludf.DUMMYFUNCTION("""COMPUTED_VALUE"""),"24/06/2024, 11:41:44")</f>
        <v>24/06/2024, 11:41:44</v>
      </c>
    </row>
    <row r="394">
      <c r="A394" s="25" t="str">
        <f>IFERROR(__xludf.DUMMYFUNCTION("""COMPUTED_VALUE"""),"6526a7f454107825f76a4c72")</f>
        <v>6526a7f454107825f76a4c72</v>
      </c>
      <c r="B394" s="26" t="str">
        <f>IFERROR(__xludf.DUMMYFUNCTION("""COMPUTED_VALUE"""),"official_od_collected_night_random_from_wolfsburg_demo_v2_batch_23_split_by_size_of_200_od_for_train_tagged")</f>
        <v>official_od_collected_night_random_from_wolfsburg_demo_v2_batch_23_split_by_size_of_200_od_for_train_tagged</v>
      </c>
      <c r="C394" s="26" t="str">
        <f>IFERROR(__xludf.DUMMYFUNCTION("""COMPUTED_VALUE"""),"train")</f>
        <v>train</v>
      </c>
      <c r="D394" s="26" t="str">
        <f>IFERROR(__xludf.DUMMYFUNCTION("""COMPUTED_VALUE"""),"train")</f>
        <v>train</v>
      </c>
      <c r="E394" s="26">
        <f>IFERROR(__xludf.DUMMYFUNCTION("""COMPUTED_VALUE"""),200.0)</f>
        <v>200</v>
      </c>
      <c r="F394" s="26" t="str">
        <f>IFERROR(__xludf.DUMMYFUNCTION("""COMPUTED_VALUE"""),"8MP_JPG")</f>
        <v>8MP_JPG</v>
      </c>
      <c r="G394" s="26" t="str">
        <f>IFERROR(__xludf.DUMMYFUNCTION("""COMPUTED_VALUE"""),"DEMO, NIGHT, GERMANY")</f>
        <v>DEMO, NIGHT, GERMANY</v>
      </c>
      <c r="H394" s="26">
        <f>IFERROR(__xludf.DUMMYFUNCTION("""COMPUTED_VALUE"""),-1.0)</f>
        <v>-1</v>
      </c>
      <c r="I394" s="26">
        <f>IFERROR(__xludf.DUMMYFUNCTION("""COMPUTED_VALUE"""),-1.0)</f>
        <v>-1</v>
      </c>
      <c r="J394" s="26">
        <f>IFERROR(__xludf.DUMMYFUNCTION("""COMPUTED_VALUE"""),-1.0)</f>
        <v>-1</v>
      </c>
      <c r="K394" s="27" t="str">
        <f>IFERROR(__xludf.DUMMYFUNCTION("""COMPUTED_VALUE"""),"24/06/2024, 11:41:50")</f>
        <v>24/06/2024, 11:41:50</v>
      </c>
    </row>
    <row r="395">
      <c r="A395" s="25" t="str">
        <f>IFERROR(__xludf.DUMMYFUNCTION("""COMPUTED_VALUE"""),"6535078a54107825f76b8a00")</f>
        <v>6535078a54107825f76b8a00</v>
      </c>
      <c r="B395" s="26" t="str">
        <f>IFERROR(__xludf.DUMMYFUNCTION("""COMPUTED_VALUE"""),"official_od_collected_night_random_from_wolfsburg_demo_v2_batch_22_split_by_size_of_200_od_for_train_tagged")</f>
        <v>official_od_collected_night_random_from_wolfsburg_demo_v2_batch_22_split_by_size_of_200_od_for_train_tagged</v>
      </c>
      <c r="C395" s="26" t="str">
        <f>IFERROR(__xludf.DUMMYFUNCTION("""COMPUTED_VALUE"""),"train")</f>
        <v>train</v>
      </c>
      <c r="D395" s="26" t="str">
        <f>IFERROR(__xludf.DUMMYFUNCTION("""COMPUTED_VALUE"""),"train")</f>
        <v>train</v>
      </c>
      <c r="E395" s="26">
        <f>IFERROR(__xludf.DUMMYFUNCTION("""COMPUTED_VALUE"""),200.0)</f>
        <v>200</v>
      </c>
      <c r="F395" s="26" t="str">
        <f>IFERROR(__xludf.DUMMYFUNCTION("""COMPUTED_VALUE"""),"8MP_JPG")</f>
        <v>8MP_JPG</v>
      </c>
      <c r="G395" s="26" t="str">
        <f>IFERROR(__xludf.DUMMYFUNCTION("""COMPUTED_VALUE"""),"DEMO, NIGHT, GERMANY")</f>
        <v>DEMO, NIGHT, GERMANY</v>
      </c>
      <c r="H395" s="26">
        <f>IFERROR(__xludf.DUMMYFUNCTION("""COMPUTED_VALUE"""),-1.0)</f>
        <v>-1</v>
      </c>
      <c r="I395" s="26">
        <f>IFERROR(__xludf.DUMMYFUNCTION("""COMPUTED_VALUE"""),-1.0)</f>
        <v>-1</v>
      </c>
      <c r="J395" s="26">
        <f>IFERROR(__xludf.DUMMYFUNCTION("""COMPUTED_VALUE"""),-1.0)</f>
        <v>-1</v>
      </c>
      <c r="K395" s="27" t="str">
        <f>IFERROR(__xludf.DUMMYFUNCTION("""COMPUTED_VALUE"""),"24/06/2024, 11:42:01")</f>
        <v>24/06/2024, 11:42:01</v>
      </c>
    </row>
    <row r="396">
      <c r="A396" s="18" t="str">
        <f>IFERROR(__xludf.DUMMYFUNCTION("""COMPUTED_VALUE"""),"6526a8ef54107825f76a4c75")</f>
        <v>6526a8ef54107825f76a4c75</v>
      </c>
      <c r="B396" s="15" t="str">
        <f>IFERROR(__xludf.DUMMYFUNCTION("""COMPUTED_VALUE"""),"official_od_collected_night_random_from_wolfsburg_demo_v2_batch_20_split_by_size_of_200_od_for_train_tagged")</f>
        <v>official_od_collected_night_random_from_wolfsburg_demo_v2_batch_20_split_by_size_of_200_od_for_train_tagged</v>
      </c>
      <c r="C396" s="15" t="str">
        <f>IFERROR(__xludf.DUMMYFUNCTION("""COMPUTED_VALUE"""),"train")</f>
        <v>train</v>
      </c>
      <c r="D396" s="15" t="str">
        <f>IFERROR(__xludf.DUMMYFUNCTION("""COMPUTED_VALUE"""),"train")</f>
        <v>train</v>
      </c>
      <c r="E396" s="15">
        <f>IFERROR(__xludf.DUMMYFUNCTION("""COMPUTED_VALUE"""),200.0)</f>
        <v>200</v>
      </c>
      <c r="F396" s="15" t="str">
        <f>IFERROR(__xludf.DUMMYFUNCTION("""COMPUTED_VALUE"""),"8MP_JPG")</f>
        <v>8MP_JPG</v>
      </c>
      <c r="G396" s="15" t="str">
        <f>IFERROR(__xludf.DUMMYFUNCTION("""COMPUTED_VALUE"""),"DEMO, NIGHT, GERMANY")</f>
        <v>DEMO, NIGHT, GERMANY</v>
      </c>
      <c r="H396" s="15">
        <f>IFERROR(__xludf.DUMMYFUNCTION("""COMPUTED_VALUE"""),-1.0)</f>
        <v>-1</v>
      </c>
      <c r="I396" s="15">
        <f>IFERROR(__xludf.DUMMYFUNCTION("""COMPUTED_VALUE"""),-1.0)</f>
        <v>-1</v>
      </c>
      <c r="J396" s="15">
        <f>IFERROR(__xludf.DUMMYFUNCTION("""COMPUTED_VALUE"""),-1.0)</f>
        <v>-1</v>
      </c>
      <c r="K396" s="16" t="str">
        <f>IFERROR(__xludf.DUMMYFUNCTION("""COMPUTED_VALUE"""),"24/06/2024, 11:42:04")</f>
        <v>24/06/2024, 11:42:04</v>
      </c>
    </row>
    <row r="397">
      <c r="A397" s="18" t="str">
        <f>IFERROR(__xludf.DUMMYFUNCTION("""COMPUTED_VALUE"""),"6526a86e54107825f76a4c74")</f>
        <v>6526a86e54107825f76a4c74</v>
      </c>
      <c r="B397" s="15" t="str">
        <f>IFERROR(__xludf.DUMMYFUNCTION("""COMPUTED_VALUE"""),"official_od_collected_night_random_from_wolfsburg_demo_v2_batch_21_split_by_size_of_200_od_for_train_tagged")</f>
        <v>official_od_collected_night_random_from_wolfsburg_demo_v2_batch_21_split_by_size_of_200_od_for_train_tagged</v>
      </c>
      <c r="C397" s="15" t="str">
        <f>IFERROR(__xludf.DUMMYFUNCTION("""COMPUTED_VALUE"""),"train")</f>
        <v>train</v>
      </c>
      <c r="D397" s="15" t="str">
        <f>IFERROR(__xludf.DUMMYFUNCTION("""COMPUTED_VALUE"""),"train")</f>
        <v>train</v>
      </c>
      <c r="E397" s="15">
        <f>IFERROR(__xludf.DUMMYFUNCTION("""COMPUTED_VALUE"""),200.0)</f>
        <v>200</v>
      </c>
      <c r="F397" s="15" t="str">
        <f>IFERROR(__xludf.DUMMYFUNCTION("""COMPUTED_VALUE"""),"8MP_JPG")</f>
        <v>8MP_JPG</v>
      </c>
      <c r="G397" s="15" t="str">
        <f>IFERROR(__xludf.DUMMYFUNCTION("""COMPUTED_VALUE"""),"DEMO, NIGHT, GERMANY")</f>
        <v>DEMO, NIGHT, GERMANY</v>
      </c>
      <c r="H397" s="15">
        <f>IFERROR(__xludf.DUMMYFUNCTION("""COMPUTED_VALUE"""),-1.0)</f>
        <v>-1</v>
      </c>
      <c r="I397" s="15">
        <f>IFERROR(__xludf.DUMMYFUNCTION("""COMPUTED_VALUE"""),-1.0)</f>
        <v>-1</v>
      </c>
      <c r="J397" s="15">
        <f>IFERROR(__xludf.DUMMYFUNCTION("""COMPUTED_VALUE"""),-1.0)</f>
        <v>-1</v>
      </c>
      <c r="K397" s="16" t="str">
        <f>IFERROR(__xludf.DUMMYFUNCTION("""COMPUTED_VALUE"""),"24/06/2024, 11:42:05")</f>
        <v>24/06/2024, 11:42:05</v>
      </c>
    </row>
    <row r="398">
      <c r="A398" s="18" t="str">
        <f>IFERROR(__xludf.DUMMYFUNCTION("""COMPUTED_VALUE"""),"6526aad154107825f76a4c7a")</f>
        <v>6526aad154107825f76a4c7a</v>
      </c>
      <c r="B398" s="15" t="str">
        <f>IFERROR(__xludf.DUMMYFUNCTION("""COMPUTED_VALUE"""),"official_od_collected_night_random_from_wolfsburg_demo_v2_batch_17_split_by_size_of_200_od_for_train_tagged")</f>
        <v>official_od_collected_night_random_from_wolfsburg_demo_v2_batch_17_split_by_size_of_200_od_for_train_tagged</v>
      </c>
      <c r="C398" s="15" t="str">
        <f>IFERROR(__xludf.DUMMYFUNCTION("""COMPUTED_VALUE"""),"train")</f>
        <v>train</v>
      </c>
      <c r="D398" s="15" t="str">
        <f>IFERROR(__xludf.DUMMYFUNCTION("""COMPUTED_VALUE"""),"train")</f>
        <v>train</v>
      </c>
      <c r="E398" s="15">
        <f>IFERROR(__xludf.DUMMYFUNCTION("""COMPUTED_VALUE"""),171.0)</f>
        <v>171</v>
      </c>
      <c r="F398" s="15" t="str">
        <f>IFERROR(__xludf.DUMMYFUNCTION("""COMPUTED_VALUE"""),"8MP_JPG")</f>
        <v>8MP_JPG</v>
      </c>
      <c r="G398" s="15" t="str">
        <f>IFERROR(__xludf.DUMMYFUNCTION("""COMPUTED_VALUE"""),"DEMO, NIGHT, GERMANY")</f>
        <v>DEMO, NIGHT, GERMANY</v>
      </c>
      <c r="H398" s="15">
        <f>IFERROR(__xludf.DUMMYFUNCTION("""COMPUTED_VALUE"""),-1.0)</f>
        <v>-1</v>
      </c>
      <c r="I398" s="15">
        <f>IFERROR(__xludf.DUMMYFUNCTION("""COMPUTED_VALUE"""),-1.0)</f>
        <v>-1</v>
      </c>
      <c r="J398" s="15">
        <f>IFERROR(__xludf.DUMMYFUNCTION("""COMPUTED_VALUE"""),-1.0)</f>
        <v>-1</v>
      </c>
      <c r="K398" s="16" t="str">
        <f>IFERROR(__xludf.DUMMYFUNCTION("""COMPUTED_VALUE"""),"24/06/2024, 11:42:16")</f>
        <v>24/06/2024, 11:42:16</v>
      </c>
    </row>
    <row r="399">
      <c r="A399" s="25" t="str">
        <f>IFERROR(__xludf.DUMMYFUNCTION("""COMPUTED_VALUE"""),"6526a97854107825f76a4c76")</f>
        <v>6526a97854107825f76a4c76</v>
      </c>
      <c r="B399" s="26" t="str">
        <f>IFERROR(__xludf.DUMMYFUNCTION("""COMPUTED_VALUE"""),"official_od_collected_night_random_from_wolfsburg_demo_v2_batch_19_split_by_size_of_200_od_for_train_tagged")</f>
        <v>official_od_collected_night_random_from_wolfsburg_demo_v2_batch_19_split_by_size_of_200_od_for_train_tagged</v>
      </c>
      <c r="C399" s="26" t="str">
        <f>IFERROR(__xludf.DUMMYFUNCTION("""COMPUTED_VALUE"""),"train")</f>
        <v>train</v>
      </c>
      <c r="D399" s="26" t="str">
        <f>IFERROR(__xludf.DUMMYFUNCTION("""COMPUTED_VALUE"""),"train")</f>
        <v>train</v>
      </c>
      <c r="E399" s="26">
        <f>IFERROR(__xludf.DUMMYFUNCTION("""COMPUTED_VALUE"""),200.0)</f>
        <v>200</v>
      </c>
      <c r="F399" s="26" t="str">
        <f>IFERROR(__xludf.DUMMYFUNCTION("""COMPUTED_VALUE"""),"8MP_JPG")</f>
        <v>8MP_JPG</v>
      </c>
      <c r="G399" s="26" t="str">
        <f>IFERROR(__xludf.DUMMYFUNCTION("""COMPUTED_VALUE"""),"DEMO, NIGHT, GERMANY")</f>
        <v>DEMO, NIGHT, GERMANY</v>
      </c>
      <c r="H399" s="26">
        <f>IFERROR(__xludf.DUMMYFUNCTION("""COMPUTED_VALUE"""),-1.0)</f>
        <v>-1</v>
      </c>
      <c r="I399" s="26">
        <f>IFERROR(__xludf.DUMMYFUNCTION("""COMPUTED_VALUE"""),-1.0)</f>
        <v>-1</v>
      </c>
      <c r="J399" s="26">
        <f>IFERROR(__xludf.DUMMYFUNCTION("""COMPUTED_VALUE"""),-1.0)</f>
        <v>-1</v>
      </c>
      <c r="K399" s="27" t="str">
        <f>IFERROR(__xludf.DUMMYFUNCTION("""COMPUTED_VALUE"""),"24/06/2024, 11:42:18")</f>
        <v>24/06/2024, 11:42:18</v>
      </c>
    </row>
    <row r="400">
      <c r="A400" s="25" t="str">
        <f>IFERROR(__xludf.DUMMYFUNCTION("""COMPUTED_VALUE"""),"6526ab8154107825f76a4c7e")</f>
        <v>6526ab8154107825f76a4c7e</v>
      </c>
      <c r="B400" s="26" t="str">
        <f>IFERROR(__xludf.DUMMYFUNCTION("""COMPUTED_VALUE"""),"official_od_collected_night_random_from_wolfsburg_demo_v2_batch_16_split_by_size_of_200_od_for_train_tagged")</f>
        <v>official_od_collected_night_random_from_wolfsburg_demo_v2_batch_16_split_by_size_of_200_od_for_train_tagged</v>
      </c>
      <c r="C400" s="26" t="str">
        <f>IFERROR(__xludf.DUMMYFUNCTION("""COMPUTED_VALUE"""),"train")</f>
        <v>train</v>
      </c>
      <c r="D400" s="26" t="str">
        <f>IFERROR(__xludf.DUMMYFUNCTION("""COMPUTED_VALUE"""),"train")</f>
        <v>train</v>
      </c>
      <c r="E400" s="26">
        <f>IFERROR(__xludf.DUMMYFUNCTION("""COMPUTED_VALUE"""),177.0)</f>
        <v>177</v>
      </c>
      <c r="F400" s="26" t="str">
        <f>IFERROR(__xludf.DUMMYFUNCTION("""COMPUTED_VALUE"""),"8MP_JPG")</f>
        <v>8MP_JPG</v>
      </c>
      <c r="G400" s="26" t="str">
        <f>IFERROR(__xludf.DUMMYFUNCTION("""COMPUTED_VALUE"""),"DEMO, NIGHT, GERMANY")</f>
        <v>DEMO, NIGHT, GERMANY</v>
      </c>
      <c r="H400" s="26">
        <f>IFERROR(__xludf.DUMMYFUNCTION("""COMPUTED_VALUE"""),-1.0)</f>
        <v>-1</v>
      </c>
      <c r="I400" s="26">
        <f>IFERROR(__xludf.DUMMYFUNCTION("""COMPUTED_VALUE"""),-1.0)</f>
        <v>-1</v>
      </c>
      <c r="J400" s="26">
        <f>IFERROR(__xludf.DUMMYFUNCTION("""COMPUTED_VALUE"""),-1.0)</f>
        <v>-1</v>
      </c>
      <c r="K400" s="27" t="str">
        <f>IFERROR(__xludf.DUMMYFUNCTION("""COMPUTED_VALUE"""),"24/06/2024, 11:42:32")</f>
        <v>24/06/2024, 11:42:32</v>
      </c>
    </row>
    <row r="401">
      <c r="A401" s="25" t="str">
        <f>IFERROR(__xludf.DUMMYFUNCTION("""COMPUTED_VALUE"""),"6526ac2754107825f76a4c8a")</f>
        <v>6526ac2754107825f76a4c8a</v>
      </c>
      <c r="B401" s="26" t="str">
        <f>IFERROR(__xludf.DUMMYFUNCTION("""COMPUTED_VALUE"""),"official_od_collected_night_random_from_wolfsburg_demo_v2_batch_15_split_by_size_of_200_od_for_train_tagged")</f>
        <v>official_od_collected_night_random_from_wolfsburg_demo_v2_batch_15_split_by_size_of_200_od_for_train_tagged</v>
      </c>
      <c r="C401" s="26" t="str">
        <f>IFERROR(__xludf.DUMMYFUNCTION("""COMPUTED_VALUE"""),"train")</f>
        <v>train</v>
      </c>
      <c r="D401" s="26" t="str">
        <f>IFERROR(__xludf.DUMMYFUNCTION("""COMPUTED_VALUE"""),"train")</f>
        <v>train</v>
      </c>
      <c r="E401" s="26">
        <f>IFERROR(__xludf.DUMMYFUNCTION("""COMPUTED_VALUE"""),200.0)</f>
        <v>200</v>
      </c>
      <c r="F401" s="26" t="str">
        <f>IFERROR(__xludf.DUMMYFUNCTION("""COMPUTED_VALUE"""),"8MP_JPG")</f>
        <v>8MP_JPG</v>
      </c>
      <c r="G401" s="26" t="str">
        <f>IFERROR(__xludf.DUMMYFUNCTION("""COMPUTED_VALUE"""),"DEMO, NIGHT, GERMANY")</f>
        <v>DEMO, NIGHT, GERMANY</v>
      </c>
      <c r="H401" s="26">
        <f>IFERROR(__xludf.DUMMYFUNCTION("""COMPUTED_VALUE"""),-1.0)</f>
        <v>-1</v>
      </c>
      <c r="I401" s="26">
        <f>IFERROR(__xludf.DUMMYFUNCTION("""COMPUTED_VALUE"""),-1.0)</f>
        <v>-1</v>
      </c>
      <c r="J401" s="26">
        <f>IFERROR(__xludf.DUMMYFUNCTION("""COMPUTED_VALUE"""),-1.0)</f>
        <v>-1</v>
      </c>
      <c r="K401" s="27" t="str">
        <f>IFERROR(__xludf.DUMMYFUNCTION("""COMPUTED_VALUE"""),"24/06/2024, 11:42:44")</f>
        <v>24/06/2024, 11:42:44</v>
      </c>
    </row>
    <row r="402">
      <c r="A402" s="25" t="str">
        <f>IFERROR(__xludf.DUMMYFUNCTION("""COMPUTED_VALUE"""),"6535079254107825f76b8faa")</f>
        <v>6535079254107825f76b8faa</v>
      </c>
      <c r="B402" s="26" t="str">
        <f>IFERROR(__xludf.DUMMYFUNCTION("""COMPUTED_VALUE"""),"official_od_collected_night_random_from_wolfsburg_demo_v2_batch_14_split_by_size_of_200_od_for_train_tagged")</f>
        <v>official_od_collected_night_random_from_wolfsburg_demo_v2_batch_14_split_by_size_of_200_od_for_train_tagged</v>
      </c>
      <c r="C402" s="26" t="str">
        <f>IFERROR(__xludf.DUMMYFUNCTION("""COMPUTED_VALUE"""),"train")</f>
        <v>train</v>
      </c>
      <c r="D402" s="26" t="str">
        <f>IFERROR(__xludf.DUMMYFUNCTION("""COMPUTED_VALUE"""),"train")</f>
        <v>train</v>
      </c>
      <c r="E402" s="26">
        <f>IFERROR(__xludf.DUMMYFUNCTION("""COMPUTED_VALUE"""),200.0)</f>
        <v>200</v>
      </c>
      <c r="F402" s="26" t="str">
        <f>IFERROR(__xludf.DUMMYFUNCTION("""COMPUTED_VALUE"""),"8MP_JPG")</f>
        <v>8MP_JPG</v>
      </c>
      <c r="G402" s="26" t="str">
        <f>IFERROR(__xludf.DUMMYFUNCTION("""COMPUTED_VALUE"""),"DEMO, NIGHT, GERMANY")</f>
        <v>DEMO, NIGHT, GERMANY</v>
      </c>
      <c r="H402" s="26">
        <f>IFERROR(__xludf.DUMMYFUNCTION("""COMPUTED_VALUE"""),-1.0)</f>
        <v>-1</v>
      </c>
      <c r="I402" s="26">
        <f>IFERROR(__xludf.DUMMYFUNCTION("""COMPUTED_VALUE"""),-1.0)</f>
        <v>-1</v>
      </c>
      <c r="J402" s="26">
        <f>IFERROR(__xludf.DUMMYFUNCTION("""COMPUTED_VALUE"""),-1.0)</f>
        <v>-1</v>
      </c>
      <c r="K402" s="27" t="str">
        <f>IFERROR(__xludf.DUMMYFUNCTION("""COMPUTED_VALUE"""),"24/06/2024, 11:42:58")</f>
        <v>24/06/2024, 11:42:58</v>
      </c>
    </row>
    <row r="403">
      <c r="A403" s="18" t="str">
        <f>IFERROR(__xludf.DUMMYFUNCTION("""COMPUTED_VALUE"""),"6565f3c6fa38f84eb4f86c15")</f>
        <v>6565f3c6fa38f84eb4f86c15</v>
      </c>
      <c r="B403" s="15" t="str">
        <f>IFERROR(__xludf.DUMMYFUNCTION("""COMPUTED_VALUE"""),"_collected_night_random_from_wolfsburg_demo_v2_batch_13_split_by_size_of_200_for_train_od_tagged")</f>
        <v>_collected_night_random_from_wolfsburg_demo_v2_batch_13_split_by_size_of_200_for_train_od_tagged</v>
      </c>
      <c r="C403" s="15" t="str">
        <f>IFERROR(__xludf.DUMMYFUNCTION("""COMPUTED_VALUE"""),"train")</f>
        <v>train</v>
      </c>
      <c r="D403" s="15" t="str">
        <f>IFERROR(__xludf.DUMMYFUNCTION("""COMPUTED_VALUE"""),"train")</f>
        <v>train</v>
      </c>
      <c r="E403" s="15">
        <f>IFERROR(__xludf.DUMMYFUNCTION("""COMPUTED_VALUE"""),200.0)</f>
        <v>200</v>
      </c>
      <c r="F403" s="15" t="str">
        <f>IFERROR(__xludf.DUMMYFUNCTION("""COMPUTED_VALUE"""),"8MP_JPG")</f>
        <v>8MP_JPG</v>
      </c>
      <c r="G403" s="15" t="str">
        <f>IFERROR(__xludf.DUMMYFUNCTION("""COMPUTED_VALUE"""),"DEMO, NIGHT, GERMANY")</f>
        <v>DEMO, NIGHT, GERMANY</v>
      </c>
      <c r="H403" s="15">
        <f>IFERROR(__xludf.DUMMYFUNCTION("""COMPUTED_VALUE"""),-1.0)</f>
        <v>-1</v>
      </c>
      <c r="I403" s="15">
        <f>IFERROR(__xludf.DUMMYFUNCTION("""COMPUTED_VALUE"""),-1.0)</f>
        <v>-1</v>
      </c>
      <c r="J403" s="15">
        <f>IFERROR(__xludf.DUMMYFUNCTION("""COMPUTED_VALUE"""),-1.0)</f>
        <v>-1</v>
      </c>
      <c r="K403" s="16" t="str">
        <f>IFERROR(__xludf.DUMMYFUNCTION("""COMPUTED_VALUE"""),"24/06/2024, 11:43:14")</f>
        <v>24/06/2024, 11:43:14</v>
      </c>
    </row>
    <row r="404">
      <c r="A404" s="18" t="str">
        <f>IFERROR(__xludf.DUMMYFUNCTION("""COMPUTED_VALUE"""),"6526aea154107825f76a4c95")</f>
        <v>6526aea154107825f76a4c95</v>
      </c>
      <c r="B404" s="15" t="str">
        <f>IFERROR(__xludf.DUMMYFUNCTION("""COMPUTED_VALUE"""),"official_od_collected_night_random_from_wolfsburg_demo_v2_batch_9_split_by_size_of_200_od_for_train_tagged")</f>
        <v>official_od_collected_night_random_from_wolfsburg_demo_v2_batch_9_split_by_size_of_200_od_for_train_tagged</v>
      </c>
      <c r="C404" s="15" t="str">
        <f>IFERROR(__xludf.DUMMYFUNCTION("""COMPUTED_VALUE"""),"train")</f>
        <v>train</v>
      </c>
      <c r="D404" s="15" t="str">
        <f>IFERROR(__xludf.DUMMYFUNCTION("""COMPUTED_VALUE"""),"train")</f>
        <v>train</v>
      </c>
      <c r="E404" s="15">
        <f>IFERROR(__xludf.DUMMYFUNCTION("""COMPUTED_VALUE"""),128.0)</f>
        <v>128</v>
      </c>
      <c r="F404" s="15" t="str">
        <f>IFERROR(__xludf.DUMMYFUNCTION("""COMPUTED_VALUE"""),"8MP_JPG")</f>
        <v>8MP_JPG</v>
      </c>
      <c r="G404" s="15" t="str">
        <f>IFERROR(__xludf.DUMMYFUNCTION("""COMPUTED_VALUE"""),"DEMO, NIGHT, GERMANY")</f>
        <v>DEMO, NIGHT, GERMANY</v>
      </c>
      <c r="H404" s="15">
        <f>IFERROR(__xludf.DUMMYFUNCTION("""COMPUTED_VALUE"""),-1.0)</f>
        <v>-1</v>
      </c>
      <c r="I404" s="15">
        <f>IFERROR(__xludf.DUMMYFUNCTION("""COMPUTED_VALUE"""),-1.0)</f>
        <v>-1</v>
      </c>
      <c r="J404" s="15">
        <f>IFERROR(__xludf.DUMMYFUNCTION("""COMPUTED_VALUE"""),-1.0)</f>
        <v>-1</v>
      </c>
      <c r="K404" s="16" t="str">
        <f>IFERROR(__xludf.DUMMYFUNCTION("""COMPUTED_VALUE"""),"24/06/2024, 11:43:15")</f>
        <v>24/06/2024, 11:43:15</v>
      </c>
    </row>
    <row r="405">
      <c r="A405" s="18" t="str">
        <f>IFERROR(__xludf.DUMMYFUNCTION("""COMPUTED_VALUE"""),"6526adf854107825f76a4c94")</f>
        <v>6526adf854107825f76a4c94</v>
      </c>
      <c r="B405" s="15" t="str">
        <f>IFERROR(__xludf.DUMMYFUNCTION("""COMPUTED_VALUE"""),"official_od_collected_night_random_from_wolfsburg_demo_v2_batch_10_split_by_size_of_200_od_for_train_tagged")</f>
        <v>official_od_collected_night_random_from_wolfsburg_demo_v2_batch_10_split_by_size_of_200_od_for_train_tagged</v>
      </c>
      <c r="C405" s="15" t="str">
        <f>IFERROR(__xludf.DUMMYFUNCTION("""COMPUTED_VALUE"""),"train")</f>
        <v>train</v>
      </c>
      <c r="D405" s="15" t="str">
        <f>IFERROR(__xludf.DUMMYFUNCTION("""COMPUTED_VALUE"""),"train")</f>
        <v>train</v>
      </c>
      <c r="E405" s="15">
        <f>IFERROR(__xludf.DUMMYFUNCTION("""COMPUTED_VALUE"""),143.0)</f>
        <v>143</v>
      </c>
      <c r="F405" s="15" t="str">
        <f>IFERROR(__xludf.DUMMYFUNCTION("""COMPUTED_VALUE"""),"8MP_JPG")</f>
        <v>8MP_JPG</v>
      </c>
      <c r="G405" s="15" t="str">
        <f>IFERROR(__xludf.DUMMYFUNCTION("""COMPUTED_VALUE"""),"DEMO, NIGHT, GERMANY")</f>
        <v>DEMO, NIGHT, GERMANY</v>
      </c>
      <c r="H405" s="15">
        <f>IFERROR(__xludf.DUMMYFUNCTION("""COMPUTED_VALUE"""),-1.0)</f>
        <v>-1</v>
      </c>
      <c r="I405" s="15">
        <f>IFERROR(__xludf.DUMMYFUNCTION("""COMPUTED_VALUE"""),-1.0)</f>
        <v>-1</v>
      </c>
      <c r="J405" s="15">
        <f>IFERROR(__xludf.DUMMYFUNCTION("""COMPUTED_VALUE"""),-1.0)</f>
        <v>-1</v>
      </c>
      <c r="K405" s="16" t="str">
        <f>IFERROR(__xludf.DUMMYFUNCTION("""COMPUTED_VALUE"""),"24/06/2024, 11:43:17")</f>
        <v>24/06/2024, 11:43:17</v>
      </c>
    </row>
    <row r="406">
      <c r="A406" s="18" t="str">
        <f>IFERROR(__xludf.DUMMYFUNCTION("""COMPUTED_VALUE"""),"6526ad5254107825f76a4c92")</f>
        <v>6526ad5254107825f76a4c92</v>
      </c>
      <c r="B406" s="15" t="str">
        <f>IFERROR(__xludf.DUMMYFUNCTION("""COMPUTED_VALUE"""),"official_od_collected_night_random_from_wolfsburg_demo_v2_batch_11_split_by_size_of_200_od_for_train_tagged")</f>
        <v>official_od_collected_night_random_from_wolfsburg_demo_v2_batch_11_split_by_size_of_200_od_for_train_tagged</v>
      </c>
      <c r="C406" s="15" t="str">
        <f>IFERROR(__xludf.DUMMYFUNCTION("""COMPUTED_VALUE"""),"train")</f>
        <v>train</v>
      </c>
      <c r="D406" s="15" t="str">
        <f>IFERROR(__xludf.DUMMYFUNCTION("""COMPUTED_VALUE"""),"train")</f>
        <v>train</v>
      </c>
      <c r="E406" s="15">
        <f>IFERROR(__xludf.DUMMYFUNCTION("""COMPUTED_VALUE"""),130.0)</f>
        <v>130</v>
      </c>
      <c r="F406" s="15" t="str">
        <f>IFERROR(__xludf.DUMMYFUNCTION("""COMPUTED_VALUE"""),"8MP_JPG")</f>
        <v>8MP_JPG</v>
      </c>
      <c r="G406" s="15" t="str">
        <f>IFERROR(__xludf.DUMMYFUNCTION("""COMPUTED_VALUE"""),"DEMO, NIGHT, GERMANY")</f>
        <v>DEMO, NIGHT, GERMANY</v>
      </c>
      <c r="H406" s="15">
        <f>IFERROR(__xludf.DUMMYFUNCTION("""COMPUTED_VALUE"""),-1.0)</f>
        <v>-1</v>
      </c>
      <c r="I406" s="15">
        <f>IFERROR(__xludf.DUMMYFUNCTION("""COMPUTED_VALUE"""),-1.0)</f>
        <v>-1</v>
      </c>
      <c r="J406" s="15">
        <f>IFERROR(__xludf.DUMMYFUNCTION("""COMPUTED_VALUE"""),-1.0)</f>
        <v>-1</v>
      </c>
      <c r="K406" s="16" t="str">
        <f>IFERROR(__xludf.DUMMYFUNCTION("""COMPUTED_VALUE"""),"24/06/2024, 11:43:18")</f>
        <v>24/06/2024, 11:43:18</v>
      </c>
    </row>
    <row r="407">
      <c r="A407" s="18" t="str">
        <f>IFERROR(__xludf.DUMMYFUNCTION("""COMPUTED_VALUE"""),"6526bbd454107825f76a4d55")</f>
        <v>6526bbd454107825f76a4d55</v>
      </c>
      <c r="B407" s="15" t="str">
        <f>IFERROR(__xludf.DUMMYFUNCTION("""COMPUTED_VALUE"""),"official_od_collected_night_issues_from_wolfsburg_demo_v2_batch_3_split_by_size_of_200_od_for_train_tagged")</f>
        <v>official_od_collected_night_issues_from_wolfsburg_demo_v2_batch_3_split_by_size_of_200_od_for_train_tagged</v>
      </c>
      <c r="C407" s="15" t="str">
        <f>IFERROR(__xludf.DUMMYFUNCTION("""COMPUTED_VALUE"""),"train")</f>
        <v>train</v>
      </c>
      <c r="D407" s="15" t="str">
        <f>IFERROR(__xludf.DUMMYFUNCTION("""COMPUTED_VALUE"""),"train")</f>
        <v>train</v>
      </c>
      <c r="E407" s="15">
        <f>IFERROR(__xludf.DUMMYFUNCTION("""COMPUTED_VALUE"""),200.0)</f>
        <v>200</v>
      </c>
      <c r="F407" s="15" t="str">
        <f>IFERROR(__xludf.DUMMYFUNCTION("""COMPUTED_VALUE"""),"8MP_JPG")</f>
        <v>8MP_JPG</v>
      </c>
      <c r="G407" s="15" t="str">
        <f>IFERROR(__xludf.DUMMYFUNCTION("""COMPUTED_VALUE"""),"CLEAR, DEMO, NIGHT, GERMANY")</f>
        <v>CLEAR, DEMO, NIGHT, GERMANY</v>
      </c>
      <c r="H407" s="15">
        <f>IFERROR(__xludf.DUMMYFUNCTION("""COMPUTED_VALUE"""),-1.0)</f>
        <v>-1</v>
      </c>
      <c r="I407" s="15">
        <f>IFERROR(__xludf.DUMMYFUNCTION("""COMPUTED_VALUE"""),-1.0)</f>
        <v>-1</v>
      </c>
      <c r="J407" s="15">
        <f>IFERROR(__xludf.DUMMYFUNCTION("""COMPUTED_VALUE"""),-1.0)</f>
        <v>-1</v>
      </c>
      <c r="K407" s="16" t="str">
        <f>IFERROR(__xludf.DUMMYFUNCTION("""COMPUTED_VALUE"""),"24/06/2024, 11:44:08")</f>
        <v>24/06/2024, 11:44:08</v>
      </c>
    </row>
    <row r="408">
      <c r="A408" s="25" t="str">
        <f>IFERROR(__xludf.DUMMYFUNCTION("""COMPUTED_VALUE"""),"6526b2bd54107825f76a4d00")</f>
        <v>6526b2bd54107825f76a4d00</v>
      </c>
      <c r="B408" s="26" t="str">
        <f>IFERROR(__xludf.DUMMYFUNCTION("""COMPUTED_VALUE"""),"official_od_collected_night_random_from_wolfsburg_demo_v2_batch_0_split_by_size_of_200_od_for_train_tagged")</f>
        <v>official_od_collected_night_random_from_wolfsburg_demo_v2_batch_0_split_by_size_of_200_od_for_train_tagged</v>
      </c>
      <c r="C408" s="26" t="str">
        <f>IFERROR(__xludf.DUMMYFUNCTION("""COMPUTED_VALUE"""),"train")</f>
        <v>train</v>
      </c>
      <c r="D408" s="26" t="str">
        <f>IFERROR(__xludf.DUMMYFUNCTION("""COMPUTED_VALUE"""),"train")</f>
        <v>train</v>
      </c>
      <c r="E408" s="26">
        <f>IFERROR(__xludf.DUMMYFUNCTION("""COMPUTED_VALUE"""),95.0)</f>
        <v>95</v>
      </c>
      <c r="F408" s="26" t="str">
        <f>IFERROR(__xludf.DUMMYFUNCTION("""COMPUTED_VALUE"""),"8MP_JPG")</f>
        <v>8MP_JPG</v>
      </c>
      <c r="G408" s="26" t="str">
        <f>IFERROR(__xludf.DUMMYFUNCTION("""COMPUTED_VALUE"""),"DEMO, NIGHT, GERMANY")</f>
        <v>DEMO, NIGHT, GERMANY</v>
      </c>
      <c r="H408" s="26">
        <f>IFERROR(__xludf.DUMMYFUNCTION("""COMPUTED_VALUE"""),-1.0)</f>
        <v>-1</v>
      </c>
      <c r="I408" s="26">
        <f>IFERROR(__xludf.DUMMYFUNCTION("""COMPUTED_VALUE"""),-1.0)</f>
        <v>-1</v>
      </c>
      <c r="J408" s="26">
        <f>IFERROR(__xludf.DUMMYFUNCTION("""COMPUTED_VALUE"""),-1.0)</f>
        <v>-1</v>
      </c>
      <c r="K408" s="27" t="str">
        <f>IFERROR(__xludf.DUMMYFUNCTION("""COMPUTED_VALUE"""),"24/06/2024, 11:44:09")</f>
        <v>24/06/2024, 11:44:09</v>
      </c>
    </row>
    <row r="409">
      <c r="A409" s="18" t="str">
        <f>IFERROR(__xludf.DUMMYFUNCTION("""COMPUTED_VALUE"""),"6526b20054107825f76a4cff")</f>
        <v>6526b20054107825f76a4cff</v>
      </c>
      <c r="B409" s="15" t="str">
        <f>IFERROR(__xludf.DUMMYFUNCTION("""COMPUTED_VALUE"""),"official_od_collected_night_random_from_wolfsburg_demo_v2_batch_1_split_by_size_of_200_od_for_train_tagged")</f>
        <v>official_od_collected_night_random_from_wolfsburg_demo_v2_batch_1_split_by_size_of_200_od_for_train_tagged</v>
      </c>
      <c r="C409" s="15" t="str">
        <f>IFERROR(__xludf.DUMMYFUNCTION("""COMPUTED_VALUE"""),"train")</f>
        <v>train</v>
      </c>
      <c r="D409" s="15" t="str">
        <f>IFERROR(__xludf.DUMMYFUNCTION("""COMPUTED_VALUE"""),"train")</f>
        <v>train</v>
      </c>
      <c r="E409" s="15">
        <f>IFERROR(__xludf.DUMMYFUNCTION("""COMPUTED_VALUE"""),168.0)</f>
        <v>168</v>
      </c>
      <c r="F409" s="15" t="str">
        <f>IFERROR(__xludf.DUMMYFUNCTION("""COMPUTED_VALUE"""),"8MP_JPG")</f>
        <v>8MP_JPG</v>
      </c>
      <c r="G409" s="15" t="str">
        <f>IFERROR(__xludf.DUMMYFUNCTION("""COMPUTED_VALUE"""),"DEMO, NIGHT, GERMANY")</f>
        <v>DEMO, NIGHT, GERMANY</v>
      </c>
      <c r="H409" s="15">
        <f>IFERROR(__xludf.DUMMYFUNCTION("""COMPUTED_VALUE"""),-1.0)</f>
        <v>-1</v>
      </c>
      <c r="I409" s="15">
        <f>IFERROR(__xludf.DUMMYFUNCTION("""COMPUTED_VALUE"""),-1.0)</f>
        <v>-1</v>
      </c>
      <c r="J409" s="15">
        <f>IFERROR(__xludf.DUMMYFUNCTION("""COMPUTED_VALUE"""),-1.0)</f>
        <v>-1</v>
      </c>
      <c r="K409" s="16" t="str">
        <f>IFERROR(__xludf.DUMMYFUNCTION("""COMPUTED_VALUE"""),"24/06/2024, 11:44:11")</f>
        <v>24/06/2024, 11:44:11</v>
      </c>
    </row>
    <row r="410">
      <c r="A410" s="25" t="str">
        <f>IFERROR(__xludf.DUMMYFUNCTION("""COMPUTED_VALUE"""),"6522d78754107825f76a3a4f")</f>
        <v>6522d78754107825f76a3a4f</v>
      </c>
      <c r="B410" s="26" t="str">
        <f>IFERROR(__xludf.DUMMYFUNCTION("""COMPUTED_VALUE"""),"official_od_collected_night_issues_from_wolfsburg_demo_v2_batch_0_split_by_size_of_200_od_for_train_tagged")</f>
        <v>official_od_collected_night_issues_from_wolfsburg_demo_v2_batch_0_split_by_size_of_200_od_for_train_tagged</v>
      </c>
      <c r="C410" s="26" t="str">
        <f>IFERROR(__xludf.DUMMYFUNCTION("""COMPUTED_VALUE"""),"train")</f>
        <v>train</v>
      </c>
      <c r="D410" s="26" t="str">
        <f>IFERROR(__xludf.DUMMYFUNCTION("""COMPUTED_VALUE"""),"train")</f>
        <v>train</v>
      </c>
      <c r="E410" s="26">
        <f>IFERROR(__xludf.DUMMYFUNCTION("""COMPUTED_VALUE"""),200.0)</f>
        <v>200</v>
      </c>
      <c r="F410" s="26" t="str">
        <f>IFERROR(__xludf.DUMMYFUNCTION("""COMPUTED_VALUE"""),"8MP_JPG")</f>
        <v>8MP_JPG</v>
      </c>
      <c r="G410" s="26" t="str">
        <f>IFERROR(__xludf.DUMMYFUNCTION("""COMPUTED_VALUE"""),"DEMO, NIGHT, GERMANY")</f>
        <v>DEMO, NIGHT, GERMANY</v>
      </c>
      <c r="H410" s="26">
        <f>IFERROR(__xludf.DUMMYFUNCTION("""COMPUTED_VALUE"""),950.0)</f>
        <v>950</v>
      </c>
      <c r="I410" s="26">
        <f>IFERROR(__xludf.DUMMYFUNCTION("""COMPUTED_VALUE"""),1675.0)</f>
        <v>1675</v>
      </c>
      <c r="J410" s="26">
        <f>IFERROR(__xludf.DUMMYFUNCTION("""COMPUTED_VALUE"""),1585.0)</f>
        <v>1585</v>
      </c>
      <c r="K410" s="27" t="str">
        <f>IFERROR(__xludf.DUMMYFUNCTION("""COMPUTED_VALUE"""),"24/06/2024, 11:44:14")</f>
        <v>24/06/2024, 11:44:14</v>
      </c>
    </row>
    <row r="411">
      <c r="A411" s="25" t="str">
        <f>IFERROR(__xludf.DUMMYFUNCTION("""COMPUTED_VALUE"""),"6522d75d54107825f76a3a4e")</f>
        <v>6522d75d54107825f76a3a4e</v>
      </c>
      <c r="B411" s="26" t="str">
        <f>IFERROR(__xludf.DUMMYFUNCTION("""COMPUTED_VALUE"""),"official_od_collected_night_issues_from_wolfsburg_demo_v2_batch_1_split_by_size_of_200_od_for_train_tagged")</f>
        <v>official_od_collected_night_issues_from_wolfsburg_demo_v2_batch_1_split_by_size_of_200_od_for_train_tagged</v>
      </c>
      <c r="C411" s="26" t="str">
        <f>IFERROR(__xludf.DUMMYFUNCTION("""COMPUTED_VALUE"""),"train")</f>
        <v>train</v>
      </c>
      <c r="D411" s="26" t="str">
        <f>IFERROR(__xludf.DUMMYFUNCTION("""COMPUTED_VALUE"""),"train")</f>
        <v>train</v>
      </c>
      <c r="E411" s="26">
        <f>IFERROR(__xludf.DUMMYFUNCTION("""COMPUTED_VALUE"""),200.0)</f>
        <v>200</v>
      </c>
      <c r="F411" s="26" t="str">
        <f>IFERROR(__xludf.DUMMYFUNCTION("""COMPUTED_VALUE"""),"8MP_JPG")</f>
        <v>8MP_JPG</v>
      </c>
      <c r="G411" s="26" t="str">
        <f>IFERROR(__xludf.DUMMYFUNCTION("""COMPUTED_VALUE"""),"DEMO, NIGHT, GERMANY")</f>
        <v>DEMO, NIGHT, GERMANY</v>
      </c>
      <c r="H411" s="26">
        <f>IFERROR(__xludf.DUMMYFUNCTION("""COMPUTED_VALUE"""),950.0)</f>
        <v>950</v>
      </c>
      <c r="I411" s="26">
        <f>IFERROR(__xludf.DUMMYFUNCTION("""COMPUTED_VALUE"""),1675.0)</f>
        <v>1675</v>
      </c>
      <c r="J411" s="26">
        <f>IFERROR(__xludf.DUMMYFUNCTION("""COMPUTED_VALUE"""),1585.0)</f>
        <v>1585</v>
      </c>
      <c r="K411" s="27" t="str">
        <f>IFERROR(__xludf.DUMMYFUNCTION("""COMPUTED_VALUE"""),"24/06/2024, 11:44:16")</f>
        <v>24/06/2024, 11:44:16</v>
      </c>
    </row>
    <row r="412">
      <c r="A412" s="18" t="str">
        <f>IFERROR(__xludf.DUMMYFUNCTION("""COMPUTED_VALUE"""),"65688782fa38f84eb40087b5")</f>
        <v>65688782fa38f84eb40087b5</v>
      </c>
      <c r="B412" s="15" t="str">
        <f>IFERROR(__xludf.DUMMYFUNCTION("""COMPUTED_VALUE"""),"__ncap_vw_closed_loop_demo_tt_train_batch_0_split_by_size_of_867_tagged")</f>
        <v>__ncap_vw_closed_loop_demo_tt_train_batch_0_split_by_size_of_867_tagged</v>
      </c>
      <c r="C412" s="15" t="str">
        <f>IFERROR(__xludf.DUMMYFUNCTION("""COMPUTED_VALUE"""),"train")</f>
        <v>train</v>
      </c>
      <c r="D412" s="15" t="str">
        <f>IFERROR(__xludf.DUMMYFUNCTION("""COMPUTED_VALUE"""),"train")</f>
        <v>train</v>
      </c>
      <c r="E412" s="15">
        <f>IFERROR(__xludf.DUMMYFUNCTION("""COMPUTED_VALUE"""),740.0)</f>
        <v>740</v>
      </c>
      <c r="F412" s="15" t="str">
        <f>IFERROR(__xludf.DUMMYFUNCTION("""COMPUTED_VALUE"""),"8MP_JPG")</f>
        <v>8MP_JPG</v>
      </c>
      <c r="G412" s="15" t="str">
        <f>IFERROR(__xludf.DUMMYFUNCTION("""COMPUTED_VALUE"""),"CLEAR, DAY, OD_NCAP")</f>
        <v>CLEAR, DAY, OD_NCAP</v>
      </c>
      <c r="H412" s="15">
        <f>IFERROR(__xludf.DUMMYFUNCTION("""COMPUTED_VALUE"""),950.0)</f>
        <v>950</v>
      </c>
      <c r="I412" s="15">
        <f>IFERROR(__xludf.DUMMYFUNCTION("""COMPUTED_VALUE"""),-1.0)</f>
        <v>-1</v>
      </c>
      <c r="J412" s="15">
        <f>IFERROR(__xludf.DUMMYFUNCTION("""COMPUTED_VALUE"""),-1.0)</f>
        <v>-1</v>
      </c>
      <c r="K412" s="16" t="str">
        <f>IFERROR(__xludf.DUMMYFUNCTION("""COMPUTED_VALUE"""),"24/06/2024, 11:44:42")</f>
        <v>24/06/2024, 11:44:42</v>
      </c>
    </row>
    <row r="413">
      <c r="A413" s="18" t="str">
        <f>IFERROR(__xludf.DUMMYFUNCTION("""COMPUTED_VALUE"""),"6538387454107825f76c00bf")</f>
        <v>6538387454107825f76c00bf</v>
      </c>
      <c r="B413" s="15" t="str">
        <f>IFERROR(__xludf.DUMMYFUNCTION("""COMPUTED_VALUE"""),"official_od_2023_08_01_08_44_05_vaihingen_kitzingen_heavy_rain_day_as_single_set_skipped_6_batch_50_split_by_size_of_500_for_train_tagged")</f>
        <v>official_od_2023_08_01_08_44_05_vaihingen_kitzingen_heavy_rain_day_as_single_set_skipped_6_batch_50_split_by_size_of_500_for_train_tagged</v>
      </c>
      <c r="C413" s="15" t="str">
        <f>IFERROR(__xludf.DUMMYFUNCTION("""COMPUTED_VALUE"""),"train")</f>
        <v>train</v>
      </c>
      <c r="D413" s="15" t="str">
        <f>IFERROR(__xludf.DUMMYFUNCTION("""COMPUTED_VALUE"""),"train")</f>
        <v>train</v>
      </c>
      <c r="E413" s="15">
        <f>IFERROR(__xludf.DUMMYFUNCTION("""COMPUTED_VALUE"""),500.0)</f>
        <v>500</v>
      </c>
      <c r="F413" s="15" t="str">
        <f>IFERROR(__xludf.DUMMYFUNCTION("""COMPUTED_VALUE"""),"8MP_JPG")</f>
        <v>8MP_JPG</v>
      </c>
      <c r="G413" s="15" t="str">
        <f>IFERROR(__xludf.DUMMYFUNCTION("""COMPUTED_VALUE"""),"DEMO, RAIN, DAY, GERMANY")</f>
        <v>DEMO, RAIN, DAY, GERMANY</v>
      </c>
      <c r="H413" s="15">
        <f>IFERROR(__xludf.DUMMYFUNCTION("""COMPUTED_VALUE"""),-1.0)</f>
        <v>-1</v>
      </c>
      <c r="I413" s="15">
        <f>IFERROR(__xludf.DUMMYFUNCTION("""COMPUTED_VALUE"""),-1.0)</f>
        <v>-1</v>
      </c>
      <c r="J413" s="15">
        <f>IFERROR(__xludf.DUMMYFUNCTION("""COMPUTED_VALUE"""),-1.0)</f>
        <v>-1</v>
      </c>
      <c r="K413" s="16" t="str">
        <f>IFERROR(__xludf.DUMMYFUNCTION("""COMPUTED_VALUE"""),"24/06/2024, 11:46:14")</f>
        <v>24/06/2024, 11:46:14</v>
      </c>
    </row>
    <row r="414">
      <c r="A414" s="25" t="str">
        <f>IFERROR(__xludf.DUMMYFUNCTION("""COMPUTED_VALUE"""),"6460cd2bbe8ede2209d18657")</f>
        <v>6460cd2bbe8ede2209d18657</v>
      </c>
      <c r="B414" s="26" t="str">
        <f>IFERROR(__xludf.DUMMYFUNCTION("""COMPUTED_VALUE"""),"night_light_rain_after_filtering_for_train_03_03_23_for_train_tagged")</f>
        <v>night_light_rain_after_filtering_for_train_03_03_23_for_train_tagged</v>
      </c>
      <c r="C414" s="26" t="str">
        <f>IFERROR(__xludf.DUMMYFUNCTION("""COMPUTED_VALUE"""),"train")</f>
        <v>train</v>
      </c>
      <c r="D414" s="26" t="str">
        <f>IFERROR(__xludf.DUMMYFUNCTION("""COMPUTED_VALUE"""),"train")</f>
        <v>train</v>
      </c>
      <c r="E414" s="26">
        <f>IFERROR(__xludf.DUMMYFUNCTION("""COMPUTED_VALUE"""),91.0)</f>
        <v>91</v>
      </c>
      <c r="F414" s="26" t="str">
        <f>IFERROR(__xludf.DUMMYFUNCTION("""COMPUTED_VALUE"""),"8MP_JPG")</f>
        <v>8MP_JPG</v>
      </c>
      <c r="G414" s="26" t="str">
        <f>IFERROR(__xludf.DUMMYFUNCTION("""COMPUTED_VALUE"""),"RAIN, EUROPE, NIGHT")</f>
        <v>RAIN, EUROPE, NIGHT</v>
      </c>
      <c r="H414" s="26">
        <f>IFERROR(__xludf.DUMMYFUNCTION("""COMPUTED_VALUE"""),950.0)</f>
        <v>950</v>
      </c>
      <c r="I414" s="26">
        <f>IFERROR(__xludf.DUMMYFUNCTION("""COMPUTED_VALUE"""),0.0)</f>
        <v>0</v>
      </c>
      <c r="J414" s="26">
        <f>IFERROR(__xludf.DUMMYFUNCTION("""COMPUTED_VALUE"""),0.0)</f>
        <v>0</v>
      </c>
      <c r="K414" s="27" t="str">
        <f>IFERROR(__xludf.DUMMYFUNCTION("""COMPUTED_VALUE"""),"24/06/2024, 12:14:25")</f>
        <v>24/06/2024, 12:14:25</v>
      </c>
    </row>
    <row r="415">
      <c r="A415" s="18" t="str">
        <f>IFERROR(__xludf.DUMMYFUNCTION("""COMPUTED_VALUE"""),"6347f6675378b16a97be5bf4")</f>
        <v>6347f6675378b16a97be5bf4</v>
      </c>
      <c r="B415" s="15" t="str">
        <f>IFERROR(__xludf.DUMMYFUNCTION("""COMPUTED_VALUE"""),"train_ab_car_germany_dummy_child")</f>
        <v>train_ab_car_germany_dummy_child</v>
      </c>
      <c r="C415" s="15" t="str">
        <f>IFERROR(__xludf.DUMMYFUNCTION("""COMPUTED_VALUE"""),"train")</f>
        <v>train</v>
      </c>
      <c r="D415" s="15" t="str">
        <f>IFERROR(__xludf.DUMMYFUNCTION("""COMPUTED_VALUE"""),"train")</f>
        <v>train</v>
      </c>
      <c r="E415" s="15">
        <f>IFERROR(__xludf.DUMMYFUNCTION("""COMPUTED_VALUE"""),103.0)</f>
        <v>103</v>
      </c>
      <c r="F415" s="15" t="str">
        <f>IFERROR(__xludf.DUMMYFUNCTION("""COMPUTED_VALUE"""),"AMBARELLA_3840_1920")</f>
        <v>AMBARELLA_3840_1920</v>
      </c>
      <c r="G415" s="15"/>
      <c r="H415" s="15">
        <f>IFERROR(__xludf.DUMMYFUNCTION("""COMPUTED_VALUE"""),950.0)</f>
        <v>950</v>
      </c>
      <c r="I415" s="15">
        <f>IFERROR(__xludf.DUMMYFUNCTION("""COMPUTED_VALUE"""),1675.0)</f>
        <v>1675</v>
      </c>
      <c r="J415" s="15">
        <f>IFERROR(__xludf.DUMMYFUNCTION("""COMPUTED_VALUE"""),1585.0)</f>
        <v>1585</v>
      </c>
      <c r="K415" s="16" t="str">
        <f>IFERROR(__xludf.DUMMYFUNCTION("""COMPUTED_VALUE"""),"24/06/2024, 12:17:09")</f>
        <v>24/06/2024, 12:17:09</v>
      </c>
    </row>
    <row r="416">
      <c r="A416" s="18" t="str">
        <f>IFERROR(__xludf.DUMMYFUNCTION("""COMPUTED_VALUE"""),"6347d1bc5378b16a97bbcc45")</f>
        <v>6347d1bc5378b16a97bbcc45</v>
      </c>
      <c r="B416" s="15" t="str">
        <f>IFERROR(__xludf.DUMMYFUNCTION("""COMPUTED_VALUE"""),"ab_car_germany_dummy_train")</f>
        <v>ab_car_germany_dummy_train</v>
      </c>
      <c r="C416" s="15" t="str">
        <f>IFERROR(__xludf.DUMMYFUNCTION("""COMPUTED_VALUE"""),"train")</f>
        <v>train</v>
      </c>
      <c r="D416" s="15" t="str">
        <f>IFERROR(__xludf.DUMMYFUNCTION("""COMPUTED_VALUE"""),"train")</f>
        <v>train</v>
      </c>
      <c r="E416" s="15">
        <f>IFERROR(__xludf.DUMMYFUNCTION("""COMPUTED_VALUE"""),151.0)</f>
        <v>151</v>
      </c>
      <c r="F416" s="15" t="str">
        <f>IFERROR(__xludf.DUMMYFUNCTION("""COMPUTED_VALUE"""),"AMBARELLA_3840_1920")</f>
        <v>AMBARELLA_3840_1920</v>
      </c>
      <c r="G416" s="15"/>
      <c r="H416" s="15">
        <f>IFERROR(__xludf.DUMMYFUNCTION("""COMPUTED_VALUE"""),950.0)</f>
        <v>950</v>
      </c>
      <c r="I416" s="15">
        <f>IFERROR(__xludf.DUMMYFUNCTION("""COMPUTED_VALUE"""),1675.0)</f>
        <v>1675</v>
      </c>
      <c r="J416" s="15">
        <f>IFERROR(__xludf.DUMMYFUNCTION("""COMPUTED_VALUE"""),1585.0)</f>
        <v>1585</v>
      </c>
      <c r="K416" s="16" t="str">
        <f>IFERROR(__xludf.DUMMYFUNCTION("""COMPUTED_VALUE"""),"24/06/2024, 12:17:26")</f>
        <v>24/06/2024, 12:17:26</v>
      </c>
    </row>
    <row r="417">
      <c r="A417" s="18" t="str">
        <f>IFERROR(__xludf.DUMMYFUNCTION("""COMPUTED_VALUE"""),"659ac646d8ef2d6f5c523a95")</f>
        <v>659ac646d8ef2d6f5c523a95</v>
      </c>
      <c r="B417" s="15" t="str">
        <f>IFERROR(__xludf.DUMMYFUNCTION("""COMPUTED_VALUE"""),"official_europe_night_for_train")</f>
        <v>official_europe_night_for_train</v>
      </c>
      <c r="C417" s="15" t="str">
        <f>IFERROR(__xludf.DUMMYFUNCTION("""COMPUTED_VALUE"""),"train")</f>
        <v>train</v>
      </c>
      <c r="D417" s="15" t="str">
        <f>IFERROR(__xludf.DUMMYFUNCTION("""COMPUTED_VALUE"""),"train")</f>
        <v>train</v>
      </c>
      <c r="E417" s="15">
        <f>IFERROR(__xludf.DUMMYFUNCTION("""COMPUTED_VALUE"""),1172.0)</f>
        <v>1172</v>
      </c>
      <c r="F417" s="15" t="str">
        <f>IFERROR(__xludf.DUMMYFUNCTION("""COMPUTED_VALUE"""),"8MP_JPG")</f>
        <v>8MP_JPG</v>
      </c>
      <c r="G417" s="15" t="str">
        <f>IFERROR(__xludf.DUMMYFUNCTION("""COMPUTED_VALUE"""),"FRANCE, CLEAR, RAIN, EUROPE, GERMANY, NIGHT")</f>
        <v>FRANCE, CLEAR, RAIN, EUROPE, GERMANY, NIGHT</v>
      </c>
      <c r="H417" s="15">
        <f>IFERROR(__xludf.DUMMYFUNCTION("""COMPUTED_VALUE"""),-1.0)</f>
        <v>-1</v>
      </c>
      <c r="I417" s="15">
        <f>IFERROR(__xludf.DUMMYFUNCTION("""COMPUTED_VALUE"""),-1.0)</f>
        <v>-1</v>
      </c>
      <c r="J417" s="15">
        <f>IFERROR(__xludf.DUMMYFUNCTION("""COMPUTED_VALUE"""),-1.0)</f>
        <v>-1</v>
      </c>
      <c r="K417" s="16" t="str">
        <f>IFERROR(__xludf.DUMMYFUNCTION("""COMPUTED_VALUE"""),"24/06/2024, 12:25:41")</f>
        <v>24/06/2024, 12:25:41</v>
      </c>
    </row>
    <row r="418">
      <c r="A418" s="25" t="str">
        <f>IFERROR(__xludf.DUMMYFUNCTION("""COMPUTED_VALUE"""),"6565f454fa38f84eb4f877ab")</f>
        <v>6565f454fa38f84eb4f877ab</v>
      </c>
      <c r="B418" s="26" t="str">
        <f>IFERROR(__xludf.DUMMYFUNCTION("""COMPUTED_VALUE"""),"_2023_09_07_23_58_56_wolfsbourg_magna_clear_night1_2_skipped_120_batch_3_split_by_size_of_100_for_train_od_tagged")</f>
        <v>_2023_09_07_23_58_56_wolfsbourg_magna_clear_night1_2_skipped_120_batch_3_split_by_size_of_100_for_train_od_tagged</v>
      </c>
      <c r="C418" s="26" t="str">
        <f>IFERROR(__xludf.DUMMYFUNCTION("""COMPUTED_VALUE"""),"train")</f>
        <v>train</v>
      </c>
      <c r="D418" s="26" t="str">
        <f>IFERROR(__xludf.DUMMYFUNCTION("""COMPUTED_VALUE"""),"train")</f>
        <v>train</v>
      </c>
      <c r="E418" s="26">
        <f>IFERROR(__xludf.DUMMYFUNCTION("""COMPUTED_VALUE"""),46.0)</f>
        <v>46</v>
      </c>
      <c r="F418" s="26" t="str">
        <f>IFERROR(__xludf.DUMMYFUNCTION("""COMPUTED_VALUE"""),"8MP_JPG")</f>
        <v>8MP_JPG</v>
      </c>
      <c r="G418" s="26" t="str">
        <f>IFERROR(__xludf.DUMMYFUNCTION("""COMPUTED_VALUE"""),"CLEAR, EUROPE, GERMANY, DEMO, VWB, NIGHT")</f>
        <v>CLEAR, EUROPE, GERMANY, DEMO, VWB, NIGHT</v>
      </c>
      <c r="H418" s="26">
        <f>IFERROR(__xludf.DUMMYFUNCTION("""COMPUTED_VALUE"""),-1.0)</f>
        <v>-1</v>
      </c>
      <c r="I418" s="26">
        <f>IFERROR(__xludf.DUMMYFUNCTION("""COMPUTED_VALUE"""),-1.0)</f>
        <v>-1</v>
      </c>
      <c r="J418" s="26">
        <f>IFERROR(__xludf.DUMMYFUNCTION("""COMPUTED_VALUE"""),-1.0)</f>
        <v>-1</v>
      </c>
      <c r="K418" s="27" t="str">
        <f>IFERROR(__xludf.DUMMYFUNCTION("""COMPUTED_VALUE"""),"24/06/2024, 12:28:33")</f>
        <v>24/06/2024, 12:28:33</v>
      </c>
    </row>
    <row r="419">
      <c r="A419" s="25" t="str">
        <f>IFERROR(__xludf.DUMMYFUNCTION("""COMPUTED_VALUE"""),"6565f3defa38f84eb4f874e6")</f>
        <v>6565f3defa38f84eb4f874e6</v>
      </c>
      <c r="B419" s="26" t="str">
        <f>IFERROR(__xludf.DUMMYFUNCTION("""COMPUTED_VALUE"""),"_2023_09_08_02_24_38_city_magna_clear_night_skipped_120_batch_0_split_by_size_of_100_for_train_od_tagged")</f>
        <v>_2023_09_08_02_24_38_city_magna_clear_night_skipped_120_batch_0_split_by_size_of_100_for_train_od_tagged</v>
      </c>
      <c r="C419" s="26" t="str">
        <f>IFERROR(__xludf.DUMMYFUNCTION("""COMPUTED_VALUE"""),"train")</f>
        <v>train</v>
      </c>
      <c r="D419" s="26" t="str">
        <f>IFERROR(__xludf.DUMMYFUNCTION("""COMPUTED_VALUE"""),"train")</f>
        <v>train</v>
      </c>
      <c r="E419" s="26">
        <f>IFERROR(__xludf.DUMMYFUNCTION("""COMPUTED_VALUE"""),90.0)</f>
        <v>90</v>
      </c>
      <c r="F419" s="26" t="str">
        <f>IFERROR(__xludf.DUMMYFUNCTION("""COMPUTED_VALUE"""),"8MP_JPG")</f>
        <v>8MP_JPG</v>
      </c>
      <c r="G419" s="26" t="str">
        <f>IFERROR(__xludf.DUMMYFUNCTION("""COMPUTED_VALUE"""),"CLEAR, DEMO, NIGHT, GERMANY")</f>
        <v>CLEAR, DEMO, NIGHT, GERMANY</v>
      </c>
      <c r="H419" s="26">
        <f>IFERROR(__xludf.DUMMYFUNCTION("""COMPUTED_VALUE"""),-1.0)</f>
        <v>-1</v>
      </c>
      <c r="I419" s="26">
        <f>IFERROR(__xludf.DUMMYFUNCTION("""COMPUTED_VALUE"""),-1.0)</f>
        <v>-1</v>
      </c>
      <c r="J419" s="26">
        <f>IFERROR(__xludf.DUMMYFUNCTION("""COMPUTED_VALUE"""),-1.0)</f>
        <v>-1</v>
      </c>
      <c r="K419" s="27" t="str">
        <f>IFERROR(__xludf.DUMMYFUNCTION("""COMPUTED_VALUE"""),"24/06/2024, 12:28:35")</f>
        <v>24/06/2024, 12:28:35</v>
      </c>
    </row>
    <row r="420">
      <c r="A420" s="18" t="str">
        <f>IFERROR(__xludf.DUMMYFUNCTION("""COMPUTED_VALUE"""),"6565f38ffa38f84eb4f84a05")</f>
        <v>6565f38ffa38f84eb4f84a05</v>
      </c>
      <c r="B420" s="15" t="str">
        <f>IFERROR(__xludf.DUMMYFUNCTION("""COMPUTED_VALUE"""),"_od_night_issues_22_11_2023_train_batch_0_split_by_size_of_384_tagged")</f>
        <v>_od_night_issues_22_11_2023_train_batch_0_split_by_size_of_384_tagged</v>
      </c>
      <c r="C420" s="15" t="str">
        <f>IFERROR(__xludf.DUMMYFUNCTION("""COMPUTED_VALUE"""),"train")</f>
        <v>train</v>
      </c>
      <c r="D420" s="15" t="str">
        <f>IFERROR(__xludf.DUMMYFUNCTION("""COMPUTED_VALUE"""),"train")</f>
        <v>train</v>
      </c>
      <c r="E420" s="15">
        <f>IFERROR(__xludf.DUMMYFUNCTION("""COMPUTED_VALUE"""),378.0)</f>
        <v>378</v>
      </c>
      <c r="F420" s="15" t="str">
        <f>IFERROR(__xludf.DUMMYFUNCTION("""COMPUTED_VALUE"""),"8MP_JPG")</f>
        <v>8MP_JPG</v>
      </c>
      <c r="G420" s="15" t="str">
        <f>IFERROR(__xludf.DUMMYFUNCTION("""COMPUTED_VALUE"""),"CLEAR, EUROPE, NIGHT, GERMANY")</f>
        <v>CLEAR, EUROPE, NIGHT, GERMANY</v>
      </c>
      <c r="H420" s="15">
        <f>IFERROR(__xludf.DUMMYFUNCTION("""COMPUTED_VALUE"""),-1.0)</f>
        <v>-1</v>
      </c>
      <c r="I420" s="15">
        <f>IFERROR(__xludf.DUMMYFUNCTION("""COMPUTED_VALUE"""),-1.0)</f>
        <v>-1</v>
      </c>
      <c r="J420" s="15">
        <f>IFERROR(__xludf.DUMMYFUNCTION("""COMPUTED_VALUE"""),-1.0)</f>
        <v>-1</v>
      </c>
      <c r="K420" s="16" t="str">
        <f>IFERROR(__xludf.DUMMYFUNCTION("""COMPUTED_VALUE"""),"24/06/2024, 12:28:41")</f>
        <v>24/06/2024, 12:28:41</v>
      </c>
    </row>
    <row r="421">
      <c r="A421" s="18" t="str">
        <f>IFERROR(__xludf.DUMMYFUNCTION("""COMPUTED_VALUE"""),"6565f3aafa38f84eb4f85eed")</f>
        <v>6565f3aafa38f84eb4f85eed</v>
      </c>
      <c r="B421" s="15" t="str">
        <f>IFERROR(__xludf.DUMMYFUNCTION("""COMPUTED_VALUE"""),"_collected_night_random_from_wolfsburg_demo_v2_batch_26_split_by_size_of_200_for_train_od_tagged")</f>
        <v>_collected_night_random_from_wolfsburg_demo_v2_batch_26_split_by_size_of_200_for_train_od_tagged</v>
      </c>
      <c r="C421" s="15" t="str">
        <f>IFERROR(__xludf.DUMMYFUNCTION("""COMPUTED_VALUE"""),"train")</f>
        <v>train</v>
      </c>
      <c r="D421" s="15" t="str">
        <f>IFERROR(__xludf.DUMMYFUNCTION("""COMPUTED_VALUE"""),"train")</f>
        <v>train</v>
      </c>
      <c r="E421" s="15">
        <f>IFERROR(__xludf.DUMMYFUNCTION("""COMPUTED_VALUE"""),200.0)</f>
        <v>200</v>
      </c>
      <c r="F421" s="15" t="str">
        <f>IFERROR(__xludf.DUMMYFUNCTION("""COMPUTED_VALUE"""),"8MP_JPG")</f>
        <v>8MP_JPG</v>
      </c>
      <c r="G421" s="15" t="str">
        <f>IFERROR(__xludf.DUMMYFUNCTION("""COMPUTED_VALUE"""),"DEMO, NIGHT, GERMANY")</f>
        <v>DEMO, NIGHT, GERMANY</v>
      </c>
      <c r="H421" s="15">
        <f>IFERROR(__xludf.DUMMYFUNCTION("""COMPUTED_VALUE"""),-1.0)</f>
        <v>-1</v>
      </c>
      <c r="I421" s="15">
        <f>IFERROR(__xludf.DUMMYFUNCTION("""COMPUTED_VALUE"""),-1.0)</f>
        <v>-1</v>
      </c>
      <c r="J421" s="15">
        <f>IFERROR(__xludf.DUMMYFUNCTION("""COMPUTED_VALUE"""),-1.0)</f>
        <v>-1</v>
      </c>
      <c r="K421" s="16" t="str">
        <f>IFERROR(__xludf.DUMMYFUNCTION("""COMPUTED_VALUE"""),"24/06/2024, 12:30:19")</f>
        <v>24/06/2024, 12:30:19</v>
      </c>
    </row>
    <row r="422">
      <c r="A422" s="18" t="str">
        <f>IFERROR(__xludf.DUMMYFUNCTION("""COMPUTED_VALUE"""),"665c2be306e1a362691e8f79")</f>
        <v>665c2be306e1a362691e8f79</v>
      </c>
      <c r="B422" s="15" t="str">
        <f>IFERROR(__xludf.DUMMYFUNCTION("""COMPUTED_VALUE"""),"asymmetrical_bullhead_city_every_10_images_filtered_to_tag_batch_3_each_172")</f>
        <v>asymmetrical_bullhead_city_every_10_images_filtered_to_tag_batch_3_each_172</v>
      </c>
      <c r="C422" s="15" t="str">
        <f>IFERROR(__xludf.DUMMYFUNCTION("""COMPUTED_VALUE"""),"train")</f>
        <v>train</v>
      </c>
      <c r="D422" s="15" t="str">
        <f>IFERROR(__xludf.DUMMYFUNCTION("""COMPUTED_VALUE"""),"train")</f>
        <v>train</v>
      </c>
      <c r="E422" s="15">
        <f>IFERROR(__xludf.DUMMYFUNCTION("""COMPUTED_VALUE"""),172.0)</f>
        <v>172</v>
      </c>
      <c r="F422" s="15" t="str">
        <f>IFERROR(__xludf.DUMMYFUNCTION("""COMPUTED_VALUE"""),"8MP_JPG")</f>
        <v>8MP_JPG</v>
      </c>
      <c r="G422" s="15" t="str">
        <f>IFERROR(__xludf.DUMMYFUNCTION("""COMPUTED_VALUE"""),"ARROWS, CLOUDY, DAY, CROSSWALK, MAGNA")</f>
        <v>ARROWS, CLOUDY, DAY, CROSSWALK, MAGNA</v>
      </c>
      <c r="H422" s="15">
        <f>IFERROR(__xludf.DUMMYFUNCTION("""COMPUTED_VALUE"""),-1.0)</f>
        <v>-1</v>
      </c>
      <c r="I422" s="15">
        <f>IFERROR(__xludf.DUMMYFUNCTION("""COMPUTED_VALUE"""),-1.0)</f>
        <v>-1</v>
      </c>
      <c r="J422" s="15">
        <f>IFERROR(__xludf.DUMMYFUNCTION("""COMPUTED_VALUE"""),-1.0)</f>
        <v>-1</v>
      </c>
      <c r="K422" s="16" t="str">
        <f>IFERROR(__xludf.DUMMYFUNCTION("""COMPUTED_VALUE"""),"24/06/2024, 13:14:07")</f>
        <v>24/06/2024, 13:14:07</v>
      </c>
    </row>
    <row r="423">
      <c r="A423" s="18" t="str">
        <f>IFERROR(__xludf.DUMMYFUNCTION("""COMPUTED_VALUE"""),"665c2be306e1a362691e8f78")</f>
        <v>665c2be306e1a362691e8f78</v>
      </c>
      <c r="B423" s="15" t="str">
        <f>IFERROR(__xludf.DUMMYFUNCTION("""COMPUTED_VALUE"""),"asymmetrical_bullhead_city_every_10_images_filtered_to_tag_batch_2_each_172")</f>
        <v>asymmetrical_bullhead_city_every_10_images_filtered_to_tag_batch_2_each_172</v>
      </c>
      <c r="C423" s="15" t="str">
        <f>IFERROR(__xludf.DUMMYFUNCTION("""COMPUTED_VALUE"""),"train")</f>
        <v>train</v>
      </c>
      <c r="D423" s="15" t="str">
        <f>IFERROR(__xludf.DUMMYFUNCTION("""COMPUTED_VALUE"""),"train")</f>
        <v>train</v>
      </c>
      <c r="E423" s="15">
        <f>IFERROR(__xludf.DUMMYFUNCTION("""COMPUTED_VALUE"""),172.0)</f>
        <v>172</v>
      </c>
      <c r="F423" s="15" t="str">
        <f>IFERROR(__xludf.DUMMYFUNCTION("""COMPUTED_VALUE"""),"8MP_JPG")</f>
        <v>8MP_JPG</v>
      </c>
      <c r="G423" s="15" t="str">
        <f>IFERROR(__xludf.DUMMYFUNCTION("""COMPUTED_VALUE"""),"ARROWS, CLOUDY, DAY, CROSSWALK, MAGNA")</f>
        <v>ARROWS, CLOUDY, DAY, CROSSWALK, MAGNA</v>
      </c>
      <c r="H423" s="15">
        <f>IFERROR(__xludf.DUMMYFUNCTION("""COMPUTED_VALUE"""),-1.0)</f>
        <v>-1</v>
      </c>
      <c r="I423" s="15">
        <f>IFERROR(__xludf.DUMMYFUNCTION("""COMPUTED_VALUE"""),-1.0)</f>
        <v>-1</v>
      </c>
      <c r="J423" s="15">
        <f>IFERROR(__xludf.DUMMYFUNCTION("""COMPUTED_VALUE"""),-1.0)</f>
        <v>-1</v>
      </c>
      <c r="K423" s="16" t="str">
        <f>IFERROR(__xludf.DUMMYFUNCTION("""COMPUTED_VALUE"""),"24/06/2024, 13:14:26")</f>
        <v>24/06/2024, 13:14:26</v>
      </c>
    </row>
    <row r="424">
      <c r="A424" s="18" t="str">
        <f>IFERROR(__xludf.DUMMYFUNCTION("""COMPUTED_VALUE"""),"665c2be306e1a362691e8f77")</f>
        <v>665c2be306e1a362691e8f77</v>
      </c>
      <c r="B424" s="15" t="str">
        <f>IFERROR(__xludf.DUMMYFUNCTION("""COMPUTED_VALUE"""),"asymmetrical_bullhead_city_every_10_images_filtered_to_tag_batch_1_each_172")</f>
        <v>asymmetrical_bullhead_city_every_10_images_filtered_to_tag_batch_1_each_172</v>
      </c>
      <c r="C424" s="15" t="str">
        <f>IFERROR(__xludf.DUMMYFUNCTION("""COMPUTED_VALUE"""),"train")</f>
        <v>train</v>
      </c>
      <c r="D424" s="15" t="str">
        <f>IFERROR(__xludf.DUMMYFUNCTION("""COMPUTED_VALUE"""),"train")</f>
        <v>train</v>
      </c>
      <c r="E424" s="15">
        <f>IFERROR(__xludf.DUMMYFUNCTION("""COMPUTED_VALUE"""),172.0)</f>
        <v>172</v>
      </c>
      <c r="F424" s="15" t="str">
        <f>IFERROR(__xludf.DUMMYFUNCTION("""COMPUTED_VALUE"""),"8MP_JPG")</f>
        <v>8MP_JPG</v>
      </c>
      <c r="G424" s="15" t="str">
        <f>IFERROR(__xludf.DUMMYFUNCTION("""COMPUTED_VALUE"""),"ARROWS, CLOUDY, DAY, CROSSWALK, MAGNA")</f>
        <v>ARROWS, CLOUDY, DAY, CROSSWALK, MAGNA</v>
      </c>
      <c r="H424" s="15">
        <f>IFERROR(__xludf.DUMMYFUNCTION("""COMPUTED_VALUE"""),-1.0)</f>
        <v>-1</v>
      </c>
      <c r="I424" s="15">
        <f>IFERROR(__xludf.DUMMYFUNCTION("""COMPUTED_VALUE"""),-1.0)</f>
        <v>-1</v>
      </c>
      <c r="J424" s="15">
        <f>IFERROR(__xludf.DUMMYFUNCTION("""COMPUTED_VALUE"""),-1.0)</f>
        <v>-1</v>
      </c>
      <c r="K424" s="16" t="str">
        <f>IFERROR(__xludf.DUMMYFUNCTION("""COMPUTED_VALUE"""),"24/06/2024, 13:14:45")</f>
        <v>24/06/2024, 13:14:45</v>
      </c>
    </row>
    <row r="425">
      <c r="A425" s="25" t="str">
        <f>IFERROR(__xludf.DUMMYFUNCTION("""COMPUTED_VALUE"""),"665c2be206e1a362691e8f76")</f>
        <v>665c2be206e1a362691e8f76</v>
      </c>
      <c r="B425" s="26" t="str">
        <f>IFERROR(__xludf.DUMMYFUNCTION("""COMPUTED_VALUE"""),"asymmetrical_bullhead_city_every_10_images_filtered_to_tag_batch_0_each_172")</f>
        <v>asymmetrical_bullhead_city_every_10_images_filtered_to_tag_batch_0_each_172</v>
      </c>
      <c r="C425" s="26" t="str">
        <f>IFERROR(__xludf.DUMMYFUNCTION("""COMPUTED_VALUE"""),"train")</f>
        <v>train</v>
      </c>
      <c r="D425" s="26" t="str">
        <f>IFERROR(__xludf.DUMMYFUNCTION("""COMPUTED_VALUE"""),"train")</f>
        <v>train</v>
      </c>
      <c r="E425" s="26">
        <f>IFERROR(__xludf.DUMMYFUNCTION("""COMPUTED_VALUE"""),172.0)</f>
        <v>172</v>
      </c>
      <c r="F425" s="26" t="str">
        <f>IFERROR(__xludf.DUMMYFUNCTION("""COMPUTED_VALUE"""),"8MP_JPG")</f>
        <v>8MP_JPG</v>
      </c>
      <c r="G425" s="26" t="str">
        <f>IFERROR(__xludf.DUMMYFUNCTION("""COMPUTED_VALUE"""),"ARROWS, CLOUDY, DAY, CROSSWALK, MAGNA")</f>
        <v>ARROWS, CLOUDY, DAY, CROSSWALK, MAGNA</v>
      </c>
      <c r="H425" s="26">
        <f>IFERROR(__xludf.DUMMYFUNCTION("""COMPUTED_VALUE"""),-1.0)</f>
        <v>-1</v>
      </c>
      <c r="I425" s="26">
        <f>IFERROR(__xludf.DUMMYFUNCTION("""COMPUTED_VALUE"""),-1.0)</f>
        <v>-1</v>
      </c>
      <c r="J425" s="26">
        <f>IFERROR(__xludf.DUMMYFUNCTION("""COMPUTED_VALUE"""),-1.0)</f>
        <v>-1</v>
      </c>
      <c r="K425" s="27" t="str">
        <f>IFERROR(__xludf.DUMMYFUNCTION("""COMPUTED_VALUE"""),"24/06/2024, 13:15:03")</f>
        <v>24/06/2024, 13:15:03</v>
      </c>
    </row>
    <row r="426">
      <c r="A426" s="18" t="str">
        <f>IFERROR(__xludf.DUMMYFUNCTION("""COMPUTED_VALUE"""),"654cd46254107825f775e7ef")</f>
        <v>654cd46254107825f775e7ef</v>
      </c>
      <c r="B426" s="15" t="str">
        <f>IFERROR(__xludf.DUMMYFUNCTION("""COMPUTED_VALUE"""),"_2023_06_21_11_28_35_dekra_munich_rain_day_highway2_od_test_batch_7_split_by_size_of_200_for_test_od_tagged")</f>
        <v>_2023_06_21_11_28_35_dekra_munich_rain_day_highway2_od_test_batch_7_split_by_size_of_200_for_test_od_tagged</v>
      </c>
      <c r="C426" s="15" t="str">
        <f>IFERROR(__xludf.DUMMYFUNCTION("""COMPUTED_VALUE"""),"test")</f>
        <v>test</v>
      </c>
      <c r="D426" s="15" t="str">
        <f>IFERROR(__xludf.DUMMYFUNCTION("""COMPUTED_VALUE"""),"test")</f>
        <v>test</v>
      </c>
      <c r="E426" s="15">
        <f>IFERROR(__xludf.DUMMYFUNCTION("""COMPUTED_VALUE"""),200.0)</f>
        <v>200</v>
      </c>
      <c r="F426" s="15" t="str">
        <f>IFERROR(__xludf.DUMMYFUNCTION("""COMPUTED_VALUE"""),"8MP_JPG")</f>
        <v>8MP_JPG</v>
      </c>
      <c r="G426" s="15" t="str">
        <f>IFERROR(__xludf.DUMMYFUNCTION("""COMPUTED_VALUE"""),"WET_ROAD, SPECIAL_VEHICLE, GERMANY, EU_SR, CROSSWALK, RAIN, HIGHWAY_EXIT, DOT_BOTS, CLEAR, EUROPE, LANE_CHANGE, TUNNEL, DAY")</f>
        <v>WET_ROAD, SPECIAL_VEHICLE, GERMANY, EU_SR, CROSSWALK, RAIN, HIGHWAY_EXIT, DOT_BOTS, CLEAR, EUROPE, LANE_CHANGE, TUNNEL, DAY</v>
      </c>
      <c r="H426" s="15">
        <f>IFERROR(__xludf.DUMMYFUNCTION("""COMPUTED_VALUE"""),950.0)</f>
        <v>950</v>
      </c>
      <c r="I426" s="15">
        <f>IFERROR(__xludf.DUMMYFUNCTION("""COMPUTED_VALUE"""),1675.0)</f>
        <v>1675</v>
      </c>
      <c r="J426" s="15">
        <f>IFERROR(__xludf.DUMMYFUNCTION("""COMPUTED_VALUE"""),1585.0)</f>
        <v>1585</v>
      </c>
      <c r="K426" s="16" t="str">
        <f>IFERROR(__xludf.DUMMYFUNCTION("""COMPUTED_VALUE"""),"26/06/2024, 18:07:33")</f>
        <v>26/06/2024, 18:07:33</v>
      </c>
    </row>
    <row r="427">
      <c r="A427" s="25" t="str">
        <f>IFERROR(__xludf.DUMMYFUNCTION("""COMPUTED_VALUE"""),"654cd48b54107825f7761c41")</f>
        <v>654cd48b54107825f7761c41</v>
      </c>
      <c r="B427" s="26" t="str">
        <f>IFERROR(__xludf.DUMMYFUNCTION("""COMPUTED_VALUE"""),"____2023_06_21_11_28_35_dekra_munich_rain_day_highway2_od_test_batch_0_split_by_size_of_200_for_test_od_tagged")</f>
        <v>____2023_06_21_11_28_35_dekra_munich_rain_day_highway2_od_test_batch_0_split_by_size_of_200_for_test_od_tagged</v>
      </c>
      <c r="C427" s="26" t="str">
        <f>IFERROR(__xludf.DUMMYFUNCTION("""COMPUTED_VALUE"""),"test")</f>
        <v>test</v>
      </c>
      <c r="D427" s="26" t="str">
        <f>IFERROR(__xludf.DUMMYFUNCTION("""COMPUTED_VALUE"""),"test")</f>
        <v>test</v>
      </c>
      <c r="E427" s="26">
        <f>IFERROR(__xludf.DUMMYFUNCTION("""COMPUTED_VALUE"""),199.0)</f>
        <v>199</v>
      </c>
      <c r="F427" s="26" t="str">
        <f>IFERROR(__xludf.DUMMYFUNCTION("""COMPUTED_VALUE"""),"8MP_JPG")</f>
        <v>8MP_JPG</v>
      </c>
      <c r="G427" s="26" t="str">
        <f>IFERROR(__xludf.DUMMYFUNCTION("""COMPUTED_VALUE"""),"WET_ROAD, SPECIAL_VEHICLE, GERMANY, EU_SR, CROSSWALK, RAIN, HIGHWAY_EXIT, DOT_BOTS, UNCATEGORIZED_EVENT, CLEAR, EUROPE, LANE_CHANGE, BRIDGE, TUNNEL, DAY")</f>
        <v>WET_ROAD, SPECIAL_VEHICLE, GERMANY, EU_SR, CROSSWALK, RAIN, HIGHWAY_EXIT, DOT_BOTS, UNCATEGORIZED_EVENT, CLEAR, EUROPE, LANE_CHANGE, BRIDGE, TUNNEL, DAY</v>
      </c>
      <c r="H427" s="26">
        <f>IFERROR(__xludf.DUMMYFUNCTION("""COMPUTED_VALUE"""),950.0)</f>
        <v>950</v>
      </c>
      <c r="I427" s="26">
        <f>IFERROR(__xludf.DUMMYFUNCTION("""COMPUTED_VALUE"""),1675.0)</f>
        <v>1675</v>
      </c>
      <c r="J427" s="26">
        <f>IFERROR(__xludf.DUMMYFUNCTION("""COMPUTED_VALUE"""),1585.0)</f>
        <v>1585</v>
      </c>
      <c r="K427" s="27" t="str">
        <f>IFERROR(__xludf.DUMMYFUNCTION("""COMPUTED_VALUE"""),"26/06/2024, 18:09:02")</f>
        <v>26/06/2024, 18:09:02</v>
      </c>
    </row>
    <row r="428">
      <c r="A428" s="18" t="str">
        <f>IFERROR(__xludf.DUMMYFUNCTION("""COMPUTED_VALUE"""),"654cd48554107825f77614aa")</f>
        <v>654cd48554107825f77614aa</v>
      </c>
      <c r="B428" s="15" t="str">
        <f>IFERROR(__xludf.DUMMYFUNCTION("""COMPUTED_VALUE"""),"_2023_06_21_11_28_35_dekra_munich_rain_day_highway2_od_test_batch_1_split_by_size_of_200_for_test_od_tagged")</f>
        <v>_2023_06_21_11_28_35_dekra_munich_rain_day_highway2_od_test_batch_1_split_by_size_of_200_for_test_od_tagged</v>
      </c>
      <c r="C428" s="15" t="str">
        <f>IFERROR(__xludf.DUMMYFUNCTION("""COMPUTED_VALUE"""),"test")</f>
        <v>test</v>
      </c>
      <c r="D428" s="15" t="str">
        <f>IFERROR(__xludf.DUMMYFUNCTION("""COMPUTED_VALUE"""),"test")</f>
        <v>test</v>
      </c>
      <c r="E428" s="15">
        <f>IFERROR(__xludf.DUMMYFUNCTION("""COMPUTED_VALUE"""),200.0)</f>
        <v>200</v>
      </c>
      <c r="F428" s="15" t="str">
        <f>IFERROR(__xludf.DUMMYFUNCTION("""COMPUTED_VALUE"""),"8MP_JPG")</f>
        <v>8MP_JPG</v>
      </c>
      <c r="G428" s="15" t="str">
        <f>IFERROR(__xludf.DUMMYFUNCTION("""COMPUTED_VALUE"""),"WET_ROAD, DAY, SPECIAL_VEHICLE, GERMANY, EU_SR, CROSSWALK, RAIN, DOT_BOTS, UNCATEGORIZED_EVENT, CLEAR, EUROPE, LANE_CHANGE, TUNNEL, HIGHWAY_EXIT")</f>
        <v>WET_ROAD, DAY, SPECIAL_VEHICLE, GERMANY, EU_SR, CROSSWALK, RAIN, DOT_BOTS, UNCATEGORIZED_EVENT, CLEAR, EUROPE, LANE_CHANGE, TUNNEL, HIGHWAY_EXIT</v>
      </c>
      <c r="H428" s="15">
        <f>IFERROR(__xludf.DUMMYFUNCTION("""COMPUTED_VALUE"""),950.0)</f>
        <v>950</v>
      </c>
      <c r="I428" s="15">
        <f>IFERROR(__xludf.DUMMYFUNCTION("""COMPUTED_VALUE"""),1675.0)</f>
        <v>1675</v>
      </c>
      <c r="J428" s="15">
        <f>IFERROR(__xludf.DUMMYFUNCTION("""COMPUTED_VALUE"""),1585.0)</f>
        <v>1585</v>
      </c>
      <c r="K428" s="16" t="str">
        <f>IFERROR(__xludf.DUMMYFUNCTION("""COMPUTED_VALUE"""),"26/06/2024, 18:09:04")</f>
        <v>26/06/2024, 18:09:04</v>
      </c>
    </row>
    <row r="429">
      <c r="A429" s="18" t="str">
        <f>IFERROR(__xludf.DUMMYFUNCTION("""COMPUTED_VALUE"""),"654cd48054107825f7760c87")</f>
        <v>654cd48054107825f7760c87</v>
      </c>
      <c r="B429" s="15" t="str">
        <f>IFERROR(__xludf.DUMMYFUNCTION("""COMPUTED_VALUE"""),"_2023_06_21_11_28_35_dekra_munich_rain_day_highway2_od_test_batch_2_split_by_size_of_200_for_test_od_tagged")</f>
        <v>_2023_06_21_11_28_35_dekra_munich_rain_day_highway2_od_test_batch_2_split_by_size_of_200_for_test_od_tagged</v>
      </c>
      <c r="C429" s="15" t="str">
        <f>IFERROR(__xludf.DUMMYFUNCTION("""COMPUTED_VALUE"""),"test")</f>
        <v>test</v>
      </c>
      <c r="D429" s="15" t="str">
        <f>IFERROR(__xludf.DUMMYFUNCTION("""COMPUTED_VALUE"""),"test")</f>
        <v>test</v>
      </c>
      <c r="E429" s="15">
        <f>IFERROR(__xludf.DUMMYFUNCTION("""COMPUTED_VALUE"""),200.0)</f>
        <v>200</v>
      </c>
      <c r="F429" s="15" t="str">
        <f>IFERROR(__xludf.DUMMYFUNCTION("""COMPUTED_VALUE"""),"8MP_JPG")</f>
        <v>8MP_JPG</v>
      </c>
      <c r="G429" s="15"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29" s="15">
        <f>IFERROR(__xludf.DUMMYFUNCTION("""COMPUTED_VALUE"""),950.0)</f>
        <v>950</v>
      </c>
      <c r="I429" s="15">
        <f>IFERROR(__xludf.DUMMYFUNCTION("""COMPUTED_VALUE"""),1675.0)</f>
        <v>1675</v>
      </c>
      <c r="J429" s="15">
        <f>IFERROR(__xludf.DUMMYFUNCTION("""COMPUTED_VALUE"""),1585.0)</f>
        <v>1585</v>
      </c>
      <c r="K429" s="16" t="str">
        <f>IFERROR(__xludf.DUMMYFUNCTION("""COMPUTED_VALUE"""),"26/06/2024, 18:09:06")</f>
        <v>26/06/2024, 18:09:06</v>
      </c>
    </row>
    <row r="430">
      <c r="A430" s="25" t="str">
        <f>IFERROR(__xludf.DUMMYFUNCTION("""COMPUTED_VALUE"""),"654cd47a54107825f77603c3")</f>
        <v>654cd47a54107825f77603c3</v>
      </c>
      <c r="B430" s="26" t="str">
        <f>IFERROR(__xludf.DUMMYFUNCTION("""COMPUTED_VALUE"""),"_2023_06_21_11_28_35_dekra_munich_rain_day_highway2_od_test_batch_3_split_by_size_of_200_for_test_od_tagged")</f>
        <v>_2023_06_21_11_28_35_dekra_munich_rain_day_highway2_od_test_batch_3_split_by_size_of_200_for_test_od_tagged</v>
      </c>
      <c r="C430" s="26" t="str">
        <f>IFERROR(__xludf.DUMMYFUNCTION("""COMPUTED_VALUE"""),"test")</f>
        <v>test</v>
      </c>
      <c r="D430" s="26" t="str">
        <f>IFERROR(__xludf.DUMMYFUNCTION("""COMPUTED_VALUE"""),"test")</f>
        <v>test</v>
      </c>
      <c r="E430" s="26">
        <f>IFERROR(__xludf.DUMMYFUNCTION("""COMPUTED_VALUE"""),199.0)</f>
        <v>199</v>
      </c>
      <c r="F430" s="26" t="str">
        <f>IFERROR(__xludf.DUMMYFUNCTION("""COMPUTED_VALUE"""),"8MP_JPG")</f>
        <v>8MP_JPG</v>
      </c>
      <c r="G430" s="26"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30" s="26">
        <f>IFERROR(__xludf.DUMMYFUNCTION("""COMPUTED_VALUE"""),950.0)</f>
        <v>950</v>
      </c>
      <c r="I430" s="26">
        <f>IFERROR(__xludf.DUMMYFUNCTION("""COMPUTED_VALUE"""),1675.0)</f>
        <v>1675</v>
      </c>
      <c r="J430" s="26">
        <f>IFERROR(__xludf.DUMMYFUNCTION("""COMPUTED_VALUE"""),1585.0)</f>
        <v>1585</v>
      </c>
      <c r="K430" s="27" t="str">
        <f>IFERROR(__xludf.DUMMYFUNCTION("""COMPUTED_VALUE"""),"26/06/2024, 18:09:09")</f>
        <v>26/06/2024, 18:09:09</v>
      </c>
    </row>
    <row r="431">
      <c r="A431" s="18" t="str">
        <f>IFERROR(__xludf.DUMMYFUNCTION("""COMPUTED_VALUE"""),"654cd47454107825f775ff6c")</f>
        <v>654cd47454107825f775ff6c</v>
      </c>
      <c r="B431" s="15" t="str">
        <f>IFERROR(__xludf.DUMMYFUNCTION("""COMPUTED_VALUE"""),"_2023_06_21_11_28_35_dekra_munich_rain_day_highway2_od_test_batch_4_split_by_size_of_200_for_test_od_tagged")</f>
        <v>_2023_06_21_11_28_35_dekra_munich_rain_day_highway2_od_test_batch_4_split_by_size_of_200_for_test_od_tagged</v>
      </c>
      <c r="C431" s="15" t="str">
        <f>IFERROR(__xludf.DUMMYFUNCTION("""COMPUTED_VALUE"""),"test")</f>
        <v>test</v>
      </c>
      <c r="D431" s="15" t="str">
        <f>IFERROR(__xludf.DUMMYFUNCTION("""COMPUTED_VALUE"""),"test")</f>
        <v>test</v>
      </c>
      <c r="E431" s="15">
        <f>IFERROR(__xludf.DUMMYFUNCTION("""COMPUTED_VALUE"""),199.0)</f>
        <v>199</v>
      </c>
      <c r="F431" s="15" t="str">
        <f>IFERROR(__xludf.DUMMYFUNCTION("""COMPUTED_VALUE"""),"8MP_JPG")</f>
        <v>8MP_JPG</v>
      </c>
      <c r="G431" s="15" t="str">
        <f>IFERROR(__xludf.DUMMYFUNCTION("""COMPUTED_VALUE"""),"WET_ROAD, SPECIAL_VEHICLE, GERMANY, EU_SR, CROSSWALK, RAIN, DOT_BOTS, HIGHWAY_EXIT, UNCATEGORIZED_EVENT, CLEAR, EUROPE, LANE_CHANGE, TUNNEL, DAY")</f>
        <v>WET_ROAD, SPECIAL_VEHICLE, GERMANY, EU_SR, CROSSWALK, RAIN, DOT_BOTS, HIGHWAY_EXIT, UNCATEGORIZED_EVENT, CLEAR, EUROPE, LANE_CHANGE, TUNNEL, DAY</v>
      </c>
      <c r="H431" s="15">
        <f>IFERROR(__xludf.DUMMYFUNCTION("""COMPUTED_VALUE"""),950.0)</f>
        <v>950</v>
      </c>
      <c r="I431" s="15">
        <f>IFERROR(__xludf.DUMMYFUNCTION("""COMPUTED_VALUE"""),1675.0)</f>
        <v>1675</v>
      </c>
      <c r="J431" s="15">
        <f>IFERROR(__xludf.DUMMYFUNCTION("""COMPUTED_VALUE"""),1585.0)</f>
        <v>1585</v>
      </c>
      <c r="K431" s="16" t="str">
        <f>IFERROR(__xludf.DUMMYFUNCTION("""COMPUTED_VALUE"""),"26/06/2024, 18:09:32")</f>
        <v>26/06/2024, 18:09:32</v>
      </c>
    </row>
    <row r="432">
      <c r="A432" s="18" t="str">
        <f>IFERROR(__xludf.DUMMYFUNCTION("""COMPUTED_VALUE"""),"654cd4bf54107825f7767d60")</f>
        <v>654cd4bf54107825f7767d60</v>
      </c>
      <c r="B432" s="15" t="str">
        <f>IFERROR(__xludf.DUMMYFUNCTION("""COMPUTED_VALUE"""),"_2023_08_16_17_02_13_dekra_moehringen_rain_day_skipped_6_batch_11_split_by_size_of_500_for_test_od_tagged")</f>
        <v>_2023_08_16_17_02_13_dekra_moehringen_rain_day_skipped_6_batch_11_split_by_size_of_500_for_test_od_tagged</v>
      </c>
      <c r="C432" s="15" t="str">
        <f>IFERROR(__xludf.DUMMYFUNCTION("""COMPUTED_VALUE"""),"test")</f>
        <v>test</v>
      </c>
      <c r="D432" s="15" t="str">
        <f>IFERROR(__xludf.DUMMYFUNCTION("""COMPUTED_VALUE"""),"test")</f>
        <v>test</v>
      </c>
      <c r="E432" s="15">
        <f>IFERROR(__xludf.DUMMYFUNCTION("""COMPUTED_VALUE"""),206.0)</f>
        <v>206</v>
      </c>
      <c r="F432" s="15" t="str">
        <f>IFERROR(__xludf.DUMMYFUNCTION("""COMPUTED_VALUE"""),"8MP_JPG")</f>
        <v>8MP_JPG</v>
      </c>
      <c r="G432" s="15"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32" s="15">
        <f>IFERROR(__xludf.DUMMYFUNCTION("""COMPUTED_VALUE"""),950.0)</f>
        <v>950</v>
      </c>
      <c r="I432" s="15">
        <f>IFERROR(__xludf.DUMMYFUNCTION("""COMPUTED_VALUE"""),1675.0)</f>
        <v>1675</v>
      </c>
      <c r="J432" s="15">
        <f>IFERROR(__xludf.DUMMYFUNCTION("""COMPUTED_VALUE"""),1585.0)</f>
        <v>1585</v>
      </c>
      <c r="K432" s="16" t="str">
        <f>IFERROR(__xludf.DUMMYFUNCTION("""COMPUTED_VALUE"""),"26/06/2024, 18:09:51")</f>
        <v>26/06/2024, 18:09:51</v>
      </c>
    </row>
    <row r="433">
      <c r="A433" s="25" t="str">
        <f>IFERROR(__xludf.DUMMYFUNCTION("""COMPUTED_VALUE"""),"654cd4b954107825f776742b")</f>
        <v>654cd4b954107825f776742b</v>
      </c>
      <c r="B433" s="26" t="str">
        <f>IFERROR(__xludf.DUMMYFUNCTION("""COMPUTED_VALUE"""),"_2023_08_16_17_02_13_dekra_moehringen_rain_day_skipped_6_batch_12_split_by_size_of_500_for_test_od_tagged")</f>
        <v>_2023_08_16_17_02_13_dekra_moehringen_rain_day_skipped_6_batch_12_split_by_size_of_500_for_test_od_tagged</v>
      </c>
      <c r="C433" s="26" t="str">
        <f>IFERROR(__xludf.DUMMYFUNCTION("""COMPUTED_VALUE"""),"test")</f>
        <v>test</v>
      </c>
      <c r="D433" s="26" t="str">
        <f>IFERROR(__xludf.DUMMYFUNCTION("""COMPUTED_VALUE"""),"test")</f>
        <v>test</v>
      </c>
      <c r="E433" s="26">
        <f>IFERROR(__xludf.DUMMYFUNCTION("""COMPUTED_VALUE"""),78.0)</f>
        <v>78</v>
      </c>
      <c r="F433" s="26" t="str">
        <f>IFERROR(__xludf.DUMMYFUNCTION("""COMPUTED_VALUE"""),"8MP_JPG")</f>
        <v>8MP_JPG</v>
      </c>
      <c r="G433" s="26"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33" s="26">
        <f>IFERROR(__xludf.DUMMYFUNCTION("""COMPUTED_VALUE"""),950.0)</f>
        <v>950</v>
      </c>
      <c r="I433" s="26">
        <f>IFERROR(__xludf.DUMMYFUNCTION("""COMPUTED_VALUE"""),1675.0)</f>
        <v>1675</v>
      </c>
      <c r="J433" s="26">
        <f>IFERROR(__xludf.DUMMYFUNCTION("""COMPUTED_VALUE"""),1585.0)</f>
        <v>1585</v>
      </c>
      <c r="K433" s="27" t="str">
        <f>IFERROR(__xludf.DUMMYFUNCTION("""COMPUTED_VALUE"""),"26/06/2024, 18:09:53")</f>
        <v>26/06/2024, 18:09:53</v>
      </c>
    </row>
    <row r="434">
      <c r="A434" s="18" t="str">
        <f>IFERROR(__xludf.DUMMYFUNCTION("""COMPUTED_VALUE"""),"654cd4b454107825f7766f70")</f>
        <v>654cd4b454107825f7766f70</v>
      </c>
      <c r="B434" s="15" t="str">
        <f>IFERROR(__xludf.DUMMYFUNCTION("""COMPUTED_VALUE"""),"_2023_08_16_17_02_13_dekra_moehringen_rain_day_skipped_6_batch_13_split_by_size_of_500_for_test_od_tagged")</f>
        <v>_2023_08_16_17_02_13_dekra_moehringen_rain_day_skipped_6_batch_13_split_by_size_of_500_for_test_od_tagged</v>
      </c>
      <c r="C434" s="15" t="str">
        <f>IFERROR(__xludf.DUMMYFUNCTION("""COMPUTED_VALUE"""),"test")</f>
        <v>test</v>
      </c>
      <c r="D434" s="15" t="str">
        <f>IFERROR(__xludf.DUMMYFUNCTION("""COMPUTED_VALUE"""),"test")</f>
        <v>test</v>
      </c>
      <c r="E434" s="15">
        <f>IFERROR(__xludf.DUMMYFUNCTION("""COMPUTED_VALUE"""),500.0)</f>
        <v>500</v>
      </c>
      <c r="F434" s="15" t="str">
        <f>IFERROR(__xludf.DUMMYFUNCTION("""COMPUTED_VALUE"""),"8MP_JPG")</f>
        <v>8MP_JPG</v>
      </c>
      <c r="G434" s="15"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34" s="15">
        <f>IFERROR(__xludf.DUMMYFUNCTION("""COMPUTED_VALUE"""),950.0)</f>
        <v>950</v>
      </c>
      <c r="I434" s="15">
        <f>IFERROR(__xludf.DUMMYFUNCTION("""COMPUTED_VALUE"""),1675.0)</f>
        <v>1675</v>
      </c>
      <c r="J434" s="15">
        <f>IFERROR(__xludf.DUMMYFUNCTION("""COMPUTED_VALUE"""),1585.0)</f>
        <v>1585</v>
      </c>
      <c r="K434" s="16" t="str">
        <f>IFERROR(__xludf.DUMMYFUNCTION("""COMPUTED_VALUE"""),"26/06/2024, 18:09:54")</f>
        <v>26/06/2024, 18:09:54</v>
      </c>
    </row>
    <row r="435">
      <c r="A435" s="25" t="str">
        <f>IFERROR(__xludf.DUMMYFUNCTION("""COMPUTED_VALUE"""),"654cd4ac54107825f776614e")</f>
        <v>654cd4ac54107825f776614e</v>
      </c>
      <c r="B435" s="26" t="str">
        <f>IFERROR(__xludf.DUMMYFUNCTION("""COMPUTED_VALUE"""),"_2023_08_16_17_02_13_dekra_moehringen_rain_day_skipped_6_batch_14_split_by_size_of_500_for_test_od_tagged")</f>
        <v>_2023_08_16_17_02_13_dekra_moehringen_rain_day_skipped_6_batch_14_split_by_size_of_500_for_test_od_tagged</v>
      </c>
      <c r="C435" s="26" t="str">
        <f>IFERROR(__xludf.DUMMYFUNCTION("""COMPUTED_VALUE"""),"test")</f>
        <v>test</v>
      </c>
      <c r="D435" s="26" t="str">
        <f>IFERROR(__xludf.DUMMYFUNCTION("""COMPUTED_VALUE"""),"test")</f>
        <v>test</v>
      </c>
      <c r="E435" s="26">
        <f>IFERROR(__xludf.DUMMYFUNCTION("""COMPUTED_VALUE"""),278.0)</f>
        <v>278</v>
      </c>
      <c r="F435" s="26" t="str">
        <f>IFERROR(__xludf.DUMMYFUNCTION("""COMPUTED_VALUE"""),"8MP_JPG")</f>
        <v>8MP_JPG</v>
      </c>
      <c r="G435" s="26" t="str">
        <f>IFERROR(__xludf.DUMMYFUNCTION("""COMPUTED_VALUE"""),"WET_ROAD, SPECIAL_VEHICLE, GERMANY, EU_SR, CROSSWALK, RAIN, DOT_BOTS, HIGHWAY_EXIT, UNCATEGORIZED_EVENT, CLEAR, EUROPE, LANE_CHANGE, TUNNEL, DAY")</f>
        <v>WET_ROAD, SPECIAL_VEHICLE, GERMANY, EU_SR, CROSSWALK, RAIN, DOT_BOTS, HIGHWAY_EXIT, UNCATEGORIZED_EVENT, CLEAR, EUROPE, LANE_CHANGE, TUNNEL, DAY</v>
      </c>
      <c r="H435" s="26">
        <f>IFERROR(__xludf.DUMMYFUNCTION("""COMPUTED_VALUE"""),950.0)</f>
        <v>950</v>
      </c>
      <c r="I435" s="26">
        <f>IFERROR(__xludf.DUMMYFUNCTION("""COMPUTED_VALUE"""),1675.0)</f>
        <v>1675</v>
      </c>
      <c r="J435" s="26">
        <f>IFERROR(__xludf.DUMMYFUNCTION("""COMPUTED_VALUE"""),1585.0)</f>
        <v>1585</v>
      </c>
      <c r="K435" s="27" t="str">
        <f>IFERROR(__xludf.DUMMYFUNCTION("""COMPUTED_VALUE"""),"26/06/2024, 18:09:56")</f>
        <v>26/06/2024, 18:09:56</v>
      </c>
    </row>
    <row r="436">
      <c r="A436" s="25" t="str">
        <f>IFERROR(__xludf.DUMMYFUNCTION("""COMPUTED_VALUE"""),"654cd4a454107825f77652fd")</f>
        <v>654cd4a454107825f77652fd</v>
      </c>
      <c r="B436" s="26" t="str">
        <f>IFERROR(__xludf.DUMMYFUNCTION("""COMPUTED_VALUE"""),"_2023_08_16_17_02_13_dekra_moehringen_rain_day_skipped_6_batch_15_split_by_size_of_500_for_test_od_tagged")</f>
        <v>_2023_08_16_17_02_13_dekra_moehringen_rain_day_skipped_6_batch_15_split_by_size_of_500_for_test_od_tagged</v>
      </c>
      <c r="C436" s="26" t="str">
        <f>IFERROR(__xludf.DUMMYFUNCTION("""COMPUTED_VALUE"""),"test")</f>
        <v>test</v>
      </c>
      <c r="D436" s="26" t="str">
        <f>IFERROR(__xludf.DUMMYFUNCTION("""COMPUTED_VALUE"""),"test")</f>
        <v>test</v>
      </c>
      <c r="E436" s="26">
        <f>IFERROR(__xludf.DUMMYFUNCTION("""COMPUTED_VALUE"""),495.0)</f>
        <v>495</v>
      </c>
      <c r="F436" s="26" t="str">
        <f>IFERROR(__xludf.DUMMYFUNCTION("""COMPUTED_VALUE"""),"8MP_JPG")</f>
        <v>8MP_JPG</v>
      </c>
      <c r="G436" s="26" t="str">
        <f>IFERROR(__xludf.DUMMYFUNCTION("""COMPUTED_VALUE"""),"WET_ROAD, SPECIAL_VEHICLE, GERMANY, EU_SR, CROSSWALK, RAIN, DOT_BOTS, HIGHWAY_EXIT, UNCATEGORIZED_EVENT, CLEAR, EUROPE, LANE_CHANGE, TUNNEL, DAY")</f>
        <v>WET_ROAD, SPECIAL_VEHICLE, GERMANY, EU_SR, CROSSWALK, RAIN, DOT_BOTS, HIGHWAY_EXIT, UNCATEGORIZED_EVENT, CLEAR, EUROPE, LANE_CHANGE, TUNNEL, DAY</v>
      </c>
      <c r="H436" s="26">
        <f>IFERROR(__xludf.DUMMYFUNCTION("""COMPUTED_VALUE"""),950.0)</f>
        <v>950</v>
      </c>
      <c r="I436" s="26">
        <f>IFERROR(__xludf.DUMMYFUNCTION("""COMPUTED_VALUE"""),1675.0)</f>
        <v>1675</v>
      </c>
      <c r="J436" s="26">
        <f>IFERROR(__xludf.DUMMYFUNCTION("""COMPUTED_VALUE"""),1585.0)</f>
        <v>1585</v>
      </c>
      <c r="K436" s="27" t="str">
        <f>IFERROR(__xludf.DUMMYFUNCTION("""COMPUTED_VALUE"""),"26/06/2024, 18:09:58")</f>
        <v>26/06/2024, 18:09:58</v>
      </c>
    </row>
    <row r="437">
      <c r="A437" s="25" t="str">
        <f>IFERROR(__xludf.DUMMYFUNCTION("""COMPUTED_VALUE"""),"654cd49b54107825f7763ae7")</f>
        <v>654cd49b54107825f7763ae7</v>
      </c>
      <c r="B437" s="26" t="str">
        <f>IFERROR(__xludf.DUMMYFUNCTION("""COMPUTED_VALUE"""),"_2023_08_16_17_02_13_dekra_moehringen_rain_day_skipped_6_batch_16_split_by_size_of_500_for_test_od_tagged")</f>
        <v>_2023_08_16_17_02_13_dekra_moehringen_rain_day_skipped_6_batch_16_split_by_size_of_500_for_test_od_tagged</v>
      </c>
      <c r="C437" s="26" t="str">
        <f>IFERROR(__xludf.DUMMYFUNCTION("""COMPUTED_VALUE"""),"test")</f>
        <v>test</v>
      </c>
      <c r="D437" s="26" t="str">
        <f>IFERROR(__xludf.DUMMYFUNCTION("""COMPUTED_VALUE"""),"test")</f>
        <v>test</v>
      </c>
      <c r="E437" s="26">
        <f>IFERROR(__xludf.DUMMYFUNCTION("""COMPUTED_VALUE"""),432.0)</f>
        <v>432</v>
      </c>
      <c r="F437" s="26" t="str">
        <f>IFERROR(__xludf.DUMMYFUNCTION("""COMPUTED_VALUE"""),"8MP_JPG")</f>
        <v>8MP_JPG</v>
      </c>
      <c r="G437" s="26" t="str">
        <f>IFERROR(__xludf.DUMMYFUNCTION("""COMPUTED_VALUE"""),"WET_ROAD, SPECIAL_VEHICLE, GERMANY, EU_SR, CROSSWALK, RAIN, DOT_BOTS, HIGHWAY_EXIT, UNCATEGORIZED_EVENT, CLEAR, EUROPE, LANE_CHANGE, TUNNEL, DAY")</f>
        <v>WET_ROAD, SPECIAL_VEHICLE, GERMANY, EU_SR, CROSSWALK, RAIN, DOT_BOTS, HIGHWAY_EXIT, UNCATEGORIZED_EVENT, CLEAR, EUROPE, LANE_CHANGE, TUNNEL, DAY</v>
      </c>
      <c r="H437" s="26">
        <f>IFERROR(__xludf.DUMMYFUNCTION("""COMPUTED_VALUE"""),950.0)</f>
        <v>950</v>
      </c>
      <c r="I437" s="26">
        <f>IFERROR(__xludf.DUMMYFUNCTION("""COMPUTED_VALUE"""),1675.0)</f>
        <v>1675</v>
      </c>
      <c r="J437" s="26">
        <f>IFERROR(__xludf.DUMMYFUNCTION("""COMPUTED_VALUE"""),1585.0)</f>
        <v>1585</v>
      </c>
      <c r="K437" s="27" t="str">
        <f>IFERROR(__xludf.DUMMYFUNCTION("""COMPUTED_VALUE"""),"26/06/2024, 18:10:01")</f>
        <v>26/06/2024, 18:10:01</v>
      </c>
    </row>
    <row r="438">
      <c r="A438" s="25" t="str">
        <f>IFERROR(__xludf.DUMMYFUNCTION("""COMPUTED_VALUE"""),"654cd49354107825f776309c")</f>
        <v>654cd49354107825f776309c</v>
      </c>
      <c r="B438" s="26" t="str">
        <f>IFERROR(__xludf.DUMMYFUNCTION("""COMPUTED_VALUE"""),"_2023_08_16_17_02_13_dekra_moehringen_rain_day_skipped_6_batch_19_split_by_size_of_500_for_test_od_tagged")</f>
        <v>_2023_08_16_17_02_13_dekra_moehringen_rain_day_skipped_6_batch_19_split_by_size_of_500_for_test_od_tagged</v>
      </c>
      <c r="C438" s="26" t="str">
        <f>IFERROR(__xludf.DUMMYFUNCTION("""COMPUTED_VALUE"""),"test")</f>
        <v>test</v>
      </c>
      <c r="D438" s="26" t="str">
        <f>IFERROR(__xludf.DUMMYFUNCTION("""COMPUTED_VALUE"""),"test")</f>
        <v>test</v>
      </c>
      <c r="E438" s="26">
        <f>IFERROR(__xludf.DUMMYFUNCTION("""COMPUTED_VALUE"""),500.0)</f>
        <v>500</v>
      </c>
      <c r="F438" s="26" t="str">
        <f>IFERROR(__xludf.DUMMYFUNCTION("""COMPUTED_VALUE"""),"8MP_JPG")</f>
        <v>8MP_JPG</v>
      </c>
      <c r="G438" s="26" t="str">
        <f>IFERROR(__xludf.DUMMYFUNCTION("""COMPUTED_VALUE"""),"WET_ROAD, SPECIAL_VEHICLE, GERMANY, EU_SR, CROSSWALK, RAIN, HIGHWAY_EXIT, DOT_BOTS, UNCATEGORIZED_EVENT, CLEAR, EUROPE, LANE_CHANGE, TUNNEL, DAY")</f>
        <v>WET_ROAD, SPECIAL_VEHICLE, GERMANY, EU_SR, CROSSWALK, RAIN, HIGHWAY_EXIT, DOT_BOTS, UNCATEGORIZED_EVENT, CLEAR, EUROPE, LANE_CHANGE, TUNNEL, DAY</v>
      </c>
      <c r="H438" s="26">
        <f>IFERROR(__xludf.DUMMYFUNCTION("""COMPUTED_VALUE"""),950.0)</f>
        <v>950</v>
      </c>
      <c r="I438" s="26">
        <f>IFERROR(__xludf.DUMMYFUNCTION("""COMPUTED_VALUE"""),1675.0)</f>
        <v>1675</v>
      </c>
      <c r="J438" s="26">
        <f>IFERROR(__xludf.DUMMYFUNCTION("""COMPUTED_VALUE"""),1585.0)</f>
        <v>1585</v>
      </c>
      <c r="K438" s="27" t="str">
        <f>IFERROR(__xludf.DUMMYFUNCTION("""COMPUTED_VALUE"""),"26/06/2024, 18:10:03")</f>
        <v>26/06/2024, 18:10:03</v>
      </c>
    </row>
    <row r="439">
      <c r="A439" s="18" t="str">
        <f>IFERROR(__xludf.DUMMYFUNCTION("""COMPUTED_VALUE"""),"654cd46e54107825f775f6a0")</f>
        <v>654cd46e54107825f775f6a0</v>
      </c>
      <c r="B439" s="15" t="str">
        <f>IFERROR(__xludf.DUMMYFUNCTION("""COMPUTED_VALUE"""),"_2023_06_21_11_28_35_dekra_munich_rain_day_highway2_od_test_batch_5_split_by_size_of_200_for_test_od_tagged")</f>
        <v>_2023_06_21_11_28_35_dekra_munich_rain_day_highway2_od_test_batch_5_split_by_size_of_200_for_test_od_tagged</v>
      </c>
      <c r="C439" s="15" t="str">
        <f>IFERROR(__xludf.DUMMYFUNCTION("""COMPUTED_VALUE"""),"test")</f>
        <v>test</v>
      </c>
      <c r="D439" s="15" t="str">
        <f>IFERROR(__xludf.DUMMYFUNCTION("""COMPUTED_VALUE"""),"test")</f>
        <v>test</v>
      </c>
      <c r="E439" s="15">
        <f>IFERROR(__xludf.DUMMYFUNCTION("""COMPUTED_VALUE"""),200.0)</f>
        <v>200</v>
      </c>
      <c r="F439" s="15" t="str">
        <f>IFERROR(__xludf.DUMMYFUNCTION("""COMPUTED_VALUE"""),"8MP_JPG")</f>
        <v>8MP_JPG</v>
      </c>
      <c r="G439" s="15" t="str">
        <f>IFERROR(__xludf.DUMMYFUNCTION("""COMPUTED_VALUE"""),"WET_ROAD, DAY, SPECIAL_VEHICLE, GERMANY, EU_SR, CROSSWALK, RAIN, DOT_BOTS, UNCATEGORIZED_EVENT, CLEAR, EUROPE, LANE_CHANGE, TUNNEL, HIGHWAY_EXIT")</f>
        <v>WET_ROAD, DAY, SPECIAL_VEHICLE, GERMANY, EU_SR, CROSSWALK, RAIN, DOT_BOTS, UNCATEGORIZED_EVENT, CLEAR, EUROPE, LANE_CHANGE, TUNNEL, HIGHWAY_EXIT</v>
      </c>
      <c r="H439" s="15">
        <f>IFERROR(__xludf.DUMMYFUNCTION("""COMPUTED_VALUE"""),950.0)</f>
        <v>950</v>
      </c>
      <c r="I439" s="15">
        <f>IFERROR(__xludf.DUMMYFUNCTION("""COMPUTED_VALUE"""),1675.0)</f>
        <v>1675</v>
      </c>
      <c r="J439" s="15">
        <f>IFERROR(__xludf.DUMMYFUNCTION("""COMPUTED_VALUE"""),1585.0)</f>
        <v>1585</v>
      </c>
      <c r="K439" s="16" t="str">
        <f>IFERROR(__xludf.DUMMYFUNCTION("""COMPUTED_VALUE"""),"26/06/2024, 18:10:06")</f>
        <v>26/06/2024, 18:10:06</v>
      </c>
    </row>
    <row r="440">
      <c r="A440" s="18" t="str">
        <f>IFERROR(__xludf.DUMMYFUNCTION("""COMPUTED_VALUE"""),"6668415b06e1a3626922d922")</f>
        <v>6668415b06e1a3626922d922</v>
      </c>
      <c r="B440" s="15" t="str">
        <f>IFERROR(__xludf.DUMMYFUNCTION("""COMPUTED_VALUE"""),"israel_drive_imx728_isp_v4_yellow_images_extracted_manually_to_tag_batch_6_each_100")</f>
        <v>israel_drive_imx728_isp_v4_yellow_images_extracted_manually_to_tag_batch_6_each_100</v>
      </c>
      <c r="C440" s="15" t="str">
        <f>IFERROR(__xludf.DUMMYFUNCTION("""COMPUTED_VALUE"""),"test")</f>
        <v>test</v>
      </c>
      <c r="D440" s="15" t="str">
        <f>IFERROR(__xludf.DUMMYFUNCTION("""COMPUTED_VALUE"""),"test")</f>
        <v>test</v>
      </c>
      <c r="E440" s="15">
        <f>IFERROR(__xludf.DUMMYFUNCTION("""COMPUTED_VALUE"""),4.0)</f>
        <v>4</v>
      </c>
      <c r="F440" s="15" t="str">
        <f>IFERROR(__xludf.DUMMYFUNCTION("""COMPUTED_VALUE"""),"8MP_JPG")</f>
        <v>8MP_JPG</v>
      </c>
      <c r="G440" s="15" t="str">
        <f>IFERROR(__xludf.DUMMYFUNCTION("""COMPUTED_VALUE"""),"CLEAR, DAY, ISRAEL")</f>
        <v>CLEAR, DAY, ISRAEL</v>
      </c>
      <c r="H440" s="15">
        <f>IFERROR(__xludf.DUMMYFUNCTION("""COMPUTED_VALUE"""),-1.0)</f>
        <v>-1</v>
      </c>
      <c r="I440" s="15">
        <f>IFERROR(__xludf.DUMMYFUNCTION("""COMPUTED_VALUE"""),-1.0)</f>
        <v>-1</v>
      </c>
      <c r="J440" s="15">
        <f>IFERROR(__xludf.DUMMYFUNCTION("""COMPUTED_VALUE"""),-1.0)</f>
        <v>-1</v>
      </c>
      <c r="K440" s="16" t="str">
        <f>IFERROR(__xludf.DUMMYFUNCTION("""COMPUTED_VALUE"""),"26/06/2024, 18:27:36")</f>
        <v>26/06/2024, 18:27:36</v>
      </c>
    </row>
    <row r="441">
      <c r="A441" s="18" t="str">
        <f>IFERROR(__xludf.DUMMYFUNCTION("""COMPUTED_VALUE"""),"6668415406e1a3626922d921")</f>
        <v>6668415406e1a3626922d921</v>
      </c>
      <c r="B441" s="15" t="str">
        <f>IFERROR(__xludf.DUMMYFUNCTION("""COMPUTED_VALUE"""),"israel_drive_imx728_isp_v4_yellow_images_extracted_manually_to_tag_batch_5_each_100")</f>
        <v>israel_drive_imx728_isp_v4_yellow_images_extracted_manually_to_tag_batch_5_each_100</v>
      </c>
      <c r="C441" s="15" t="str">
        <f>IFERROR(__xludf.DUMMYFUNCTION("""COMPUTED_VALUE"""),"test")</f>
        <v>test</v>
      </c>
      <c r="D441" s="15" t="str">
        <f>IFERROR(__xludf.DUMMYFUNCTION("""COMPUTED_VALUE"""),"test")</f>
        <v>test</v>
      </c>
      <c r="E441" s="15">
        <f>IFERROR(__xludf.DUMMYFUNCTION("""COMPUTED_VALUE"""),100.0)</f>
        <v>100</v>
      </c>
      <c r="F441" s="15" t="str">
        <f>IFERROR(__xludf.DUMMYFUNCTION("""COMPUTED_VALUE"""),"8MP_JPG")</f>
        <v>8MP_JPG</v>
      </c>
      <c r="G441" s="15" t="str">
        <f>IFERROR(__xludf.DUMMYFUNCTION("""COMPUTED_VALUE"""),"DAY, CLEAR, ISRAEL")</f>
        <v>DAY, CLEAR, ISRAEL</v>
      </c>
      <c r="H441" s="15">
        <f>IFERROR(__xludf.DUMMYFUNCTION("""COMPUTED_VALUE"""),-1.0)</f>
        <v>-1</v>
      </c>
      <c r="I441" s="15">
        <f>IFERROR(__xludf.DUMMYFUNCTION("""COMPUTED_VALUE"""),-1.0)</f>
        <v>-1</v>
      </c>
      <c r="J441" s="15">
        <f>IFERROR(__xludf.DUMMYFUNCTION("""COMPUTED_VALUE"""),-1.0)</f>
        <v>-1</v>
      </c>
      <c r="K441" s="16" t="str">
        <f>IFERROR(__xludf.DUMMYFUNCTION("""COMPUTED_VALUE"""),"26/06/2024, 18:37:41")</f>
        <v>26/06/2024, 18:37:41</v>
      </c>
    </row>
    <row r="442">
      <c r="A442" s="25" t="str">
        <f>IFERROR(__xludf.DUMMYFUNCTION("""COMPUTED_VALUE"""),"6668414c06e1a3626922d920")</f>
        <v>6668414c06e1a3626922d920</v>
      </c>
      <c r="B442" s="26" t="str">
        <f>IFERROR(__xludf.DUMMYFUNCTION("""COMPUTED_VALUE"""),"israel_drive_imx728_isp_v4_yellow_images_extracted_manually_to_tag_batch_4_each_100")</f>
        <v>israel_drive_imx728_isp_v4_yellow_images_extracted_manually_to_tag_batch_4_each_100</v>
      </c>
      <c r="C442" s="26" t="str">
        <f>IFERROR(__xludf.DUMMYFUNCTION("""COMPUTED_VALUE"""),"test")</f>
        <v>test</v>
      </c>
      <c r="D442" s="26" t="str">
        <f>IFERROR(__xludf.DUMMYFUNCTION("""COMPUTED_VALUE"""),"test")</f>
        <v>test</v>
      </c>
      <c r="E442" s="26">
        <f>IFERROR(__xludf.DUMMYFUNCTION("""COMPUTED_VALUE"""),100.0)</f>
        <v>100</v>
      </c>
      <c r="F442" s="26" t="str">
        <f>IFERROR(__xludf.DUMMYFUNCTION("""COMPUTED_VALUE"""),"8MP_JPG")</f>
        <v>8MP_JPG</v>
      </c>
      <c r="G442" s="26" t="str">
        <f>IFERROR(__xludf.DUMMYFUNCTION("""COMPUTED_VALUE"""),"DAY, CLEAR, ISRAEL")</f>
        <v>DAY, CLEAR, ISRAEL</v>
      </c>
      <c r="H442" s="26">
        <f>IFERROR(__xludf.DUMMYFUNCTION("""COMPUTED_VALUE"""),-1.0)</f>
        <v>-1</v>
      </c>
      <c r="I442" s="26">
        <f>IFERROR(__xludf.DUMMYFUNCTION("""COMPUTED_VALUE"""),-1.0)</f>
        <v>-1</v>
      </c>
      <c r="J442" s="26">
        <f>IFERROR(__xludf.DUMMYFUNCTION("""COMPUTED_VALUE"""),-1.0)</f>
        <v>-1</v>
      </c>
      <c r="K442" s="27" t="str">
        <f>IFERROR(__xludf.DUMMYFUNCTION("""COMPUTED_VALUE"""),"26/06/2024, 18:37:52")</f>
        <v>26/06/2024, 18:37:52</v>
      </c>
    </row>
    <row r="443">
      <c r="A443" s="18" t="str">
        <f>IFERROR(__xludf.DUMMYFUNCTION("""COMPUTED_VALUE"""),"6668414506e1a3626922d91e")</f>
        <v>6668414506e1a3626922d91e</v>
      </c>
      <c r="B443" s="15" t="str">
        <f>IFERROR(__xludf.DUMMYFUNCTION("""COMPUTED_VALUE"""),"israel_drive_imx728_isp_v4_yellow_images_extracted_manually_to_tag_batch_2_each_100")</f>
        <v>israel_drive_imx728_isp_v4_yellow_images_extracted_manually_to_tag_batch_2_each_100</v>
      </c>
      <c r="C443" s="15" t="str">
        <f>IFERROR(__xludf.DUMMYFUNCTION("""COMPUTED_VALUE"""),"test")</f>
        <v>test</v>
      </c>
      <c r="D443" s="15" t="str">
        <f>IFERROR(__xludf.DUMMYFUNCTION("""COMPUTED_VALUE"""),"test")</f>
        <v>test</v>
      </c>
      <c r="E443" s="15">
        <f>IFERROR(__xludf.DUMMYFUNCTION("""COMPUTED_VALUE"""),100.0)</f>
        <v>100</v>
      </c>
      <c r="F443" s="15" t="str">
        <f>IFERROR(__xludf.DUMMYFUNCTION("""COMPUTED_VALUE"""),"8MP_JPG")</f>
        <v>8MP_JPG</v>
      </c>
      <c r="G443" s="15" t="str">
        <f>IFERROR(__xludf.DUMMYFUNCTION("""COMPUTED_VALUE"""),"DAY, CLEAR, ISRAEL")</f>
        <v>DAY, CLEAR, ISRAEL</v>
      </c>
      <c r="H443" s="15">
        <f>IFERROR(__xludf.DUMMYFUNCTION("""COMPUTED_VALUE"""),-1.0)</f>
        <v>-1</v>
      </c>
      <c r="I443" s="15">
        <f>IFERROR(__xludf.DUMMYFUNCTION("""COMPUTED_VALUE"""),-1.0)</f>
        <v>-1</v>
      </c>
      <c r="J443" s="15">
        <f>IFERROR(__xludf.DUMMYFUNCTION("""COMPUTED_VALUE"""),-1.0)</f>
        <v>-1</v>
      </c>
      <c r="K443" s="16" t="str">
        <f>IFERROR(__xludf.DUMMYFUNCTION("""COMPUTED_VALUE"""),"26/06/2024, 18:38:04")</f>
        <v>26/06/2024, 18:38:04</v>
      </c>
    </row>
    <row r="444">
      <c r="A444" s="25" t="str">
        <f>IFERROR(__xludf.DUMMYFUNCTION("""COMPUTED_VALUE"""),"6668413206e1a3626922d91d")</f>
        <v>6668413206e1a3626922d91d</v>
      </c>
      <c r="B444" s="26" t="str">
        <f>IFERROR(__xludf.DUMMYFUNCTION("""COMPUTED_VALUE"""),"israel_drive_imx728_isp_v4_yellow_images_extracted_manually_to_tag_batch_1_each_100")</f>
        <v>israel_drive_imx728_isp_v4_yellow_images_extracted_manually_to_tag_batch_1_each_100</v>
      </c>
      <c r="C444" s="26" t="str">
        <f>IFERROR(__xludf.DUMMYFUNCTION("""COMPUTED_VALUE"""),"test")</f>
        <v>test</v>
      </c>
      <c r="D444" s="26" t="str">
        <f>IFERROR(__xludf.DUMMYFUNCTION("""COMPUTED_VALUE"""),"test")</f>
        <v>test</v>
      </c>
      <c r="E444" s="26">
        <f>IFERROR(__xludf.DUMMYFUNCTION("""COMPUTED_VALUE"""),100.0)</f>
        <v>100</v>
      </c>
      <c r="F444" s="26" t="str">
        <f>IFERROR(__xludf.DUMMYFUNCTION("""COMPUTED_VALUE"""),"8MP_JPG")</f>
        <v>8MP_JPG</v>
      </c>
      <c r="G444" s="26" t="str">
        <f>IFERROR(__xludf.DUMMYFUNCTION("""COMPUTED_VALUE"""),"DAY, CLEAR, ISRAEL")</f>
        <v>DAY, CLEAR, ISRAEL</v>
      </c>
      <c r="H444" s="26">
        <f>IFERROR(__xludf.DUMMYFUNCTION("""COMPUTED_VALUE"""),-1.0)</f>
        <v>-1</v>
      </c>
      <c r="I444" s="26">
        <f>IFERROR(__xludf.DUMMYFUNCTION("""COMPUTED_VALUE"""),-1.0)</f>
        <v>-1</v>
      </c>
      <c r="J444" s="26">
        <f>IFERROR(__xludf.DUMMYFUNCTION("""COMPUTED_VALUE"""),-1.0)</f>
        <v>-1</v>
      </c>
      <c r="K444" s="27" t="str">
        <f>IFERROR(__xludf.DUMMYFUNCTION("""COMPUTED_VALUE"""),"26/06/2024, 18:38:16")</f>
        <v>26/06/2024, 18:38:16</v>
      </c>
    </row>
    <row r="445">
      <c r="A445" s="18" t="str">
        <f>IFERROR(__xludf.DUMMYFUNCTION("""COMPUTED_VALUE"""),"6668412c06e1a3626922d91c")</f>
        <v>6668412c06e1a3626922d91c</v>
      </c>
      <c r="B445" s="15" t="str">
        <f>IFERROR(__xludf.DUMMYFUNCTION("""COMPUTED_VALUE"""),"israel_drive_imx728_isp_v4_yellow_images_extracted_manually_to_tag_batch_0_each_100")</f>
        <v>israel_drive_imx728_isp_v4_yellow_images_extracted_manually_to_tag_batch_0_each_100</v>
      </c>
      <c r="C445" s="15" t="str">
        <f>IFERROR(__xludf.DUMMYFUNCTION("""COMPUTED_VALUE"""),"test")</f>
        <v>test</v>
      </c>
      <c r="D445" s="15" t="str">
        <f>IFERROR(__xludf.DUMMYFUNCTION("""COMPUTED_VALUE"""),"test")</f>
        <v>test</v>
      </c>
      <c r="E445" s="15">
        <f>IFERROR(__xludf.DUMMYFUNCTION("""COMPUTED_VALUE"""),100.0)</f>
        <v>100</v>
      </c>
      <c r="F445" s="15" t="str">
        <f>IFERROR(__xludf.DUMMYFUNCTION("""COMPUTED_VALUE"""),"8MP_JPG")</f>
        <v>8MP_JPG</v>
      </c>
      <c r="G445" s="15" t="str">
        <f>IFERROR(__xludf.DUMMYFUNCTION("""COMPUTED_VALUE"""),"DAY, CLEAR, ISRAEL")</f>
        <v>DAY, CLEAR, ISRAEL</v>
      </c>
      <c r="H445" s="15">
        <f>IFERROR(__xludf.DUMMYFUNCTION("""COMPUTED_VALUE"""),-1.0)</f>
        <v>-1</v>
      </c>
      <c r="I445" s="15">
        <f>IFERROR(__xludf.DUMMYFUNCTION("""COMPUTED_VALUE"""),-1.0)</f>
        <v>-1</v>
      </c>
      <c r="J445" s="15">
        <f>IFERROR(__xludf.DUMMYFUNCTION("""COMPUTED_VALUE"""),-1.0)</f>
        <v>-1</v>
      </c>
      <c r="K445" s="16" t="str">
        <f>IFERROR(__xludf.DUMMYFUNCTION("""COMPUTED_VALUE"""),"26/06/2024, 18:38:28")</f>
        <v>26/06/2024, 18:38:28</v>
      </c>
    </row>
    <row r="446">
      <c r="A446" s="18" t="str">
        <f>IFERROR(__xludf.DUMMYFUNCTION("""COMPUTED_VALUE"""),"6668414906e1a3626922d91f")</f>
        <v>6668414906e1a3626922d91f</v>
      </c>
      <c r="B446" s="15" t="str">
        <f>IFERROR(__xludf.DUMMYFUNCTION("""COMPUTED_VALUE"""),"israel_drive_imx728_isp_v4_yellow_images_extracted_manually_to_tag_batch_3_each_100")</f>
        <v>israel_drive_imx728_isp_v4_yellow_images_extracted_manually_to_tag_batch_3_each_100</v>
      </c>
      <c r="C446" s="15" t="str">
        <f>IFERROR(__xludf.DUMMYFUNCTION("""COMPUTED_VALUE"""),"test")</f>
        <v>test</v>
      </c>
      <c r="D446" s="15" t="str">
        <f>IFERROR(__xludf.DUMMYFUNCTION("""COMPUTED_VALUE"""),"test")</f>
        <v>test</v>
      </c>
      <c r="E446" s="15">
        <f>IFERROR(__xludf.DUMMYFUNCTION("""COMPUTED_VALUE"""),100.0)</f>
        <v>100</v>
      </c>
      <c r="F446" s="15" t="str">
        <f>IFERROR(__xludf.DUMMYFUNCTION("""COMPUTED_VALUE"""),"8MP_JPG")</f>
        <v>8MP_JPG</v>
      </c>
      <c r="G446" s="15" t="str">
        <f>IFERROR(__xludf.DUMMYFUNCTION("""COMPUTED_VALUE"""),"ISRAEL, DAY, CLEAR")</f>
        <v>ISRAEL, DAY, CLEAR</v>
      </c>
      <c r="H446" s="15">
        <f>IFERROR(__xludf.DUMMYFUNCTION("""COMPUTED_VALUE"""),-1.0)</f>
        <v>-1</v>
      </c>
      <c r="I446" s="15">
        <f>IFERROR(__xludf.DUMMYFUNCTION("""COMPUTED_VALUE"""),-1.0)</f>
        <v>-1</v>
      </c>
      <c r="J446" s="15">
        <f>IFERROR(__xludf.DUMMYFUNCTION("""COMPUTED_VALUE"""),-1.0)</f>
        <v>-1</v>
      </c>
      <c r="K446" s="16" t="str">
        <f>IFERROR(__xludf.DUMMYFUNCTION("""COMPUTED_VALUE"""),"26/06/2024, 18:41:33")</f>
        <v>26/06/2024, 18:41:33</v>
      </c>
    </row>
    <row r="447">
      <c r="A447" s="18" t="str">
        <f>IFERROR(__xludf.DUMMYFUNCTION("""COMPUTED_VALUE"""),"62e8d79f07d51f12277bce72")</f>
        <v>62e8d79f07d51f12277bce72</v>
      </c>
      <c r="B447" s="15" t="str">
        <f>IFERROR(__xludf.DUMMYFUNCTION("""COMPUTED_VALUE"""),"youtube_germany_tagged_amba_new")</f>
        <v>youtube_germany_tagged_amba_new</v>
      </c>
      <c r="C447" s="15" t="str">
        <f>IFERROR(__xludf.DUMMYFUNCTION("""COMPUTED_VALUE"""),"train")</f>
        <v>train</v>
      </c>
      <c r="D447" s="15" t="str">
        <f>IFERROR(__xludf.DUMMYFUNCTION("""COMPUTED_VALUE"""),"train")</f>
        <v>train</v>
      </c>
      <c r="E447" s="15">
        <f>IFERROR(__xludf.DUMMYFUNCTION("""COMPUTED_VALUE"""),411.0)</f>
        <v>411</v>
      </c>
      <c r="F447" s="15" t="str">
        <f>IFERROR(__xludf.DUMMYFUNCTION("""COMPUTED_VALUE"""),"AMBARELLA_3840_1920")</f>
        <v>AMBARELLA_3840_1920</v>
      </c>
      <c r="G447" s="15" t="str">
        <f>IFERROR(__xludf.DUMMYFUNCTION("""COMPUTED_VALUE"""),"DAY")</f>
        <v>DAY</v>
      </c>
      <c r="H447" s="15">
        <f>IFERROR(__xludf.DUMMYFUNCTION("""COMPUTED_VALUE"""),950.0)</f>
        <v>950</v>
      </c>
      <c r="I447" s="15">
        <f>IFERROR(__xludf.DUMMYFUNCTION("""COMPUTED_VALUE"""),1675.0)</f>
        <v>1675</v>
      </c>
      <c r="J447" s="15">
        <f>IFERROR(__xludf.DUMMYFUNCTION("""COMPUTED_VALUE"""),1585.0)</f>
        <v>1585</v>
      </c>
      <c r="K447" s="16" t="str">
        <f>IFERROR(__xludf.DUMMYFUNCTION("""COMPUTED_VALUE"""),"26/06/2024, 19:01:02")</f>
        <v>26/06/2024, 19:01:02</v>
      </c>
    </row>
    <row r="448">
      <c r="A448" s="18" t="str">
        <f>IFERROR(__xludf.DUMMYFUNCTION("""COMPUTED_VALUE"""),"65f7267979512c347d587872")</f>
        <v>65f7267979512c347d587872</v>
      </c>
      <c r="B448" s="15" t="str">
        <f>IFERROR(__xludf.DUMMYFUNCTION("""COMPUTED_VALUE"""),"uninspired_coeur_dalene_chosen_to_tag_every_3_images_to_tag")</f>
        <v>uninspired_coeur_dalene_chosen_to_tag_every_3_images_to_tag</v>
      </c>
      <c r="C448" s="15" t="str">
        <f>IFERROR(__xludf.DUMMYFUNCTION("""COMPUTED_VALUE"""),"train")</f>
        <v>train</v>
      </c>
      <c r="D448" s="15" t="str">
        <f>IFERROR(__xludf.DUMMYFUNCTION("""COMPUTED_VALUE"""),"train")</f>
        <v>train</v>
      </c>
      <c r="E448" s="15">
        <f>IFERROR(__xludf.DUMMYFUNCTION("""COMPUTED_VALUE"""),92.0)</f>
        <v>92</v>
      </c>
      <c r="F448" s="15" t="str">
        <f>IFERROR(__xludf.DUMMYFUNCTION("""COMPUTED_VALUE"""),"8MP_JPG")</f>
        <v>8MP_JPG</v>
      </c>
      <c r="G448" s="15" t="str">
        <f>IFERROR(__xludf.DUMMYFUNCTION("""COMPUTED_VALUE"""),"TEL_AVIV, DAY, CLEAR, ISRAEL, ARROWS, WET_ROAD")</f>
        <v>TEL_AVIV, DAY, CLEAR, ISRAEL, ARROWS, WET_ROAD</v>
      </c>
      <c r="H448" s="15">
        <f>IFERROR(__xludf.DUMMYFUNCTION("""COMPUTED_VALUE"""),-1.0)</f>
        <v>-1</v>
      </c>
      <c r="I448" s="15">
        <f>IFERROR(__xludf.DUMMYFUNCTION("""COMPUTED_VALUE"""),-1.0)</f>
        <v>-1</v>
      </c>
      <c r="J448" s="15">
        <f>IFERROR(__xludf.DUMMYFUNCTION("""COMPUTED_VALUE"""),-1.0)</f>
        <v>-1</v>
      </c>
      <c r="K448" s="28">
        <f>IFERROR(__xludf.DUMMYFUNCTION("""COMPUTED_VALUE"""),45329.64844907408)</f>
        <v>45329.64845</v>
      </c>
    </row>
    <row r="449">
      <c r="A449" s="18" t="str">
        <f>IFERROR(__xludf.DUMMYFUNCTION("""COMPUTED_VALUE"""),"65ed7ba679512c347d50791a")</f>
        <v>65ed7ba679512c347d50791a</v>
      </c>
      <c r="B449" s="15" t="str">
        <f>IFERROR(__xludf.DUMMYFUNCTION("""COMPUTED_VALUE"""),"_thankful_lincoln_park_chosen_to_tag_every_3_images_to_tag")</f>
        <v>_thankful_lincoln_park_chosen_to_tag_every_3_images_to_tag</v>
      </c>
      <c r="C449" s="15" t="str">
        <f>IFERROR(__xludf.DUMMYFUNCTION("""COMPUTED_VALUE"""),"train")</f>
        <v>train</v>
      </c>
      <c r="D449" s="15" t="str">
        <f>IFERROR(__xludf.DUMMYFUNCTION("""COMPUTED_VALUE"""),"train")</f>
        <v>train</v>
      </c>
      <c r="E449" s="15">
        <f>IFERROR(__xludf.DUMMYFUNCTION("""COMPUTED_VALUE"""),155.0)</f>
        <v>155</v>
      </c>
      <c r="F449" s="15" t="str">
        <f>IFERROR(__xludf.DUMMYFUNCTION("""COMPUTED_VALUE"""),"8MP_JPG")</f>
        <v>8MP_JPG</v>
      </c>
      <c r="G449" s="15" t="str">
        <f>IFERROR(__xludf.DUMMYFUNCTION("""COMPUTED_VALUE"""),"TEL_AVIV, DAY, CLEAR, ISRAEL, ARROWS")</f>
        <v>TEL_AVIV, DAY, CLEAR, ISRAEL, ARROWS</v>
      </c>
      <c r="H449" s="15">
        <f>IFERROR(__xludf.DUMMYFUNCTION("""COMPUTED_VALUE"""),-1.0)</f>
        <v>-1</v>
      </c>
      <c r="I449" s="15">
        <f>IFERROR(__xludf.DUMMYFUNCTION("""COMPUTED_VALUE"""),-1.0)</f>
        <v>-1</v>
      </c>
      <c r="J449" s="15">
        <f>IFERROR(__xludf.DUMMYFUNCTION("""COMPUTED_VALUE"""),-1.0)</f>
        <v>-1</v>
      </c>
      <c r="K449" s="28">
        <f>IFERROR(__xludf.DUMMYFUNCTION("""COMPUTED_VALUE"""),45329.64849537037)</f>
        <v>45329.6485</v>
      </c>
    </row>
    <row r="450">
      <c r="A450" s="18" t="str">
        <f>IFERROR(__xludf.DUMMYFUNCTION("""COMPUTED_VALUE"""),"65ed7ba579512c347d507918")</f>
        <v>65ed7ba579512c347d507918</v>
      </c>
      <c r="B450" s="15" t="str">
        <f>IFERROR(__xludf.DUMMYFUNCTION("""COMPUTED_VALUE"""),"_tangy_fitchburg_chosen_to_tag_every_3_images_to_tag_batch_0_each_300")</f>
        <v>_tangy_fitchburg_chosen_to_tag_every_3_images_to_tag_batch_0_each_300</v>
      </c>
      <c r="C450" s="15" t="str">
        <f>IFERROR(__xludf.DUMMYFUNCTION("""COMPUTED_VALUE"""),"train")</f>
        <v>train</v>
      </c>
      <c r="D450" s="15" t="str">
        <f>IFERROR(__xludf.DUMMYFUNCTION("""COMPUTED_VALUE"""),"train")</f>
        <v>train</v>
      </c>
      <c r="E450" s="15">
        <f>IFERROR(__xludf.DUMMYFUNCTION("""COMPUTED_VALUE"""),300.0)</f>
        <v>300</v>
      </c>
      <c r="F450" s="15" t="str">
        <f>IFERROR(__xludf.DUMMYFUNCTION("""COMPUTED_VALUE"""),"8MP_JPG")</f>
        <v>8MP_JPG</v>
      </c>
      <c r="G450" s="15" t="str">
        <f>IFERROR(__xludf.DUMMYFUNCTION("""COMPUTED_VALUE"""),"TEL_AVIV, DAY, CLEAR, ISRAEL, ARROWS")</f>
        <v>TEL_AVIV, DAY, CLEAR, ISRAEL, ARROWS</v>
      </c>
      <c r="H450" s="15">
        <f>IFERROR(__xludf.DUMMYFUNCTION("""COMPUTED_VALUE"""),-1.0)</f>
        <v>-1</v>
      </c>
      <c r="I450" s="15">
        <f>IFERROR(__xludf.DUMMYFUNCTION("""COMPUTED_VALUE"""),-1.0)</f>
        <v>-1</v>
      </c>
      <c r="J450" s="15">
        <f>IFERROR(__xludf.DUMMYFUNCTION("""COMPUTED_VALUE"""),-1.0)</f>
        <v>-1</v>
      </c>
      <c r="K450" s="28">
        <f>IFERROR(__xludf.DUMMYFUNCTION("""COMPUTED_VALUE"""),45329.648518518516)</f>
        <v>45329.64852</v>
      </c>
    </row>
    <row r="451">
      <c r="A451" s="18" t="str">
        <f>IFERROR(__xludf.DUMMYFUNCTION("""COMPUTED_VALUE"""),"65ed7ba179512c347d507914")</f>
        <v>65ed7ba179512c347d507914</v>
      </c>
      <c r="B451" s="15" t="str">
        <f>IFERROR(__xludf.DUMMYFUNCTION("""COMPUTED_VALUE"""),"_potent_valdosta_chosen_to_tag_every_3_images_to_tag_batch_0_each_300")</f>
        <v>_potent_valdosta_chosen_to_tag_every_3_images_to_tag_batch_0_each_300</v>
      </c>
      <c r="C451" s="15" t="str">
        <f>IFERROR(__xludf.DUMMYFUNCTION("""COMPUTED_VALUE"""),"train")</f>
        <v>train</v>
      </c>
      <c r="D451" s="15" t="str">
        <f>IFERROR(__xludf.DUMMYFUNCTION("""COMPUTED_VALUE"""),"train")</f>
        <v>train</v>
      </c>
      <c r="E451" s="15">
        <f>IFERROR(__xludf.DUMMYFUNCTION("""COMPUTED_VALUE"""),300.0)</f>
        <v>300</v>
      </c>
      <c r="F451" s="15" t="str">
        <f>IFERROR(__xludf.DUMMYFUNCTION("""COMPUTED_VALUE"""),"8MP_JPG")</f>
        <v>8MP_JPG</v>
      </c>
      <c r="G451" s="15" t="str">
        <f>IFERROR(__xludf.DUMMYFUNCTION("""COMPUTED_VALUE"""),"TEL_AVIV, DAY, CLEAR, ISRAEL, ARROWS")</f>
        <v>TEL_AVIV, DAY, CLEAR, ISRAEL, ARROWS</v>
      </c>
      <c r="H451" s="15">
        <f>IFERROR(__xludf.DUMMYFUNCTION("""COMPUTED_VALUE"""),-1.0)</f>
        <v>-1</v>
      </c>
      <c r="I451" s="15">
        <f>IFERROR(__xludf.DUMMYFUNCTION("""COMPUTED_VALUE"""),-1.0)</f>
        <v>-1</v>
      </c>
      <c r="J451" s="15">
        <f>IFERROR(__xludf.DUMMYFUNCTION("""COMPUTED_VALUE"""),-1.0)</f>
        <v>-1</v>
      </c>
      <c r="K451" s="28">
        <f>IFERROR(__xludf.DUMMYFUNCTION("""COMPUTED_VALUE"""),45329.64859953704)</f>
        <v>45329.6486</v>
      </c>
    </row>
    <row r="452">
      <c r="A452" s="18" t="str">
        <f>IFERROR(__xludf.DUMMYFUNCTION("""COMPUTED_VALUE"""),"65ed7b9f79512c347d507912")</f>
        <v>65ed7b9f79512c347d507912</v>
      </c>
      <c r="B452" s="15" t="str">
        <f>IFERROR(__xludf.DUMMYFUNCTION("""COMPUTED_VALUE"""),"_penetrable_north_miami_chosen_to_tag_every_3_images_to_tag")</f>
        <v>_penetrable_north_miami_chosen_to_tag_every_3_images_to_tag</v>
      </c>
      <c r="C452" s="15" t="str">
        <f>IFERROR(__xludf.DUMMYFUNCTION("""COMPUTED_VALUE"""),"train")</f>
        <v>train</v>
      </c>
      <c r="D452" s="15" t="str">
        <f>IFERROR(__xludf.DUMMYFUNCTION("""COMPUTED_VALUE"""),"train")</f>
        <v>train</v>
      </c>
      <c r="E452" s="15">
        <f>IFERROR(__xludf.DUMMYFUNCTION("""COMPUTED_VALUE"""),244.0)</f>
        <v>244</v>
      </c>
      <c r="F452" s="15" t="str">
        <f>IFERROR(__xludf.DUMMYFUNCTION("""COMPUTED_VALUE"""),"8MP_JPG")</f>
        <v>8MP_JPG</v>
      </c>
      <c r="G452" s="15" t="str">
        <f>IFERROR(__xludf.DUMMYFUNCTION("""COMPUTED_VALUE"""),"CLEAR, TEL_AVIV, DAY, HIGHWAY_EXIT, ISRAEL, ARROWS")</f>
        <v>CLEAR, TEL_AVIV, DAY, HIGHWAY_EXIT, ISRAEL, ARROWS</v>
      </c>
      <c r="H452" s="15">
        <f>IFERROR(__xludf.DUMMYFUNCTION("""COMPUTED_VALUE"""),-1.0)</f>
        <v>-1</v>
      </c>
      <c r="I452" s="15">
        <f>IFERROR(__xludf.DUMMYFUNCTION("""COMPUTED_VALUE"""),-1.0)</f>
        <v>-1</v>
      </c>
      <c r="J452" s="15">
        <f>IFERROR(__xludf.DUMMYFUNCTION("""COMPUTED_VALUE"""),-1.0)</f>
        <v>-1</v>
      </c>
      <c r="K452" s="28">
        <f>IFERROR(__xludf.DUMMYFUNCTION("""COMPUTED_VALUE"""),45329.64864583333)</f>
        <v>45329.64865</v>
      </c>
    </row>
    <row r="453">
      <c r="A453" s="18" t="str">
        <f>IFERROR(__xludf.DUMMYFUNCTION("""COMPUTED_VALUE"""),"65ed7b9f79512c347d507911")</f>
        <v>65ed7b9f79512c347d507911</v>
      </c>
      <c r="B453" s="15" t="str">
        <f>IFERROR(__xludf.DUMMYFUNCTION("""COMPUTED_VALUE"""),"_lucent_carlsbad_chosen_to_tag_every_3_images_to_tag")</f>
        <v>_lucent_carlsbad_chosen_to_tag_every_3_images_to_tag</v>
      </c>
      <c r="C453" s="15" t="str">
        <f>IFERROR(__xludf.DUMMYFUNCTION("""COMPUTED_VALUE"""),"train")</f>
        <v>train</v>
      </c>
      <c r="D453" s="15" t="str">
        <f>IFERROR(__xludf.DUMMYFUNCTION("""COMPUTED_VALUE"""),"train")</f>
        <v>train</v>
      </c>
      <c r="E453" s="15">
        <f>IFERROR(__xludf.DUMMYFUNCTION("""COMPUTED_VALUE"""),90.0)</f>
        <v>90</v>
      </c>
      <c r="F453" s="15" t="str">
        <f>IFERROR(__xludf.DUMMYFUNCTION("""COMPUTED_VALUE"""),"8MP_JPG")</f>
        <v>8MP_JPG</v>
      </c>
      <c r="G453" s="15" t="str">
        <f>IFERROR(__xludf.DUMMYFUNCTION("""COMPUTED_VALUE"""),"CLEAR, ISRAEL, TEL_AVIV, DAY")</f>
        <v>CLEAR, ISRAEL, TEL_AVIV, DAY</v>
      </c>
      <c r="H453" s="15">
        <f>IFERROR(__xludf.DUMMYFUNCTION("""COMPUTED_VALUE"""),-1.0)</f>
        <v>-1</v>
      </c>
      <c r="I453" s="15">
        <f>IFERROR(__xludf.DUMMYFUNCTION("""COMPUTED_VALUE"""),-1.0)</f>
        <v>-1</v>
      </c>
      <c r="J453" s="15">
        <f>IFERROR(__xludf.DUMMYFUNCTION("""COMPUTED_VALUE"""),-1.0)</f>
        <v>-1</v>
      </c>
      <c r="K453" s="28">
        <f>IFERROR(__xludf.DUMMYFUNCTION("""COMPUTED_VALUE"""),45329.648680555554)</f>
        <v>45329.64868</v>
      </c>
    </row>
    <row r="454">
      <c r="A454" s="18" t="str">
        <f>IFERROR(__xludf.DUMMYFUNCTION("""COMPUTED_VALUE"""),"65ed7b9c79512c347d50790e")</f>
        <v>65ed7b9c79512c347d50790e</v>
      </c>
      <c r="B454" s="15" t="str">
        <f>IFERROR(__xludf.DUMMYFUNCTION("""COMPUTED_VALUE"""),"_likeable_hampton_chosen_to_tag_every_3_images_to_tag_batch_0_each_300")</f>
        <v>_likeable_hampton_chosen_to_tag_every_3_images_to_tag_batch_0_each_300</v>
      </c>
      <c r="C454" s="15" t="str">
        <f>IFERROR(__xludf.DUMMYFUNCTION("""COMPUTED_VALUE"""),"train")</f>
        <v>train</v>
      </c>
      <c r="D454" s="15" t="str">
        <f>IFERROR(__xludf.DUMMYFUNCTION("""COMPUTED_VALUE"""),"train")</f>
        <v>train</v>
      </c>
      <c r="E454" s="15">
        <f>IFERROR(__xludf.DUMMYFUNCTION("""COMPUTED_VALUE"""),300.0)</f>
        <v>300</v>
      </c>
      <c r="F454" s="15" t="str">
        <f>IFERROR(__xludf.DUMMYFUNCTION("""COMPUTED_VALUE"""),"8MP_JPG")</f>
        <v>8MP_JPG</v>
      </c>
      <c r="G454" s="15" t="str">
        <f>IFERROR(__xludf.DUMMYFUNCTION("""COMPUTED_VALUE"""),"TEL_AVIV, DAY, CLEAR, ISRAEL, ARROWS")</f>
        <v>TEL_AVIV, DAY, CLEAR, ISRAEL, ARROWS</v>
      </c>
      <c r="H454" s="15">
        <f>IFERROR(__xludf.DUMMYFUNCTION("""COMPUTED_VALUE"""),-1.0)</f>
        <v>-1</v>
      </c>
      <c r="I454" s="15">
        <f>IFERROR(__xludf.DUMMYFUNCTION("""COMPUTED_VALUE"""),-1.0)</f>
        <v>-1</v>
      </c>
      <c r="J454" s="15">
        <f>IFERROR(__xludf.DUMMYFUNCTION("""COMPUTED_VALUE"""),-1.0)</f>
        <v>-1</v>
      </c>
      <c r="K454" s="28">
        <f>IFERROR(__xludf.DUMMYFUNCTION("""COMPUTED_VALUE"""),45329.6487037037)</f>
        <v>45329.6487</v>
      </c>
    </row>
    <row r="455">
      <c r="A455" s="18" t="str">
        <f>IFERROR(__xludf.DUMMYFUNCTION("""COMPUTED_VALUE"""),"65ed7b9b79512c347d50790c")</f>
        <v>65ed7b9b79512c347d50790c</v>
      </c>
      <c r="B455" s="15" t="str">
        <f>IFERROR(__xludf.DUMMYFUNCTION("""COMPUTED_VALUE"""),"_guiltless_lincoln_park_chosen_to_tag_every_3_images_to_tag_batch_1_each_300")</f>
        <v>_guiltless_lincoln_park_chosen_to_tag_every_3_images_to_tag_batch_1_each_300</v>
      </c>
      <c r="C455" s="15" t="str">
        <f>IFERROR(__xludf.DUMMYFUNCTION("""COMPUTED_VALUE"""),"train")</f>
        <v>train</v>
      </c>
      <c r="D455" s="15" t="str">
        <f>IFERROR(__xludf.DUMMYFUNCTION("""COMPUTED_VALUE"""),"train")</f>
        <v>train</v>
      </c>
      <c r="E455" s="15">
        <f>IFERROR(__xludf.DUMMYFUNCTION("""COMPUTED_VALUE"""),93.0)</f>
        <v>93</v>
      </c>
      <c r="F455" s="15" t="str">
        <f>IFERROR(__xludf.DUMMYFUNCTION("""COMPUTED_VALUE"""),"8MP_JPG")</f>
        <v>8MP_JPG</v>
      </c>
      <c r="G455" s="15" t="str">
        <f>IFERROR(__xludf.DUMMYFUNCTION("""COMPUTED_VALUE"""),"TEL_AVIV, DAY, CLEAR, ISRAEL, ARROWS")</f>
        <v>TEL_AVIV, DAY, CLEAR, ISRAEL, ARROWS</v>
      </c>
      <c r="H455" s="15">
        <f>IFERROR(__xludf.DUMMYFUNCTION("""COMPUTED_VALUE"""),-1.0)</f>
        <v>-1</v>
      </c>
      <c r="I455" s="15">
        <f>IFERROR(__xludf.DUMMYFUNCTION("""COMPUTED_VALUE"""),-1.0)</f>
        <v>-1</v>
      </c>
      <c r="J455" s="15">
        <f>IFERROR(__xludf.DUMMYFUNCTION("""COMPUTED_VALUE"""),-1.0)</f>
        <v>-1</v>
      </c>
      <c r="K455" s="28">
        <f>IFERROR(__xludf.DUMMYFUNCTION("""COMPUTED_VALUE"""),45329.64873842592)</f>
        <v>45329.64874</v>
      </c>
    </row>
    <row r="456">
      <c r="A456" s="18" t="str">
        <f>IFERROR(__xludf.DUMMYFUNCTION("""COMPUTED_VALUE"""),"65ed7b9b79512c347d50790b")</f>
        <v>65ed7b9b79512c347d50790b</v>
      </c>
      <c r="B456" s="15" t="str">
        <f>IFERROR(__xludf.DUMMYFUNCTION("""COMPUTED_VALUE"""),"_guiltless_lincoln_park_chosen_to_tag_every_3_images_to_tag_batch_0_each_300")</f>
        <v>_guiltless_lincoln_park_chosen_to_tag_every_3_images_to_tag_batch_0_each_300</v>
      </c>
      <c r="C456" s="15" t="str">
        <f>IFERROR(__xludf.DUMMYFUNCTION("""COMPUTED_VALUE"""),"train")</f>
        <v>train</v>
      </c>
      <c r="D456" s="15" t="str">
        <f>IFERROR(__xludf.DUMMYFUNCTION("""COMPUTED_VALUE"""),"train")</f>
        <v>train</v>
      </c>
      <c r="E456" s="15">
        <f>IFERROR(__xludf.DUMMYFUNCTION("""COMPUTED_VALUE"""),300.0)</f>
        <v>300</v>
      </c>
      <c r="F456" s="15" t="str">
        <f>IFERROR(__xludf.DUMMYFUNCTION("""COMPUTED_VALUE"""),"8MP_JPG")</f>
        <v>8MP_JPG</v>
      </c>
      <c r="G456" s="15" t="str">
        <f>IFERROR(__xludf.DUMMYFUNCTION("""COMPUTED_VALUE"""),"TEL_AVIV, DAY, CLEAR, ISRAEL, ARROWS")</f>
        <v>TEL_AVIV, DAY, CLEAR, ISRAEL, ARROWS</v>
      </c>
      <c r="H456" s="15">
        <f>IFERROR(__xludf.DUMMYFUNCTION("""COMPUTED_VALUE"""),-1.0)</f>
        <v>-1</v>
      </c>
      <c r="I456" s="15">
        <f>IFERROR(__xludf.DUMMYFUNCTION("""COMPUTED_VALUE"""),-1.0)</f>
        <v>-1</v>
      </c>
      <c r="J456" s="15">
        <f>IFERROR(__xludf.DUMMYFUNCTION("""COMPUTED_VALUE"""),-1.0)</f>
        <v>-1</v>
      </c>
      <c r="K456" s="28">
        <f>IFERROR(__xludf.DUMMYFUNCTION("""COMPUTED_VALUE"""),45329.64878472222)</f>
        <v>45329.64878</v>
      </c>
    </row>
    <row r="457">
      <c r="A457" s="18" t="str">
        <f>IFERROR(__xludf.DUMMYFUNCTION("""COMPUTED_VALUE"""),"65ed7b9979512c347d507909")</f>
        <v>65ed7b9979512c347d507909</v>
      </c>
      <c r="B457" s="15" t="str">
        <f>IFERROR(__xludf.DUMMYFUNCTION("""COMPUTED_VALUE"""),"_escalating_jefferson_city_chosen_to_tag_every_3_images_to_tag")</f>
        <v>_escalating_jefferson_city_chosen_to_tag_every_3_images_to_tag</v>
      </c>
      <c r="C457" s="15" t="str">
        <f>IFERROR(__xludf.DUMMYFUNCTION("""COMPUTED_VALUE"""),"train")</f>
        <v>train</v>
      </c>
      <c r="D457" s="15" t="str">
        <f>IFERROR(__xludf.DUMMYFUNCTION("""COMPUTED_VALUE"""),"train")</f>
        <v>train</v>
      </c>
      <c r="E457" s="15">
        <f>IFERROR(__xludf.DUMMYFUNCTION("""COMPUTED_VALUE"""),205.0)</f>
        <v>205</v>
      </c>
      <c r="F457" s="15" t="str">
        <f>IFERROR(__xludf.DUMMYFUNCTION("""COMPUTED_VALUE"""),"8MP_JPG")</f>
        <v>8MP_JPG</v>
      </c>
      <c r="G457" s="15" t="str">
        <f>IFERROR(__xludf.DUMMYFUNCTION("""COMPUTED_VALUE"""),"CLEAR, TEL_AVIV, DAY, HIGHWAY_EXIT, ISRAEL, ARROWS")</f>
        <v>CLEAR, TEL_AVIV, DAY, HIGHWAY_EXIT, ISRAEL, ARROWS</v>
      </c>
      <c r="H457" s="15">
        <f>IFERROR(__xludf.DUMMYFUNCTION("""COMPUTED_VALUE"""),-1.0)</f>
        <v>-1</v>
      </c>
      <c r="I457" s="15">
        <f>IFERROR(__xludf.DUMMYFUNCTION("""COMPUTED_VALUE"""),-1.0)</f>
        <v>-1</v>
      </c>
      <c r="J457" s="15">
        <f>IFERROR(__xludf.DUMMYFUNCTION("""COMPUTED_VALUE"""),-1.0)</f>
        <v>-1</v>
      </c>
      <c r="K457" s="28">
        <f>IFERROR(__xludf.DUMMYFUNCTION("""COMPUTED_VALUE"""),45329.64880787037)</f>
        <v>45329.64881</v>
      </c>
    </row>
    <row r="458">
      <c r="A458" s="18" t="str">
        <f>IFERROR(__xludf.DUMMYFUNCTION("""COMPUTED_VALUE"""),"65ed7b9879512c347d507907")</f>
        <v>65ed7b9879512c347d507907</v>
      </c>
      <c r="B458" s="15" t="str">
        <f>IFERROR(__xludf.DUMMYFUNCTION("""COMPUTED_VALUE"""),"_endemic_north_las_vegas_chosen_to_tag_every_3_images_to_tag_batch_0_each_300")</f>
        <v>_endemic_north_las_vegas_chosen_to_tag_every_3_images_to_tag_batch_0_each_300</v>
      </c>
      <c r="C458" s="15" t="str">
        <f>IFERROR(__xludf.DUMMYFUNCTION("""COMPUTED_VALUE"""),"train")</f>
        <v>train</v>
      </c>
      <c r="D458" s="15" t="str">
        <f>IFERROR(__xludf.DUMMYFUNCTION("""COMPUTED_VALUE"""),"train")</f>
        <v>train</v>
      </c>
      <c r="E458" s="15">
        <f>IFERROR(__xludf.DUMMYFUNCTION("""COMPUTED_VALUE"""),300.0)</f>
        <v>300</v>
      </c>
      <c r="F458" s="15" t="str">
        <f>IFERROR(__xludf.DUMMYFUNCTION("""COMPUTED_VALUE"""),"8MP_JPG")</f>
        <v>8MP_JPG</v>
      </c>
      <c r="G458" s="15" t="str">
        <f>IFERROR(__xludf.DUMMYFUNCTION("""COMPUTED_VALUE"""),"TAR_LINES, TEL_AVIV, DAY, CLEAR, ISRAEL, ARROWS")</f>
        <v>TAR_LINES, TEL_AVIV, DAY, CLEAR, ISRAEL, ARROWS</v>
      </c>
      <c r="H458" s="15">
        <f>IFERROR(__xludf.DUMMYFUNCTION("""COMPUTED_VALUE"""),-1.0)</f>
        <v>-1</v>
      </c>
      <c r="I458" s="15">
        <f>IFERROR(__xludf.DUMMYFUNCTION("""COMPUTED_VALUE"""),-1.0)</f>
        <v>-1</v>
      </c>
      <c r="J458" s="15">
        <f>IFERROR(__xludf.DUMMYFUNCTION("""COMPUTED_VALUE"""),-1.0)</f>
        <v>-1</v>
      </c>
      <c r="K458" s="28">
        <f>IFERROR(__xludf.DUMMYFUNCTION("""COMPUTED_VALUE"""),45329.64885416667)</f>
        <v>45329.64885</v>
      </c>
    </row>
    <row r="459">
      <c r="A459" s="18" t="str">
        <f>IFERROR(__xludf.DUMMYFUNCTION("""COMPUTED_VALUE"""),"65ed7b9679512c347d507905")</f>
        <v>65ed7b9679512c347d507905</v>
      </c>
      <c r="B459" s="15" t="str">
        <f>IFERROR(__xludf.DUMMYFUNCTION("""COMPUTED_VALUE"""),"_deceitful_cape_girardeau_chosen_to_tag_every_3_images_to_tag")</f>
        <v>_deceitful_cape_girardeau_chosen_to_tag_every_3_images_to_tag</v>
      </c>
      <c r="C459" s="15" t="str">
        <f>IFERROR(__xludf.DUMMYFUNCTION("""COMPUTED_VALUE"""),"train")</f>
        <v>train</v>
      </c>
      <c r="D459" s="15" t="str">
        <f>IFERROR(__xludf.DUMMYFUNCTION("""COMPUTED_VALUE"""),"train")</f>
        <v>train</v>
      </c>
      <c r="E459" s="15">
        <f>IFERROR(__xludf.DUMMYFUNCTION("""COMPUTED_VALUE"""),274.0)</f>
        <v>274</v>
      </c>
      <c r="F459" s="15" t="str">
        <f>IFERROR(__xludf.DUMMYFUNCTION("""COMPUTED_VALUE"""),"8MP_JPG")</f>
        <v>8MP_JPG</v>
      </c>
      <c r="G459" s="15" t="str">
        <f>IFERROR(__xludf.DUMMYFUNCTION("""COMPUTED_VALUE"""),"BRIDGE, TEL_AVIV, DAY, CLEAR, ISRAEL, ARROWS")</f>
        <v>BRIDGE, TEL_AVIV, DAY, CLEAR, ISRAEL, ARROWS</v>
      </c>
      <c r="H459" s="15">
        <f>IFERROR(__xludf.DUMMYFUNCTION("""COMPUTED_VALUE"""),-1.0)</f>
        <v>-1</v>
      </c>
      <c r="I459" s="15">
        <f>IFERROR(__xludf.DUMMYFUNCTION("""COMPUTED_VALUE"""),-1.0)</f>
        <v>-1</v>
      </c>
      <c r="J459" s="15">
        <f>IFERROR(__xludf.DUMMYFUNCTION("""COMPUTED_VALUE"""),-1.0)</f>
        <v>-1</v>
      </c>
      <c r="K459" s="28">
        <f>IFERROR(__xludf.DUMMYFUNCTION("""COMPUTED_VALUE"""),45329.648877314816)</f>
        <v>45329.64888</v>
      </c>
    </row>
    <row r="460">
      <c r="A460" s="25" t="str">
        <f>IFERROR(__xludf.DUMMYFUNCTION("""COMPUTED_VALUE"""),"65ed7b9579512c347d507904")</f>
        <v>65ed7b9579512c347d507904</v>
      </c>
      <c r="B460" s="26" t="str">
        <f>IFERROR(__xludf.DUMMYFUNCTION("""COMPUTED_VALUE"""),"_concerning_cambridge_chosen_to_tag_every_3_images_to_tag")</f>
        <v>_concerning_cambridge_chosen_to_tag_every_3_images_to_tag</v>
      </c>
      <c r="C460" s="26" t="str">
        <f>IFERROR(__xludf.DUMMYFUNCTION("""COMPUTED_VALUE"""),"train")</f>
        <v>train</v>
      </c>
      <c r="D460" s="26" t="str">
        <f>IFERROR(__xludf.DUMMYFUNCTION("""COMPUTED_VALUE"""),"train")</f>
        <v>train</v>
      </c>
      <c r="E460" s="26">
        <f>IFERROR(__xludf.DUMMYFUNCTION("""COMPUTED_VALUE"""),100.0)</f>
        <v>100</v>
      </c>
      <c r="F460" s="26" t="str">
        <f>IFERROR(__xludf.DUMMYFUNCTION("""COMPUTED_VALUE"""),"8MP_JPG")</f>
        <v>8MP_JPG</v>
      </c>
      <c r="G460" s="26" t="str">
        <f>IFERROR(__xludf.DUMMYFUNCTION("""COMPUTED_VALUE"""),"CLEAR, ISRAEL, TEL_AVIV, DAY")</f>
        <v>CLEAR, ISRAEL, TEL_AVIV, DAY</v>
      </c>
      <c r="H460" s="26">
        <f>IFERROR(__xludf.DUMMYFUNCTION("""COMPUTED_VALUE"""),-1.0)</f>
        <v>-1</v>
      </c>
      <c r="I460" s="26">
        <f>IFERROR(__xludf.DUMMYFUNCTION("""COMPUTED_VALUE"""),-1.0)</f>
        <v>-1</v>
      </c>
      <c r="J460" s="26">
        <f>IFERROR(__xludf.DUMMYFUNCTION("""COMPUTED_VALUE"""),-1.0)</f>
        <v>-1</v>
      </c>
      <c r="K460" s="29">
        <f>IFERROR(__xludf.DUMMYFUNCTION("""COMPUTED_VALUE"""),45329.64890046296)</f>
        <v>45329.6489</v>
      </c>
    </row>
    <row r="461">
      <c r="A461" s="25" t="str">
        <f>IFERROR(__xludf.DUMMYFUNCTION("""COMPUTED_VALUE"""),"65ed7b9479512c347d507902")</f>
        <v>65ed7b9479512c347d507902</v>
      </c>
      <c r="B461" s="26" t="str">
        <f>IFERROR(__xludf.DUMMYFUNCTION("""COMPUTED_VALUE"""),"_audacious_appleton_chosen_to_tag_every_3_images_to_tag_batch_0_each_300")</f>
        <v>_audacious_appleton_chosen_to_tag_every_3_images_to_tag_batch_0_each_300</v>
      </c>
      <c r="C461" s="26" t="str">
        <f>IFERROR(__xludf.DUMMYFUNCTION("""COMPUTED_VALUE"""),"train")</f>
        <v>train</v>
      </c>
      <c r="D461" s="26" t="str">
        <f>IFERROR(__xludf.DUMMYFUNCTION("""COMPUTED_VALUE"""),"train")</f>
        <v>train</v>
      </c>
      <c r="E461" s="26">
        <f>IFERROR(__xludf.DUMMYFUNCTION("""COMPUTED_VALUE"""),300.0)</f>
        <v>300</v>
      </c>
      <c r="F461" s="26" t="str">
        <f>IFERROR(__xludf.DUMMYFUNCTION("""COMPUTED_VALUE"""),"8MP_JPG")</f>
        <v>8MP_JPG</v>
      </c>
      <c r="G461" s="26" t="str">
        <f>IFERROR(__xludf.DUMMYFUNCTION("""COMPUTED_VALUE"""),"CLEAR, TEL_AVIV, DAY, HIGHWAY_EXIT, ISRAEL, ARROWS")</f>
        <v>CLEAR, TEL_AVIV, DAY, HIGHWAY_EXIT, ISRAEL, ARROWS</v>
      </c>
      <c r="H461" s="26">
        <f>IFERROR(__xludf.DUMMYFUNCTION("""COMPUTED_VALUE"""),-1.0)</f>
        <v>-1</v>
      </c>
      <c r="I461" s="26">
        <f>IFERROR(__xludf.DUMMYFUNCTION("""COMPUTED_VALUE"""),-1.0)</f>
        <v>-1</v>
      </c>
      <c r="J461" s="26">
        <f>IFERROR(__xludf.DUMMYFUNCTION("""COMPUTED_VALUE"""),-1.0)</f>
        <v>-1</v>
      </c>
      <c r="K461" s="29">
        <f>IFERROR(__xludf.DUMMYFUNCTION("""COMPUTED_VALUE"""),45329.64892361111)</f>
        <v>45329.64892</v>
      </c>
    </row>
    <row r="462">
      <c r="A462" s="18" t="str">
        <f>IFERROR(__xludf.DUMMYFUNCTION("""COMPUTED_VALUE"""),"6683f6230273422c870fbcb4")</f>
        <v>6683f6230273422c870fbcb4</v>
      </c>
      <c r="B462" s="15" t="str">
        <f>IFERROR(__xludf.DUMMYFUNCTION("""COMPUTED_VALUE"""),"_strange_trucks_task_official_super_set_od_train_8mp_to_tag_batch_246_each_200_added_to_odtaggeddataboard")</f>
        <v>_strange_trucks_task_official_super_set_od_train_8mp_to_tag_batch_246_each_200_added_to_odtaggeddataboard</v>
      </c>
      <c r="C462" s="15" t="str">
        <f>IFERROR(__xludf.DUMMYFUNCTION("""COMPUTED_VALUE"""),"train")</f>
        <v>train</v>
      </c>
      <c r="D462" s="15" t="str">
        <f>IFERROR(__xludf.DUMMYFUNCTION("""COMPUTED_VALUE"""),"train")</f>
        <v>train</v>
      </c>
      <c r="E462" s="15">
        <f>IFERROR(__xludf.DUMMYFUNCTION("""COMPUTED_VALUE"""),5.0)</f>
        <v>5</v>
      </c>
      <c r="F462" s="15" t="str">
        <f>IFERROR(__xludf.DUMMYFUNCTION("""COMPUTED_VALUE"""),"AMBARELLA_3840_1920")</f>
        <v>AMBARELLA_3840_1920</v>
      </c>
      <c r="G462" s="15" t="str">
        <f>IFERROR(__xludf.DUMMYFUNCTION("""COMPUTED_VALUE"""),"CLEAR, DAY")</f>
        <v>CLEAR, DAY</v>
      </c>
      <c r="H462" s="15">
        <f>IFERROR(__xludf.DUMMYFUNCTION("""COMPUTED_VALUE"""),-1.0)</f>
        <v>-1</v>
      </c>
      <c r="I462" s="15">
        <f>IFERROR(__xludf.DUMMYFUNCTION("""COMPUTED_VALUE"""),-1.0)</f>
        <v>-1</v>
      </c>
      <c r="J462" s="15">
        <f>IFERROR(__xludf.DUMMYFUNCTION("""COMPUTED_VALUE"""),-1.0)</f>
        <v>-1</v>
      </c>
      <c r="K462" s="28">
        <f>IFERROR(__xludf.DUMMYFUNCTION("""COMPUTED_VALUE"""),45329.65577546296)</f>
        <v>45329.65578</v>
      </c>
    </row>
    <row r="463">
      <c r="A463" s="18" t="str">
        <f>IFERROR(__xludf.DUMMYFUNCTION("""COMPUTED_VALUE"""),"66792ec10273422c87059253")</f>
        <v>66792ec10273422c87059253</v>
      </c>
      <c r="B463" s="15" t="str">
        <f>IFERROR(__xludf.DUMMYFUNCTION("""COMPUTED_VALUE"""),"_strange_trucks_task_official_super_set_od_train_8mp_to_tag_batch_242_each_200_added_to_odtaggeddataboard")</f>
        <v>_strange_trucks_task_official_super_set_od_train_8mp_to_tag_batch_242_each_200_added_to_odtaggeddataboard</v>
      </c>
      <c r="C463" s="15" t="str">
        <f>IFERROR(__xludf.DUMMYFUNCTION("""COMPUTED_VALUE"""),"train")</f>
        <v>train</v>
      </c>
      <c r="D463" s="15" t="str">
        <f>IFERROR(__xludf.DUMMYFUNCTION("""COMPUTED_VALUE"""),"train")</f>
        <v>train</v>
      </c>
      <c r="E463" s="15">
        <f>IFERROR(__xludf.DUMMYFUNCTION("""COMPUTED_VALUE"""),2.0)</f>
        <v>2</v>
      </c>
      <c r="F463" s="15" t="str">
        <f>IFERROR(__xludf.DUMMYFUNCTION("""COMPUTED_VALUE"""),"AMBARELLA_3840_1920")</f>
        <v>AMBARELLA_3840_1920</v>
      </c>
      <c r="G463" s="15" t="str">
        <f>IFERROR(__xludf.DUMMYFUNCTION("""COMPUTED_VALUE"""),"CLEAR, DAY")</f>
        <v>CLEAR, DAY</v>
      </c>
      <c r="H463" s="15">
        <f>IFERROR(__xludf.DUMMYFUNCTION("""COMPUTED_VALUE"""),-1.0)</f>
        <v>-1</v>
      </c>
      <c r="I463" s="15">
        <f>IFERROR(__xludf.DUMMYFUNCTION("""COMPUTED_VALUE"""),-1.0)</f>
        <v>-1</v>
      </c>
      <c r="J463" s="15">
        <f>IFERROR(__xludf.DUMMYFUNCTION("""COMPUTED_VALUE"""),-1.0)</f>
        <v>-1</v>
      </c>
      <c r="K463" s="28">
        <f>IFERROR(__xludf.DUMMYFUNCTION("""COMPUTED_VALUE"""),45389.69737268519)</f>
        <v>45389.69737</v>
      </c>
    </row>
    <row r="464">
      <c r="A464" s="18" t="str">
        <f>IFERROR(__xludf.DUMMYFUNCTION("""COMPUTED_VALUE"""),"66792e950273422c870574a4")</f>
        <v>66792e950273422c870574a4</v>
      </c>
      <c r="B464" s="15" t="str">
        <f>IFERROR(__xludf.DUMMYFUNCTION("""COMPUTED_VALUE"""),"_strange_trucks_task_official_super_set_od_train_8mp_to_tag_batch_245_each_200_added_to_odtaggeddataboard")</f>
        <v>_strange_trucks_task_official_super_set_od_train_8mp_to_tag_batch_245_each_200_added_to_odtaggeddataboard</v>
      </c>
      <c r="C464" s="15" t="str">
        <f>IFERROR(__xludf.DUMMYFUNCTION("""COMPUTED_VALUE"""),"train")</f>
        <v>train</v>
      </c>
      <c r="D464" s="15" t="str">
        <f>IFERROR(__xludf.DUMMYFUNCTION("""COMPUTED_VALUE"""),"train")</f>
        <v>train</v>
      </c>
      <c r="E464" s="15">
        <f>IFERROR(__xludf.DUMMYFUNCTION("""COMPUTED_VALUE"""),5.0)</f>
        <v>5</v>
      </c>
      <c r="F464" s="15" t="str">
        <f>IFERROR(__xludf.DUMMYFUNCTION("""COMPUTED_VALUE"""),"AMBARELLA_3840_1920")</f>
        <v>AMBARELLA_3840_1920</v>
      </c>
      <c r="G464" s="15" t="str">
        <f>IFERROR(__xludf.DUMMYFUNCTION("""COMPUTED_VALUE"""),"CLEAR, DAY")</f>
        <v>CLEAR, DAY</v>
      </c>
      <c r="H464" s="15">
        <f>IFERROR(__xludf.DUMMYFUNCTION("""COMPUTED_VALUE"""),-1.0)</f>
        <v>-1</v>
      </c>
      <c r="I464" s="15">
        <f>IFERROR(__xludf.DUMMYFUNCTION("""COMPUTED_VALUE"""),-1.0)</f>
        <v>-1</v>
      </c>
      <c r="J464" s="15">
        <f>IFERROR(__xludf.DUMMYFUNCTION("""COMPUTED_VALUE"""),-1.0)</f>
        <v>-1</v>
      </c>
      <c r="K464" s="28">
        <f>IFERROR(__xludf.DUMMYFUNCTION("""COMPUTED_VALUE"""),45389.6975)</f>
        <v>45389.6975</v>
      </c>
    </row>
    <row r="465">
      <c r="A465" s="18" t="str">
        <f>IFERROR(__xludf.DUMMYFUNCTION("""COMPUTED_VALUE"""),"65ed7ba379512c347d507916")</f>
        <v>65ed7ba379512c347d507916</v>
      </c>
      <c r="B465" s="15" t="str">
        <f>IFERROR(__xludf.DUMMYFUNCTION("""COMPUTED_VALUE"""),"_punishable_germantown_chosen_to_tag_every_3_images_to_tag")</f>
        <v>_punishable_germantown_chosen_to_tag_every_3_images_to_tag</v>
      </c>
      <c r="C465" s="15" t="str">
        <f>IFERROR(__xludf.DUMMYFUNCTION("""COMPUTED_VALUE"""),"train")</f>
        <v>train</v>
      </c>
      <c r="D465" s="15" t="str">
        <f>IFERROR(__xludf.DUMMYFUNCTION("""COMPUTED_VALUE"""),"train")</f>
        <v>train</v>
      </c>
      <c r="E465" s="15">
        <f>IFERROR(__xludf.DUMMYFUNCTION("""COMPUTED_VALUE"""),294.0)</f>
        <v>294</v>
      </c>
      <c r="F465" s="15" t="str">
        <f>IFERROR(__xludf.DUMMYFUNCTION("""COMPUTED_VALUE"""),"8MP_JPG")</f>
        <v>8MP_JPG</v>
      </c>
      <c r="G465" s="15" t="str">
        <f>IFERROR(__xludf.DUMMYFUNCTION("""COMPUTED_VALUE"""),"ISRAEL, TEL_AVIV, HIGHWAY_EXIT, CLEAR, DAY")</f>
        <v>ISRAEL, TEL_AVIV, HIGHWAY_EXIT, CLEAR, DAY</v>
      </c>
      <c r="H465" s="15">
        <f>IFERROR(__xludf.DUMMYFUNCTION("""COMPUTED_VALUE"""),-1.0)</f>
        <v>-1</v>
      </c>
      <c r="I465" s="15">
        <f>IFERROR(__xludf.DUMMYFUNCTION("""COMPUTED_VALUE"""),-1.0)</f>
        <v>-1</v>
      </c>
      <c r="J465" s="15">
        <f>IFERROR(__xludf.DUMMYFUNCTION("""COMPUTED_VALUE"""),-1.0)</f>
        <v>-1</v>
      </c>
      <c r="K465" s="28">
        <f>IFERROR(__xludf.DUMMYFUNCTION("""COMPUTED_VALUE"""),45389.698125)</f>
        <v>45389.69813</v>
      </c>
    </row>
    <row r="466">
      <c r="A466" s="18" t="str">
        <f>IFERROR(__xludf.DUMMYFUNCTION("""COMPUTED_VALUE"""),"65cb36eaab0e1008324426ed")</f>
        <v>65cb36eaab0e1008324426ed</v>
      </c>
      <c r="B466" s="15" t="str">
        <f>IFERROR(__xludf.DUMMYFUNCTION("""COMPUTED_VALUE"""),"_od_strange_vehicles_20_12_2023_train_batch_2_split_by_size_of_250_tagged")</f>
        <v>_od_strange_vehicles_20_12_2023_train_batch_2_split_by_size_of_250_tagged</v>
      </c>
      <c r="C466" s="15" t="str">
        <f>IFERROR(__xludf.DUMMYFUNCTION("""COMPUTED_VALUE"""),"train")</f>
        <v>train</v>
      </c>
      <c r="D466" s="15" t="str">
        <f>IFERROR(__xludf.DUMMYFUNCTION("""COMPUTED_VALUE"""),"train")</f>
        <v>train</v>
      </c>
      <c r="E466" s="15">
        <f>IFERROR(__xludf.DUMMYFUNCTION("""COMPUTED_VALUE"""),249.0)</f>
        <v>249</v>
      </c>
      <c r="F466" s="15" t="str">
        <f>IFERROR(__xludf.DUMMYFUNCTION("""COMPUTED_VALUE"""),"8MP_JPG")</f>
        <v>8MP_JPG</v>
      </c>
      <c r="G466" s="15" t="str">
        <f>IFERROR(__xludf.DUMMYFUNCTION("""COMPUTED_VALUE"""),"EUROPE, GERMANY, RAIN, CLEAR, DAY")</f>
        <v>EUROPE, GERMANY, RAIN, CLEAR, DAY</v>
      </c>
      <c r="H466" s="15">
        <f>IFERROR(__xludf.DUMMYFUNCTION("""COMPUTED_VALUE"""),-1.0)</f>
        <v>-1</v>
      </c>
      <c r="I466" s="15">
        <f>IFERROR(__xludf.DUMMYFUNCTION("""COMPUTED_VALUE"""),-1.0)</f>
        <v>-1</v>
      </c>
      <c r="J466" s="15">
        <f>IFERROR(__xludf.DUMMYFUNCTION("""COMPUTED_VALUE"""),-1.0)</f>
        <v>-1</v>
      </c>
      <c r="K466" s="28">
        <f>IFERROR(__xludf.DUMMYFUNCTION("""COMPUTED_VALUE"""),45389.698541666665)</f>
        <v>45389.69854</v>
      </c>
    </row>
    <row r="467">
      <c r="A467" s="25" t="str">
        <f>IFERROR(__xludf.DUMMYFUNCTION("""COMPUTED_VALUE"""),"659accd9d8ef2d6f5c52a7fe")</f>
        <v>659accd9d8ef2d6f5c52a7fe</v>
      </c>
      <c r="B467" s="26" t="str">
        <f>IFERROR(__xludf.DUMMYFUNCTION("""COMPUTED_VALUE"""),"2023_06_21_11_28_35_dekra_munich_rain_day_highway2_od_test_batch_8_split_by_size_of_200_tagged")</f>
        <v>2023_06_21_11_28_35_dekra_munich_rain_day_highway2_od_test_batch_8_split_by_size_of_200_tagged</v>
      </c>
      <c r="C467" s="26" t="str">
        <f>IFERROR(__xludf.DUMMYFUNCTION("""COMPUTED_VALUE"""),"test")</f>
        <v>test</v>
      </c>
      <c r="D467" s="26" t="str">
        <f>IFERROR(__xludf.DUMMYFUNCTION("""COMPUTED_VALUE"""),"test")</f>
        <v>test</v>
      </c>
      <c r="E467" s="26">
        <f>IFERROR(__xludf.DUMMYFUNCTION("""COMPUTED_VALUE"""),200.0)</f>
        <v>200</v>
      </c>
      <c r="F467" s="26" t="str">
        <f>IFERROR(__xludf.DUMMYFUNCTION("""COMPUTED_VALUE"""),"8MP_JPG")</f>
        <v>8MP_JPG</v>
      </c>
      <c r="G467" s="26" t="str">
        <f>IFERROR(__xludf.DUMMYFUNCTION("""COMPUTED_VALUE"""),"DOT_BOTS, UNCATEGORIZED_EVENT, RAIN, EU_SR, WET_ROAD, SPECIAL_VEHICLE, TUNNEL, EUROPE, HIGHWAY_EXIT, GERMANY, LANE_CHANGE, CLEAR, DAY, CROSSWALK")</f>
        <v>DOT_BOTS, UNCATEGORIZED_EVENT, RAIN, EU_SR, WET_ROAD, SPECIAL_VEHICLE, TUNNEL, EUROPE, HIGHWAY_EXIT, GERMANY, LANE_CHANGE, CLEAR, DAY, CROSSWALK</v>
      </c>
      <c r="H467" s="26">
        <f>IFERROR(__xludf.DUMMYFUNCTION("""COMPUTED_VALUE"""),-1.0)</f>
        <v>-1</v>
      </c>
      <c r="I467" s="26">
        <f>IFERROR(__xludf.DUMMYFUNCTION("""COMPUTED_VALUE"""),-1.0)</f>
        <v>-1</v>
      </c>
      <c r="J467" s="26">
        <f>IFERROR(__xludf.DUMMYFUNCTION("""COMPUTED_VALUE"""),-1.0)</f>
        <v>-1</v>
      </c>
      <c r="K467" s="29">
        <f>IFERROR(__xludf.DUMMYFUNCTION("""COMPUTED_VALUE"""),45389.700474537036)</f>
        <v>45389.70047</v>
      </c>
    </row>
    <row r="468">
      <c r="A468" s="25" t="str">
        <f>IFERROR(__xludf.DUMMYFUNCTION("""COMPUTED_VALUE"""),"656885ddfa38f84eb40079cf")</f>
        <v>656885ddfa38f84eb40079cf</v>
      </c>
      <c r="B468" s="26" t="str">
        <f>IFERROR(__xludf.DUMMYFUNCTION("""COMPUTED_VALUE"""),"___ncap_vw_closed_loop_demo_tt_train_batch_1_split_by_size_of_867_tagged")</f>
        <v>___ncap_vw_closed_loop_demo_tt_train_batch_1_split_by_size_of_867_tagged</v>
      </c>
      <c r="C468" s="26" t="str">
        <f>IFERROR(__xludf.DUMMYFUNCTION("""COMPUTED_VALUE"""),"train")</f>
        <v>train</v>
      </c>
      <c r="D468" s="26" t="str">
        <f>IFERROR(__xludf.DUMMYFUNCTION("""COMPUTED_VALUE"""),"train")</f>
        <v>train</v>
      </c>
      <c r="E468" s="26">
        <f>IFERROR(__xludf.DUMMYFUNCTION("""COMPUTED_VALUE"""),798.0)</f>
        <v>798</v>
      </c>
      <c r="F468" s="26" t="str">
        <f>IFERROR(__xludf.DUMMYFUNCTION("""COMPUTED_VALUE"""),"8MP_JPG")</f>
        <v>8MP_JPG</v>
      </c>
      <c r="G468" s="26" t="str">
        <f>IFERROR(__xludf.DUMMYFUNCTION("""COMPUTED_VALUE"""),"OD_NCAP, CLEAR, GERMANY, DAY")</f>
        <v>OD_NCAP, CLEAR, GERMANY, DAY</v>
      </c>
      <c r="H468" s="26">
        <f>IFERROR(__xludf.DUMMYFUNCTION("""COMPUTED_VALUE"""),950.0)</f>
        <v>950</v>
      </c>
      <c r="I468" s="26">
        <f>IFERROR(__xludf.DUMMYFUNCTION("""COMPUTED_VALUE"""),-1.0)</f>
        <v>-1</v>
      </c>
      <c r="J468" s="26">
        <f>IFERROR(__xludf.DUMMYFUNCTION("""COMPUTED_VALUE"""),-1.0)</f>
        <v>-1</v>
      </c>
      <c r="K468" s="29">
        <f>IFERROR(__xludf.DUMMYFUNCTION("""COMPUTED_VALUE"""),45389.720046296294)</f>
        <v>45389.72005</v>
      </c>
    </row>
    <row r="469">
      <c r="A469" s="18" t="str">
        <f>IFERROR(__xludf.DUMMYFUNCTION("""COMPUTED_VALUE"""),"6565f8fdfa38f84eb4f9d994")</f>
        <v>6565f8fdfa38f84eb4f9d994</v>
      </c>
      <c r="B469" s="15" t="str">
        <f>IFERROR(__xludf.DUMMYFUNCTION("""COMPUTED_VALUE"""),"_dekra_munich_rain_day_highway_od_issues_2023_06_21_10_26_11_train_batch_0_split_by_size_of_200_for_train_od_tagged")</f>
        <v>_dekra_munich_rain_day_highway_od_issues_2023_06_21_10_26_11_train_batch_0_split_by_size_of_200_for_train_od_tagged</v>
      </c>
      <c r="C469" s="15" t="str">
        <f>IFERROR(__xludf.DUMMYFUNCTION("""COMPUTED_VALUE"""),"train")</f>
        <v>train</v>
      </c>
      <c r="D469" s="15" t="str">
        <f>IFERROR(__xludf.DUMMYFUNCTION("""COMPUTED_VALUE"""),"train")</f>
        <v>train</v>
      </c>
      <c r="E469" s="15">
        <f>IFERROR(__xludf.DUMMYFUNCTION("""COMPUTED_VALUE"""),199.0)</f>
        <v>199</v>
      </c>
      <c r="F469" s="15" t="str">
        <f>IFERROR(__xludf.DUMMYFUNCTION("""COMPUTED_VALUE"""),"8MP_JPG")</f>
        <v>8MP_JPG</v>
      </c>
      <c r="G469" s="15" t="str">
        <f>IFERROR(__xludf.DUMMYFUNCTION("""COMPUTED_VALUE"""),"RAIN, GERMANY, DAY, DEMO")</f>
        <v>RAIN, GERMANY, DAY, DEMO</v>
      </c>
      <c r="H469" s="15">
        <f>IFERROR(__xludf.DUMMYFUNCTION("""COMPUTED_VALUE"""),-1.0)</f>
        <v>-1</v>
      </c>
      <c r="I469" s="15">
        <f>IFERROR(__xludf.DUMMYFUNCTION("""COMPUTED_VALUE"""),-1.0)</f>
        <v>-1</v>
      </c>
      <c r="J469" s="15">
        <f>IFERROR(__xludf.DUMMYFUNCTION("""COMPUTED_VALUE"""),-1.0)</f>
        <v>-1</v>
      </c>
      <c r="K469" s="28">
        <f>IFERROR(__xludf.DUMMYFUNCTION("""COMPUTED_VALUE"""),45389.72184027778)</f>
        <v>45389.72184</v>
      </c>
    </row>
    <row r="470">
      <c r="A470" s="18" t="str">
        <f>IFERROR(__xludf.DUMMYFUNCTION("""COMPUTED_VALUE"""),"6565f7c4fa38f84eb4f8ca12")</f>
        <v>6565f7c4fa38f84eb4f8ca12</v>
      </c>
      <c r="B470" s="15" t="str">
        <f>IFERROR(__xludf.DUMMYFUNCTION("""COMPUTED_VALUE"""),"_2023_08_01_08_44_05_vaihingen_kitzingen_heavy_rain_day_as_single_set_skipped_6_batch_47_split_by_size_of_500_tagged")</f>
        <v>_2023_08_01_08_44_05_vaihingen_kitzingen_heavy_rain_day_as_single_set_skipped_6_batch_47_split_by_size_of_500_tagged</v>
      </c>
      <c r="C470" s="15" t="str">
        <f>IFERROR(__xludf.DUMMYFUNCTION("""COMPUTED_VALUE"""),"train")</f>
        <v>train</v>
      </c>
      <c r="D470" s="15" t="str">
        <f>IFERROR(__xludf.DUMMYFUNCTION("""COMPUTED_VALUE"""),"train")</f>
        <v>train</v>
      </c>
      <c r="E470" s="15">
        <f>IFERROR(__xludf.DUMMYFUNCTION("""COMPUTED_VALUE"""),500.0)</f>
        <v>500</v>
      </c>
      <c r="F470" s="15" t="str">
        <f>IFERROR(__xludf.DUMMYFUNCTION("""COMPUTED_VALUE"""),"8MP_JPG")</f>
        <v>8MP_JPG</v>
      </c>
      <c r="G470" s="15" t="str">
        <f>IFERROR(__xludf.DUMMYFUNCTION("""COMPUTED_VALUE"""),"RAIN, GERMANY, DAY, DEMO")</f>
        <v>RAIN, GERMANY, DAY, DEMO</v>
      </c>
      <c r="H470" s="15">
        <f>IFERROR(__xludf.DUMMYFUNCTION("""COMPUTED_VALUE"""),950.0)</f>
        <v>950</v>
      </c>
      <c r="I470" s="15">
        <f>IFERROR(__xludf.DUMMYFUNCTION("""COMPUTED_VALUE"""),-1.0)</f>
        <v>-1</v>
      </c>
      <c r="J470" s="15">
        <f>IFERROR(__xludf.DUMMYFUNCTION("""COMPUTED_VALUE"""),-1.0)</f>
        <v>-1</v>
      </c>
      <c r="K470" s="28">
        <f>IFERROR(__xludf.DUMMYFUNCTION("""COMPUTED_VALUE"""),45480.372615740744)</f>
        <v>45480.37262</v>
      </c>
    </row>
    <row r="471">
      <c r="A471" s="18" t="str">
        <f>IFERROR(__xludf.DUMMYFUNCTION("""COMPUTED_VALUE"""),"6565f7bbfa38f84eb4f8c045")</f>
        <v>6565f7bbfa38f84eb4f8c045</v>
      </c>
      <c r="B471" s="15" t="str">
        <f>IFERROR(__xludf.DUMMYFUNCTION("""COMPUTED_VALUE"""),"_2023_08_01_08_44_05_vaihingen_kitzingen_heavy_rain_day_as_single_set_skipped_6_batch_48_split_by_size_of_500_tagged")</f>
        <v>_2023_08_01_08_44_05_vaihingen_kitzingen_heavy_rain_day_as_single_set_skipped_6_batch_48_split_by_size_of_500_tagged</v>
      </c>
      <c r="C471" s="15" t="str">
        <f>IFERROR(__xludf.DUMMYFUNCTION("""COMPUTED_VALUE"""),"train")</f>
        <v>train</v>
      </c>
      <c r="D471" s="15" t="str">
        <f>IFERROR(__xludf.DUMMYFUNCTION("""COMPUTED_VALUE"""),"train")</f>
        <v>train</v>
      </c>
      <c r="E471" s="15">
        <f>IFERROR(__xludf.DUMMYFUNCTION("""COMPUTED_VALUE"""),499.0)</f>
        <v>499</v>
      </c>
      <c r="F471" s="15" t="str">
        <f>IFERROR(__xludf.DUMMYFUNCTION("""COMPUTED_VALUE"""),"8MP_JPG")</f>
        <v>8MP_JPG</v>
      </c>
      <c r="G471" s="15" t="str">
        <f>IFERROR(__xludf.DUMMYFUNCTION("""COMPUTED_VALUE"""),"RAIN, GERMANY, DAY, DEMO")</f>
        <v>RAIN, GERMANY, DAY, DEMO</v>
      </c>
      <c r="H471" s="15">
        <f>IFERROR(__xludf.DUMMYFUNCTION("""COMPUTED_VALUE"""),-1.0)</f>
        <v>-1</v>
      </c>
      <c r="I471" s="15">
        <f>IFERROR(__xludf.DUMMYFUNCTION("""COMPUTED_VALUE"""),-1.0)</f>
        <v>-1</v>
      </c>
      <c r="J471" s="15">
        <f>IFERROR(__xludf.DUMMYFUNCTION("""COMPUTED_VALUE"""),-1.0)</f>
        <v>-1</v>
      </c>
      <c r="K471" s="28">
        <f>IFERROR(__xludf.DUMMYFUNCTION("""COMPUTED_VALUE"""),45480.37293981481)</f>
        <v>45480.37294</v>
      </c>
    </row>
    <row r="472">
      <c r="A472" s="18" t="str">
        <f>IFERROR(__xludf.DUMMYFUNCTION("""COMPUTED_VALUE"""),"6565f7b0fa38f84eb4f8b606")</f>
        <v>6565f7b0fa38f84eb4f8b606</v>
      </c>
      <c r="B472" s="15" t="str">
        <f>IFERROR(__xludf.DUMMYFUNCTION("""COMPUTED_VALUE"""),"_2023_08_01_08_44_05_vaihingen_kitzingen_heavy_rain_day_as_single_set_skipped_6_batch_49_split_by_size_of_500_tagged")</f>
        <v>_2023_08_01_08_44_05_vaihingen_kitzingen_heavy_rain_day_as_single_set_skipped_6_batch_49_split_by_size_of_500_tagged</v>
      </c>
      <c r="C472" s="15" t="str">
        <f>IFERROR(__xludf.DUMMYFUNCTION("""COMPUTED_VALUE"""),"train")</f>
        <v>train</v>
      </c>
      <c r="D472" s="15" t="str">
        <f>IFERROR(__xludf.DUMMYFUNCTION("""COMPUTED_VALUE"""),"train")</f>
        <v>train</v>
      </c>
      <c r="E472" s="15">
        <f>IFERROR(__xludf.DUMMYFUNCTION("""COMPUTED_VALUE"""),409.0)</f>
        <v>409</v>
      </c>
      <c r="F472" s="15" t="str">
        <f>IFERROR(__xludf.DUMMYFUNCTION("""COMPUTED_VALUE"""),"8MP_JPG")</f>
        <v>8MP_JPG</v>
      </c>
      <c r="G472" s="15" t="str">
        <f>IFERROR(__xludf.DUMMYFUNCTION("""COMPUTED_VALUE"""),"RAIN, GERMANY, DAY, DEMO")</f>
        <v>RAIN, GERMANY, DAY, DEMO</v>
      </c>
      <c r="H472" s="15">
        <f>IFERROR(__xludf.DUMMYFUNCTION("""COMPUTED_VALUE"""),-1.0)</f>
        <v>-1</v>
      </c>
      <c r="I472" s="15">
        <f>IFERROR(__xludf.DUMMYFUNCTION("""COMPUTED_VALUE"""),-1.0)</f>
        <v>-1</v>
      </c>
      <c r="J472" s="15">
        <f>IFERROR(__xludf.DUMMYFUNCTION("""COMPUTED_VALUE"""),-1.0)</f>
        <v>-1</v>
      </c>
      <c r="K472" s="28">
        <f>IFERROR(__xludf.DUMMYFUNCTION("""COMPUTED_VALUE"""),45480.373194444444)</f>
        <v>45480.37319</v>
      </c>
    </row>
    <row r="473">
      <c r="A473" s="18" t="str">
        <f>IFERROR(__xludf.DUMMYFUNCTION("""COMPUTED_VALUE"""),"6565f448fa38f84eb4f875e2")</f>
        <v>6565f448fa38f84eb4f875e2</v>
      </c>
      <c r="B473" s="15" t="str">
        <f>IFERROR(__xludf.DUMMYFUNCTION("""COMPUTED_VALUE"""),"_2023_09_07_23_58_56_wolfsbourg_magna_clear_night1_2_skipped_120_batch_5_split_by_size_of_100_for_train_od_tagged")</f>
        <v>_2023_09_07_23_58_56_wolfsbourg_magna_clear_night1_2_skipped_120_batch_5_split_by_size_of_100_for_train_od_tagged</v>
      </c>
      <c r="C473" s="15" t="str">
        <f>IFERROR(__xludf.DUMMYFUNCTION("""COMPUTED_VALUE"""),"train")</f>
        <v>train</v>
      </c>
      <c r="D473" s="15" t="str">
        <f>IFERROR(__xludf.DUMMYFUNCTION("""COMPUTED_VALUE"""),"train")</f>
        <v>train</v>
      </c>
      <c r="E473" s="15">
        <f>IFERROR(__xludf.DUMMYFUNCTION("""COMPUTED_VALUE"""),52.0)</f>
        <v>52</v>
      </c>
      <c r="F473" s="15" t="str">
        <f>IFERROR(__xludf.DUMMYFUNCTION("""COMPUTED_VALUE"""),"8MP_JPG")</f>
        <v>8MP_JPG</v>
      </c>
      <c r="G473" s="15" t="str">
        <f>IFERROR(__xludf.DUMMYFUNCTION("""COMPUTED_VALUE"""),"NIGHT, EUROPE, DEMO, GERMANY, VWB, CLEAR")</f>
        <v>NIGHT, EUROPE, DEMO, GERMANY, VWB, CLEAR</v>
      </c>
      <c r="H473" s="15">
        <f>IFERROR(__xludf.DUMMYFUNCTION("""COMPUTED_VALUE"""),-1.0)</f>
        <v>-1</v>
      </c>
      <c r="I473" s="15">
        <f>IFERROR(__xludf.DUMMYFUNCTION("""COMPUTED_VALUE"""),-1.0)</f>
        <v>-1</v>
      </c>
      <c r="J473" s="15">
        <f>IFERROR(__xludf.DUMMYFUNCTION("""COMPUTED_VALUE"""),-1.0)</f>
        <v>-1</v>
      </c>
      <c r="K473" s="28">
        <f>IFERROR(__xludf.DUMMYFUNCTION("""COMPUTED_VALUE"""),45480.374444444446)</f>
        <v>45480.37444</v>
      </c>
    </row>
    <row r="474">
      <c r="A474" s="18" t="str">
        <f>IFERROR(__xludf.DUMMYFUNCTION("""COMPUTED_VALUE"""),"6565f3cefa38f84eb4f871c9")</f>
        <v>6565f3cefa38f84eb4f871c9</v>
      </c>
      <c r="B474" s="15" t="str">
        <f>IFERROR(__xludf.DUMMYFUNCTION("""COMPUTED_VALUE"""),"_collected_night_random_from_wolfsburg_demo_v2_batch_8_split_by_size_of_200_for_train_od_tagged")</f>
        <v>_collected_night_random_from_wolfsburg_demo_v2_batch_8_split_by_size_of_200_for_train_od_tagged</v>
      </c>
      <c r="C474" s="15" t="str">
        <f>IFERROR(__xludf.DUMMYFUNCTION("""COMPUTED_VALUE"""),"train")</f>
        <v>train</v>
      </c>
      <c r="D474" s="15" t="str">
        <f>IFERROR(__xludf.DUMMYFUNCTION("""COMPUTED_VALUE"""),"train")</f>
        <v>train</v>
      </c>
      <c r="E474" s="15">
        <f>IFERROR(__xludf.DUMMYFUNCTION("""COMPUTED_VALUE"""),200.0)</f>
        <v>200</v>
      </c>
      <c r="F474" s="15" t="str">
        <f>IFERROR(__xludf.DUMMYFUNCTION("""COMPUTED_VALUE"""),"8MP_JPG")</f>
        <v>8MP_JPG</v>
      </c>
      <c r="G474" s="15" t="str">
        <f>IFERROR(__xludf.DUMMYFUNCTION("""COMPUTED_VALUE"""),"NIGHT, GERMANY, DEMO")</f>
        <v>NIGHT, GERMANY, DEMO</v>
      </c>
      <c r="H474" s="15">
        <f>IFERROR(__xludf.DUMMYFUNCTION("""COMPUTED_VALUE"""),-1.0)</f>
        <v>-1</v>
      </c>
      <c r="I474" s="15">
        <f>IFERROR(__xludf.DUMMYFUNCTION("""COMPUTED_VALUE"""),-1.0)</f>
        <v>-1</v>
      </c>
      <c r="J474" s="15">
        <f>IFERROR(__xludf.DUMMYFUNCTION("""COMPUTED_VALUE"""),-1.0)</f>
        <v>-1</v>
      </c>
      <c r="K474" s="28">
        <f>IFERROR(__xludf.DUMMYFUNCTION("""COMPUTED_VALUE"""),45480.37466435185)</f>
        <v>45480.37466</v>
      </c>
    </row>
    <row r="475">
      <c r="A475" s="18" t="str">
        <f>IFERROR(__xludf.DUMMYFUNCTION("""COMPUTED_VALUE"""),"6565f384fa38f84eb4f84096")</f>
        <v>6565f384fa38f84eb4f84096</v>
      </c>
      <c r="B475" s="15" t="str">
        <f>IFERROR(__xludf.DUMMYFUNCTION("""COMPUTED_VALUE"""),"_od_night_issues_22_11_2023_train_batch_2_split_by_size_of_384_tagged")</f>
        <v>_od_night_issues_22_11_2023_train_batch_2_split_by_size_of_384_tagged</v>
      </c>
      <c r="C475" s="15" t="str">
        <f>IFERROR(__xludf.DUMMYFUNCTION("""COMPUTED_VALUE"""),"train")</f>
        <v>train</v>
      </c>
      <c r="D475" s="15" t="str">
        <f>IFERROR(__xludf.DUMMYFUNCTION("""COMPUTED_VALUE"""),"train")</f>
        <v>train</v>
      </c>
      <c r="E475" s="15">
        <f>IFERROR(__xludf.DUMMYFUNCTION("""COMPUTED_VALUE"""),375.0)</f>
        <v>375</v>
      </c>
      <c r="F475" s="15" t="str">
        <f>IFERROR(__xludf.DUMMYFUNCTION("""COMPUTED_VALUE"""),"8MP_JPG")</f>
        <v>8MP_JPG</v>
      </c>
      <c r="G475" s="15" t="str">
        <f>IFERROR(__xludf.DUMMYFUNCTION("""COMPUTED_VALUE"""),"NIGHT, EUROPE, CLEAR")</f>
        <v>NIGHT, EUROPE, CLEAR</v>
      </c>
      <c r="H475" s="15">
        <f>IFERROR(__xludf.DUMMYFUNCTION("""COMPUTED_VALUE"""),-1.0)</f>
        <v>-1</v>
      </c>
      <c r="I475" s="15">
        <f>IFERROR(__xludf.DUMMYFUNCTION("""COMPUTED_VALUE"""),-1.0)</f>
        <v>-1</v>
      </c>
      <c r="J475" s="15">
        <f>IFERROR(__xludf.DUMMYFUNCTION("""COMPUTED_VALUE"""),-1.0)</f>
        <v>-1</v>
      </c>
      <c r="K475" s="28">
        <f>IFERROR(__xludf.DUMMYFUNCTION("""COMPUTED_VALUE"""),45480.375069444446)</f>
        <v>45480.37507</v>
      </c>
    </row>
    <row r="476">
      <c r="A476" s="18" t="str">
        <f>IFERROR(__xludf.DUMMYFUNCTION("""COMPUTED_VALUE"""),"654cd46854107825f775edd0")</f>
        <v>654cd46854107825f775edd0</v>
      </c>
      <c r="B476" s="15" t="str">
        <f>IFERROR(__xludf.DUMMYFUNCTION("""COMPUTED_VALUE"""),"_2023_06_21_11_28_35_dekra_munich_rain_day_highway2_od_test_batch_6_split_by_size_of_200_for_test_od_tagged")</f>
        <v>_2023_06_21_11_28_35_dekra_munich_rain_day_highway2_od_test_batch_6_split_by_size_of_200_for_test_od_tagged</v>
      </c>
      <c r="C476" s="15" t="str">
        <f>IFERROR(__xludf.DUMMYFUNCTION("""COMPUTED_VALUE"""),"test")</f>
        <v>test</v>
      </c>
      <c r="D476" s="15" t="str">
        <f>IFERROR(__xludf.DUMMYFUNCTION("""COMPUTED_VALUE"""),"test")</f>
        <v>test</v>
      </c>
      <c r="E476" s="15">
        <f>IFERROR(__xludf.DUMMYFUNCTION("""COMPUTED_VALUE"""),200.0)</f>
        <v>200</v>
      </c>
      <c r="F476" s="15" t="str">
        <f>IFERROR(__xludf.DUMMYFUNCTION("""COMPUTED_VALUE"""),"8MP_JPG")</f>
        <v>8MP_JPG</v>
      </c>
      <c r="G476" s="15" t="str">
        <f>IFERROR(__xludf.DUMMYFUNCTION("""COMPUTED_VALUE"""),"DOT_BOTS, UNCATEGORIZED_EVENT, RAIN, WET_ROAD, SPECIAL_VEHICLE, TUNNEL, EUROPE, HIGHWAY_EXIT, GERMANY, LANE_CHANGE, EU_SR, CLEAR, DAY, CROSSWALK")</f>
        <v>DOT_BOTS, UNCATEGORIZED_EVENT, RAIN, WET_ROAD, SPECIAL_VEHICLE, TUNNEL, EUROPE, HIGHWAY_EXIT, GERMANY, LANE_CHANGE, EU_SR, CLEAR, DAY, CROSSWALK</v>
      </c>
      <c r="H476" s="15">
        <f>IFERROR(__xludf.DUMMYFUNCTION("""COMPUTED_VALUE"""),950.0)</f>
        <v>950</v>
      </c>
      <c r="I476" s="15">
        <f>IFERROR(__xludf.DUMMYFUNCTION("""COMPUTED_VALUE"""),1675.0)</f>
        <v>1675</v>
      </c>
      <c r="J476" s="15">
        <f>IFERROR(__xludf.DUMMYFUNCTION("""COMPUTED_VALUE"""),1585.0)</f>
        <v>1585</v>
      </c>
      <c r="K476" s="28">
        <f>IFERROR(__xludf.DUMMYFUNCTION("""COMPUTED_VALUE"""),45480.3752662037)</f>
        <v>45480.37527</v>
      </c>
    </row>
    <row r="477">
      <c r="A477" s="18" t="str">
        <f>IFERROR(__xludf.DUMMYFUNCTION("""COMPUTED_VALUE"""),"6527b3aa54107825f76a500d")</f>
        <v>6527b3aa54107825f76a500d</v>
      </c>
      <c r="B477" s="15" t="str">
        <f>IFERROR(__xludf.DUMMYFUNCTION("""COMPUTED_VALUE"""),"official_od__sheep_superset_6502aaf17edfb609dc1b4ab9_for_fa_removal_train_skipped_every_10_img_batch_13_split_by_size_of_100_od_for_train_tagged")</f>
        <v>official_od__sheep_superset_6502aaf17edfb609dc1b4ab9_for_fa_removal_train_skipped_every_10_img_batch_13_split_by_size_of_100_od_for_train_tagged</v>
      </c>
      <c r="C477" s="15" t="str">
        <f>IFERROR(__xludf.DUMMYFUNCTION("""COMPUTED_VALUE"""),"train")</f>
        <v>train</v>
      </c>
      <c r="D477" s="15" t="str">
        <f>IFERROR(__xludf.DUMMYFUNCTION("""COMPUTED_VALUE"""),"train")</f>
        <v>train</v>
      </c>
      <c r="E477" s="15">
        <f>IFERROR(__xludf.DUMMYFUNCTION("""COMPUTED_VALUE"""),87.0)</f>
        <v>87</v>
      </c>
      <c r="F477" s="15" t="str">
        <f>IFERROR(__xludf.DUMMYFUNCTION("""COMPUTED_VALUE"""),"8MP_JPG")</f>
        <v>8MP_JPG</v>
      </c>
      <c r="G477" s="15" t="str">
        <f>IFERROR(__xludf.DUMMYFUNCTION("""COMPUTED_VALUE"""),"CLOUDY, DAY, GERMANY")</f>
        <v>CLOUDY, DAY, GERMANY</v>
      </c>
      <c r="H477" s="15">
        <f>IFERROR(__xludf.DUMMYFUNCTION("""COMPUTED_VALUE"""),-1.0)</f>
        <v>-1</v>
      </c>
      <c r="I477" s="15">
        <f>IFERROR(__xludf.DUMMYFUNCTION("""COMPUTED_VALUE"""),-1.0)</f>
        <v>-1</v>
      </c>
      <c r="J477" s="15">
        <f>IFERROR(__xludf.DUMMYFUNCTION("""COMPUTED_VALUE"""),-1.0)</f>
        <v>-1</v>
      </c>
      <c r="K477" s="28">
        <f>IFERROR(__xludf.DUMMYFUNCTION("""COMPUTED_VALUE"""),45480.38327546296)</f>
        <v>45480.38328</v>
      </c>
    </row>
    <row r="478">
      <c r="A478" s="25" t="str">
        <f>IFERROR(__xludf.DUMMYFUNCTION("""COMPUTED_VALUE"""),"6526b13254107825f76a4cc5")</f>
        <v>6526b13254107825f76a4cc5</v>
      </c>
      <c r="B478" s="26" t="str">
        <f>IFERROR(__xludf.DUMMYFUNCTION("""COMPUTED_VALUE"""),"official_od_collected_night_random_from_wolfsburg_demo_v2_batch_5_split_by_size_of_200_od_for_train_tagged")</f>
        <v>official_od_collected_night_random_from_wolfsburg_demo_v2_batch_5_split_by_size_of_200_od_for_train_tagged</v>
      </c>
      <c r="C478" s="26" t="str">
        <f>IFERROR(__xludf.DUMMYFUNCTION("""COMPUTED_VALUE"""),"train")</f>
        <v>train</v>
      </c>
      <c r="D478" s="26" t="str">
        <f>IFERROR(__xludf.DUMMYFUNCTION("""COMPUTED_VALUE"""),"train")</f>
        <v>train</v>
      </c>
      <c r="E478" s="26">
        <f>IFERROR(__xludf.DUMMYFUNCTION("""COMPUTED_VALUE"""),145.0)</f>
        <v>145</v>
      </c>
      <c r="F478" s="26" t="str">
        <f>IFERROR(__xludf.DUMMYFUNCTION("""COMPUTED_VALUE"""),"8MP_JPG")</f>
        <v>8MP_JPG</v>
      </c>
      <c r="G478" s="26" t="str">
        <f>IFERROR(__xludf.DUMMYFUNCTION("""COMPUTED_VALUE"""),"NIGHT, GERMANY, DEMO")</f>
        <v>NIGHT, GERMANY, DEMO</v>
      </c>
      <c r="H478" s="26">
        <f>IFERROR(__xludf.DUMMYFUNCTION("""COMPUTED_VALUE"""),-1.0)</f>
        <v>-1</v>
      </c>
      <c r="I478" s="26">
        <f>IFERROR(__xludf.DUMMYFUNCTION("""COMPUTED_VALUE"""),-1.0)</f>
        <v>-1</v>
      </c>
      <c r="J478" s="26">
        <f>IFERROR(__xludf.DUMMYFUNCTION("""COMPUTED_VALUE"""),-1.0)</f>
        <v>-1</v>
      </c>
      <c r="K478" s="29">
        <f>IFERROR(__xludf.DUMMYFUNCTION("""COMPUTED_VALUE"""),45480.38340277778)</f>
        <v>45480.3834</v>
      </c>
    </row>
    <row r="479">
      <c r="A479" s="25" t="str">
        <f>IFERROR(__xludf.DUMMYFUNCTION("""COMPUTED_VALUE"""),"6526b06154107825f76a4cb7")</f>
        <v>6526b06154107825f76a4cb7</v>
      </c>
      <c r="B479" s="26" t="str">
        <f>IFERROR(__xludf.DUMMYFUNCTION("""COMPUTED_VALUE"""),"official_od_collected_night_random_from_wolfsburg_demo_v2_batch_6_split_by_size_of_200_od_for_train_tagged")</f>
        <v>official_od_collected_night_random_from_wolfsburg_demo_v2_batch_6_split_by_size_of_200_od_for_train_tagged</v>
      </c>
      <c r="C479" s="26" t="str">
        <f>IFERROR(__xludf.DUMMYFUNCTION("""COMPUTED_VALUE"""),"train")</f>
        <v>train</v>
      </c>
      <c r="D479" s="26" t="str">
        <f>IFERROR(__xludf.DUMMYFUNCTION("""COMPUTED_VALUE"""),"train")</f>
        <v>train</v>
      </c>
      <c r="E479" s="26">
        <f>IFERROR(__xludf.DUMMYFUNCTION("""COMPUTED_VALUE"""),200.0)</f>
        <v>200</v>
      </c>
      <c r="F479" s="26" t="str">
        <f>IFERROR(__xludf.DUMMYFUNCTION("""COMPUTED_VALUE"""),"8MP_JPG")</f>
        <v>8MP_JPG</v>
      </c>
      <c r="G479" s="26" t="str">
        <f>IFERROR(__xludf.DUMMYFUNCTION("""COMPUTED_VALUE"""),"NIGHT, GERMANY, DEMO")</f>
        <v>NIGHT, GERMANY, DEMO</v>
      </c>
      <c r="H479" s="26">
        <f>IFERROR(__xludf.DUMMYFUNCTION("""COMPUTED_VALUE"""),-1.0)</f>
        <v>-1</v>
      </c>
      <c r="I479" s="26">
        <f>IFERROR(__xludf.DUMMYFUNCTION("""COMPUTED_VALUE"""),-1.0)</f>
        <v>-1</v>
      </c>
      <c r="J479" s="26">
        <f>IFERROR(__xludf.DUMMYFUNCTION("""COMPUTED_VALUE"""),-1.0)</f>
        <v>-1</v>
      </c>
      <c r="K479" s="29">
        <f>IFERROR(__xludf.DUMMYFUNCTION("""COMPUTED_VALUE"""),45480.383576388886)</f>
        <v>45480.38358</v>
      </c>
    </row>
    <row r="480">
      <c r="A480" s="25" t="str">
        <f>IFERROR(__xludf.DUMMYFUNCTION("""COMPUTED_VALUE"""),"6526af7c54107825f76a4c97")</f>
        <v>6526af7c54107825f76a4c97</v>
      </c>
      <c r="B480" s="26" t="str">
        <f>IFERROR(__xludf.DUMMYFUNCTION("""COMPUTED_VALUE"""),"official_od_collected_night_random_from_wolfsburg_demo_v2_batch_7_split_by_size_of_200_od_for_train_tagged")</f>
        <v>official_od_collected_night_random_from_wolfsburg_demo_v2_batch_7_split_by_size_of_200_od_for_train_tagged</v>
      </c>
      <c r="C480" s="26" t="str">
        <f>IFERROR(__xludf.DUMMYFUNCTION("""COMPUTED_VALUE"""),"train")</f>
        <v>train</v>
      </c>
      <c r="D480" s="26" t="str">
        <f>IFERROR(__xludf.DUMMYFUNCTION("""COMPUTED_VALUE"""),"train")</f>
        <v>train</v>
      </c>
      <c r="E480" s="26">
        <f>IFERROR(__xludf.DUMMYFUNCTION("""COMPUTED_VALUE"""),200.0)</f>
        <v>200</v>
      </c>
      <c r="F480" s="26" t="str">
        <f>IFERROR(__xludf.DUMMYFUNCTION("""COMPUTED_VALUE"""),"8MP_JPG")</f>
        <v>8MP_JPG</v>
      </c>
      <c r="G480" s="26" t="str">
        <f>IFERROR(__xludf.DUMMYFUNCTION("""COMPUTED_VALUE"""),"NIGHT, GERMANY, DEMO")</f>
        <v>NIGHT, GERMANY, DEMO</v>
      </c>
      <c r="H480" s="26">
        <f>IFERROR(__xludf.DUMMYFUNCTION("""COMPUTED_VALUE"""),-1.0)</f>
        <v>-1</v>
      </c>
      <c r="I480" s="26">
        <f>IFERROR(__xludf.DUMMYFUNCTION("""COMPUTED_VALUE"""),-1.0)</f>
        <v>-1</v>
      </c>
      <c r="J480" s="26">
        <f>IFERROR(__xludf.DUMMYFUNCTION("""COMPUTED_VALUE"""),-1.0)</f>
        <v>-1</v>
      </c>
      <c r="K480" s="29">
        <f>IFERROR(__xludf.DUMMYFUNCTION("""COMPUTED_VALUE"""),45480.38376157408)</f>
        <v>45480.38376</v>
      </c>
    </row>
    <row r="481">
      <c r="A481" s="25" t="str">
        <f>IFERROR(__xludf.DUMMYFUNCTION("""COMPUTED_VALUE"""),"6522d73454107825f76a3a4b")</f>
        <v>6522d73454107825f76a3a4b</v>
      </c>
      <c r="B481" s="26" t="str">
        <f>IFERROR(__xludf.DUMMYFUNCTION("""COMPUTED_VALUE"""),"official_od_collected_night_issues_from_wolfsburg_demo_v2_batch_2_split_by_size_of_200_od_for_train_tagged")</f>
        <v>official_od_collected_night_issues_from_wolfsburg_demo_v2_batch_2_split_by_size_of_200_od_for_train_tagged</v>
      </c>
      <c r="C481" s="26" t="str">
        <f>IFERROR(__xludf.DUMMYFUNCTION("""COMPUTED_VALUE"""),"train")</f>
        <v>train</v>
      </c>
      <c r="D481" s="26" t="str">
        <f>IFERROR(__xludf.DUMMYFUNCTION("""COMPUTED_VALUE"""),"train")</f>
        <v>train</v>
      </c>
      <c r="E481" s="26">
        <f>IFERROR(__xludf.DUMMYFUNCTION("""COMPUTED_VALUE"""),200.0)</f>
        <v>200</v>
      </c>
      <c r="F481" s="26" t="str">
        <f>IFERROR(__xludf.DUMMYFUNCTION("""COMPUTED_VALUE"""),"8MP_JPG")</f>
        <v>8MP_JPG</v>
      </c>
      <c r="G481" s="26" t="str">
        <f>IFERROR(__xludf.DUMMYFUNCTION("""COMPUTED_VALUE"""),"NIGHT, GERMANY, DEMO")</f>
        <v>NIGHT, GERMANY, DEMO</v>
      </c>
      <c r="H481" s="26">
        <f>IFERROR(__xludf.DUMMYFUNCTION("""COMPUTED_VALUE"""),950.0)</f>
        <v>950</v>
      </c>
      <c r="I481" s="26">
        <f>IFERROR(__xludf.DUMMYFUNCTION("""COMPUTED_VALUE"""),1675.0)</f>
        <v>1675</v>
      </c>
      <c r="J481" s="26">
        <f>IFERROR(__xludf.DUMMYFUNCTION("""COMPUTED_VALUE"""),1585.0)</f>
        <v>1585</v>
      </c>
      <c r="K481" s="29">
        <f>IFERROR(__xludf.DUMMYFUNCTION("""COMPUTED_VALUE"""),45480.383888888886)</f>
        <v>45480.38389</v>
      </c>
    </row>
    <row r="482">
      <c r="A482" s="19" t="str">
        <f>IFERROR(__xludf.DUMMYFUNCTION("""COMPUTED_VALUE"""),"6522d71054107825f76a3a48")</f>
        <v>6522d71054107825f76a3a48</v>
      </c>
      <c r="B482" s="20" t="str">
        <f>IFERROR(__xludf.DUMMYFUNCTION("""COMPUTED_VALUE"""),"official_od_collected_night_issues_from_wolfsburg_demo_v2_batch_5_split_by_size_of_200_od_for_train_tagged")</f>
        <v>official_od_collected_night_issues_from_wolfsburg_demo_v2_batch_5_split_by_size_of_200_od_for_train_tagged</v>
      </c>
      <c r="C482" s="20" t="str">
        <f>IFERROR(__xludf.DUMMYFUNCTION("""COMPUTED_VALUE"""),"train")</f>
        <v>train</v>
      </c>
      <c r="D482" s="20" t="str">
        <f>IFERROR(__xludf.DUMMYFUNCTION("""COMPUTED_VALUE"""),"train")</f>
        <v>train</v>
      </c>
      <c r="E482" s="20">
        <f>IFERROR(__xludf.DUMMYFUNCTION("""COMPUTED_VALUE"""),125.0)</f>
        <v>125</v>
      </c>
      <c r="F482" s="20" t="str">
        <f>IFERROR(__xludf.DUMMYFUNCTION("""COMPUTED_VALUE"""),"8MP_JPG")</f>
        <v>8MP_JPG</v>
      </c>
      <c r="G482" s="20" t="str">
        <f>IFERROR(__xludf.DUMMYFUNCTION("""COMPUTED_VALUE"""),"NIGHT, VWB, GERMANY, DEMO, CLEAR")</f>
        <v>NIGHT, VWB, GERMANY, DEMO, CLEAR</v>
      </c>
      <c r="H482" s="20">
        <f>IFERROR(__xludf.DUMMYFUNCTION("""COMPUTED_VALUE"""),950.0)</f>
        <v>950</v>
      </c>
      <c r="I482" s="20">
        <f>IFERROR(__xludf.DUMMYFUNCTION("""COMPUTED_VALUE"""),1675.0)</f>
        <v>1675</v>
      </c>
      <c r="J482" s="20">
        <f>IFERROR(__xludf.DUMMYFUNCTION("""COMPUTED_VALUE"""),1585.0)</f>
        <v>1585</v>
      </c>
      <c r="K482" s="32">
        <f>IFERROR(__xludf.DUMMYFUNCTION("""COMPUTED_VALUE"""),45480.3840162037)</f>
        <v>45480.38402</v>
      </c>
    </row>
    <row r="483">
      <c r="A483" s="15" t="str">
        <f>IFERROR(__xludf.DUMMYFUNCTION("""COMPUTED_VALUE"""),"651551b17edfb609dc1ba78e")</f>
        <v>651551b17edfb609dc1ba78e</v>
      </c>
      <c r="B483" s="15" t="str">
        <f>IFERROR(__xludf.DUMMYFUNCTION("""COMPUTED_VALUE"""),"official_od_wolfsburg_demo_night_v1_28_09_2023_for_train_tagged")</f>
        <v>official_od_wolfsburg_demo_night_v1_28_09_2023_for_train_tagged</v>
      </c>
      <c r="C483" s="15" t="str">
        <f>IFERROR(__xludf.DUMMYFUNCTION("""COMPUTED_VALUE"""),"train")</f>
        <v>train</v>
      </c>
      <c r="D483" s="15" t="str">
        <f>IFERROR(__xludf.DUMMYFUNCTION("""COMPUTED_VALUE"""),"train")</f>
        <v>train</v>
      </c>
      <c r="E483" s="15">
        <f>IFERROR(__xludf.DUMMYFUNCTION("""COMPUTED_VALUE"""),6110.0)</f>
        <v>6110</v>
      </c>
      <c r="F483" s="15" t="str">
        <f>IFERROR(__xludf.DUMMYFUNCTION("""COMPUTED_VALUE"""),"8MP_JPG")</f>
        <v>8MP_JPG</v>
      </c>
      <c r="G483" s="15" t="str">
        <f>IFERROR(__xludf.DUMMYFUNCTION("""COMPUTED_VALUE"""),"CLOUDY, DOUBLE_LANE_MARKS, BRIDGE, NIGHT, ARROWS, VWB, EUROPE, HIGHWAY_EXIT, TAR_LINES, GERMANY, DEMO, LANE_CHANGE, CLEAR")</f>
        <v>CLOUDY, DOUBLE_LANE_MARKS, BRIDGE, NIGHT, ARROWS, VWB, EUROPE, HIGHWAY_EXIT, TAR_LINES, GERMANY, DEMO, LANE_CHANGE, CLEAR</v>
      </c>
      <c r="H483" s="15">
        <f>IFERROR(__xludf.DUMMYFUNCTION("""COMPUTED_VALUE"""),-1.0)</f>
        <v>-1</v>
      </c>
      <c r="I483" s="15">
        <f>IFERROR(__xludf.DUMMYFUNCTION("""COMPUTED_VALUE"""),-1.0)</f>
        <v>-1</v>
      </c>
      <c r="J483" s="15">
        <f>IFERROR(__xludf.DUMMYFUNCTION("""COMPUTED_VALUE"""),-1.0)</f>
        <v>-1</v>
      </c>
      <c r="K483" s="33">
        <f>IFERROR(__xludf.DUMMYFUNCTION("""COMPUTED_VALUE"""),45480.38854166667)</f>
        <v>45480.38854</v>
      </c>
    </row>
    <row r="484">
      <c r="A484" s="15" t="str">
        <f>IFERROR(__xludf.DUMMYFUNCTION("""COMPUTED_VALUE"""),"64f8366a7edfb609dc1b049c")</f>
        <v>64f8366a7edfb609dc1b049c</v>
      </c>
      <c r="B484" s="15" t="str">
        <f>IFERROR(__xludf.DUMMYFUNCTION("""COMPUTED_VALUE"""),"night_dataset_tagging_net_problems_after_checking_for_train_tagged_added_to_official_super_set_od_train_8mp")</f>
        <v>night_dataset_tagging_net_problems_after_checking_for_train_tagged_added_to_official_super_set_od_train_8mp</v>
      </c>
      <c r="C484" s="15" t="str">
        <f>IFERROR(__xludf.DUMMYFUNCTION("""COMPUTED_VALUE"""),"train")</f>
        <v>train</v>
      </c>
      <c r="D484" s="15" t="str">
        <f>IFERROR(__xludf.DUMMYFUNCTION("""COMPUTED_VALUE"""),"train")</f>
        <v>train</v>
      </c>
      <c r="E484" s="15">
        <f>IFERROR(__xludf.DUMMYFUNCTION("""COMPUTED_VALUE"""),421.0)</f>
        <v>421</v>
      </c>
      <c r="F484" s="15" t="str">
        <f>IFERROR(__xludf.DUMMYFUNCTION("""COMPUTED_VALUE"""),"8MP_JPG")</f>
        <v>8MP_JPG</v>
      </c>
      <c r="G484" s="15" t="str">
        <f>IFERROR(__xludf.DUMMYFUNCTION("""COMPUTED_VALUE"""),"NIGHT, RAIN, GERMANY")</f>
        <v>NIGHT, RAIN, GERMANY</v>
      </c>
      <c r="H484" s="15">
        <f>IFERROR(__xludf.DUMMYFUNCTION("""COMPUTED_VALUE"""),950.0)</f>
        <v>950</v>
      </c>
      <c r="I484" s="15">
        <f>IFERROR(__xludf.DUMMYFUNCTION("""COMPUTED_VALUE"""),0.0)</f>
        <v>0</v>
      </c>
      <c r="J484" s="15">
        <f>IFERROR(__xludf.DUMMYFUNCTION("""COMPUTED_VALUE"""),0.0)</f>
        <v>0</v>
      </c>
      <c r="K484" s="33">
        <f>IFERROR(__xludf.DUMMYFUNCTION("""COMPUTED_VALUE"""),45511.494259259256)</f>
        <v>45511.49426</v>
      </c>
    </row>
    <row r="485">
      <c r="A485" s="26" t="str">
        <f>IFERROR(__xludf.DUMMYFUNCTION("""COMPUTED_VALUE"""),"64e75df27225d01c8be1a721")</f>
        <v>64e75df27225d01c8be1a721</v>
      </c>
      <c r="B485" s="26" t="str">
        <f>IFERROR(__xludf.DUMMYFUNCTION("""COMPUTED_VALUE"""),"official_od_acordion_buses_21_08_23_for_train_tagged")</f>
        <v>official_od_acordion_buses_21_08_23_for_train_tagged</v>
      </c>
      <c r="C485" s="26" t="str">
        <f>IFERROR(__xludf.DUMMYFUNCTION("""COMPUTED_VALUE"""),"train")</f>
        <v>train</v>
      </c>
      <c r="D485" s="26" t="str">
        <f>IFERROR(__xludf.DUMMYFUNCTION("""COMPUTED_VALUE"""),"train")</f>
        <v>train</v>
      </c>
      <c r="E485" s="26">
        <f>IFERROR(__xludf.DUMMYFUNCTION("""COMPUTED_VALUE"""),300.0)</f>
        <v>300</v>
      </c>
      <c r="F485" s="26" t="str">
        <f>IFERROR(__xludf.DUMMYFUNCTION("""COMPUTED_VALUE"""),"8MP_JPG")</f>
        <v>8MP_JPG</v>
      </c>
      <c r="G485" s="26" t="str">
        <f>IFERROR(__xludf.DUMMYFUNCTION("""COMPUTED_VALUE"""),"TEL_AVIV, ISRAEL, DAY, CLEAR")</f>
        <v>TEL_AVIV, ISRAEL, DAY, CLEAR</v>
      </c>
      <c r="H485" s="26">
        <f>IFERROR(__xludf.DUMMYFUNCTION("""COMPUTED_VALUE"""),950.0)</f>
        <v>950</v>
      </c>
      <c r="I485" s="26">
        <f>IFERROR(__xludf.DUMMYFUNCTION("""COMPUTED_VALUE"""),1675.0)</f>
        <v>1675</v>
      </c>
      <c r="J485" s="26">
        <f>IFERROR(__xludf.DUMMYFUNCTION("""COMPUTED_VALUE"""),1585.0)</f>
        <v>1585</v>
      </c>
      <c r="K485" s="34">
        <f>IFERROR(__xludf.DUMMYFUNCTION("""COMPUTED_VALUE"""),45511.495844907404)</f>
        <v>45511.49584</v>
      </c>
    </row>
    <row r="486">
      <c r="A486" s="15" t="str">
        <f>IFERROR(__xludf.DUMMYFUNCTION("""COMPUTED_VALUE"""),"64be6696628d0605eb5a3f57")</f>
        <v>64be6696628d0605eb5a3f57</v>
      </c>
      <c r="B486" s="15" t="str">
        <f>IFERROR(__xludf.DUMMYFUNCTION("""COMPUTED_VALUE"""),"29072022_highwaya81_to_sailauf_night_ab_v0.8.1a_amba_rel11072022_combined_v1_tagged_for_train")</f>
        <v>29072022_highwaya81_to_sailauf_night_ab_v0.8.1a_amba_rel11072022_combined_v1_tagged_for_train</v>
      </c>
      <c r="C486" s="15" t="str">
        <f>IFERROR(__xludf.DUMMYFUNCTION("""COMPUTED_VALUE"""),"train")</f>
        <v>train</v>
      </c>
      <c r="D486" s="15" t="str">
        <f>IFERROR(__xludf.DUMMYFUNCTION("""COMPUTED_VALUE"""),"train")</f>
        <v>train</v>
      </c>
      <c r="E486" s="15">
        <f>IFERROR(__xludf.DUMMYFUNCTION("""COMPUTED_VALUE"""),1426.0)</f>
        <v>1426</v>
      </c>
      <c r="F486" s="15" t="str">
        <f>IFERROR(__xludf.DUMMYFUNCTION("""COMPUTED_VALUE"""),"AMBARELLA_3840_1920")</f>
        <v>AMBARELLA_3840_1920</v>
      </c>
      <c r="G486" s="15" t="str">
        <f>IFERROR(__xludf.DUMMYFUNCTION("""COMPUTED_VALUE"""),"NIGHT")</f>
        <v>NIGHT</v>
      </c>
      <c r="H486" s="15">
        <f>IFERROR(__xludf.DUMMYFUNCTION("""COMPUTED_VALUE"""),1000.0)</f>
        <v>1000</v>
      </c>
      <c r="I486" s="15">
        <f>IFERROR(__xludf.DUMMYFUNCTION("""COMPUTED_VALUE"""),-1.0)</f>
        <v>-1</v>
      </c>
      <c r="J486" s="15">
        <f>IFERROR(__xludf.DUMMYFUNCTION("""COMPUTED_VALUE"""),-1.0)</f>
        <v>-1</v>
      </c>
      <c r="K486" s="33">
        <f>IFERROR(__xludf.DUMMYFUNCTION("""COMPUTED_VALUE"""),45511.52962962963)</f>
        <v>45511.52963</v>
      </c>
    </row>
    <row r="487">
      <c r="A487" s="15" t="str">
        <f>IFERROR(__xludf.DUMMYFUNCTION("""COMPUTED_VALUE"""),"641c5450be8ede2209d008e4")</f>
        <v>641c5450be8ede2209d008e4</v>
      </c>
      <c r="B487" s="15" t="str">
        <f>IFERROR(__xludf.DUMMYFUNCTION("""COMPUTED_VALUE"""),"night_light_rain_dataset_for_train_13_03_23_for_train_tagged")</f>
        <v>night_light_rain_dataset_for_train_13_03_23_for_train_tagged</v>
      </c>
      <c r="C487" s="15" t="str">
        <f>IFERROR(__xludf.DUMMYFUNCTION("""COMPUTED_VALUE"""),"train")</f>
        <v>train</v>
      </c>
      <c r="D487" s="15" t="str">
        <f>IFERROR(__xludf.DUMMYFUNCTION("""COMPUTED_VALUE"""),"train")</f>
        <v>train</v>
      </c>
      <c r="E487" s="15">
        <f>IFERROR(__xludf.DUMMYFUNCTION("""COMPUTED_VALUE"""),182.0)</f>
        <v>182</v>
      </c>
      <c r="F487" s="15" t="str">
        <f>IFERROR(__xludf.DUMMYFUNCTION("""COMPUTED_VALUE"""),"8MP_JPG")</f>
        <v>8MP_JPG</v>
      </c>
      <c r="G487" s="15" t="str">
        <f>IFERROR(__xludf.DUMMYFUNCTION("""COMPUTED_VALUE"""),"EUROPE, NIGHT, RAIN")</f>
        <v>EUROPE, NIGHT, RAIN</v>
      </c>
      <c r="H487" s="15">
        <f>IFERROR(__xludf.DUMMYFUNCTION("""COMPUTED_VALUE"""),950.0)</f>
        <v>950</v>
      </c>
      <c r="I487" s="15">
        <f>IFERROR(__xludf.DUMMYFUNCTION("""COMPUTED_VALUE"""),1675.0)</f>
        <v>1675</v>
      </c>
      <c r="J487" s="15">
        <f>IFERROR(__xludf.DUMMYFUNCTION("""COMPUTED_VALUE"""),1585.0)</f>
        <v>1585</v>
      </c>
      <c r="K487" s="33">
        <f>IFERROR(__xludf.DUMMYFUNCTION("""COMPUTED_VALUE"""),45511.53275462963)</f>
        <v>45511.53275</v>
      </c>
    </row>
    <row r="488">
      <c r="A488" s="26" t="str">
        <f>IFERROR(__xludf.DUMMYFUNCTION("""COMPUTED_VALUE"""),"634508265378b16a979720c8")</f>
        <v>634508265378b16a979720c8</v>
      </c>
      <c r="B488" s="26" t="str">
        <f>IFERROR(__xludf.DUMMYFUNCTION("""COMPUTED_VALUE"""),"train_ab_car_memmingen_center_to_ottobeuren")</f>
        <v>train_ab_car_memmingen_center_to_ottobeuren</v>
      </c>
      <c r="C488" s="26" t="str">
        <f>IFERROR(__xludf.DUMMYFUNCTION("""COMPUTED_VALUE"""),"train")</f>
        <v>train</v>
      </c>
      <c r="D488" s="26" t="str">
        <f>IFERROR(__xludf.DUMMYFUNCTION("""COMPUTED_VALUE"""),"train")</f>
        <v>train</v>
      </c>
      <c r="E488" s="26">
        <f>IFERROR(__xludf.DUMMYFUNCTION("""COMPUTED_VALUE"""),554.0)</f>
        <v>554</v>
      </c>
      <c r="F488" s="26" t="str">
        <f>IFERROR(__xludf.DUMMYFUNCTION("""COMPUTED_VALUE"""),"AMBARELLA_3840_1920")</f>
        <v>AMBARELLA_3840_1920</v>
      </c>
      <c r="G488" s="26" t="str">
        <f>IFERROR(__xludf.DUMMYFUNCTION("""COMPUTED_VALUE"""),"GERMANY, SUNNY, DAY, EUROPE, CLOUDY")</f>
        <v>GERMANY, SUNNY, DAY, EUROPE, CLOUDY</v>
      </c>
      <c r="H488" s="26">
        <f>IFERROR(__xludf.DUMMYFUNCTION("""COMPUTED_VALUE"""),950.0)</f>
        <v>950</v>
      </c>
      <c r="I488" s="26">
        <f>IFERROR(__xludf.DUMMYFUNCTION("""COMPUTED_VALUE"""),1675.0)</f>
        <v>1675</v>
      </c>
      <c r="J488" s="26">
        <f>IFERROR(__xludf.DUMMYFUNCTION("""COMPUTED_VALUE"""),1585.0)</f>
        <v>1585</v>
      </c>
      <c r="K488" s="34">
        <f>IFERROR(__xludf.DUMMYFUNCTION("""COMPUTED_VALUE"""),45511.54619212963)</f>
        <v>45511.54619</v>
      </c>
    </row>
    <row r="489">
      <c r="A489" s="15" t="str">
        <f>IFERROR(__xludf.DUMMYFUNCTION("""COMPUTED_VALUE"""),"62e8f3e107d51f12277ca0ce")</f>
        <v>62e8f3e107d51f12277ca0ce</v>
      </c>
      <c r="B489" s="15" t="str">
        <f>IFERROR(__xludf.DUMMYFUNCTION("""COMPUTED_VALUE"""),"amba2_germany_train_0208")</f>
        <v>amba2_germany_train_0208</v>
      </c>
      <c r="C489" s="15" t="str">
        <f>IFERROR(__xludf.DUMMYFUNCTION("""COMPUTED_VALUE"""),"train")</f>
        <v>train</v>
      </c>
      <c r="D489" s="15" t="str">
        <f>IFERROR(__xludf.DUMMYFUNCTION("""COMPUTED_VALUE"""),"train")</f>
        <v>train</v>
      </c>
      <c r="E489" s="15">
        <f>IFERROR(__xludf.DUMMYFUNCTION("""COMPUTED_VALUE"""),1032.0)</f>
        <v>1032</v>
      </c>
      <c r="F489" s="15" t="str">
        <f>IFERROR(__xludf.DUMMYFUNCTION("""COMPUTED_VALUE"""),"AMBARELLA_3840_1920")</f>
        <v>AMBARELLA_3840_1920</v>
      </c>
      <c r="G489" s="15" t="str">
        <f>IFERROR(__xludf.DUMMYFUNCTION("""COMPUTED_VALUE"""),"DAY")</f>
        <v>DAY</v>
      </c>
      <c r="H489" s="15">
        <f>IFERROR(__xludf.DUMMYFUNCTION("""COMPUTED_VALUE"""),950.0)</f>
        <v>950</v>
      </c>
      <c r="I489" s="15">
        <f>IFERROR(__xludf.DUMMYFUNCTION("""COMPUTED_VALUE"""),1675.0)</f>
        <v>1675</v>
      </c>
      <c r="J489" s="15">
        <f>IFERROR(__xludf.DUMMYFUNCTION("""COMPUTED_VALUE"""),1585.0)</f>
        <v>1585</v>
      </c>
      <c r="K489" s="33">
        <f>IFERROR(__xludf.DUMMYFUNCTION("""COMPUTED_VALUE"""),45511.59443287037)</f>
        <v>45511.59443</v>
      </c>
    </row>
    <row r="490">
      <c r="A490" s="15" t="str">
        <f>IFERROR(__xludf.DUMMYFUNCTION("""COMPUTED_VALUE"""),"6565f8ecfa38f84eb4f9cb44")</f>
        <v>6565f8ecfa38f84eb4f9cb44</v>
      </c>
      <c r="B490" s="15" t="str">
        <f>IFERROR(__xludf.DUMMYFUNCTION("""COMPUTED_VALUE"""),"_dekra_munich_rain_day_highway_od_issues_2023_06_21_10_26_11_train_batch_11_split_by_size_of_200_for_train_od_tagged")</f>
        <v>_dekra_munich_rain_day_highway_od_issues_2023_06_21_10_26_11_train_batch_11_split_by_size_of_200_for_train_od_tagged</v>
      </c>
      <c r="C490" s="15" t="str">
        <f>IFERROR(__xludf.DUMMYFUNCTION("""COMPUTED_VALUE"""),"train")</f>
        <v>train</v>
      </c>
      <c r="D490" s="15" t="str">
        <f>IFERROR(__xludf.DUMMYFUNCTION("""COMPUTED_VALUE"""),"train")</f>
        <v>train</v>
      </c>
      <c r="E490" s="15">
        <f>IFERROR(__xludf.DUMMYFUNCTION("""COMPUTED_VALUE"""),66.0)</f>
        <v>66</v>
      </c>
      <c r="F490" s="15" t="str">
        <f>IFERROR(__xludf.DUMMYFUNCTION("""COMPUTED_VALUE"""),"8MP_JPG")</f>
        <v>8MP_JPG</v>
      </c>
      <c r="G490" s="15" t="str">
        <f>IFERROR(__xludf.DUMMYFUNCTION("""COMPUTED_VALUE"""),"DAY, GERMANY, RAIN, DEMO")</f>
        <v>DAY, GERMANY, RAIN, DEMO</v>
      </c>
      <c r="H490" s="15">
        <f>IFERROR(__xludf.DUMMYFUNCTION("""COMPUTED_VALUE"""),-1.0)</f>
        <v>-1</v>
      </c>
      <c r="I490" s="15">
        <f>IFERROR(__xludf.DUMMYFUNCTION("""COMPUTED_VALUE"""),-1.0)</f>
        <v>-1</v>
      </c>
      <c r="J490" s="15">
        <f>IFERROR(__xludf.DUMMYFUNCTION("""COMPUTED_VALUE"""),-1.0)</f>
        <v>-1</v>
      </c>
      <c r="K490" s="15" t="str">
        <f>IFERROR(__xludf.DUMMYFUNCTION("""COMPUTED_VALUE"""),"14/07/2024, 10:38:20")</f>
        <v>14/07/2024, 10:38:20</v>
      </c>
    </row>
    <row r="491">
      <c r="A491" s="26" t="str">
        <f>IFERROR(__xludf.DUMMYFUNCTION("""COMPUTED_VALUE"""),"652cfbf254107825f76a6500")</f>
        <v>652cfbf254107825f76a6500</v>
      </c>
      <c r="B491" s="26" t="str">
        <f>IFERROR(__xludf.DUMMYFUNCTION("""COMPUTED_VALUE"""),"official_od_dekra_munich_rain_day_highway_od_issues_2023_06_21_10_26_11_train_batch_10_split_by_size_of_200_od_for_train_tagged")</f>
        <v>official_od_dekra_munich_rain_day_highway_od_issues_2023_06_21_10_26_11_train_batch_10_split_by_size_of_200_od_for_train_tagged</v>
      </c>
      <c r="C491" s="26" t="str">
        <f>IFERROR(__xludf.DUMMYFUNCTION("""COMPUTED_VALUE"""),"train")</f>
        <v>train</v>
      </c>
      <c r="D491" s="26" t="str">
        <f>IFERROR(__xludf.DUMMYFUNCTION("""COMPUTED_VALUE"""),"train")</f>
        <v>train</v>
      </c>
      <c r="E491" s="26">
        <f>IFERROR(__xludf.DUMMYFUNCTION("""COMPUTED_VALUE"""),200.0)</f>
        <v>200</v>
      </c>
      <c r="F491" s="26" t="str">
        <f>IFERROR(__xludf.DUMMYFUNCTION("""COMPUTED_VALUE"""),"8MP_JPG")</f>
        <v>8MP_JPG</v>
      </c>
      <c r="G491" s="26" t="str">
        <f>IFERROR(__xludf.DUMMYFUNCTION("""COMPUTED_VALUE"""),"DEMO, DAY, RAIN, GERMANY")</f>
        <v>DEMO, DAY, RAIN, GERMANY</v>
      </c>
      <c r="H491" s="26">
        <f>IFERROR(__xludf.DUMMYFUNCTION("""COMPUTED_VALUE"""),-1.0)</f>
        <v>-1</v>
      </c>
      <c r="I491" s="26">
        <f>IFERROR(__xludf.DUMMYFUNCTION("""COMPUTED_VALUE"""),-1.0)</f>
        <v>-1</v>
      </c>
      <c r="J491" s="26">
        <f>IFERROR(__xludf.DUMMYFUNCTION("""COMPUTED_VALUE"""),-1.0)</f>
        <v>-1</v>
      </c>
      <c r="K491" s="26" t="str">
        <f>IFERROR(__xludf.DUMMYFUNCTION("""COMPUTED_VALUE"""),"14/07/2024, 14:32:58")</f>
        <v>14/07/2024, 14:32:58</v>
      </c>
    </row>
    <row r="492">
      <c r="A492" s="15" t="str">
        <f>IFERROR(__xludf.DUMMYFUNCTION("""COMPUTED_VALUE"""),"6666e52706e1a3626922d59a")</f>
        <v>6666e52706e1a3626922d59a</v>
      </c>
      <c r="B492" s="15" t="str">
        <f>IFERROR(__xludf.DUMMYFUNCTION("""COMPUTED_VALUE"""),"vans_od_train_batch_2_to_tag_batch_2_each_100")</f>
        <v>vans_od_train_batch_2_to_tag_batch_2_each_100</v>
      </c>
      <c r="C492" s="15" t="str">
        <f>IFERROR(__xludf.DUMMYFUNCTION("""COMPUTED_VALUE"""),"train")</f>
        <v>train</v>
      </c>
      <c r="D492" s="15" t="str">
        <f>IFERROR(__xludf.DUMMYFUNCTION("""COMPUTED_VALUE"""),"train")</f>
        <v>train</v>
      </c>
      <c r="E492" s="15">
        <f>IFERROR(__xludf.DUMMYFUNCTION("""COMPUTED_VALUE"""),30.0)</f>
        <v>30</v>
      </c>
      <c r="F492" s="15" t="str">
        <f>IFERROR(__xludf.DUMMYFUNCTION("""COMPUTED_VALUE"""),"8MP_JPG")</f>
        <v>8MP_JPG</v>
      </c>
      <c r="G492" s="15" t="str">
        <f>IFERROR(__xludf.DUMMYFUNCTION("""COMPUTED_VALUE"""),"CLEAR, DIRECT_SUN, DAY, EUROPE, ITALY, CLOUDY, SPAIN")</f>
        <v>CLEAR, DIRECT_SUN, DAY, EUROPE, ITALY, CLOUDY, SPAIN</v>
      </c>
      <c r="H492" s="15">
        <f>IFERROR(__xludf.DUMMYFUNCTION("""COMPUTED_VALUE"""),-1.0)</f>
        <v>-1</v>
      </c>
      <c r="I492" s="15">
        <f>IFERROR(__xludf.DUMMYFUNCTION("""COMPUTED_VALUE"""),-1.0)</f>
        <v>-1</v>
      </c>
      <c r="J492" s="15">
        <f>IFERROR(__xludf.DUMMYFUNCTION("""COMPUTED_VALUE"""),-1.0)</f>
        <v>-1</v>
      </c>
      <c r="K492" s="15" t="str">
        <f>IFERROR(__xludf.DUMMYFUNCTION("""COMPUTED_VALUE"""),"15/07/2024, 10:13:25")</f>
        <v>15/07/2024, 10:13:25</v>
      </c>
    </row>
    <row r="493">
      <c r="A493" s="15" t="str">
        <f>IFERROR(__xludf.DUMMYFUNCTION("""COMPUTED_VALUE"""),"6665952406e1a36269225f19")</f>
        <v>6665952406e1a36269225f19</v>
      </c>
      <c r="B493" s="15" t="str">
        <f>IFERROR(__xludf.DUMMYFUNCTION("""COMPUTED_VALUE"""),"vans_od_train_batch_1_to_tag_batch_0_each_100")</f>
        <v>vans_od_train_batch_1_to_tag_batch_0_each_100</v>
      </c>
      <c r="C493" s="15" t="str">
        <f>IFERROR(__xludf.DUMMYFUNCTION("""COMPUTED_VALUE"""),"train")</f>
        <v>train</v>
      </c>
      <c r="D493" s="15" t="str">
        <f>IFERROR(__xludf.DUMMYFUNCTION("""COMPUTED_VALUE"""),"train")</f>
        <v>train</v>
      </c>
      <c r="E493" s="15">
        <f>IFERROR(__xludf.DUMMYFUNCTION("""COMPUTED_VALUE"""),100.0)</f>
        <v>100</v>
      </c>
      <c r="F493" s="15" t="str">
        <f>IFERROR(__xludf.DUMMYFUNCTION("""COMPUTED_VALUE"""),"8MP_JPG")</f>
        <v>8MP_JPG</v>
      </c>
      <c r="G493" s="15" t="str">
        <f>IFERROR(__xludf.DUMMYFUNCTION("""COMPUTED_VALUE"""),"SPAIN, CLOUDY, LIGHT_RAIN, DAY, CLEAR")</f>
        <v>SPAIN, CLOUDY, LIGHT_RAIN, DAY, CLEAR</v>
      </c>
      <c r="H493" s="15">
        <f>IFERROR(__xludf.DUMMYFUNCTION("""COMPUTED_VALUE"""),-1.0)</f>
        <v>-1</v>
      </c>
      <c r="I493" s="15">
        <f>IFERROR(__xludf.DUMMYFUNCTION("""COMPUTED_VALUE"""),-1.0)</f>
        <v>-1</v>
      </c>
      <c r="J493" s="15">
        <f>IFERROR(__xludf.DUMMYFUNCTION("""COMPUTED_VALUE"""),-1.0)</f>
        <v>-1</v>
      </c>
      <c r="K493" s="15" t="str">
        <f>IFERROR(__xludf.DUMMYFUNCTION("""COMPUTED_VALUE"""),"17/07/2024, 12:38:42")</f>
        <v>17/07/2024, 12:38:42</v>
      </c>
    </row>
    <row r="494">
      <c r="A494" s="26" t="str">
        <f>IFERROR(__xludf.DUMMYFUNCTION("""COMPUTED_VALUE"""),"6665950406e1a36269225f0c")</f>
        <v>6665950406e1a36269225f0c</v>
      </c>
      <c r="B494" s="26" t="str">
        <f>IFERROR(__xludf.DUMMYFUNCTION("""COMPUTED_VALUE"""),"vans_od_train_batch_0_to_tag_batch_0_each_100")</f>
        <v>vans_od_train_batch_0_to_tag_batch_0_each_100</v>
      </c>
      <c r="C494" s="26" t="str">
        <f>IFERROR(__xludf.DUMMYFUNCTION("""COMPUTED_VALUE"""),"train")</f>
        <v>train</v>
      </c>
      <c r="D494" s="26" t="str">
        <f>IFERROR(__xludf.DUMMYFUNCTION("""COMPUTED_VALUE"""),"train")</f>
        <v>train</v>
      </c>
      <c r="E494" s="26">
        <f>IFERROR(__xludf.DUMMYFUNCTION("""COMPUTED_VALUE"""),100.0)</f>
        <v>100</v>
      </c>
      <c r="F494" s="26" t="str">
        <f>IFERROR(__xludf.DUMMYFUNCTION("""COMPUTED_VALUE"""),"8MP_JPG")</f>
        <v>8MP_JPG</v>
      </c>
      <c r="G494" s="26" t="str">
        <f>IFERROR(__xludf.DUMMYFUNCTION("""COMPUTED_VALUE"""),"GERMANY, SNOW, DAY, EUROPE, ISRAEL")</f>
        <v>GERMANY, SNOW, DAY, EUROPE, ISRAEL</v>
      </c>
      <c r="H494" s="26">
        <f>IFERROR(__xludf.DUMMYFUNCTION("""COMPUTED_VALUE"""),-1.0)</f>
        <v>-1</v>
      </c>
      <c r="I494" s="26">
        <f>IFERROR(__xludf.DUMMYFUNCTION("""COMPUTED_VALUE"""),-1.0)</f>
        <v>-1</v>
      </c>
      <c r="J494" s="26">
        <f>IFERROR(__xludf.DUMMYFUNCTION("""COMPUTED_VALUE"""),-1.0)</f>
        <v>-1</v>
      </c>
      <c r="K494" s="26" t="str">
        <f>IFERROR(__xludf.DUMMYFUNCTION("""COMPUTED_VALUE"""),"17/07/2024, 12:39:04")</f>
        <v>17/07/2024, 12:39:04</v>
      </c>
    </row>
    <row r="495">
      <c r="A495" s="26" t="str">
        <f>IFERROR(__xludf.DUMMYFUNCTION("""COMPUTED_VALUE"""),"6666bc0b06e1a3626922834e")</f>
        <v>6666bc0b06e1a3626922834e</v>
      </c>
      <c r="B495" s="26" t="str">
        <f>IFERROR(__xludf.DUMMYFUNCTION("""COMPUTED_VALUE"""),"bronzed_harrisonburg_every_30_images_to_tag")</f>
        <v>bronzed_harrisonburg_every_30_images_to_tag</v>
      </c>
      <c r="C495" s="26" t="str">
        <f>IFERROR(__xludf.DUMMYFUNCTION("""COMPUTED_VALUE"""),"test")</f>
        <v>test</v>
      </c>
      <c r="D495" s="26" t="str">
        <f>IFERROR(__xludf.DUMMYFUNCTION("""COMPUTED_VALUE"""),"test")</f>
        <v>test</v>
      </c>
      <c r="E495" s="26">
        <f>IFERROR(__xludf.DUMMYFUNCTION("""COMPUTED_VALUE"""),60.0)</f>
        <v>60</v>
      </c>
      <c r="F495" s="26" t="str">
        <f>IFERROR(__xludf.DUMMYFUNCTION("""COMPUTED_VALUE"""),"8MP_JPG")</f>
        <v>8MP_JPG</v>
      </c>
      <c r="G495" s="26" t="str">
        <f>IFERROR(__xludf.DUMMYFUNCTION("""COMPUTED_VALUE"""),"CLEAR, DAY, ISRAEL")</f>
        <v>CLEAR, DAY, ISRAEL</v>
      </c>
      <c r="H495" s="26">
        <f>IFERROR(__xludf.DUMMYFUNCTION("""COMPUTED_VALUE"""),-1.0)</f>
        <v>-1</v>
      </c>
      <c r="I495" s="26">
        <f>IFERROR(__xludf.DUMMYFUNCTION("""COMPUTED_VALUE"""),-1.0)</f>
        <v>-1</v>
      </c>
      <c r="J495" s="26">
        <f>IFERROR(__xludf.DUMMYFUNCTION("""COMPUTED_VALUE"""),-1.0)</f>
        <v>-1</v>
      </c>
      <c r="K495" s="26" t="str">
        <f>IFERROR(__xludf.DUMMYFUNCTION("""COMPUTED_VALUE"""),"17/07/2024, 13:00:18")</f>
        <v>17/07/2024, 13:00:18</v>
      </c>
    </row>
    <row r="496">
      <c r="A496" s="26" t="str">
        <f>IFERROR(__xludf.DUMMYFUNCTION("""COMPUTED_VALUE"""),"6666bc0706e1a3626922834c")</f>
        <v>6666bc0706e1a3626922834c</v>
      </c>
      <c r="B496" s="26" t="str">
        <f>IFERROR(__xludf.DUMMYFUNCTION("""COMPUTED_VALUE"""),"uninhibited_port_arthur_every_30_images_to_tag")</f>
        <v>uninhibited_port_arthur_every_30_images_to_tag</v>
      </c>
      <c r="C496" s="26" t="str">
        <f>IFERROR(__xludf.DUMMYFUNCTION("""COMPUTED_VALUE"""),"test")</f>
        <v>test</v>
      </c>
      <c r="D496" s="26" t="str">
        <f>IFERROR(__xludf.DUMMYFUNCTION("""COMPUTED_VALUE"""),"test")</f>
        <v>test</v>
      </c>
      <c r="E496" s="26">
        <f>IFERROR(__xludf.DUMMYFUNCTION("""COMPUTED_VALUE"""),60.0)</f>
        <v>60</v>
      </c>
      <c r="F496" s="26" t="str">
        <f>IFERROR(__xludf.DUMMYFUNCTION("""COMPUTED_VALUE"""),"8MP_JPG")</f>
        <v>8MP_JPG</v>
      </c>
      <c r="G496" s="26" t="str">
        <f>IFERROR(__xludf.DUMMYFUNCTION("""COMPUTED_VALUE"""),"CLEAR, DAY, ISRAEL")</f>
        <v>CLEAR, DAY, ISRAEL</v>
      </c>
      <c r="H496" s="26">
        <f>IFERROR(__xludf.DUMMYFUNCTION("""COMPUTED_VALUE"""),-1.0)</f>
        <v>-1</v>
      </c>
      <c r="I496" s="26">
        <f>IFERROR(__xludf.DUMMYFUNCTION("""COMPUTED_VALUE"""),-1.0)</f>
        <v>-1</v>
      </c>
      <c r="J496" s="26">
        <f>IFERROR(__xludf.DUMMYFUNCTION("""COMPUTED_VALUE"""),-1.0)</f>
        <v>-1</v>
      </c>
      <c r="K496" s="26" t="str">
        <f>IFERROR(__xludf.DUMMYFUNCTION("""COMPUTED_VALUE"""),"17/07/2024, 13:00:26")</f>
        <v>17/07/2024, 13:00:26</v>
      </c>
    </row>
    <row r="497">
      <c r="A497" s="26" t="str">
        <f>IFERROR(__xludf.DUMMYFUNCTION("""COMPUTED_VALUE"""),"6666bc0406e1a3626922834a")</f>
        <v>6666bc0406e1a3626922834a</v>
      </c>
      <c r="B497" s="26" t="str">
        <f>IFERROR(__xludf.DUMMYFUNCTION("""COMPUTED_VALUE"""),"less_hutchinson_every_30_images_to_tag")</f>
        <v>less_hutchinson_every_30_images_to_tag</v>
      </c>
      <c r="C497" s="26" t="str">
        <f>IFERROR(__xludf.DUMMYFUNCTION("""COMPUTED_VALUE"""),"test")</f>
        <v>test</v>
      </c>
      <c r="D497" s="26" t="str">
        <f>IFERROR(__xludf.DUMMYFUNCTION("""COMPUTED_VALUE"""),"test")</f>
        <v>test</v>
      </c>
      <c r="E497" s="26">
        <f>IFERROR(__xludf.DUMMYFUNCTION("""COMPUTED_VALUE"""),60.0)</f>
        <v>60</v>
      </c>
      <c r="F497" s="26" t="str">
        <f>IFERROR(__xludf.DUMMYFUNCTION("""COMPUTED_VALUE"""),"8MP_JPG")</f>
        <v>8MP_JPG</v>
      </c>
      <c r="G497" s="26" t="str">
        <f>IFERROR(__xludf.DUMMYFUNCTION("""COMPUTED_VALUE"""),"CLEAR, DAY, ISRAEL")</f>
        <v>CLEAR, DAY, ISRAEL</v>
      </c>
      <c r="H497" s="26">
        <f>IFERROR(__xludf.DUMMYFUNCTION("""COMPUTED_VALUE"""),-1.0)</f>
        <v>-1</v>
      </c>
      <c r="I497" s="26">
        <f>IFERROR(__xludf.DUMMYFUNCTION("""COMPUTED_VALUE"""),-1.0)</f>
        <v>-1</v>
      </c>
      <c r="J497" s="26">
        <f>IFERROR(__xludf.DUMMYFUNCTION("""COMPUTED_VALUE"""),-1.0)</f>
        <v>-1</v>
      </c>
      <c r="K497" s="26" t="str">
        <f>IFERROR(__xludf.DUMMYFUNCTION("""COMPUTED_VALUE"""),"17/07/2024, 13:00:34")</f>
        <v>17/07/2024, 13:00:34</v>
      </c>
    </row>
    <row r="498">
      <c r="A498" s="26" t="str">
        <f>IFERROR(__xludf.DUMMYFUNCTION("""COMPUTED_VALUE"""),"6666bc0006e1a36269228348")</f>
        <v>6666bc0006e1a36269228348</v>
      </c>
      <c r="B498" s="26" t="str">
        <f>IFERROR(__xludf.DUMMYFUNCTION("""COMPUTED_VALUE"""),"steely_tempe_every_30_images_to_tag")</f>
        <v>steely_tempe_every_30_images_to_tag</v>
      </c>
      <c r="C498" s="26" t="str">
        <f>IFERROR(__xludf.DUMMYFUNCTION("""COMPUTED_VALUE"""),"test")</f>
        <v>test</v>
      </c>
      <c r="D498" s="26" t="str">
        <f>IFERROR(__xludf.DUMMYFUNCTION("""COMPUTED_VALUE"""),"test")</f>
        <v>test</v>
      </c>
      <c r="E498" s="26">
        <f>IFERROR(__xludf.DUMMYFUNCTION("""COMPUTED_VALUE"""),60.0)</f>
        <v>60</v>
      </c>
      <c r="F498" s="26" t="str">
        <f>IFERROR(__xludf.DUMMYFUNCTION("""COMPUTED_VALUE"""),"8MP_JPG")</f>
        <v>8MP_JPG</v>
      </c>
      <c r="G498" s="26" t="str">
        <f>IFERROR(__xludf.DUMMYFUNCTION("""COMPUTED_VALUE"""),"CLEAR, DAY, ISRAEL")</f>
        <v>CLEAR, DAY, ISRAEL</v>
      </c>
      <c r="H498" s="26">
        <f>IFERROR(__xludf.DUMMYFUNCTION("""COMPUTED_VALUE"""),-1.0)</f>
        <v>-1</v>
      </c>
      <c r="I498" s="26">
        <f>IFERROR(__xludf.DUMMYFUNCTION("""COMPUTED_VALUE"""),-1.0)</f>
        <v>-1</v>
      </c>
      <c r="J498" s="26">
        <f>IFERROR(__xludf.DUMMYFUNCTION("""COMPUTED_VALUE"""),-1.0)</f>
        <v>-1</v>
      </c>
      <c r="K498" s="26" t="str">
        <f>IFERROR(__xludf.DUMMYFUNCTION("""COMPUTED_VALUE"""),"17/07/2024, 13:00:43")</f>
        <v>17/07/2024, 13:00:43</v>
      </c>
    </row>
    <row r="499">
      <c r="A499" s="26" t="str">
        <f>IFERROR(__xludf.DUMMYFUNCTION("""COMPUTED_VALUE"""),"6666bbfc06e1a36269228346")</f>
        <v>6666bbfc06e1a36269228346</v>
      </c>
      <c r="B499" s="26" t="str">
        <f>IFERROR(__xludf.DUMMYFUNCTION("""COMPUTED_VALUE"""),"sketchy_elmhurst_every_30_images_to_tag")</f>
        <v>sketchy_elmhurst_every_30_images_to_tag</v>
      </c>
      <c r="C499" s="26" t="str">
        <f>IFERROR(__xludf.DUMMYFUNCTION("""COMPUTED_VALUE"""),"test")</f>
        <v>test</v>
      </c>
      <c r="D499" s="26" t="str">
        <f>IFERROR(__xludf.DUMMYFUNCTION("""COMPUTED_VALUE"""),"test")</f>
        <v>test</v>
      </c>
      <c r="E499" s="26">
        <f>IFERROR(__xludf.DUMMYFUNCTION("""COMPUTED_VALUE"""),60.0)</f>
        <v>60</v>
      </c>
      <c r="F499" s="26" t="str">
        <f>IFERROR(__xludf.DUMMYFUNCTION("""COMPUTED_VALUE"""),"8MP_JPG")</f>
        <v>8MP_JPG</v>
      </c>
      <c r="G499" s="26" t="str">
        <f>IFERROR(__xludf.DUMMYFUNCTION("""COMPUTED_VALUE"""),"CLEAR, DAY, ISRAEL")</f>
        <v>CLEAR, DAY, ISRAEL</v>
      </c>
      <c r="H499" s="26">
        <f>IFERROR(__xludf.DUMMYFUNCTION("""COMPUTED_VALUE"""),-1.0)</f>
        <v>-1</v>
      </c>
      <c r="I499" s="26">
        <f>IFERROR(__xludf.DUMMYFUNCTION("""COMPUTED_VALUE"""),-1.0)</f>
        <v>-1</v>
      </c>
      <c r="J499" s="26">
        <f>IFERROR(__xludf.DUMMYFUNCTION("""COMPUTED_VALUE"""),-1.0)</f>
        <v>-1</v>
      </c>
      <c r="K499" s="26" t="str">
        <f>IFERROR(__xludf.DUMMYFUNCTION("""COMPUTED_VALUE"""),"17/07/2024, 13:00:51")</f>
        <v>17/07/2024, 13:00:51</v>
      </c>
    </row>
    <row r="500">
      <c r="A500" s="15" t="str">
        <f>IFERROR(__xludf.DUMMYFUNCTION("""COMPUTED_VALUE"""),"6666bbf906e1a36269228344")</f>
        <v>6666bbf906e1a36269228344</v>
      </c>
      <c r="B500" s="15" t="str">
        <f>IFERROR(__xludf.DUMMYFUNCTION("""COMPUTED_VALUE"""),"five_ankeny_every_30_images_to_tag")</f>
        <v>five_ankeny_every_30_images_to_tag</v>
      </c>
      <c r="C500" s="15" t="str">
        <f>IFERROR(__xludf.DUMMYFUNCTION("""COMPUTED_VALUE"""),"test")</f>
        <v>test</v>
      </c>
      <c r="D500" s="15" t="str">
        <f>IFERROR(__xludf.DUMMYFUNCTION("""COMPUTED_VALUE"""),"test")</f>
        <v>test</v>
      </c>
      <c r="E500" s="15">
        <f>IFERROR(__xludf.DUMMYFUNCTION("""COMPUTED_VALUE"""),60.0)</f>
        <v>60</v>
      </c>
      <c r="F500" s="15" t="str">
        <f>IFERROR(__xludf.DUMMYFUNCTION("""COMPUTED_VALUE"""),"8MP_JPG")</f>
        <v>8MP_JPG</v>
      </c>
      <c r="G500" s="15" t="str">
        <f>IFERROR(__xludf.DUMMYFUNCTION("""COMPUTED_VALUE"""),"CLEAR, DAY, ISRAEL")</f>
        <v>CLEAR, DAY, ISRAEL</v>
      </c>
      <c r="H500" s="15">
        <f>IFERROR(__xludf.DUMMYFUNCTION("""COMPUTED_VALUE"""),-1.0)</f>
        <v>-1</v>
      </c>
      <c r="I500" s="15">
        <f>IFERROR(__xludf.DUMMYFUNCTION("""COMPUTED_VALUE"""),-1.0)</f>
        <v>-1</v>
      </c>
      <c r="J500" s="15">
        <f>IFERROR(__xludf.DUMMYFUNCTION("""COMPUTED_VALUE"""),-1.0)</f>
        <v>-1</v>
      </c>
      <c r="K500" s="15" t="str">
        <f>IFERROR(__xludf.DUMMYFUNCTION("""COMPUTED_VALUE"""),"17/07/2024, 13:00:55")</f>
        <v>17/07/2024, 13:00:55</v>
      </c>
    </row>
    <row r="501">
      <c r="A501" s="26" t="str">
        <f>IFERROR(__xludf.DUMMYFUNCTION("""COMPUTED_VALUE"""),"63569a8f5378b16a9724d0c6")</f>
        <v>63569a8f5378b16a9724d0c6</v>
      </c>
      <c r="B501" s="26" t="str">
        <f>IFERROR(__xludf.DUMMYFUNCTION("""COMPUTED_VALUE"""),"ab_car_germany_train")</f>
        <v>ab_car_germany_train</v>
      </c>
      <c r="C501" s="26" t="str">
        <f>IFERROR(__xludf.DUMMYFUNCTION("""COMPUTED_VALUE"""),"train")</f>
        <v>train</v>
      </c>
      <c r="D501" s="26" t="str">
        <f>IFERROR(__xludf.DUMMYFUNCTION("""COMPUTED_VALUE"""),"train")</f>
        <v>train</v>
      </c>
      <c r="E501" s="26">
        <f>IFERROR(__xludf.DUMMYFUNCTION("""COMPUTED_VALUE"""),1620.0)</f>
        <v>1620</v>
      </c>
      <c r="F501" s="26" t="str">
        <f>IFERROR(__xludf.DUMMYFUNCTION("""COMPUTED_VALUE"""),"AMBARELLA_3840_1920")</f>
        <v>AMBARELLA_3840_1920</v>
      </c>
      <c r="G501" s="26" t="str">
        <f>IFERROR(__xludf.DUMMYFUNCTION("""COMPUTED_VALUE"""),"SUNNY, GERMANY, DAY, RAIN, FRANCE, CLOUDY, TAR_LINES, EUROPE")</f>
        <v>SUNNY, GERMANY, DAY, RAIN, FRANCE, CLOUDY, TAR_LINES, EUROPE</v>
      </c>
      <c r="H501" s="26">
        <f>IFERROR(__xludf.DUMMYFUNCTION("""COMPUTED_VALUE"""),950.0)</f>
        <v>950</v>
      </c>
      <c r="I501" s="26">
        <f>IFERROR(__xludf.DUMMYFUNCTION("""COMPUTED_VALUE"""),1675.0)</f>
        <v>1675</v>
      </c>
      <c r="J501" s="26">
        <f>IFERROR(__xludf.DUMMYFUNCTION("""COMPUTED_VALUE"""),1585.0)</f>
        <v>1585</v>
      </c>
      <c r="K501" s="26" t="str">
        <f>IFERROR(__xludf.DUMMYFUNCTION("""COMPUTED_VALUE"""),"17/07/2024, 18:27:45")</f>
        <v>17/07/2024, 18:27:45</v>
      </c>
    </row>
    <row r="502">
      <c r="A502" s="15" t="str">
        <f>IFERROR(__xludf.DUMMYFUNCTION("""COMPUTED_VALUE"""),"62e9083807d51f12277cb0ab")</f>
        <v>62e9083807d51f12277cb0ab</v>
      </c>
      <c r="B502" s="15" t="str">
        <f>IFERROR(__xludf.DUMMYFUNCTION("""COMPUTED_VALUE"""),"amba_train_set_detroit_day_snow_new")</f>
        <v>amba_train_set_detroit_day_snow_new</v>
      </c>
      <c r="C502" s="15" t="str">
        <f>IFERROR(__xludf.DUMMYFUNCTION("""COMPUTED_VALUE"""),"train")</f>
        <v>train</v>
      </c>
      <c r="D502" s="15" t="str">
        <f>IFERROR(__xludf.DUMMYFUNCTION("""COMPUTED_VALUE"""),"train")</f>
        <v>train</v>
      </c>
      <c r="E502" s="15">
        <f>IFERROR(__xludf.DUMMYFUNCTION("""COMPUTED_VALUE"""),2358.0)</f>
        <v>2358</v>
      </c>
      <c r="F502" s="15" t="str">
        <f>IFERROR(__xludf.DUMMYFUNCTION("""COMPUTED_VALUE"""),"AMBARELLA_3840_1920")</f>
        <v>AMBARELLA_3840_1920</v>
      </c>
      <c r="G502" s="15" t="str">
        <f>IFERROR(__xludf.DUMMYFUNCTION("""COMPUTED_VALUE"""),"DAY")</f>
        <v>DAY</v>
      </c>
      <c r="H502" s="15">
        <f>IFERROR(__xludf.DUMMYFUNCTION("""COMPUTED_VALUE"""),950.0)</f>
        <v>950</v>
      </c>
      <c r="I502" s="15">
        <f>IFERROR(__xludf.DUMMYFUNCTION("""COMPUTED_VALUE"""),1675.0)</f>
        <v>1675</v>
      </c>
      <c r="J502" s="15">
        <f>IFERROR(__xludf.DUMMYFUNCTION("""COMPUTED_VALUE"""),1585.0)</f>
        <v>1585</v>
      </c>
      <c r="K502" s="15" t="str">
        <f>IFERROR(__xludf.DUMMYFUNCTION("""COMPUTED_VALUE"""),"17/07/2024, 18:29:06")</f>
        <v>17/07/2024, 18:29:06</v>
      </c>
    </row>
    <row r="503">
      <c r="A503" s="15" t="str">
        <f>IFERROR(__xludf.DUMMYFUNCTION("""COMPUTED_VALUE"""),"62e8e7c507d51f12277c95b4")</f>
        <v>62e8e7c507d51f12277c95b4</v>
      </c>
      <c r="B503" s="15" t="str">
        <f>IFERROR(__xludf.DUMMYFUNCTION("""COMPUTED_VALUE"""),"amba_cali_train")</f>
        <v>amba_cali_train</v>
      </c>
      <c r="C503" s="15" t="str">
        <f>IFERROR(__xludf.DUMMYFUNCTION("""COMPUTED_VALUE"""),"train")</f>
        <v>train</v>
      </c>
      <c r="D503" s="15" t="str">
        <f>IFERROR(__xludf.DUMMYFUNCTION("""COMPUTED_VALUE"""),"train")</f>
        <v>train</v>
      </c>
      <c r="E503" s="15">
        <f>IFERROR(__xludf.DUMMYFUNCTION("""COMPUTED_VALUE"""),291.0)</f>
        <v>291</v>
      </c>
      <c r="F503" s="15" t="str">
        <f>IFERROR(__xludf.DUMMYFUNCTION("""COMPUTED_VALUE"""),"AMBARELLA_3840_1920")</f>
        <v>AMBARELLA_3840_1920</v>
      </c>
      <c r="G503" s="15" t="str">
        <f>IFERROR(__xludf.DUMMYFUNCTION("""COMPUTED_VALUE"""),"DAY")</f>
        <v>DAY</v>
      </c>
      <c r="H503" s="15">
        <f>IFERROR(__xludf.DUMMYFUNCTION("""COMPUTED_VALUE"""),950.0)</f>
        <v>950</v>
      </c>
      <c r="I503" s="15">
        <f>IFERROR(__xludf.DUMMYFUNCTION("""COMPUTED_VALUE"""),1675.0)</f>
        <v>1675</v>
      </c>
      <c r="J503" s="15">
        <f>IFERROR(__xludf.DUMMYFUNCTION("""COMPUTED_VALUE"""),1585.0)</f>
        <v>1585</v>
      </c>
      <c r="K503" s="15" t="str">
        <f>IFERROR(__xludf.DUMMYFUNCTION("""COMPUTED_VALUE"""),"17/07/2024, 18:29:40")</f>
        <v>17/07/2024, 18:29:40</v>
      </c>
    </row>
    <row r="504">
      <c r="A504" s="15" t="str">
        <f>IFERROR(__xludf.DUMMYFUNCTION("""COMPUTED_VALUE"""),"64e5fb8b7225d01c8be19ca8")</f>
        <v>64e5fb8b7225d01c8be19ca8</v>
      </c>
      <c r="B504" s="15" t="str">
        <f>IFERROR(__xludf.DUMMYFUNCTION("""COMPUTED_VALUE"""),"combined_datasets_from_israel_for_test_12_06_2023_restored_v1_tagged")</f>
        <v>combined_datasets_from_israel_for_test_12_06_2023_restored_v1_tagged</v>
      </c>
      <c r="C504" s="15" t="str">
        <f>IFERROR(__xludf.DUMMYFUNCTION("""COMPUTED_VALUE"""),"test")</f>
        <v>test</v>
      </c>
      <c r="D504" s="15" t="str">
        <f>IFERROR(__xludf.DUMMYFUNCTION("""COMPUTED_VALUE"""),"test")</f>
        <v>test</v>
      </c>
      <c r="E504" s="15">
        <f>IFERROR(__xludf.DUMMYFUNCTION("""COMPUTED_VALUE"""),4411.0)</f>
        <v>4411</v>
      </c>
      <c r="F504" s="15" t="str">
        <f>IFERROR(__xludf.DUMMYFUNCTION("""COMPUTED_VALUE"""),"8MP_JPG")</f>
        <v>8MP_JPG</v>
      </c>
      <c r="G504" s="15" t="str">
        <f>IFERROR(__xludf.DUMMYFUNCTION("""COMPUTED_VALUE"""),"CLOUDY, TEL_AVIV, SUNNY, DAY, CLEAR, DIRECT_SUN, ISRAEL, BRIDGE")</f>
        <v>CLOUDY, TEL_AVIV, SUNNY, DAY, CLEAR, DIRECT_SUN, ISRAEL, BRIDGE</v>
      </c>
      <c r="H504" s="15">
        <f>IFERROR(__xludf.DUMMYFUNCTION("""COMPUTED_VALUE"""),950.0)</f>
        <v>950</v>
      </c>
      <c r="I504" s="15">
        <f>IFERROR(__xludf.DUMMYFUNCTION("""COMPUTED_VALUE"""),1675.0)</f>
        <v>1675</v>
      </c>
      <c r="J504" s="15">
        <f>IFERROR(__xludf.DUMMYFUNCTION("""COMPUTED_VALUE"""),1585.0)</f>
        <v>1585</v>
      </c>
      <c r="K504" s="15" t="str">
        <f>IFERROR(__xludf.DUMMYFUNCTION("""COMPUTED_VALUE"""),"17/07/2024, 19:03:44")</f>
        <v>17/07/2024, 19:03:44</v>
      </c>
    </row>
    <row r="505">
      <c r="A505" s="15" t="str">
        <f>IFERROR(__xludf.DUMMYFUNCTION("""COMPUTED_VALUE"""),"66950cb6b9653c153efaa8b2")</f>
        <v>66950cb6b9653c153efaa8b2</v>
      </c>
      <c r="B505" s="15" t="str">
        <f>IFERROR(__xludf.DUMMYFUNCTION("""COMPUTED_VALUE"""),"israel_drive_imx728_isp_v6_images_extracted_manually_07_09_2024_01_44_52_batches_1_to_13_filtered_skip3_batch_0_each_200_to_tag")</f>
        <v>israel_drive_imx728_isp_v6_images_extracted_manually_07_09_2024_01_44_52_batches_1_to_13_filtered_skip3_batch_0_each_200_to_tag</v>
      </c>
      <c r="C505" s="15" t="str">
        <f>IFERROR(__xludf.DUMMYFUNCTION("""COMPUTED_VALUE"""),"test")</f>
        <v>test</v>
      </c>
      <c r="D505" s="15" t="str">
        <f>IFERROR(__xludf.DUMMYFUNCTION("""COMPUTED_VALUE"""),"test")</f>
        <v>test</v>
      </c>
      <c r="E505" s="15">
        <f>IFERROR(__xludf.DUMMYFUNCTION("""COMPUTED_VALUE"""),200.0)</f>
        <v>200</v>
      </c>
      <c r="F505" s="15" t="str">
        <f>IFERROR(__xludf.DUMMYFUNCTION("""COMPUTED_VALUE"""),"AMBARELLA_3840_1920")</f>
        <v>AMBARELLA_3840_1920</v>
      </c>
      <c r="G505" s="15" t="str">
        <f>IFERROR(__xludf.DUMMYFUNCTION("""COMPUTED_VALUE"""),"ISRAEL, DAY, CLEAR")</f>
        <v>ISRAEL, DAY, CLEAR</v>
      </c>
      <c r="H505" s="15">
        <f>IFERROR(__xludf.DUMMYFUNCTION("""COMPUTED_VALUE"""),-1.0)</f>
        <v>-1</v>
      </c>
      <c r="I505" s="15">
        <f>IFERROR(__xludf.DUMMYFUNCTION("""COMPUTED_VALUE"""),-1.0)</f>
        <v>-1</v>
      </c>
      <c r="J505" s="15">
        <f>IFERROR(__xludf.DUMMYFUNCTION("""COMPUTED_VALUE"""),-1.0)</f>
        <v>-1</v>
      </c>
      <c r="K505" s="15" t="str">
        <f>IFERROR(__xludf.DUMMYFUNCTION("""COMPUTED_VALUE"""),"18/07/2024, 11:45:22")</f>
        <v>18/07/2024, 11:45:22</v>
      </c>
    </row>
    <row r="506">
      <c r="A506" s="26" t="str">
        <f>IFERROR(__xludf.DUMMYFUNCTION("""COMPUTED_VALUE"""),"6699224cb9653c153e023d50")</f>
        <v>6699224cb9653c153e023d50</v>
      </c>
      <c r="B506" s="26" t="str">
        <f>IFERROR(__xludf.DUMMYFUNCTION("""COMPUTED_VALUE"""),"od_release_test_set_tagged")</f>
        <v>od_release_test_set_tagged</v>
      </c>
      <c r="C506" s="26" t="str">
        <f>IFERROR(__xludf.DUMMYFUNCTION("""COMPUTED_VALUE"""),"test")</f>
        <v>test</v>
      </c>
      <c r="D506" s="26" t="str">
        <f>IFERROR(__xludf.DUMMYFUNCTION("""COMPUTED_VALUE"""),"test")</f>
        <v>test</v>
      </c>
      <c r="E506" s="26">
        <f>IFERROR(__xludf.DUMMYFUNCTION("""COMPUTED_VALUE"""),30.0)</f>
        <v>30</v>
      </c>
      <c r="F506" s="26" t="str">
        <f>IFERROR(__xludf.DUMMYFUNCTION("""COMPUTED_VALUE"""),"8MP_JPG")</f>
        <v>8MP_JPG</v>
      </c>
      <c r="G506" s="26" t="str">
        <f>IFERROR(__xludf.DUMMYFUNCTION("""COMPUTED_VALUE"""),"SUNNY, ARROWS, CLEAR, IRELAND, STRAIGHT, ISRAEL, DAY, USA, LIGHT_RAIN")</f>
        <v>SUNNY, ARROWS, CLEAR, IRELAND, STRAIGHT, ISRAEL, DAY, USA, LIGHT_RAIN</v>
      </c>
      <c r="H506" s="26">
        <f>IFERROR(__xludf.DUMMYFUNCTION("""COMPUTED_VALUE"""),-1.0)</f>
        <v>-1</v>
      </c>
      <c r="I506" s="26">
        <f>IFERROR(__xludf.DUMMYFUNCTION("""COMPUTED_VALUE"""),-1.0)</f>
        <v>-1</v>
      </c>
      <c r="J506" s="26">
        <f>IFERROR(__xludf.DUMMYFUNCTION("""COMPUTED_VALUE"""),-1.0)</f>
        <v>-1</v>
      </c>
      <c r="K506" s="26" t="str">
        <f>IFERROR(__xludf.DUMMYFUNCTION("""COMPUTED_VALUE"""),"18/07/2024, 17:10:21")</f>
        <v>18/07/2024, 17:10:21</v>
      </c>
    </row>
    <row r="507">
      <c r="A507" s="15" t="str">
        <f>IFERROR(__xludf.DUMMYFUNCTION("""COMPUTED_VALUE"""),"6565f898fa38f84eb4f96d8b")</f>
        <v>6565f898fa38f84eb4f96d8b</v>
      </c>
      <c r="B507" s="15" t="str">
        <f>IFERROR(__xludf.DUMMYFUNCTION("""COMPUTED_VALUE"""),"_2023_08_01_08_44_05_vaihingen_kitzingen_heavy_rain_day_as_single_set_skipped_6_batch_23_split_by_size_of_500_tagged")</f>
        <v>_2023_08_01_08_44_05_vaihingen_kitzingen_heavy_rain_day_as_single_set_skipped_6_batch_23_split_by_size_of_500_tagged</v>
      </c>
      <c r="C507" s="15" t="str">
        <f>IFERROR(__xludf.DUMMYFUNCTION("""COMPUTED_VALUE"""),"train")</f>
        <v>train</v>
      </c>
      <c r="D507" s="15" t="str">
        <f>IFERROR(__xludf.DUMMYFUNCTION("""COMPUTED_VALUE"""),"train")</f>
        <v>train</v>
      </c>
      <c r="E507" s="15">
        <f>IFERROR(__xludf.DUMMYFUNCTION("""COMPUTED_VALUE"""),499.0)</f>
        <v>499</v>
      </c>
      <c r="F507" s="15" t="str">
        <f>IFERROR(__xludf.DUMMYFUNCTION("""COMPUTED_VALUE"""),"8MP_JPG")</f>
        <v>8MP_JPG</v>
      </c>
      <c r="G507" s="15" t="str">
        <f>IFERROR(__xludf.DUMMYFUNCTION("""COMPUTED_VALUE"""),"DEMO, GERMANY, RAIN, DAY")</f>
        <v>DEMO, GERMANY, RAIN, DAY</v>
      </c>
      <c r="H507" s="15">
        <f>IFERROR(__xludf.DUMMYFUNCTION("""COMPUTED_VALUE"""),950.0)</f>
        <v>950</v>
      </c>
      <c r="I507" s="15">
        <f>IFERROR(__xludf.DUMMYFUNCTION("""COMPUTED_VALUE"""),-1.0)</f>
        <v>-1</v>
      </c>
      <c r="J507" s="15">
        <f>IFERROR(__xludf.DUMMYFUNCTION("""COMPUTED_VALUE"""),-1.0)</f>
        <v>-1</v>
      </c>
      <c r="K507" s="15" t="str">
        <f>IFERROR(__xludf.DUMMYFUNCTION("""COMPUTED_VALUE"""),"21/07/2024, 14:23:51")</f>
        <v>21/07/2024, 14:23:51</v>
      </c>
    </row>
    <row r="508">
      <c r="A508" s="15" t="str">
        <f>IFERROR(__xludf.DUMMYFUNCTION("""COMPUTED_VALUE"""),"6565f88efa38f84eb4f96193")</f>
        <v>6565f88efa38f84eb4f96193</v>
      </c>
      <c r="B508" s="15" t="str">
        <f>IFERROR(__xludf.DUMMYFUNCTION("""COMPUTED_VALUE"""),"_2023_08_01_08_44_05_vaihingen_kitzingen_heavy_rain_day_as_single_set_skipped_6_batch_24_split_by_size_of_500_tagged")</f>
        <v>_2023_08_01_08_44_05_vaihingen_kitzingen_heavy_rain_day_as_single_set_skipped_6_batch_24_split_by_size_of_500_tagged</v>
      </c>
      <c r="C508" s="15" t="str">
        <f>IFERROR(__xludf.DUMMYFUNCTION("""COMPUTED_VALUE"""),"train")</f>
        <v>train</v>
      </c>
      <c r="D508" s="15" t="str">
        <f>IFERROR(__xludf.DUMMYFUNCTION("""COMPUTED_VALUE"""),"train")</f>
        <v>train</v>
      </c>
      <c r="E508" s="15">
        <f>IFERROR(__xludf.DUMMYFUNCTION("""COMPUTED_VALUE"""),499.0)</f>
        <v>499</v>
      </c>
      <c r="F508" s="15" t="str">
        <f>IFERROR(__xludf.DUMMYFUNCTION("""COMPUTED_VALUE"""),"8MP_JPG")</f>
        <v>8MP_JPG</v>
      </c>
      <c r="G508" s="15" t="str">
        <f>IFERROR(__xludf.DUMMYFUNCTION("""COMPUTED_VALUE"""),"DEMO, GERMANY, RAIN, DAY")</f>
        <v>DEMO, GERMANY, RAIN, DAY</v>
      </c>
      <c r="H508" s="15">
        <f>IFERROR(__xludf.DUMMYFUNCTION("""COMPUTED_VALUE"""),950.0)</f>
        <v>950</v>
      </c>
      <c r="I508" s="15">
        <f>IFERROR(__xludf.DUMMYFUNCTION("""COMPUTED_VALUE"""),-1.0)</f>
        <v>-1</v>
      </c>
      <c r="J508" s="15">
        <f>IFERROR(__xludf.DUMMYFUNCTION("""COMPUTED_VALUE"""),-1.0)</f>
        <v>-1</v>
      </c>
      <c r="K508" s="15" t="str">
        <f>IFERROR(__xludf.DUMMYFUNCTION("""COMPUTED_VALUE"""),"21/07/2024, 14:23:53")</f>
        <v>21/07/2024, 14:23:53</v>
      </c>
    </row>
    <row r="509">
      <c r="A509" s="15" t="str">
        <f>IFERROR(__xludf.DUMMYFUNCTION("""COMPUTED_VALUE"""),"6565f884fa38f84eb4f95a68")</f>
        <v>6565f884fa38f84eb4f95a68</v>
      </c>
      <c r="B509" s="15" t="str">
        <f>IFERROR(__xludf.DUMMYFUNCTION("""COMPUTED_VALUE"""),"_2023_08_01_08_44_05_vaihingen_kitzingen_heavy_rain_day_as_single_set_skipped_6_batch_26_split_by_size_of_500_tagged")</f>
        <v>_2023_08_01_08_44_05_vaihingen_kitzingen_heavy_rain_day_as_single_set_skipped_6_batch_26_split_by_size_of_500_tagged</v>
      </c>
      <c r="C509" s="15" t="str">
        <f>IFERROR(__xludf.DUMMYFUNCTION("""COMPUTED_VALUE"""),"train")</f>
        <v>train</v>
      </c>
      <c r="D509" s="15" t="str">
        <f>IFERROR(__xludf.DUMMYFUNCTION("""COMPUTED_VALUE"""),"train")</f>
        <v>train</v>
      </c>
      <c r="E509" s="15">
        <f>IFERROR(__xludf.DUMMYFUNCTION("""COMPUTED_VALUE"""),496.0)</f>
        <v>496</v>
      </c>
      <c r="F509" s="15" t="str">
        <f>IFERROR(__xludf.DUMMYFUNCTION("""COMPUTED_VALUE"""),"8MP_JPG")</f>
        <v>8MP_JPG</v>
      </c>
      <c r="G509" s="15" t="str">
        <f>IFERROR(__xludf.DUMMYFUNCTION("""COMPUTED_VALUE"""),"DEMO, GERMANY, RAIN, DAY")</f>
        <v>DEMO, GERMANY, RAIN, DAY</v>
      </c>
      <c r="H509" s="15">
        <f>IFERROR(__xludf.DUMMYFUNCTION("""COMPUTED_VALUE"""),950.0)</f>
        <v>950</v>
      </c>
      <c r="I509" s="15">
        <f>IFERROR(__xludf.DUMMYFUNCTION("""COMPUTED_VALUE"""),-1.0)</f>
        <v>-1</v>
      </c>
      <c r="J509" s="15">
        <f>IFERROR(__xludf.DUMMYFUNCTION("""COMPUTED_VALUE"""),-1.0)</f>
        <v>-1</v>
      </c>
      <c r="K509" s="15" t="str">
        <f>IFERROR(__xludf.DUMMYFUNCTION("""COMPUTED_VALUE"""),"21/07/2024, 14:23:56")</f>
        <v>21/07/2024, 14:23:56</v>
      </c>
    </row>
    <row r="510">
      <c r="A510" s="26" t="str">
        <f>IFERROR(__xludf.DUMMYFUNCTION("""COMPUTED_VALUE"""),"6565f878fa38f84eb4f952b4")</f>
        <v>6565f878fa38f84eb4f952b4</v>
      </c>
      <c r="B510" s="26" t="str">
        <f>IFERROR(__xludf.DUMMYFUNCTION("""COMPUTED_VALUE"""),"_2023_08_01_08_44_05_vaihingen_kitzingen_heavy_rain_day_as_single_set_skipped_6_batch_27_split_by_size_of_500_tagged")</f>
        <v>_2023_08_01_08_44_05_vaihingen_kitzingen_heavy_rain_day_as_single_set_skipped_6_batch_27_split_by_size_of_500_tagged</v>
      </c>
      <c r="C510" s="26" t="str">
        <f>IFERROR(__xludf.DUMMYFUNCTION("""COMPUTED_VALUE"""),"train")</f>
        <v>train</v>
      </c>
      <c r="D510" s="26" t="str">
        <f>IFERROR(__xludf.DUMMYFUNCTION("""COMPUTED_VALUE"""),"train")</f>
        <v>train</v>
      </c>
      <c r="E510" s="26">
        <f>IFERROR(__xludf.DUMMYFUNCTION("""COMPUTED_VALUE"""),500.0)</f>
        <v>500</v>
      </c>
      <c r="F510" s="26" t="str">
        <f>IFERROR(__xludf.DUMMYFUNCTION("""COMPUTED_VALUE"""),"8MP_JPG")</f>
        <v>8MP_JPG</v>
      </c>
      <c r="G510" s="26" t="str">
        <f>IFERROR(__xludf.DUMMYFUNCTION("""COMPUTED_VALUE"""),"DEMO, GERMANY, RAIN, DAY")</f>
        <v>DEMO, GERMANY, RAIN, DAY</v>
      </c>
      <c r="H510" s="26">
        <f>IFERROR(__xludf.DUMMYFUNCTION("""COMPUTED_VALUE"""),-1.0)</f>
        <v>-1</v>
      </c>
      <c r="I510" s="26">
        <f>IFERROR(__xludf.DUMMYFUNCTION("""COMPUTED_VALUE"""),-1.0)</f>
        <v>-1</v>
      </c>
      <c r="J510" s="26">
        <f>IFERROR(__xludf.DUMMYFUNCTION("""COMPUTED_VALUE"""),-1.0)</f>
        <v>-1</v>
      </c>
      <c r="K510" s="26" t="str">
        <f>IFERROR(__xludf.DUMMYFUNCTION("""COMPUTED_VALUE"""),"21/07/2024, 14:23:58")</f>
        <v>21/07/2024, 14:23:58</v>
      </c>
    </row>
    <row r="511">
      <c r="A511" s="15" t="str">
        <f>IFERROR(__xludf.DUMMYFUNCTION("""COMPUTED_VALUE"""),"6565f86efa38f84eb4f94a40")</f>
        <v>6565f86efa38f84eb4f94a40</v>
      </c>
      <c r="B511" s="15" t="str">
        <f>IFERROR(__xludf.DUMMYFUNCTION("""COMPUTED_VALUE"""),"_2023_08_01_08_44_05_vaihingen_kitzingen_heavy_rain_day_as_single_set_skipped_6_batch_28_split_by_size_of_500_tagged")</f>
        <v>_2023_08_01_08_44_05_vaihingen_kitzingen_heavy_rain_day_as_single_set_skipped_6_batch_28_split_by_size_of_500_tagged</v>
      </c>
      <c r="C511" s="15" t="str">
        <f>IFERROR(__xludf.DUMMYFUNCTION("""COMPUTED_VALUE"""),"train")</f>
        <v>train</v>
      </c>
      <c r="D511" s="15" t="str">
        <f>IFERROR(__xludf.DUMMYFUNCTION("""COMPUTED_VALUE"""),"train")</f>
        <v>train</v>
      </c>
      <c r="E511" s="15">
        <f>IFERROR(__xludf.DUMMYFUNCTION("""COMPUTED_VALUE"""),500.0)</f>
        <v>500</v>
      </c>
      <c r="F511" s="15" t="str">
        <f>IFERROR(__xludf.DUMMYFUNCTION("""COMPUTED_VALUE"""),"8MP_JPG")</f>
        <v>8MP_JPG</v>
      </c>
      <c r="G511" s="15" t="str">
        <f>IFERROR(__xludf.DUMMYFUNCTION("""COMPUTED_VALUE"""),"DEMO, GERMANY, RAIN, DAY")</f>
        <v>DEMO, GERMANY, RAIN, DAY</v>
      </c>
      <c r="H511" s="15">
        <f>IFERROR(__xludf.DUMMYFUNCTION("""COMPUTED_VALUE"""),-1.0)</f>
        <v>-1</v>
      </c>
      <c r="I511" s="15">
        <f>IFERROR(__xludf.DUMMYFUNCTION("""COMPUTED_VALUE"""),-1.0)</f>
        <v>-1</v>
      </c>
      <c r="J511" s="15">
        <f>IFERROR(__xludf.DUMMYFUNCTION("""COMPUTED_VALUE"""),-1.0)</f>
        <v>-1</v>
      </c>
      <c r="K511" s="15" t="str">
        <f>IFERROR(__xludf.DUMMYFUNCTION("""COMPUTED_VALUE"""),"21/07/2024, 14:24:00")</f>
        <v>21/07/2024, 14:24:00</v>
      </c>
    </row>
    <row r="512">
      <c r="A512" s="15" t="str">
        <f>IFERROR(__xludf.DUMMYFUNCTION("""COMPUTED_VALUE"""),"6565f862fa38f84eb4f941ff")</f>
        <v>6565f862fa38f84eb4f941ff</v>
      </c>
      <c r="B512" s="15" t="str">
        <f>IFERROR(__xludf.DUMMYFUNCTION("""COMPUTED_VALUE"""),"_2023_08_01_08_44_05_vaihingen_kitzingen_heavy_rain_day_as_single_set_skipped_6_batch_29_split_by_size_of_500_tagged")</f>
        <v>_2023_08_01_08_44_05_vaihingen_kitzingen_heavy_rain_day_as_single_set_skipped_6_batch_29_split_by_size_of_500_tagged</v>
      </c>
      <c r="C512" s="15" t="str">
        <f>IFERROR(__xludf.DUMMYFUNCTION("""COMPUTED_VALUE"""),"train")</f>
        <v>train</v>
      </c>
      <c r="D512" s="15" t="str">
        <f>IFERROR(__xludf.DUMMYFUNCTION("""COMPUTED_VALUE"""),"train")</f>
        <v>train</v>
      </c>
      <c r="E512" s="15">
        <f>IFERROR(__xludf.DUMMYFUNCTION("""COMPUTED_VALUE"""),499.0)</f>
        <v>499</v>
      </c>
      <c r="F512" s="15" t="str">
        <f>IFERROR(__xludf.DUMMYFUNCTION("""COMPUTED_VALUE"""),"8MP_JPG")</f>
        <v>8MP_JPG</v>
      </c>
      <c r="G512" s="15" t="str">
        <f>IFERROR(__xludf.DUMMYFUNCTION("""COMPUTED_VALUE"""),"DEMO, GERMANY, RAIN, DAY")</f>
        <v>DEMO, GERMANY, RAIN, DAY</v>
      </c>
      <c r="H512" s="15">
        <f>IFERROR(__xludf.DUMMYFUNCTION("""COMPUTED_VALUE"""),950.0)</f>
        <v>950</v>
      </c>
      <c r="I512" s="15">
        <f>IFERROR(__xludf.DUMMYFUNCTION("""COMPUTED_VALUE"""),-1.0)</f>
        <v>-1</v>
      </c>
      <c r="J512" s="15">
        <f>IFERROR(__xludf.DUMMYFUNCTION("""COMPUTED_VALUE"""),-1.0)</f>
        <v>-1</v>
      </c>
      <c r="K512" s="15" t="str">
        <f>IFERROR(__xludf.DUMMYFUNCTION("""COMPUTED_VALUE"""),"21/07/2024, 14:24:02")</f>
        <v>21/07/2024, 14:24:02</v>
      </c>
    </row>
    <row r="513">
      <c r="A513" s="15" t="str">
        <f>IFERROR(__xludf.DUMMYFUNCTION("""COMPUTED_VALUE"""),"6565f858fa38f84eb4f93a6b")</f>
        <v>6565f858fa38f84eb4f93a6b</v>
      </c>
      <c r="B513" s="15" t="str">
        <f>IFERROR(__xludf.DUMMYFUNCTION("""COMPUTED_VALUE"""),"_2023_08_01_08_44_05_vaihingen_kitzingen_heavy_rain_day_as_single_set_skipped_6_batch_30_split_by_size_of_500_tagged")</f>
        <v>_2023_08_01_08_44_05_vaihingen_kitzingen_heavy_rain_day_as_single_set_skipped_6_batch_30_split_by_size_of_500_tagged</v>
      </c>
      <c r="C513" s="15" t="str">
        <f>IFERROR(__xludf.DUMMYFUNCTION("""COMPUTED_VALUE"""),"train")</f>
        <v>train</v>
      </c>
      <c r="D513" s="15" t="str">
        <f>IFERROR(__xludf.DUMMYFUNCTION("""COMPUTED_VALUE"""),"train")</f>
        <v>train</v>
      </c>
      <c r="E513" s="15">
        <f>IFERROR(__xludf.DUMMYFUNCTION("""COMPUTED_VALUE"""),500.0)</f>
        <v>500</v>
      </c>
      <c r="F513" s="15" t="str">
        <f>IFERROR(__xludf.DUMMYFUNCTION("""COMPUTED_VALUE"""),"8MP_JPG")</f>
        <v>8MP_JPG</v>
      </c>
      <c r="G513" s="15" t="str">
        <f>IFERROR(__xludf.DUMMYFUNCTION("""COMPUTED_VALUE"""),"DEMO, GERMANY, RAIN, DAY")</f>
        <v>DEMO, GERMANY, RAIN, DAY</v>
      </c>
      <c r="H513" s="15">
        <f>IFERROR(__xludf.DUMMYFUNCTION("""COMPUTED_VALUE"""),-1.0)</f>
        <v>-1</v>
      </c>
      <c r="I513" s="15">
        <f>IFERROR(__xludf.DUMMYFUNCTION("""COMPUTED_VALUE"""),-1.0)</f>
        <v>-1</v>
      </c>
      <c r="J513" s="15">
        <f>IFERROR(__xludf.DUMMYFUNCTION("""COMPUTED_VALUE"""),-1.0)</f>
        <v>-1</v>
      </c>
      <c r="K513" s="15" t="str">
        <f>IFERROR(__xludf.DUMMYFUNCTION("""COMPUTED_VALUE"""),"21/07/2024, 14:24:05")</f>
        <v>21/07/2024, 14:24:05</v>
      </c>
    </row>
    <row r="514">
      <c r="A514" s="15" t="str">
        <f>IFERROR(__xludf.DUMMYFUNCTION("""COMPUTED_VALUE"""),"6565f84efa38f84eb4f932b3")</f>
        <v>6565f84efa38f84eb4f932b3</v>
      </c>
      <c r="B514" s="15" t="str">
        <f>IFERROR(__xludf.DUMMYFUNCTION("""COMPUTED_VALUE"""),"_2023_08_01_08_44_05_vaihingen_kitzingen_heavy_rain_day_as_single_set_skipped_6_batch_31_split_by_size_of_500_tagged")</f>
        <v>_2023_08_01_08_44_05_vaihingen_kitzingen_heavy_rain_day_as_single_set_skipped_6_batch_31_split_by_size_of_500_tagged</v>
      </c>
      <c r="C514" s="15" t="str">
        <f>IFERROR(__xludf.DUMMYFUNCTION("""COMPUTED_VALUE"""),"train")</f>
        <v>train</v>
      </c>
      <c r="D514" s="15" t="str">
        <f>IFERROR(__xludf.DUMMYFUNCTION("""COMPUTED_VALUE"""),"train")</f>
        <v>train</v>
      </c>
      <c r="E514" s="15">
        <f>IFERROR(__xludf.DUMMYFUNCTION("""COMPUTED_VALUE"""),499.0)</f>
        <v>499</v>
      </c>
      <c r="F514" s="15" t="str">
        <f>IFERROR(__xludf.DUMMYFUNCTION("""COMPUTED_VALUE"""),"8MP_JPG")</f>
        <v>8MP_JPG</v>
      </c>
      <c r="G514" s="15" t="str">
        <f>IFERROR(__xludf.DUMMYFUNCTION("""COMPUTED_VALUE"""),"DEMO, GERMANY, RAIN, DAY")</f>
        <v>DEMO, GERMANY, RAIN, DAY</v>
      </c>
      <c r="H514" s="15">
        <f>IFERROR(__xludf.DUMMYFUNCTION("""COMPUTED_VALUE"""),-1.0)</f>
        <v>-1</v>
      </c>
      <c r="I514" s="15">
        <f>IFERROR(__xludf.DUMMYFUNCTION("""COMPUTED_VALUE"""),-1.0)</f>
        <v>-1</v>
      </c>
      <c r="J514" s="15">
        <f>IFERROR(__xludf.DUMMYFUNCTION("""COMPUTED_VALUE"""),-1.0)</f>
        <v>-1</v>
      </c>
      <c r="K514" s="15" t="str">
        <f>IFERROR(__xludf.DUMMYFUNCTION("""COMPUTED_VALUE"""),"21/07/2024, 14:24:08")</f>
        <v>21/07/2024, 14:24:08</v>
      </c>
    </row>
    <row r="515">
      <c r="A515" s="15" t="str">
        <f>IFERROR(__xludf.DUMMYFUNCTION("""COMPUTED_VALUE"""),"6565f843fa38f84eb4f92715")</f>
        <v>6565f843fa38f84eb4f92715</v>
      </c>
      <c r="B515" s="15" t="str">
        <f>IFERROR(__xludf.DUMMYFUNCTION("""COMPUTED_VALUE"""),"_2023_08_01_08_44_05_vaihingen_kitzingen_heavy_rain_day_as_single_set_skipped_6_batch_32_split_by_size_of_500_tagged")</f>
        <v>_2023_08_01_08_44_05_vaihingen_kitzingen_heavy_rain_day_as_single_set_skipped_6_batch_32_split_by_size_of_500_tagged</v>
      </c>
      <c r="C515" s="15" t="str">
        <f>IFERROR(__xludf.DUMMYFUNCTION("""COMPUTED_VALUE"""),"train")</f>
        <v>train</v>
      </c>
      <c r="D515" s="15" t="str">
        <f>IFERROR(__xludf.DUMMYFUNCTION("""COMPUTED_VALUE"""),"train")</f>
        <v>train</v>
      </c>
      <c r="E515" s="15">
        <f>IFERROR(__xludf.DUMMYFUNCTION("""COMPUTED_VALUE"""),498.0)</f>
        <v>498</v>
      </c>
      <c r="F515" s="15" t="str">
        <f>IFERROR(__xludf.DUMMYFUNCTION("""COMPUTED_VALUE"""),"8MP_JPG")</f>
        <v>8MP_JPG</v>
      </c>
      <c r="G515" s="15" t="str">
        <f>IFERROR(__xludf.DUMMYFUNCTION("""COMPUTED_VALUE"""),"DEMO, GERMANY, RAIN, DAY")</f>
        <v>DEMO, GERMANY, RAIN, DAY</v>
      </c>
      <c r="H515" s="15">
        <f>IFERROR(__xludf.DUMMYFUNCTION("""COMPUTED_VALUE"""),-1.0)</f>
        <v>-1</v>
      </c>
      <c r="I515" s="15">
        <f>IFERROR(__xludf.DUMMYFUNCTION("""COMPUTED_VALUE"""),-1.0)</f>
        <v>-1</v>
      </c>
      <c r="J515" s="15">
        <f>IFERROR(__xludf.DUMMYFUNCTION("""COMPUTED_VALUE"""),-1.0)</f>
        <v>-1</v>
      </c>
      <c r="K515" s="15" t="str">
        <f>IFERROR(__xludf.DUMMYFUNCTION("""COMPUTED_VALUE"""),"21/07/2024, 14:24:10")</f>
        <v>21/07/2024, 14:24:10</v>
      </c>
    </row>
    <row r="516">
      <c r="A516" s="26" t="str">
        <f>IFERROR(__xludf.DUMMYFUNCTION("""COMPUTED_VALUE"""),"6565f838fa38f84eb4f92021")</f>
        <v>6565f838fa38f84eb4f92021</v>
      </c>
      <c r="B516" s="26" t="str">
        <f>IFERROR(__xludf.DUMMYFUNCTION("""COMPUTED_VALUE"""),"_2023_08_01_08_44_05_vaihingen_kitzingen_heavy_rain_day_as_single_set_skipped_6_batch_33_split_by_size_of_500_tagged")</f>
        <v>_2023_08_01_08_44_05_vaihingen_kitzingen_heavy_rain_day_as_single_set_skipped_6_batch_33_split_by_size_of_500_tagged</v>
      </c>
      <c r="C516" s="26" t="str">
        <f>IFERROR(__xludf.DUMMYFUNCTION("""COMPUTED_VALUE"""),"train")</f>
        <v>train</v>
      </c>
      <c r="D516" s="26" t="str">
        <f>IFERROR(__xludf.DUMMYFUNCTION("""COMPUTED_VALUE"""),"train")</f>
        <v>train</v>
      </c>
      <c r="E516" s="26">
        <f>IFERROR(__xludf.DUMMYFUNCTION("""COMPUTED_VALUE"""),500.0)</f>
        <v>500</v>
      </c>
      <c r="F516" s="26" t="str">
        <f>IFERROR(__xludf.DUMMYFUNCTION("""COMPUTED_VALUE"""),"8MP_JPG")</f>
        <v>8MP_JPG</v>
      </c>
      <c r="G516" s="26" t="str">
        <f>IFERROR(__xludf.DUMMYFUNCTION("""COMPUTED_VALUE"""),"DEMO, GERMANY, RAIN, DAY")</f>
        <v>DEMO, GERMANY, RAIN, DAY</v>
      </c>
      <c r="H516" s="26">
        <f>IFERROR(__xludf.DUMMYFUNCTION("""COMPUTED_VALUE"""),-1.0)</f>
        <v>-1</v>
      </c>
      <c r="I516" s="26">
        <f>IFERROR(__xludf.DUMMYFUNCTION("""COMPUTED_VALUE"""),-1.0)</f>
        <v>-1</v>
      </c>
      <c r="J516" s="26">
        <f>IFERROR(__xludf.DUMMYFUNCTION("""COMPUTED_VALUE"""),-1.0)</f>
        <v>-1</v>
      </c>
      <c r="K516" s="26" t="str">
        <f>IFERROR(__xludf.DUMMYFUNCTION("""COMPUTED_VALUE"""),"21/07/2024, 14:24:13")</f>
        <v>21/07/2024, 14:24:13</v>
      </c>
    </row>
    <row r="517">
      <c r="A517" s="15" t="str">
        <f>IFERROR(__xludf.DUMMYFUNCTION("""COMPUTED_VALUE"""),"653132f654107825f76a8c0b")</f>
        <v>653132f654107825f76a8c0b</v>
      </c>
      <c r="B517" s="15" t="str">
        <f>IFERROR(__xludf.DUMMYFUNCTION("""COMPUTED_VALUE"""),"official_od_2023_08_01_08_44_05_vaihingen_kitzingen_heavy_rain_day_as_single_set_skipped_6_batch_25_split_by_size_of_500_for_train_tagged")</f>
        <v>official_od_2023_08_01_08_44_05_vaihingen_kitzingen_heavy_rain_day_as_single_set_skipped_6_batch_25_split_by_size_of_500_for_train_tagged</v>
      </c>
      <c r="C517" s="15" t="str">
        <f>IFERROR(__xludf.DUMMYFUNCTION("""COMPUTED_VALUE"""),"train")</f>
        <v>train</v>
      </c>
      <c r="D517" s="15" t="str">
        <f>IFERROR(__xludf.DUMMYFUNCTION("""COMPUTED_VALUE"""),"train")</f>
        <v>train</v>
      </c>
      <c r="E517" s="15">
        <f>IFERROR(__xludf.DUMMYFUNCTION("""COMPUTED_VALUE"""),500.0)</f>
        <v>500</v>
      </c>
      <c r="F517" s="15" t="str">
        <f>IFERROR(__xludf.DUMMYFUNCTION("""COMPUTED_VALUE"""),"8MP_JPG")</f>
        <v>8MP_JPG</v>
      </c>
      <c r="G517" s="15" t="str">
        <f>IFERROR(__xludf.DUMMYFUNCTION("""COMPUTED_VALUE"""),"RAIN, DEMO, DAY, WET_ROAD, GERMANY")</f>
        <v>RAIN, DEMO, DAY, WET_ROAD, GERMANY</v>
      </c>
      <c r="H517" s="15">
        <f>IFERROR(__xludf.DUMMYFUNCTION("""COMPUTED_VALUE"""),-1.0)</f>
        <v>-1</v>
      </c>
      <c r="I517" s="15">
        <f>IFERROR(__xludf.DUMMYFUNCTION("""COMPUTED_VALUE"""),-1.0)</f>
        <v>-1</v>
      </c>
      <c r="J517" s="15">
        <f>IFERROR(__xludf.DUMMYFUNCTION("""COMPUTED_VALUE"""),-1.0)</f>
        <v>-1</v>
      </c>
      <c r="K517" s="15" t="str">
        <f>IFERROR(__xludf.DUMMYFUNCTION("""COMPUTED_VALUE"""),"21/07/2024, 14:24:15")</f>
        <v>21/07/2024, 14:24:15</v>
      </c>
    </row>
    <row r="518">
      <c r="A518" s="15" t="str">
        <f>IFERROR(__xludf.DUMMYFUNCTION("""COMPUTED_VALUE"""),"6666e52706e1a3626922d599")</f>
        <v>6666e52706e1a3626922d599</v>
      </c>
      <c r="B518" s="15" t="str">
        <f>IFERROR(__xludf.DUMMYFUNCTION("""COMPUTED_VALUE"""),"vans_od_train_batch_2_to_tag_batch_1_each_100")</f>
        <v>vans_od_train_batch_2_to_tag_batch_1_each_100</v>
      </c>
      <c r="C518" s="15" t="str">
        <f>IFERROR(__xludf.DUMMYFUNCTION("""COMPUTED_VALUE"""),"train")</f>
        <v>train</v>
      </c>
      <c r="D518" s="15" t="str">
        <f>IFERROR(__xludf.DUMMYFUNCTION("""COMPUTED_VALUE"""),"train")</f>
        <v>train</v>
      </c>
      <c r="E518" s="15">
        <f>IFERROR(__xludf.DUMMYFUNCTION("""COMPUTED_VALUE"""),100.0)</f>
        <v>100</v>
      </c>
      <c r="F518" s="15" t="str">
        <f>IFERROR(__xludf.DUMMYFUNCTION("""COMPUTED_VALUE"""),"8MP_JPG")</f>
        <v>8MP_JPG</v>
      </c>
      <c r="G518" s="15" t="str">
        <f>IFERROR(__xludf.DUMMYFUNCTION("""COMPUTED_VALUE"""),"EUROPE, CLEAR, SPAIN, CLOUDY, DIRECT_SUN, DAY, ITALY")</f>
        <v>EUROPE, CLEAR, SPAIN, CLOUDY, DIRECT_SUN, DAY, ITALY</v>
      </c>
      <c r="H518" s="15">
        <f>IFERROR(__xludf.DUMMYFUNCTION("""COMPUTED_VALUE"""),-1.0)</f>
        <v>-1</v>
      </c>
      <c r="I518" s="15">
        <f>IFERROR(__xludf.DUMMYFUNCTION("""COMPUTED_VALUE"""),-1.0)</f>
        <v>-1</v>
      </c>
      <c r="J518" s="15">
        <f>IFERROR(__xludf.DUMMYFUNCTION("""COMPUTED_VALUE"""),-1.0)</f>
        <v>-1</v>
      </c>
      <c r="K518" s="15" t="str">
        <f>IFERROR(__xludf.DUMMYFUNCTION("""COMPUTED_VALUE"""),"22/07/2024, 12:33:36")</f>
        <v>22/07/2024, 12:33:36</v>
      </c>
    </row>
    <row r="519">
      <c r="A519" s="15" t="str">
        <f>IFERROR(__xludf.DUMMYFUNCTION("""COMPUTED_VALUE"""),"6666e52706e1a3626922d598")</f>
        <v>6666e52706e1a3626922d598</v>
      </c>
      <c r="B519" s="15" t="str">
        <f>IFERROR(__xludf.DUMMYFUNCTION("""COMPUTED_VALUE"""),"vans_od_train_batch_2_to_tag_batch_0_each_100")</f>
        <v>vans_od_train_batch_2_to_tag_batch_0_each_100</v>
      </c>
      <c r="C519" s="15" t="str">
        <f>IFERROR(__xludf.DUMMYFUNCTION("""COMPUTED_VALUE"""),"train")</f>
        <v>train</v>
      </c>
      <c r="D519" s="15" t="str">
        <f>IFERROR(__xludf.DUMMYFUNCTION("""COMPUTED_VALUE"""),"train")</f>
        <v>train</v>
      </c>
      <c r="E519" s="15">
        <f>IFERROR(__xludf.DUMMYFUNCTION("""COMPUTED_VALUE"""),100.0)</f>
        <v>100</v>
      </c>
      <c r="F519" s="15" t="str">
        <f>IFERROR(__xludf.DUMMYFUNCTION("""COMPUTED_VALUE"""),"8MP_JPG")</f>
        <v>8MP_JPG</v>
      </c>
      <c r="G519" s="15" t="str">
        <f>IFERROR(__xludf.DUMMYFUNCTION("""COMPUTED_VALUE"""),"EUROPE, CLEAR, SPAIN, CLOUDY, DIRECT_SUN, DAY, ITALY")</f>
        <v>EUROPE, CLEAR, SPAIN, CLOUDY, DIRECT_SUN, DAY, ITALY</v>
      </c>
      <c r="H519" s="15">
        <f>IFERROR(__xludf.DUMMYFUNCTION("""COMPUTED_VALUE"""),-1.0)</f>
        <v>-1</v>
      </c>
      <c r="I519" s="15">
        <f>IFERROR(__xludf.DUMMYFUNCTION("""COMPUTED_VALUE"""),-1.0)</f>
        <v>-1</v>
      </c>
      <c r="J519" s="15">
        <f>IFERROR(__xludf.DUMMYFUNCTION("""COMPUTED_VALUE"""),-1.0)</f>
        <v>-1</v>
      </c>
      <c r="K519" s="15" t="str">
        <f>IFERROR(__xludf.DUMMYFUNCTION("""COMPUTED_VALUE"""),"22/07/2024, 12:33:39")</f>
        <v>22/07/2024, 12:33:39</v>
      </c>
    </row>
    <row r="520">
      <c r="A520" s="15" t="str">
        <f>IFERROR(__xludf.DUMMYFUNCTION("""COMPUTED_VALUE"""),"6665952506e1a36269225f1c")</f>
        <v>6665952506e1a36269225f1c</v>
      </c>
      <c r="B520" s="15" t="str">
        <f>IFERROR(__xludf.DUMMYFUNCTION("""COMPUTED_VALUE"""),"vans_od_train_batch_1_to_tag_batch_3_each_100")</f>
        <v>vans_od_train_batch_1_to_tag_batch_3_each_100</v>
      </c>
      <c r="C520" s="15" t="str">
        <f>IFERROR(__xludf.DUMMYFUNCTION("""COMPUTED_VALUE"""),"train")</f>
        <v>train</v>
      </c>
      <c r="D520" s="15" t="str">
        <f>IFERROR(__xludf.DUMMYFUNCTION("""COMPUTED_VALUE"""),"train")</f>
        <v>train</v>
      </c>
      <c r="E520" s="15">
        <f>IFERROR(__xludf.DUMMYFUNCTION("""COMPUTED_VALUE"""),53.0)</f>
        <v>53</v>
      </c>
      <c r="F520" s="15" t="str">
        <f>IFERROR(__xludf.DUMMYFUNCTION("""COMPUTED_VALUE"""),"8MP_JPG")</f>
        <v>8MP_JPG</v>
      </c>
      <c r="G520" s="15" t="str">
        <f>IFERROR(__xludf.DUMMYFUNCTION("""COMPUTED_VALUE"""),"LIGHT_RAIN, CLEAR, SPAIN, CLOUDY, DAY")</f>
        <v>LIGHT_RAIN, CLEAR, SPAIN, CLOUDY, DAY</v>
      </c>
      <c r="H520" s="15">
        <f>IFERROR(__xludf.DUMMYFUNCTION("""COMPUTED_VALUE"""),-1.0)</f>
        <v>-1</v>
      </c>
      <c r="I520" s="15">
        <f>IFERROR(__xludf.DUMMYFUNCTION("""COMPUTED_VALUE"""),-1.0)</f>
        <v>-1</v>
      </c>
      <c r="J520" s="15">
        <f>IFERROR(__xludf.DUMMYFUNCTION("""COMPUTED_VALUE"""),-1.0)</f>
        <v>-1</v>
      </c>
      <c r="K520" s="15" t="str">
        <f>IFERROR(__xludf.DUMMYFUNCTION("""COMPUTED_VALUE"""),"22/07/2024, 12:33:42")</f>
        <v>22/07/2024, 12:33:42</v>
      </c>
    </row>
    <row r="521">
      <c r="A521" s="15" t="str">
        <f>IFERROR(__xludf.DUMMYFUNCTION("""COMPUTED_VALUE"""),"6665952406e1a36269225f1b")</f>
        <v>6665952406e1a36269225f1b</v>
      </c>
      <c r="B521" s="15" t="str">
        <f>IFERROR(__xludf.DUMMYFUNCTION("""COMPUTED_VALUE"""),"vans_od_train_batch_1_to_tag_batch_2_each_100")</f>
        <v>vans_od_train_batch_1_to_tag_batch_2_each_100</v>
      </c>
      <c r="C521" s="15" t="str">
        <f>IFERROR(__xludf.DUMMYFUNCTION("""COMPUTED_VALUE"""),"train")</f>
        <v>train</v>
      </c>
      <c r="D521" s="15" t="str">
        <f>IFERROR(__xludf.DUMMYFUNCTION("""COMPUTED_VALUE"""),"train")</f>
        <v>train</v>
      </c>
      <c r="E521" s="15">
        <f>IFERROR(__xludf.DUMMYFUNCTION("""COMPUTED_VALUE"""),100.0)</f>
        <v>100</v>
      </c>
      <c r="F521" s="15" t="str">
        <f>IFERROR(__xludf.DUMMYFUNCTION("""COMPUTED_VALUE"""),"8MP_JPG")</f>
        <v>8MP_JPG</v>
      </c>
      <c r="G521" s="15" t="str">
        <f>IFERROR(__xludf.DUMMYFUNCTION("""COMPUTED_VALUE"""),"LIGHT_RAIN, CLEAR, SPAIN, CLOUDY, DAY")</f>
        <v>LIGHT_RAIN, CLEAR, SPAIN, CLOUDY, DAY</v>
      </c>
      <c r="H521" s="15">
        <f>IFERROR(__xludf.DUMMYFUNCTION("""COMPUTED_VALUE"""),-1.0)</f>
        <v>-1</v>
      </c>
      <c r="I521" s="15">
        <f>IFERROR(__xludf.DUMMYFUNCTION("""COMPUTED_VALUE"""),-1.0)</f>
        <v>-1</v>
      </c>
      <c r="J521" s="15">
        <f>IFERROR(__xludf.DUMMYFUNCTION("""COMPUTED_VALUE"""),-1.0)</f>
        <v>-1</v>
      </c>
      <c r="K521" s="15" t="str">
        <f>IFERROR(__xludf.DUMMYFUNCTION("""COMPUTED_VALUE"""),"22/07/2024, 12:33:45")</f>
        <v>22/07/2024, 12:33:45</v>
      </c>
    </row>
    <row r="522">
      <c r="A522" s="15" t="str">
        <f>IFERROR(__xludf.DUMMYFUNCTION("""COMPUTED_VALUE"""),"6665952406e1a36269225f1a")</f>
        <v>6665952406e1a36269225f1a</v>
      </c>
      <c r="B522" s="15" t="str">
        <f>IFERROR(__xludf.DUMMYFUNCTION("""COMPUTED_VALUE"""),"vans_od_train_batch_1_to_tag_batch_1_each_100")</f>
        <v>vans_od_train_batch_1_to_tag_batch_1_each_100</v>
      </c>
      <c r="C522" s="15" t="str">
        <f>IFERROR(__xludf.DUMMYFUNCTION("""COMPUTED_VALUE"""),"train")</f>
        <v>train</v>
      </c>
      <c r="D522" s="15" t="str">
        <f>IFERROR(__xludf.DUMMYFUNCTION("""COMPUTED_VALUE"""),"train")</f>
        <v>train</v>
      </c>
      <c r="E522" s="15">
        <f>IFERROR(__xludf.DUMMYFUNCTION("""COMPUTED_VALUE"""),100.0)</f>
        <v>100</v>
      </c>
      <c r="F522" s="15" t="str">
        <f>IFERROR(__xludf.DUMMYFUNCTION("""COMPUTED_VALUE"""),"8MP_JPG")</f>
        <v>8MP_JPG</v>
      </c>
      <c r="G522" s="15" t="str">
        <f>IFERROR(__xludf.DUMMYFUNCTION("""COMPUTED_VALUE"""),"LIGHT_RAIN, CLEAR, SPAIN, CLOUDY, DAY, WET_ROAD, TAR_LINES")</f>
        <v>LIGHT_RAIN, CLEAR, SPAIN, CLOUDY, DAY, WET_ROAD, TAR_LINES</v>
      </c>
      <c r="H522" s="15">
        <f>IFERROR(__xludf.DUMMYFUNCTION("""COMPUTED_VALUE"""),-1.0)</f>
        <v>-1</v>
      </c>
      <c r="I522" s="15">
        <f>IFERROR(__xludf.DUMMYFUNCTION("""COMPUTED_VALUE"""),-1.0)</f>
        <v>-1</v>
      </c>
      <c r="J522" s="15">
        <f>IFERROR(__xludf.DUMMYFUNCTION("""COMPUTED_VALUE"""),-4.0)</f>
        <v>-4</v>
      </c>
      <c r="K522" s="15" t="str">
        <f>IFERROR(__xludf.DUMMYFUNCTION("""COMPUTED_VALUE"""),"22/07/2024, 12:33:47")</f>
        <v>22/07/2024, 12:33:47</v>
      </c>
    </row>
    <row r="523">
      <c r="A523" s="15" t="str">
        <f>IFERROR(__xludf.DUMMYFUNCTION("""COMPUTED_VALUE"""),"6665950406e1a36269225f0e")</f>
        <v>6665950406e1a36269225f0e</v>
      </c>
      <c r="B523" s="15" t="str">
        <f>IFERROR(__xludf.DUMMYFUNCTION("""COMPUTED_VALUE"""),"vans_od_train_batch_0_to_tag_batch_2_each_100")</f>
        <v>vans_od_train_batch_0_to_tag_batch_2_each_100</v>
      </c>
      <c r="C523" s="15" t="str">
        <f>IFERROR(__xludf.DUMMYFUNCTION("""COMPUTED_VALUE"""),"train")</f>
        <v>train</v>
      </c>
      <c r="D523" s="15" t="str">
        <f>IFERROR(__xludf.DUMMYFUNCTION("""COMPUTED_VALUE"""),"train")</f>
        <v>train</v>
      </c>
      <c r="E523" s="15">
        <f>IFERROR(__xludf.DUMMYFUNCTION("""COMPUTED_VALUE"""),79.0)</f>
        <v>79</v>
      </c>
      <c r="F523" s="15" t="str">
        <f>IFERROR(__xludf.DUMMYFUNCTION("""COMPUTED_VALUE"""),"8MP_JPG")</f>
        <v>8MP_JPG</v>
      </c>
      <c r="G523" s="15" t="str">
        <f>IFERROR(__xludf.DUMMYFUNCTION("""COMPUTED_VALUE"""),"EUROPE, SNOW, DAY, ISRAEL, GERMANY")</f>
        <v>EUROPE, SNOW, DAY, ISRAEL, GERMANY</v>
      </c>
      <c r="H523" s="15">
        <f>IFERROR(__xludf.DUMMYFUNCTION("""COMPUTED_VALUE"""),-1.0)</f>
        <v>-1</v>
      </c>
      <c r="I523" s="15">
        <f>IFERROR(__xludf.DUMMYFUNCTION("""COMPUTED_VALUE"""),-1.0)</f>
        <v>-1</v>
      </c>
      <c r="J523" s="15">
        <f>IFERROR(__xludf.DUMMYFUNCTION("""COMPUTED_VALUE"""),-1.0)</f>
        <v>-1</v>
      </c>
      <c r="K523" s="15" t="str">
        <f>IFERROR(__xludf.DUMMYFUNCTION("""COMPUTED_VALUE"""),"22/07/2024, 12:33:50")</f>
        <v>22/07/2024, 12:33:50</v>
      </c>
    </row>
    <row r="524">
      <c r="A524" s="15" t="str">
        <f>IFERROR(__xludf.DUMMYFUNCTION("""COMPUTED_VALUE"""),"6665950406e1a36269225f0d")</f>
        <v>6665950406e1a36269225f0d</v>
      </c>
      <c r="B524" s="15" t="str">
        <f>IFERROR(__xludf.DUMMYFUNCTION("""COMPUTED_VALUE"""),"vans_od_train_batch_0_to_tag_batch_1_each_100")</f>
        <v>vans_od_train_batch_0_to_tag_batch_1_each_100</v>
      </c>
      <c r="C524" s="15" t="str">
        <f>IFERROR(__xludf.DUMMYFUNCTION("""COMPUTED_VALUE"""),"train")</f>
        <v>train</v>
      </c>
      <c r="D524" s="15" t="str">
        <f>IFERROR(__xludf.DUMMYFUNCTION("""COMPUTED_VALUE"""),"train")</f>
        <v>train</v>
      </c>
      <c r="E524" s="15">
        <f>IFERROR(__xludf.DUMMYFUNCTION("""COMPUTED_VALUE"""),100.0)</f>
        <v>100</v>
      </c>
      <c r="F524" s="15" t="str">
        <f>IFERROR(__xludf.DUMMYFUNCTION("""COMPUTED_VALUE"""),"8MP_JPG")</f>
        <v>8MP_JPG</v>
      </c>
      <c r="G524" s="15" t="str">
        <f>IFERROR(__xludf.DUMMYFUNCTION("""COMPUTED_VALUE"""),"EUROPE, SNOW, DAY, ISRAEL, GERMANY")</f>
        <v>EUROPE, SNOW, DAY, ISRAEL, GERMANY</v>
      </c>
      <c r="H524" s="15">
        <f>IFERROR(__xludf.DUMMYFUNCTION("""COMPUTED_VALUE"""),-1.0)</f>
        <v>-1</v>
      </c>
      <c r="I524" s="15">
        <f>IFERROR(__xludf.DUMMYFUNCTION("""COMPUTED_VALUE"""),-1.0)</f>
        <v>-1</v>
      </c>
      <c r="J524" s="15">
        <f>IFERROR(__xludf.DUMMYFUNCTION("""COMPUTED_VALUE"""),-1.0)</f>
        <v>-1</v>
      </c>
      <c r="K524" s="15" t="str">
        <f>IFERROR(__xludf.DUMMYFUNCTION("""COMPUTED_VALUE"""),"22/07/2024, 12:33:53")</f>
        <v>22/07/2024, 12:33:53</v>
      </c>
    </row>
    <row r="525">
      <c r="A525" s="15" t="str">
        <f>IFERROR(__xludf.DUMMYFUNCTION("""COMPUTED_VALUE"""),"66950cb8b9653c153efaa8b3")</f>
        <v>66950cb8b9653c153efaa8b3</v>
      </c>
      <c r="B525" s="15" t="str">
        <f>IFERROR(__xludf.DUMMYFUNCTION("""COMPUTED_VALUE"""),"israel_drive_imx728_isp_v6_images_extracted_manually_07_09_2024_01_44_52_batches_1_to_13_filtered_skip3_batch_1_each_200_to_tag")</f>
        <v>israel_drive_imx728_isp_v6_images_extracted_manually_07_09_2024_01_44_52_batches_1_to_13_filtered_skip3_batch_1_each_200_to_tag</v>
      </c>
      <c r="C525" s="15" t="str">
        <f>IFERROR(__xludf.DUMMYFUNCTION("""COMPUTED_VALUE"""),"test")</f>
        <v>test</v>
      </c>
      <c r="D525" s="15" t="str">
        <f>IFERROR(__xludf.DUMMYFUNCTION("""COMPUTED_VALUE"""),"test")</f>
        <v>test</v>
      </c>
      <c r="E525" s="15">
        <f>IFERROR(__xludf.DUMMYFUNCTION("""COMPUTED_VALUE"""),200.0)</f>
        <v>200</v>
      </c>
      <c r="F525" s="15" t="str">
        <f>IFERROR(__xludf.DUMMYFUNCTION("""COMPUTED_VALUE"""),"AMBARELLA_3840_1920")</f>
        <v>AMBARELLA_3840_1920</v>
      </c>
      <c r="G525" s="15" t="str">
        <f>IFERROR(__xludf.DUMMYFUNCTION("""COMPUTED_VALUE"""),"DAY, ISRAEL, CLEAR")</f>
        <v>DAY, ISRAEL, CLEAR</v>
      </c>
      <c r="H525" s="15">
        <f>IFERROR(__xludf.DUMMYFUNCTION("""COMPUTED_VALUE"""),-1.0)</f>
        <v>-1</v>
      </c>
      <c r="I525" s="15">
        <f>IFERROR(__xludf.DUMMYFUNCTION("""COMPUTED_VALUE"""),-1.0)</f>
        <v>-1</v>
      </c>
      <c r="J525" s="15">
        <f>IFERROR(__xludf.DUMMYFUNCTION("""COMPUTED_VALUE"""),-1.0)</f>
        <v>-1</v>
      </c>
      <c r="K525" s="15" t="str">
        <f>IFERROR(__xludf.DUMMYFUNCTION("""COMPUTED_VALUE"""),"22/07/2024, 13:43:08")</f>
        <v>22/07/2024, 13:43:08</v>
      </c>
    </row>
    <row r="526">
      <c r="A526" s="15" t="str">
        <f>IFERROR(__xludf.DUMMYFUNCTION("""COMPUTED_VALUE"""),"66950cbab9653c153efaa8b5")</f>
        <v>66950cbab9653c153efaa8b5</v>
      </c>
      <c r="B526" s="15" t="str">
        <f>IFERROR(__xludf.DUMMYFUNCTION("""COMPUTED_VALUE"""),"israel_drive_imx728_isp_v6_images_extracted_manually_07_09_2024_01_44_52_batches_1_to_13_filtered_skip3_batch_3_each_200_to_tag")</f>
        <v>israel_drive_imx728_isp_v6_images_extracted_manually_07_09_2024_01_44_52_batches_1_to_13_filtered_skip3_batch_3_each_200_to_tag</v>
      </c>
      <c r="C526" s="15" t="str">
        <f>IFERROR(__xludf.DUMMYFUNCTION("""COMPUTED_VALUE"""),"test")</f>
        <v>test</v>
      </c>
      <c r="D526" s="15" t="str">
        <f>IFERROR(__xludf.DUMMYFUNCTION("""COMPUTED_VALUE"""),"test")</f>
        <v>test</v>
      </c>
      <c r="E526" s="15">
        <f>IFERROR(__xludf.DUMMYFUNCTION("""COMPUTED_VALUE"""),136.0)</f>
        <v>136</v>
      </c>
      <c r="F526" s="15" t="str">
        <f>IFERROR(__xludf.DUMMYFUNCTION("""COMPUTED_VALUE"""),"AMBARELLA_3840_1920")</f>
        <v>AMBARELLA_3840_1920</v>
      </c>
      <c r="G526" s="15" t="str">
        <f>IFERROR(__xludf.DUMMYFUNCTION("""COMPUTED_VALUE"""),"CLEAR, DAY, ISRAEL")</f>
        <v>CLEAR, DAY, ISRAEL</v>
      </c>
      <c r="H526" s="15">
        <f>IFERROR(__xludf.DUMMYFUNCTION("""COMPUTED_VALUE"""),-1.0)</f>
        <v>-1</v>
      </c>
      <c r="I526" s="15">
        <f>IFERROR(__xludf.DUMMYFUNCTION("""COMPUTED_VALUE"""),-1.0)</f>
        <v>-1</v>
      </c>
      <c r="J526" s="15">
        <f>IFERROR(__xludf.DUMMYFUNCTION("""COMPUTED_VALUE"""),-1.0)</f>
        <v>-1</v>
      </c>
      <c r="K526" s="15" t="str">
        <f>IFERROR(__xludf.DUMMYFUNCTION("""COMPUTED_VALUE"""),"22/07/2024, 13:46:13")</f>
        <v>22/07/2024, 13:46:13</v>
      </c>
    </row>
    <row r="527">
      <c r="A527" s="15" t="str">
        <f>IFERROR(__xludf.DUMMYFUNCTION("""COMPUTED_VALUE"""),"66950cb9b9653c153efaa8b4")</f>
        <v>66950cb9b9653c153efaa8b4</v>
      </c>
      <c r="B527" s="15" t="str">
        <f>IFERROR(__xludf.DUMMYFUNCTION("""COMPUTED_VALUE"""),"israel_drive_imx728_isp_v6_images_extracted_manually_07_09_2024_01_44_52_batches_1_to_13_filtered_skip3_batch_2_each_200_to_tag")</f>
        <v>israel_drive_imx728_isp_v6_images_extracted_manually_07_09_2024_01_44_52_batches_1_to_13_filtered_skip3_batch_2_each_200_to_tag</v>
      </c>
      <c r="C527" s="15" t="str">
        <f>IFERROR(__xludf.DUMMYFUNCTION("""COMPUTED_VALUE"""),"test")</f>
        <v>test</v>
      </c>
      <c r="D527" s="15" t="str">
        <f>IFERROR(__xludf.DUMMYFUNCTION("""COMPUTED_VALUE"""),"test")</f>
        <v>test</v>
      </c>
      <c r="E527" s="15">
        <f>IFERROR(__xludf.DUMMYFUNCTION("""COMPUTED_VALUE"""),200.0)</f>
        <v>200</v>
      </c>
      <c r="F527" s="15" t="str">
        <f>IFERROR(__xludf.DUMMYFUNCTION("""COMPUTED_VALUE"""),"AMBARELLA_3840_1920")</f>
        <v>AMBARELLA_3840_1920</v>
      </c>
      <c r="G527" s="15" t="str">
        <f>IFERROR(__xludf.DUMMYFUNCTION("""COMPUTED_VALUE"""),"CLEAR, ISRAEL, DAY")</f>
        <v>CLEAR, ISRAEL, DAY</v>
      </c>
      <c r="H527" s="15">
        <f>IFERROR(__xludf.DUMMYFUNCTION("""COMPUTED_VALUE"""),-1.0)</f>
        <v>-1</v>
      </c>
      <c r="I527" s="15">
        <f>IFERROR(__xludf.DUMMYFUNCTION("""COMPUTED_VALUE"""),-1.0)</f>
        <v>-1</v>
      </c>
      <c r="J527" s="15">
        <f>IFERROR(__xludf.DUMMYFUNCTION("""COMPUTED_VALUE"""),-1.0)</f>
        <v>-1</v>
      </c>
      <c r="K527" s="15" t="str">
        <f>IFERROR(__xludf.DUMMYFUNCTION("""COMPUTED_VALUE"""),"22/07/2024, 13:47:18")</f>
        <v>22/07/2024, 13:47:18</v>
      </c>
    </row>
    <row r="528">
      <c r="A528" s="15" t="str">
        <f>IFERROR(__xludf.DUMMYFUNCTION("""COMPUTED_VALUE"""),"62e8ecfa07d51f12277c9a7a")</f>
        <v>62e8ecfa07d51f12277c9a7a</v>
      </c>
      <c r="B528" s="15" t="str">
        <f>IFERROR(__xludf.DUMMYFUNCTION("""COMPUTED_VALUE"""),"amba_taiwan_train_2_0208")</f>
        <v>amba_taiwan_train_2_0208</v>
      </c>
      <c r="C528" s="15" t="str">
        <f>IFERROR(__xludf.DUMMYFUNCTION("""COMPUTED_VALUE"""),"train")</f>
        <v>train</v>
      </c>
      <c r="D528" s="15" t="str">
        <f>IFERROR(__xludf.DUMMYFUNCTION("""COMPUTED_VALUE"""),"train")</f>
        <v>train</v>
      </c>
      <c r="E528" s="15">
        <f>IFERROR(__xludf.DUMMYFUNCTION("""COMPUTED_VALUE"""),213.0)</f>
        <v>213</v>
      </c>
      <c r="F528" s="15" t="str">
        <f>IFERROR(__xludf.DUMMYFUNCTION("""COMPUTED_VALUE"""),"AMBARELLA_3840_1920")</f>
        <v>AMBARELLA_3840_1920</v>
      </c>
      <c r="G528" s="15" t="str">
        <f>IFERROR(__xludf.DUMMYFUNCTION("""COMPUTED_VALUE"""),"ASIA, DAY, CLOUDY")</f>
        <v>ASIA, DAY, CLOUDY</v>
      </c>
      <c r="H528" s="15">
        <f>IFERROR(__xludf.DUMMYFUNCTION("""COMPUTED_VALUE"""),950.0)</f>
        <v>950</v>
      </c>
      <c r="I528" s="15">
        <f>IFERROR(__xludf.DUMMYFUNCTION("""COMPUTED_VALUE"""),1675.0)</f>
        <v>1675</v>
      </c>
      <c r="J528" s="15">
        <f>IFERROR(__xludf.DUMMYFUNCTION("""COMPUTED_VALUE"""),1585.0)</f>
        <v>1585</v>
      </c>
      <c r="K528" s="15" t="str">
        <f>IFERROR(__xludf.DUMMYFUNCTION("""COMPUTED_VALUE"""),"28/07/2024, 11:37:06")</f>
        <v>28/07/2024, 11:37:06</v>
      </c>
    </row>
    <row r="529">
      <c r="A529" s="15" t="str">
        <f>IFERROR(__xludf.DUMMYFUNCTION("""COMPUTED_VALUE"""),"6565f8b9fa38f84eb4f99aee")</f>
        <v>6565f8b9fa38f84eb4f99aee</v>
      </c>
      <c r="B529" s="15" t="str">
        <f>IFERROR(__xludf.DUMMYFUNCTION("""COMPUTED_VALUE"""),"_2023_08_01_08_44_05_vaihingen_kitzingen_heavy_rain_day_as_single_set_skipped_6_batch_20_split_by_size_of_500_tagged")</f>
        <v>_2023_08_01_08_44_05_vaihingen_kitzingen_heavy_rain_day_as_single_set_skipped_6_batch_20_split_by_size_of_500_tagged</v>
      </c>
      <c r="C529" s="15" t="str">
        <f>IFERROR(__xludf.DUMMYFUNCTION("""COMPUTED_VALUE"""),"train")</f>
        <v>train</v>
      </c>
      <c r="D529" s="15" t="str">
        <f>IFERROR(__xludf.DUMMYFUNCTION("""COMPUTED_VALUE"""),"train")</f>
        <v>train</v>
      </c>
      <c r="E529" s="15">
        <f>IFERROR(__xludf.DUMMYFUNCTION("""COMPUTED_VALUE"""),500.0)</f>
        <v>500</v>
      </c>
      <c r="F529" s="15" t="str">
        <f>IFERROR(__xludf.DUMMYFUNCTION("""COMPUTED_VALUE"""),"8MP_JPG")</f>
        <v>8MP_JPG</v>
      </c>
      <c r="G529" s="15" t="str">
        <f>IFERROR(__xludf.DUMMYFUNCTION("""COMPUTED_VALUE"""),"DAY, GERMANY, RAIN, DEMO")</f>
        <v>DAY, GERMANY, RAIN, DEMO</v>
      </c>
      <c r="H529" s="15">
        <f>IFERROR(__xludf.DUMMYFUNCTION("""COMPUTED_VALUE"""),-1.0)</f>
        <v>-1</v>
      </c>
      <c r="I529" s="15">
        <f>IFERROR(__xludf.DUMMYFUNCTION("""COMPUTED_VALUE"""),-1.0)</f>
        <v>-1</v>
      </c>
      <c r="J529" s="15">
        <f>IFERROR(__xludf.DUMMYFUNCTION("""COMPUTED_VALUE"""),-1.0)</f>
        <v>-1</v>
      </c>
      <c r="K529" s="15" t="str">
        <f>IFERROR(__xludf.DUMMYFUNCTION("""COMPUTED_VALUE"""),"31/07/2024, 14:59:18")</f>
        <v>31/07/2024, 14:59:18</v>
      </c>
    </row>
    <row r="530">
      <c r="A530" s="15" t="str">
        <f>IFERROR(__xludf.DUMMYFUNCTION("""COMPUTED_VALUE"""),"6565f8a2fa38f84eb4f97ea5")</f>
        <v>6565f8a2fa38f84eb4f97ea5</v>
      </c>
      <c r="B530" s="15" t="str">
        <f>IFERROR(__xludf.DUMMYFUNCTION("""COMPUTED_VALUE"""),"_2023_08_01_08_44_05_vaihingen_kitzingen_heavy_rain_day_as_single_set_skipped_6_batch_22_split_by_size_of_500_tagged")</f>
        <v>_2023_08_01_08_44_05_vaihingen_kitzingen_heavy_rain_day_as_single_set_skipped_6_batch_22_split_by_size_of_500_tagged</v>
      </c>
      <c r="C530" s="15" t="str">
        <f>IFERROR(__xludf.DUMMYFUNCTION("""COMPUTED_VALUE"""),"train")</f>
        <v>train</v>
      </c>
      <c r="D530" s="15" t="str">
        <f>IFERROR(__xludf.DUMMYFUNCTION("""COMPUTED_VALUE"""),"train")</f>
        <v>train</v>
      </c>
      <c r="E530" s="15">
        <f>IFERROR(__xludf.DUMMYFUNCTION("""COMPUTED_VALUE"""),500.0)</f>
        <v>500</v>
      </c>
      <c r="F530" s="15" t="str">
        <f>IFERROR(__xludf.DUMMYFUNCTION("""COMPUTED_VALUE"""),"8MP_JPG")</f>
        <v>8MP_JPG</v>
      </c>
      <c r="G530" s="15" t="str">
        <f>IFERROR(__xludf.DUMMYFUNCTION("""COMPUTED_VALUE"""),"DAY, GERMANY, RAIN, DEMO")</f>
        <v>DAY, GERMANY, RAIN, DEMO</v>
      </c>
      <c r="H530" s="15">
        <f>IFERROR(__xludf.DUMMYFUNCTION("""COMPUTED_VALUE"""),950.0)</f>
        <v>950</v>
      </c>
      <c r="I530" s="15">
        <f>IFERROR(__xludf.DUMMYFUNCTION("""COMPUTED_VALUE"""),-1.0)</f>
        <v>-1</v>
      </c>
      <c r="J530" s="15">
        <f>IFERROR(__xludf.DUMMYFUNCTION("""COMPUTED_VALUE"""),-1.0)</f>
        <v>-1</v>
      </c>
      <c r="K530" s="15" t="str">
        <f>IFERROR(__xludf.DUMMYFUNCTION("""COMPUTED_VALUE"""),"31/07/2024, 14:59:27")</f>
        <v>31/07/2024, 14:59:27</v>
      </c>
    </row>
    <row r="531">
      <c r="A531" s="15" t="str">
        <f>IFERROR(__xludf.DUMMYFUNCTION("""COMPUTED_VALUE"""),"6538388254107825f76c0f7d")</f>
        <v>6538388254107825f76c0f7d</v>
      </c>
      <c r="B531" s="15" t="str">
        <f>IFERROR(__xludf.DUMMYFUNCTION("""COMPUTED_VALUE"""),"official_od_2023_08_01_08_44_05_vaihingen_kitzingen_heavy_rain_day_as_single_set_skipped_6_batch_17_split_by_size_of_500_for_train_tagged")</f>
        <v>official_od_2023_08_01_08_44_05_vaihingen_kitzingen_heavy_rain_day_as_single_set_skipped_6_batch_17_split_by_size_of_500_for_train_tagged</v>
      </c>
      <c r="C531" s="15" t="str">
        <f>IFERROR(__xludf.DUMMYFUNCTION("""COMPUTED_VALUE"""),"train")</f>
        <v>train</v>
      </c>
      <c r="D531" s="15" t="str">
        <f>IFERROR(__xludf.DUMMYFUNCTION("""COMPUTED_VALUE"""),"train")</f>
        <v>train</v>
      </c>
      <c r="E531" s="15">
        <f>IFERROR(__xludf.DUMMYFUNCTION("""COMPUTED_VALUE"""),499.0)</f>
        <v>499</v>
      </c>
      <c r="F531" s="15" t="str">
        <f>IFERROR(__xludf.DUMMYFUNCTION("""COMPUTED_VALUE"""),"8MP_JPG")</f>
        <v>8MP_JPG</v>
      </c>
      <c r="G531" s="15" t="str">
        <f>IFERROR(__xludf.DUMMYFUNCTION("""COMPUTED_VALUE"""),"DAY, GERMANY, RAIN, DEMO")</f>
        <v>DAY, GERMANY, RAIN, DEMO</v>
      </c>
      <c r="H531" s="15">
        <f>IFERROR(__xludf.DUMMYFUNCTION("""COMPUTED_VALUE"""),-1.0)</f>
        <v>-1</v>
      </c>
      <c r="I531" s="15">
        <f>IFERROR(__xludf.DUMMYFUNCTION("""COMPUTED_VALUE"""),-1.0)</f>
        <v>-1</v>
      </c>
      <c r="J531" s="15">
        <f>IFERROR(__xludf.DUMMYFUNCTION("""COMPUTED_VALUE"""),-1.0)</f>
        <v>-1</v>
      </c>
      <c r="K531" s="15" t="str">
        <f>IFERROR(__xludf.DUMMYFUNCTION("""COMPUTED_VALUE"""),"31/07/2024, 14:59:50")</f>
        <v>31/07/2024, 14:59:50</v>
      </c>
    </row>
    <row r="532">
      <c r="A532" s="15" t="str">
        <f>IFERROR(__xludf.DUMMYFUNCTION("""COMPUTED_VALUE"""),"6565f8c7fa38f84eb4f9aa4c")</f>
        <v>6565f8c7fa38f84eb4f9aa4c</v>
      </c>
      <c r="B532" s="15" t="str">
        <f>IFERROR(__xludf.DUMMYFUNCTION("""COMPUTED_VALUE"""),"_2023_08_01_08_44_05_vaihingen_kitzingen_heavy_rain_day_as_single_set_skipped_6_batch_18_split_by_size_of_500_tagged")</f>
        <v>_2023_08_01_08_44_05_vaihingen_kitzingen_heavy_rain_day_as_single_set_skipped_6_batch_18_split_by_size_of_500_tagged</v>
      </c>
      <c r="C532" s="15" t="str">
        <f>IFERROR(__xludf.DUMMYFUNCTION("""COMPUTED_VALUE"""),"train")</f>
        <v>train</v>
      </c>
      <c r="D532" s="15" t="str">
        <f>IFERROR(__xludf.DUMMYFUNCTION("""COMPUTED_VALUE"""),"train")</f>
        <v>train</v>
      </c>
      <c r="E532" s="15">
        <f>IFERROR(__xludf.DUMMYFUNCTION("""COMPUTED_VALUE"""),500.0)</f>
        <v>500</v>
      </c>
      <c r="F532" s="15" t="str">
        <f>IFERROR(__xludf.DUMMYFUNCTION("""COMPUTED_VALUE"""),"8MP_JPG")</f>
        <v>8MP_JPG</v>
      </c>
      <c r="G532" s="15" t="str">
        <f>IFERROR(__xludf.DUMMYFUNCTION("""COMPUTED_VALUE"""),"GERMANY, RAIN, DAY, DEMO")</f>
        <v>GERMANY, RAIN, DAY, DEMO</v>
      </c>
      <c r="H532" s="15">
        <f>IFERROR(__xludf.DUMMYFUNCTION("""COMPUTED_VALUE"""),950.0)</f>
        <v>950</v>
      </c>
      <c r="I532" s="15">
        <f>IFERROR(__xludf.DUMMYFUNCTION("""COMPUTED_VALUE"""),-1.0)</f>
        <v>-1</v>
      </c>
      <c r="J532" s="15">
        <f>IFERROR(__xludf.DUMMYFUNCTION("""COMPUTED_VALUE"""),-1.0)</f>
        <v>-1</v>
      </c>
      <c r="K532" s="15" t="str">
        <f>IFERROR(__xludf.DUMMYFUNCTION("""COMPUTED_VALUE"""),"31/07/2024, 16:46:02")</f>
        <v>31/07/2024, 16:46:02</v>
      </c>
    </row>
    <row r="533">
      <c r="A533" s="26" t="str">
        <f>IFERROR(__xludf.DUMMYFUNCTION("""COMPUTED_VALUE"""),"6565f8aefa38f84eb4f98eb8")</f>
        <v>6565f8aefa38f84eb4f98eb8</v>
      </c>
      <c r="B533" s="26" t="str">
        <f>IFERROR(__xludf.DUMMYFUNCTION("""COMPUTED_VALUE"""),"_2023_08_01_08_44_05_vaihingen_kitzingen_heavy_rain_day_as_single_set_skipped_6_batch_21_split_by_size_of_500_tagged")</f>
        <v>_2023_08_01_08_44_05_vaihingen_kitzingen_heavy_rain_day_as_single_set_skipped_6_batch_21_split_by_size_of_500_tagged</v>
      </c>
      <c r="C533" s="26" t="str">
        <f>IFERROR(__xludf.DUMMYFUNCTION("""COMPUTED_VALUE"""),"train")</f>
        <v>train</v>
      </c>
      <c r="D533" s="26" t="str">
        <f>IFERROR(__xludf.DUMMYFUNCTION("""COMPUTED_VALUE"""),"train")</f>
        <v>train</v>
      </c>
      <c r="E533" s="26">
        <f>IFERROR(__xludf.DUMMYFUNCTION("""COMPUTED_VALUE"""),500.0)</f>
        <v>500</v>
      </c>
      <c r="F533" s="26" t="str">
        <f>IFERROR(__xludf.DUMMYFUNCTION("""COMPUTED_VALUE"""),"8MP_JPG")</f>
        <v>8MP_JPG</v>
      </c>
      <c r="G533" s="26" t="str">
        <f>IFERROR(__xludf.DUMMYFUNCTION("""COMPUTED_VALUE"""),"GERMANY, RAIN, DAY, DEMO")</f>
        <v>GERMANY, RAIN, DAY, DEMO</v>
      </c>
      <c r="H533" s="26">
        <f>IFERROR(__xludf.DUMMYFUNCTION("""COMPUTED_VALUE"""),950.0)</f>
        <v>950</v>
      </c>
      <c r="I533" s="26">
        <f>IFERROR(__xludf.DUMMYFUNCTION("""COMPUTED_VALUE"""),-1.0)</f>
        <v>-1</v>
      </c>
      <c r="J533" s="26">
        <f>IFERROR(__xludf.DUMMYFUNCTION("""COMPUTED_VALUE"""),-1.0)</f>
        <v>-1</v>
      </c>
      <c r="K533" s="26" t="str">
        <f>IFERROR(__xludf.DUMMYFUNCTION("""COMPUTED_VALUE"""),"31/07/2024, 16:46:06")</f>
        <v>31/07/2024, 16:46:06</v>
      </c>
    </row>
    <row r="534">
      <c r="A534" s="15" t="str">
        <f>IFERROR(__xludf.DUMMYFUNCTION("""COMPUTED_VALUE"""),"653838aa54107825f76c599d")</f>
        <v>653838aa54107825f76c599d</v>
      </c>
      <c r="B534" s="15" t="str">
        <f>IFERROR(__xludf.DUMMYFUNCTION("""COMPUTED_VALUE"""),"official_od_2023_08_01_08_44_05_vaihingen_kitzingen_heavy_rain_day_as_single_set_skipped_6_batch_12_split_by_size_of_500_for_train_tagged")</f>
        <v>official_od_2023_08_01_08_44_05_vaihingen_kitzingen_heavy_rain_day_as_single_set_skipped_6_batch_12_split_by_size_of_500_for_train_tagged</v>
      </c>
      <c r="C534" s="15" t="str">
        <f>IFERROR(__xludf.DUMMYFUNCTION("""COMPUTED_VALUE"""),"train")</f>
        <v>train</v>
      </c>
      <c r="D534" s="15" t="str">
        <f>IFERROR(__xludf.DUMMYFUNCTION("""COMPUTED_VALUE"""),"train")</f>
        <v>train</v>
      </c>
      <c r="E534" s="15">
        <f>IFERROR(__xludf.DUMMYFUNCTION("""COMPUTED_VALUE"""),500.0)</f>
        <v>500</v>
      </c>
      <c r="F534" s="15" t="str">
        <f>IFERROR(__xludf.DUMMYFUNCTION("""COMPUTED_VALUE"""),"8MP_JPG")</f>
        <v>8MP_JPG</v>
      </c>
      <c r="G534" s="15" t="str">
        <f>IFERROR(__xludf.DUMMYFUNCTION("""COMPUTED_VALUE"""),"GERMANY, RAIN, DAY, DEMO")</f>
        <v>GERMANY, RAIN, DAY, DEMO</v>
      </c>
      <c r="H534" s="15">
        <f>IFERROR(__xludf.DUMMYFUNCTION("""COMPUTED_VALUE"""),-1.0)</f>
        <v>-1</v>
      </c>
      <c r="I534" s="15">
        <f>IFERROR(__xludf.DUMMYFUNCTION("""COMPUTED_VALUE"""),-1.0)</f>
        <v>-1</v>
      </c>
      <c r="J534" s="15">
        <f>IFERROR(__xludf.DUMMYFUNCTION("""COMPUTED_VALUE"""),-1.0)</f>
        <v>-1</v>
      </c>
      <c r="K534" s="15" t="str">
        <f>IFERROR(__xludf.DUMMYFUNCTION("""COMPUTED_VALUE"""),"31/07/2024, 16:46:10")</f>
        <v>31/07/2024, 16:46:10</v>
      </c>
    </row>
    <row r="535">
      <c r="A535" s="15" t="str">
        <f>IFERROR(__xludf.DUMMYFUNCTION("""COMPUTED_VALUE"""),"653838a254107825f76c46fe")</f>
        <v>653838a254107825f76c46fe</v>
      </c>
      <c r="B535" s="15" t="str">
        <f>IFERROR(__xludf.DUMMYFUNCTION("""COMPUTED_VALUE"""),"official_od_2023_08_01_08_44_05_vaihingen_kitzingen_heavy_rain_day_as_single_set_skipped_6_batch_13_split_by_size_of_500_for_train_tagged")</f>
        <v>official_od_2023_08_01_08_44_05_vaihingen_kitzingen_heavy_rain_day_as_single_set_skipped_6_batch_13_split_by_size_of_500_for_train_tagged</v>
      </c>
      <c r="C535" s="15" t="str">
        <f>IFERROR(__xludf.DUMMYFUNCTION("""COMPUTED_VALUE"""),"train")</f>
        <v>train</v>
      </c>
      <c r="D535" s="15" t="str">
        <f>IFERROR(__xludf.DUMMYFUNCTION("""COMPUTED_VALUE"""),"train")</f>
        <v>train</v>
      </c>
      <c r="E535" s="15">
        <f>IFERROR(__xludf.DUMMYFUNCTION("""COMPUTED_VALUE"""),500.0)</f>
        <v>500</v>
      </c>
      <c r="F535" s="15" t="str">
        <f>IFERROR(__xludf.DUMMYFUNCTION("""COMPUTED_VALUE"""),"8MP_JPG")</f>
        <v>8MP_JPG</v>
      </c>
      <c r="G535" s="15" t="str">
        <f>IFERROR(__xludf.DUMMYFUNCTION("""COMPUTED_VALUE"""),"GERMANY, RAIN, DAY, DEMO")</f>
        <v>GERMANY, RAIN, DAY, DEMO</v>
      </c>
      <c r="H535" s="15">
        <f>IFERROR(__xludf.DUMMYFUNCTION("""COMPUTED_VALUE"""),-1.0)</f>
        <v>-1</v>
      </c>
      <c r="I535" s="15">
        <f>IFERROR(__xludf.DUMMYFUNCTION("""COMPUTED_VALUE"""),-1.0)</f>
        <v>-1</v>
      </c>
      <c r="J535" s="15">
        <f>IFERROR(__xludf.DUMMYFUNCTION("""COMPUTED_VALUE"""),-1.0)</f>
        <v>-1</v>
      </c>
      <c r="K535" s="15" t="str">
        <f>IFERROR(__xludf.DUMMYFUNCTION("""COMPUTED_VALUE"""),"31/07/2024, 16:46:14")</f>
        <v>31/07/2024, 16:46:14</v>
      </c>
    </row>
    <row r="536">
      <c r="A536" s="26" t="str">
        <f>IFERROR(__xludf.DUMMYFUNCTION("""COMPUTED_VALUE"""),"6538389954107825f76c3478")</f>
        <v>6538389954107825f76c3478</v>
      </c>
      <c r="B536" s="26" t="str">
        <f>IFERROR(__xludf.DUMMYFUNCTION("""COMPUTED_VALUE"""),"official_od_2023_08_01_08_44_05_vaihingen_kitzingen_heavy_rain_day_as_single_set_skipped_6_batch_14_split_by_size_of_500_for_train_tagged")</f>
        <v>official_od_2023_08_01_08_44_05_vaihingen_kitzingen_heavy_rain_day_as_single_set_skipped_6_batch_14_split_by_size_of_500_for_train_tagged</v>
      </c>
      <c r="C536" s="26" t="str">
        <f>IFERROR(__xludf.DUMMYFUNCTION("""COMPUTED_VALUE"""),"train")</f>
        <v>train</v>
      </c>
      <c r="D536" s="26" t="str">
        <f>IFERROR(__xludf.DUMMYFUNCTION("""COMPUTED_VALUE"""),"train")</f>
        <v>train</v>
      </c>
      <c r="E536" s="26">
        <f>IFERROR(__xludf.DUMMYFUNCTION("""COMPUTED_VALUE"""),500.0)</f>
        <v>500</v>
      </c>
      <c r="F536" s="26" t="str">
        <f>IFERROR(__xludf.DUMMYFUNCTION("""COMPUTED_VALUE"""),"8MP_JPG")</f>
        <v>8MP_JPG</v>
      </c>
      <c r="G536" s="26" t="str">
        <f>IFERROR(__xludf.DUMMYFUNCTION("""COMPUTED_VALUE"""),"GERMANY, RAIN, DAY, DEMO")</f>
        <v>GERMANY, RAIN, DAY, DEMO</v>
      </c>
      <c r="H536" s="26">
        <f>IFERROR(__xludf.DUMMYFUNCTION("""COMPUTED_VALUE"""),-1.0)</f>
        <v>-1</v>
      </c>
      <c r="I536" s="26">
        <f>IFERROR(__xludf.DUMMYFUNCTION("""COMPUTED_VALUE"""),-1.0)</f>
        <v>-1</v>
      </c>
      <c r="J536" s="26">
        <f>IFERROR(__xludf.DUMMYFUNCTION("""COMPUTED_VALUE"""),-1.0)</f>
        <v>-1</v>
      </c>
      <c r="K536" s="26" t="str">
        <f>IFERROR(__xludf.DUMMYFUNCTION("""COMPUTED_VALUE"""),"31/07/2024, 16:46:17")</f>
        <v>31/07/2024, 16:46:17</v>
      </c>
    </row>
    <row r="537">
      <c r="A537" s="15" t="str">
        <f>IFERROR(__xludf.DUMMYFUNCTION("""COMPUTED_VALUE"""),"6538389254107825f76c2a93")</f>
        <v>6538389254107825f76c2a93</v>
      </c>
      <c r="B537" s="15" t="str">
        <f>IFERROR(__xludf.DUMMYFUNCTION("""COMPUTED_VALUE"""),"official_od_2023_08_01_08_44_05_vaihingen_kitzingen_heavy_rain_day_as_single_set_skipped_6_batch_15_split_by_size_of_500_for_train_tagged")</f>
        <v>official_od_2023_08_01_08_44_05_vaihingen_kitzingen_heavy_rain_day_as_single_set_skipped_6_batch_15_split_by_size_of_500_for_train_tagged</v>
      </c>
      <c r="C537" s="15" t="str">
        <f>IFERROR(__xludf.DUMMYFUNCTION("""COMPUTED_VALUE"""),"train")</f>
        <v>train</v>
      </c>
      <c r="D537" s="15" t="str">
        <f>IFERROR(__xludf.DUMMYFUNCTION("""COMPUTED_VALUE"""),"train")</f>
        <v>train</v>
      </c>
      <c r="E537" s="15">
        <f>IFERROR(__xludf.DUMMYFUNCTION("""COMPUTED_VALUE"""),500.0)</f>
        <v>500</v>
      </c>
      <c r="F537" s="15" t="str">
        <f>IFERROR(__xludf.DUMMYFUNCTION("""COMPUTED_VALUE"""),"8MP_JPG")</f>
        <v>8MP_JPG</v>
      </c>
      <c r="G537" s="15" t="str">
        <f>IFERROR(__xludf.DUMMYFUNCTION("""COMPUTED_VALUE"""),"GERMANY, RAIN, DAY, DEMO")</f>
        <v>GERMANY, RAIN, DAY, DEMO</v>
      </c>
      <c r="H537" s="15">
        <f>IFERROR(__xludf.DUMMYFUNCTION("""COMPUTED_VALUE"""),-1.0)</f>
        <v>-1</v>
      </c>
      <c r="I537" s="15">
        <f>IFERROR(__xludf.DUMMYFUNCTION("""COMPUTED_VALUE"""),-1.0)</f>
        <v>-1</v>
      </c>
      <c r="J537" s="15">
        <f>IFERROR(__xludf.DUMMYFUNCTION("""COMPUTED_VALUE"""),-1.0)</f>
        <v>-1</v>
      </c>
      <c r="K537" s="15" t="str">
        <f>IFERROR(__xludf.DUMMYFUNCTION("""COMPUTED_VALUE"""),"31/07/2024, 16:46:21")</f>
        <v>31/07/2024, 16:46:21</v>
      </c>
    </row>
    <row r="538">
      <c r="A538" s="15" t="str">
        <f>IFERROR(__xludf.DUMMYFUNCTION("""COMPUTED_VALUE"""),"6538388a54107825f76c1b4b")</f>
        <v>6538388a54107825f76c1b4b</v>
      </c>
      <c r="B538" s="15" t="str">
        <f>IFERROR(__xludf.DUMMYFUNCTION("""COMPUTED_VALUE"""),"official_od_2023_08_01_08_44_05_vaihingen_kitzingen_heavy_rain_day_as_single_set_skipped_6_batch_16_split_by_size_of_500_for_train_tagged")</f>
        <v>official_od_2023_08_01_08_44_05_vaihingen_kitzingen_heavy_rain_day_as_single_set_skipped_6_batch_16_split_by_size_of_500_for_train_tagged</v>
      </c>
      <c r="C538" s="15" t="str">
        <f>IFERROR(__xludf.DUMMYFUNCTION("""COMPUTED_VALUE"""),"train")</f>
        <v>train</v>
      </c>
      <c r="D538" s="15" t="str">
        <f>IFERROR(__xludf.DUMMYFUNCTION("""COMPUTED_VALUE"""),"train")</f>
        <v>train</v>
      </c>
      <c r="E538" s="15">
        <f>IFERROR(__xludf.DUMMYFUNCTION("""COMPUTED_VALUE"""),500.0)</f>
        <v>500</v>
      </c>
      <c r="F538" s="15" t="str">
        <f>IFERROR(__xludf.DUMMYFUNCTION("""COMPUTED_VALUE"""),"8MP_JPG")</f>
        <v>8MP_JPG</v>
      </c>
      <c r="G538" s="15" t="str">
        <f>IFERROR(__xludf.DUMMYFUNCTION("""COMPUTED_VALUE"""),"GERMANY, RAIN, DAY, DEMO")</f>
        <v>GERMANY, RAIN, DAY, DEMO</v>
      </c>
      <c r="H538" s="15">
        <f>IFERROR(__xludf.DUMMYFUNCTION("""COMPUTED_VALUE"""),-1.0)</f>
        <v>-1</v>
      </c>
      <c r="I538" s="15">
        <f>IFERROR(__xludf.DUMMYFUNCTION("""COMPUTED_VALUE"""),-1.0)</f>
        <v>-1</v>
      </c>
      <c r="J538" s="15">
        <f>IFERROR(__xludf.DUMMYFUNCTION("""COMPUTED_VALUE"""),-1.0)</f>
        <v>-1</v>
      </c>
      <c r="K538" s="15" t="str">
        <f>IFERROR(__xludf.DUMMYFUNCTION("""COMPUTED_VALUE"""),"31/07/2024, 16:46:25")</f>
        <v>31/07/2024, 16:46:25</v>
      </c>
    </row>
    <row r="539">
      <c r="A539" s="15" t="str">
        <f>IFERROR(__xludf.DUMMYFUNCTION("""COMPUTED_VALUE"""),"6538387b54107825f76c085a")</f>
        <v>6538387b54107825f76c085a</v>
      </c>
      <c r="B539" s="15" t="str">
        <f>IFERROR(__xludf.DUMMYFUNCTION("""COMPUTED_VALUE"""),"official_od_2023_08_01_08_44_05_vaihingen_kitzingen_heavy_rain_day_as_single_set_skipped_6_batch_19_split_by_size_of_500_for_train_tagged")</f>
        <v>official_od_2023_08_01_08_44_05_vaihingen_kitzingen_heavy_rain_day_as_single_set_skipped_6_batch_19_split_by_size_of_500_for_train_tagged</v>
      </c>
      <c r="C539" s="15" t="str">
        <f>IFERROR(__xludf.DUMMYFUNCTION("""COMPUTED_VALUE"""),"train")</f>
        <v>train</v>
      </c>
      <c r="D539" s="15" t="str">
        <f>IFERROR(__xludf.DUMMYFUNCTION("""COMPUTED_VALUE"""),"train")</f>
        <v>train</v>
      </c>
      <c r="E539" s="15">
        <f>IFERROR(__xludf.DUMMYFUNCTION("""COMPUTED_VALUE"""),499.0)</f>
        <v>499</v>
      </c>
      <c r="F539" s="15" t="str">
        <f>IFERROR(__xludf.DUMMYFUNCTION("""COMPUTED_VALUE"""),"8MP_JPG")</f>
        <v>8MP_JPG</v>
      </c>
      <c r="G539" s="15" t="str">
        <f>IFERROR(__xludf.DUMMYFUNCTION("""COMPUTED_VALUE"""),"GERMANY, RAIN, DAY, DEMO")</f>
        <v>GERMANY, RAIN, DAY, DEMO</v>
      </c>
      <c r="H539" s="15">
        <f>IFERROR(__xludf.DUMMYFUNCTION("""COMPUTED_VALUE"""),-1.0)</f>
        <v>-1</v>
      </c>
      <c r="I539" s="15">
        <f>IFERROR(__xludf.DUMMYFUNCTION("""COMPUTED_VALUE"""),-1.0)</f>
        <v>-1</v>
      </c>
      <c r="J539" s="15">
        <f>IFERROR(__xludf.DUMMYFUNCTION("""COMPUTED_VALUE"""),-1.0)</f>
        <v>-1</v>
      </c>
      <c r="K539" s="15" t="str">
        <f>IFERROR(__xludf.DUMMYFUNCTION("""COMPUTED_VALUE"""),"31/07/2024, 16:46:29")</f>
        <v>31/07/2024, 16:46:29</v>
      </c>
    </row>
    <row r="540">
      <c r="A540" s="15" t="str">
        <f>IFERROR(__xludf.DUMMYFUNCTION("""COMPUTED_VALUE"""),"6565f8fdfa38f84eb4f9d994")</f>
        <v>6565f8fdfa38f84eb4f9d994</v>
      </c>
      <c r="B540" s="15" t="str">
        <f>IFERROR(__xludf.DUMMYFUNCTION("""COMPUTED_VALUE"""),"_dekra_munich_rain_day_highway_od_issues_2023_06_21_10_26_11_train_batch_0_split_by_size_of_200_for_train_od_tagged")</f>
        <v>_dekra_munich_rain_day_highway_od_issues_2023_06_21_10_26_11_train_batch_0_split_by_size_of_200_for_train_od_tagged</v>
      </c>
      <c r="C540" s="15" t="str">
        <f>IFERROR(__xludf.DUMMYFUNCTION("""COMPUTED_VALUE"""),"train")</f>
        <v>train</v>
      </c>
      <c r="D540" s="15" t="str">
        <f>IFERROR(__xludf.DUMMYFUNCTION("""COMPUTED_VALUE"""),"train")</f>
        <v>train</v>
      </c>
      <c r="E540" s="15">
        <f>IFERROR(__xludf.DUMMYFUNCTION("""COMPUTED_VALUE"""),199.0)</f>
        <v>199</v>
      </c>
      <c r="F540" s="15" t="str">
        <f>IFERROR(__xludf.DUMMYFUNCTION("""COMPUTED_VALUE"""),"8MP_JPG")</f>
        <v>8MP_JPG</v>
      </c>
      <c r="G540" s="15" t="str">
        <f>IFERROR(__xludf.DUMMYFUNCTION("""COMPUTED_VALUE"""),"GERMANY, RAIN, DAY, DEMO")</f>
        <v>GERMANY, RAIN, DAY, DEMO</v>
      </c>
      <c r="H540" s="15">
        <f>IFERROR(__xludf.DUMMYFUNCTION("""COMPUTED_VALUE"""),-1.0)</f>
        <v>-1</v>
      </c>
      <c r="I540" s="15">
        <f>IFERROR(__xludf.DUMMYFUNCTION("""COMPUTED_VALUE"""),-1.0)</f>
        <v>-1</v>
      </c>
      <c r="J540" s="15">
        <f>IFERROR(__xludf.DUMMYFUNCTION("""COMPUTED_VALUE"""),-1.0)</f>
        <v>-1</v>
      </c>
      <c r="K540" s="33">
        <f>IFERROR(__xludf.DUMMYFUNCTION("""COMPUTED_VALUE"""),45390.388078703705)</f>
        <v>45390.38808</v>
      </c>
    </row>
    <row r="541">
      <c r="A541" s="15" t="str">
        <f>IFERROR(__xludf.DUMMYFUNCTION("""COMPUTED_VALUE"""),"6565f8f5fa38f84eb4f9d309")</f>
        <v>6565f8f5fa38f84eb4f9d309</v>
      </c>
      <c r="B541" s="15" t="str">
        <f>IFERROR(__xludf.DUMMYFUNCTION("""COMPUTED_VALUE"""),"_dekra_munich_rain_day_highway_od_issues_2023_06_21_10_26_11_train_batch_5_split_by_size_of_200_for_train_od_tagged")</f>
        <v>_dekra_munich_rain_day_highway_od_issues_2023_06_21_10_26_11_train_batch_5_split_by_size_of_200_for_train_od_tagged</v>
      </c>
      <c r="C541" s="15" t="str">
        <f>IFERROR(__xludf.DUMMYFUNCTION("""COMPUTED_VALUE"""),"train")</f>
        <v>train</v>
      </c>
      <c r="D541" s="15" t="str">
        <f>IFERROR(__xludf.DUMMYFUNCTION("""COMPUTED_VALUE"""),"train")</f>
        <v>train</v>
      </c>
      <c r="E541" s="15">
        <f>IFERROR(__xludf.DUMMYFUNCTION("""COMPUTED_VALUE"""),200.0)</f>
        <v>200</v>
      </c>
      <c r="F541" s="15" t="str">
        <f>IFERROR(__xludf.DUMMYFUNCTION("""COMPUTED_VALUE"""),"8MP_JPG")</f>
        <v>8MP_JPG</v>
      </c>
      <c r="G541" s="15" t="str">
        <f>IFERROR(__xludf.DUMMYFUNCTION("""COMPUTED_VALUE"""),"GERMANY, RAIN, DAY, DEMO")</f>
        <v>GERMANY, RAIN, DAY, DEMO</v>
      </c>
      <c r="H541" s="15">
        <f>IFERROR(__xludf.DUMMYFUNCTION("""COMPUTED_VALUE"""),950.0)</f>
        <v>950</v>
      </c>
      <c r="I541" s="15">
        <f>IFERROR(__xludf.DUMMYFUNCTION("""COMPUTED_VALUE"""),-1.0)</f>
        <v>-1</v>
      </c>
      <c r="J541" s="15">
        <f>IFERROR(__xludf.DUMMYFUNCTION("""COMPUTED_VALUE"""),-1.0)</f>
        <v>-1</v>
      </c>
      <c r="K541" s="33">
        <f>IFERROR(__xludf.DUMMYFUNCTION("""COMPUTED_VALUE"""),45390.38811342593)</f>
        <v>45390.38811</v>
      </c>
    </row>
    <row r="542">
      <c r="A542" s="15" t="str">
        <f>IFERROR(__xludf.DUMMYFUNCTION("""COMPUTED_VALUE"""),"653838c654107825f76c9ec2")</f>
        <v>653838c654107825f76c9ec2</v>
      </c>
      <c r="B542" s="15" t="str">
        <f>IFERROR(__xludf.DUMMYFUNCTION("""COMPUTED_VALUE"""),"official_od_dekra_munich_rain_day_highway_od_issues_2023_06_21_10_26_11_train_batch_3_split_by_size_of_200_od_for_train_tagged")</f>
        <v>official_od_dekra_munich_rain_day_highway_od_issues_2023_06_21_10_26_11_train_batch_3_split_by_size_of_200_od_for_train_tagged</v>
      </c>
      <c r="C542" s="15" t="str">
        <f>IFERROR(__xludf.DUMMYFUNCTION("""COMPUTED_VALUE"""),"train")</f>
        <v>train</v>
      </c>
      <c r="D542" s="15" t="str">
        <f>IFERROR(__xludf.DUMMYFUNCTION("""COMPUTED_VALUE"""),"train")</f>
        <v>train</v>
      </c>
      <c r="E542" s="15">
        <f>IFERROR(__xludf.DUMMYFUNCTION("""COMPUTED_VALUE"""),200.0)</f>
        <v>200</v>
      </c>
      <c r="F542" s="15" t="str">
        <f>IFERROR(__xludf.DUMMYFUNCTION("""COMPUTED_VALUE"""),"8MP_JPG")</f>
        <v>8MP_JPG</v>
      </c>
      <c r="G542" s="15" t="str">
        <f>IFERROR(__xludf.DUMMYFUNCTION("""COMPUTED_VALUE"""),"GERMANY, RAIN, DAY, DEMO")</f>
        <v>GERMANY, RAIN, DAY, DEMO</v>
      </c>
      <c r="H542" s="15">
        <f>IFERROR(__xludf.DUMMYFUNCTION("""COMPUTED_VALUE"""),-1.0)</f>
        <v>-1</v>
      </c>
      <c r="I542" s="15">
        <f>IFERROR(__xludf.DUMMYFUNCTION("""COMPUTED_VALUE"""),-1.0)</f>
        <v>-1</v>
      </c>
      <c r="J542" s="15">
        <f>IFERROR(__xludf.DUMMYFUNCTION("""COMPUTED_VALUE"""),-1.0)</f>
        <v>-1</v>
      </c>
      <c r="K542" s="33">
        <f>IFERROR(__xludf.DUMMYFUNCTION("""COMPUTED_VALUE"""),45390.38814814815)</f>
        <v>45390.38815</v>
      </c>
    </row>
    <row r="543">
      <c r="A543" s="15" t="str">
        <f>IFERROR(__xludf.DUMMYFUNCTION("""COMPUTED_VALUE"""),"653838c054107825f76c94a5")</f>
        <v>653838c054107825f76c94a5</v>
      </c>
      <c r="B543" s="15" t="str">
        <f>IFERROR(__xludf.DUMMYFUNCTION("""COMPUTED_VALUE"""),"official_od_dekra_munich_rain_day_highway_od_issues_2023_06_21_10_26_11_train_batch_4_split_by_size_of_200_od_for_train_tagged")</f>
        <v>official_od_dekra_munich_rain_day_highway_od_issues_2023_06_21_10_26_11_train_batch_4_split_by_size_of_200_od_for_train_tagged</v>
      </c>
      <c r="C543" s="15" t="str">
        <f>IFERROR(__xludf.DUMMYFUNCTION("""COMPUTED_VALUE"""),"train")</f>
        <v>train</v>
      </c>
      <c r="D543" s="15" t="str">
        <f>IFERROR(__xludf.DUMMYFUNCTION("""COMPUTED_VALUE"""),"train")</f>
        <v>train</v>
      </c>
      <c r="E543" s="15">
        <f>IFERROR(__xludf.DUMMYFUNCTION("""COMPUTED_VALUE"""),200.0)</f>
        <v>200</v>
      </c>
      <c r="F543" s="15" t="str">
        <f>IFERROR(__xludf.DUMMYFUNCTION("""COMPUTED_VALUE"""),"8MP_JPG")</f>
        <v>8MP_JPG</v>
      </c>
      <c r="G543" s="15" t="str">
        <f>IFERROR(__xludf.DUMMYFUNCTION("""COMPUTED_VALUE"""),"GERMANY, RAIN, DAY, DEMO")</f>
        <v>GERMANY, RAIN, DAY, DEMO</v>
      </c>
      <c r="H543" s="15">
        <f>IFERROR(__xludf.DUMMYFUNCTION("""COMPUTED_VALUE"""),-1.0)</f>
        <v>-1</v>
      </c>
      <c r="I543" s="15">
        <f>IFERROR(__xludf.DUMMYFUNCTION("""COMPUTED_VALUE"""),-1.0)</f>
        <v>-1</v>
      </c>
      <c r="J543" s="15">
        <f>IFERROR(__xludf.DUMMYFUNCTION("""COMPUTED_VALUE"""),-1.0)</f>
        <v>-1</v>
      </c>
      <c r="K543" s="33">
        <f>IFERROR(__xludf.DUMMYFUNCTION("""COMPUTED_VALUE"""),45390.388194444444)</f>
        <v>45390.38819</v>
      </c>
    </row>
    <row r="544">
      <c r="A544" s="15" t="str">
        <f>IFERROR(__xludf.DUMMYFUNCTION("""COMPUTED_VALUE"""),"652cfb0f54107825f76a64fc")</f>
        <v>652cfb0f54107825f76a64fc</v>
      </c>
      <c r="B544" s="15" t="str">
        <f>IFERROR(__xludf.DUMMYFUNCTION("""COMPUTED_VALUE"""),"official_od_dekra_munich_rain_day_highway_od_issues_2023_06_21_10_26_11_train_batch_9_split_by_size_of_200_od_for_train_tagged")</f>
        <v>official_od_dekra_munich_rain_day_highway_od_issues_2023_06_21_10_26_11_train_batch_9_split_by_size_of_200_od_for_train_tagged</v>
      </c>
      <c r="C544" s="15" t="str">
        <f>IFERROR(__xludf.DUMMYFUNCTION("""COMPUTED_VALUE"""),"train")</f>
        <v>train</v>
      </c>
      <c r="D544" s="15" t="str">
        <f>IFERROR(__xludf.DUMMYFUNCTION("""COMPUTED_VALUE"""),"train")</f>
        <v>train</v>
      </c>
      <c r="E544" s="15">
        <f>IFERROR(__xludf.DUMMYFUNCTION("""COMPUTED_VALUE"""),200.0)</f>
        <v>200</v>
      </c>
      <c r="F544" s="15" t="str">
        <f>IFERROR(__xludf.DUMMYFUNCTION("""COMPUTED_VALUE"""),"8MP_JPG")</f>
        <v>8MP_JPG</v>
      </c>
      <c r="G544" s="15" t="str">
        <f>IFERROR(__xludf.DUMMYFUNCTION("""COMPUTED_VALUE"""),"GERMANY, RAIN, DAY, DEMO")</f>
        <v>GERMANY, RAIN, DAY, DEMO</v>
      </c>
      <c r="H544" s="15">
        <f>IFERROR(__xludf.DUMMYFUNCTION("""COMPUTED_VALUE"""),-1.0)</f>
        <v>-1</v>
      </c>
      <c r="I544" s="15">
        <f>IFERROR(__xludf.DUMMYFUNCTION("""COMPUTED_VALUE"""),-1.0)</f>
        <v>-1</v>
      </c>
      <c r="J544" s="15">
        <f>IFERROR(__xludf.DUMMYFUNCTION("""COMPUTED_VALUE"""),-1.0)</f>
        <v>-1</v>
      </c>
      <c r="K544" s="33">
        <f>IFERROR(__xludf.DUMMYFUNCTION("""COMPUTED_VALUE"""),45390.38822916667)</f>
        <v>45390.38823</v>
      </c>
    </row>
    <row r="545">
      <c r="A545" s="26" t="str">
        <f>IFERROR(__xludf.DUMMYFUNCTION("""COMPUTED_VALUE"""),"652cfa2854107825f76a64f8")</f>
        <v>652cfa2854107825f76a64f8</v>
      </c>
      <c r="B545" s="26" t="str">
        <f>IFERROR(__xludf.DUMMYFUNCTION("""COMPUTED_VALUE"""),"official_od_dekra_munich_rain_day_highway_od_issues_2023_06_21_10_26_11_train_batch_8_split_by_size_of_200_od_for_train_tagged")</f>
        <v>official_od_dekra_munich_rain_day_highway_od_issues_2023_06_21_10_26_11_train_batch_8_split_by_size_of_200_od_for_train_tagged</v>
      </c>
      <c r="C545" s="26" t="str">
        <f>IFERROR(__xludf.DUMMYFUNCTION("""COMPUTED_VALUE"""),"train")</f>
        <v>train</v>
      </c>
      <c r="D545" s="26" t="str">
        <f>IFERROR(__xludf.DUMMYFUNCTION("""COMPUTED_VALUE"""),"train")</f>
        <v>train</v>
      </c>
      <c r="E545" s="26">
        <f>IFERROR(__xludf.DUMMYFUNCTION("""COMPUTED_VALUE"""),200.0)</f>
        <v>200</v>
      </c>
      <c r="F545" s="26" t="str">
        <f>IFERROR(__xludf.DUMMYFUNCTION("""COMPUTED_VALUE"""),"8MP_JPG")</f>
        <v>8MP_JPG</v>
      </c>
      <c r="G545" s="26" t="str">
        <f>IFERROR(__xludf.DUMMYFUNCTION("""COMPUTED_VALUE"""),"GERMANY, RAIN, DAY, DEMO")</f>
        <v>GERMANY, RAIN, DAY, DEMO</v>
      </c>
      <c r="H545" s="26">
        <f>IFERROR(__xludf.DUMMYFUNCTION("""COMPUTED_VALUE"""),-1.0)</f>
        <v>-1</v>
      </c>
      <c r="I545" s="26">
        <f>IFERROR(__xludf.DUMMYFUNCTION("""COMPUTED_VALUE"""),-1.0)</f>
        <v>-1</v>
      </c>
      <c r="J545" s="26">
        <f>IFERROR(__xludf.DUMMYFUNCTION("""COMPUTED_VALUE"""),-1.0)</f>
        <v>-1</v>
      </c>
      <c r="K545" s="34">
        <f>IFERROR(__xludf.DUMMYFUNCTION("""COMPUTED_VALUE"""),45390.38826388889)</f>
        <v>45390.38826</v>
      </c>
    </row>
    <row r="546">
      <c r="A546" s="15" t="str">
        <f>IFERROR(__xludf.DUMMYFUNCTION("""COMPUTED_VALUE"""),"652cf94854107825f76a64ef")</f>
        <v>652cf94854107825f76a64ef</v>
      </c>
      <c r="B546" s="15" t="str">
        <f>IFERROR(__xludf.DUMMYFUNCTION("""COMPUTED_VALUE"""),"official_od_dekra_munich_rain_day_highway_od_issues_2023_06_21_10_26_11_train_batch_7_split_by_size_of_200_od_for_train_tagged")</f>
        <v>official_od_dekra_munich_rain_day_highway_od_issues_2023_06_21_10_26_11_train_batch_7_split_by_size_of_200_od_for_train_tagged</v>
      </c>
      <c r="C546" s="15" t="str">
        <f>IFERROR(__xludf.DUMMYFUNCTION("""COMPUTED_VALUE"""),"train")</f>
        <v>train</v>
      </c>
      <c r="D546" s="15" t="str">
        <f>IFERROR(__xludf.DUMMYFUNCTION("""COMPUTED_VALUE"""),"train")</f>
        <v>train</v>
      </c>
      <c r="E546" s="15">
        <f>IFERROR(__xludf.DUMMYFUNCTION("""COMPUTED_VALUE"""),200.0)</f>
        <v>200</v>
      </c>
      <c r="F546" s="15" t="str">
        <f>IFERROR(__xludf.DUMMYFUNCTION("""COMPUTED_VALUE"""),"8MP_JPG")</f>
        <v>8MP_JPG</v>
      </c>
      <c r="G546" s="15" t="str">
        <f>IFERROR(__xludf.DUMMYFUNCTION("""COMPUTED_VALUE"""),"GERMANY, RAIN, DAY, DEMO")</f>
        <v>GERMANY, RAIN, DAY, DEMO</v>
      </c>
      <c r="H546" s="15">
        <f>IFERROR(__xludf.DUMMYFUNCTION("""COMPUTED_VALUE"""),-1.0)</f>
        <v>-1</v>
      </c>
      <c r="I546" s="15">
        <f>IFERROR(__xludf.DUMMYFUNCTION("""COMPUTED_VALUE"""),-1.0)</f>
        <v>-1</v>
      </c>
      <c r="J546" s="15">
        <f>IFERROR(__xludf.DUMMYFUNCTION("""COMPUTED_VALUE"""),-1.0)</f>
        <v>-1</v>
      </c>
      <c r="K546" s="33">
        <f>IFERROR(__xludf.DUMMYFUNCTION("""COMPUTED_VALUE"""),45390.38829861111)</f>
        <v>45390.3883</v>
      </c>
    </row>
    <row r="547">
      <c r="A547" s="15" t="str">
        <f>IFERROR(__xludf.DUMMYFUNCTION("""COMPUTED_VALUE"""),"652cf86f54107825f76a64e3")</f>
        <v>652cf86f54107825f76a64e3</v>
      </c>
      <c r="B547" s="15" t="str">
        <f>IFERROR(__xludf.DUMMYFUNCTION("""COMPUTED_VALUE"""),"official_od_dekra_munich_rain_day_highway_od_issues_2023_06_21_10_26_11_train_batch_6_split_by_size_of_200_od_for_train_tagged")</f>
        <v>official_od_dekra_munich_rain_day_highway_od_issues_2023_06_21_10_26_11_train_batch_6_split_by_size_of_200_od_for_train_tagged</v>
      </c>
      <c r="C547" s="15" t="str">
        <f>IFERROR(__xludf.DUMMYFUNCTION("""COMPUTED_VALUE"""),"train")</f>
        <v>train</v>
      </c>
      <c r="D547" s="15" t="str">
        <f>IFERROR(__xludf.DUMMYFUNCTION("""COMPUTED_VALUE"""),"train")</f>
        <v>train</v>
      </c>
      <c r="E547" s="15">
        <f>IFERROR(__xludf.DUMMYFUNCTION("""COMPUTED_VALUE"""),200.0)</f>
        <v>200</v>
      </c>
      <c r="F547" s="15" t="str">
        <f>IFERROR(__xludf.DUMMYFUNCTION("""COMPUTED_VALUE"""),"8MP_JPG")</f>
        <v>8MP_JPG</v>
      </c>
      <c r="G547" s="15" t="str">
        <f>IFERROR(__xludf.DUMMYFUNCTION("""COMPUTED_VALUE"""),"GERMANY, RAIN, DAY, DEMO")</f>
        <v>GERMANY, RAIN, DAY, DEMO</v>
      </c>
      <c r="H547" s="15">
        <f>IFERROR(__xludf.DUMMYFUNCTION("""COMPUTED_VALUE"""),-1.0)</f>
        <v>-1</v>
      </c>
      <c r="I547" s="15">
        <f>IFERROR(__xludf.DUMMYFUNCTION("""COMPUTED_VALUE"""),-1.0)</f>
        <v>-1</v>
      </c>
      <c r="J547" s="15">
        <f>IFERROR(__xludf.DUMMYFUNCTION("""COMPUTED_VALUE"""),-1.0)</f>
        <v>-1</v>
      </c>
      <c r="K547" s="33">
        <f>IFERROR(__xludf.DUMMYFUNCTION("""COMPUTED_VALUE"""),45390.38832175926)</f>
        <v>45390.38832</v>
      </c>
    </row>
    <row r="548">
      <c r="A548" s="15" t="str">
        <f>IFERROR(__xludf.DUMMYFUNCTION("""COMPUTED_VALUE"""),"652cf79a54107825f76a64d8")</f>
        <v>652cf79a54107825f76a64d8</v>
      </c>
      <c r="B548" s="15" t="str">
        <f>IFERROR(__xludf.DUMMYFUNCTION("""COMPUTED_VALUE"""),"official_od_dekra_munich_rain_day_highway_od_issues_2023_06_21_10_26_11_train_batch_2_split_by_size_of_200_od_for_train_tagged")</f>
        <v>official_od_dekra_munich_rain_day_highway_od_issues_2023_06_21_10_26_11_train_batch_2_split_by_size_of_200_od_for_train_tagged</v>
      </c>
      <c r="C548" s="15" t="str">
        <f>IFERROR(__xludf.DUMMYFUNCTION("""COMPUTED_VALUE"""),"train")</f>
        <v>train</v>
      </c>
      <c r="D548" s="15" t="str">
        <f>IFERROR(__xludf.DUMMYFUNCTION("""COMPUTED_VALUE"""),"train")</f>
        <v>train</v>
      </c>
      <c r="E548" s="15">
        <f>IFERROR(__xludf.DUMMYFUNCTION("""COMPUTED_VALUE"""),200.0)</f>
        <v>200</v>
      </c>
      <c r="F548" s="15" t="str">
        <f>IFERROR(__xludf.DUMMYFUNCTION("""COMPUTED_VALUE"""),"8MP_JPG")</f>
        <v>8MP_JPG</v>
      </c>
      <c r="G548" s="15" t="str">
        <f>IFERROR(__xludf.DUMMYFUNCTION("""COMPUTED_VALUE"""),"GERMANY, RAIN, DAY, DEMO")</f>
        <v>GERMANY, RAIN, DAY, DEMO</v>
      </c>
      <c r="H548" s="15">
        <f>IFERROR(__xludf.DUMMYFUNCTION("""COMPUTED_VALUE"""),-1.0)</f>
        <v>-1</v>
      </c>
      <c r="I548" s="15">
        <f>IFERROR(__xludf.DUMMYFUNCTION("""COMPUTED_VALUE"""),-1.0)</f>
        <v>-1</v>
      </c>
      <c r="J548" s="15">
        <f>IFERROR(__xludf.DUMMYFUNCTION("""COMPUTED_VALUE"""),-1.0)</f>
        <v>-1</v>
      </c>
      <c r="K548" s="33">
        <f>IFERROR(__xludf.DUMMYFUNCTION("""COMPUTED_VALUE"""),45390.388344907406)</f>
        <v>45390.38834</v>
      </c>
    </row>
    <row r="549">
      <c r="A549" s="15" t="str">
        <f>IFERROR(__xludf.DUMMYFUNCTION("""COMPUTED_VALUE"""),"652cf6c954107825f76a64d0")</f>
        <v>652cf6c954107825f76a64d0</v>
      </c>
      <c r="B549" s="15" t="str">
        <f>IFERROR(__xludf.DUMMYFUNCTION("""COMPUTED_VALUE"""),"official_od_dekra_munich_rain_day_highway_od_issues_2023_06_21_10_26_11_train_batch_1_split_by_size_of_200_od_for_train_tagged")</f>
        <v>official_od_dekra_munich_rain_day_highway_od_issues_2023_06_21_10_26_11_train_batch_1_split_by_size_of_200_od_for_train_tagged</v>
      </c>
      <c r="C549" s="15" t="str">
        <f>IFERROR(__xludf.DUMMYFUNCTION("""COMPUTED_VALUE"""),"train")</f>
        <v>train</v>
      </c>
      <c r="D549" s="15" t="str">
        <f>IFERROR(__xludf.DUMMYFUNCTION("""COMPUTED_VALUE"""),"train")</f>
        <v>train</v>
      </c>
      <c r="E549" s="15">
        <f>IFERROR(__xludf.DUMMYFUNCTION("""COMPUTED_VALUE"""),199.0)</f>
        <v>199</v>
      </c>
      <c r="F549" s="15" t="str">
        <f>IFERROR(__xludf.DUMMYFUNCTION("""COMPUTED_VALUE"""),"8MP_JPG")</f>
        <v>8MP_JPG</v>
      </c>
      <c r="G549" s="15" t="str">
        <f>IFERROR(__xludf.DUMMYFUNCTION("""COMPUTED_VALUE"""),"GERMANY, RAIN, DAY, DEMO")</f>
        <v>GERMANY, RAIN, DAY, DEMO</v>
      </c>
      <c r="H549" s="15">
        <f>IFERROR(__xludf.DUMMYFUNCTION("""COMPUTED_VALUE"""),-1.0)</f>
        <v>-1</v>
      </c>
      <c r="I549" s="15">
        <f>IFERROR(__xludf.DUMMYFUNCTION("""COMPUTED_VALUE"""),-1.0)</f>
        <v>-1</v>
      </c>
      <c r="J549" s="15">
        <f>IFERROR(__xludf.DUMMYFUNCTION("""COMPUTED_VALUE"""),-1.0)</f>
        <v>-1</v>
      </c>
      <c r="K549" s="33">
        <f>IFERROR(__xludf.DUMMYFUNCTION("""COMPUTED_VALUE"""),45390.38837962963)</f>
        <v>45390.38838</v>
      </c>
    </row>
    <row r="550">
      <c r="A550" s="15" t="str">
        <f>IFERROR(__xludf.DUMMYFUNCTION("""COMPUTED_VALUE"""),"64e38b787225d01c8be18bc7")</f>
        <v>64e38b787225d01c8be18bc7</v>
      </c>
      <c r="B550" s="15" t="str">
        <f>IFERROR(__xludf.DUMMYFUNCTION("""COMPUTED_VALUE"""),"official_urban_wuppertal_aptiv_filtered_peds_for_train_tagged_images")</f>
        <v>official_urban_wuppertal_aptiv_filtered_peds_for_train_tagged_images</v>
      </c>
      <c r="C550" s="15" t="str">
        <f>IFERROR(__xludf.DUMMYFUNCTION("""COMPUTED_VALUE"""),"train")</f>
        <v>train</v>
      </c>
      <c r="D550" s="15" t="str">
        <f>IFERROR(__xludf.DUMMYFUNCTION("""COMPUTED_VALUE"""),"train")</f>
        <v>train</v>
      </c>
      <c r="E550" s="15">
        <f>IFERROR(__xludf.DUMMYFUNCTION("""COMPUTED_VALUE"""),148.0)</f>
        <v>148</v>
      </c>
      <c r="F550" s="15" t="str">
        <f>IFERROR(__xludf.DUMMYFUNCTION("""COMPUTED_VALUE"""),"8MP_JPG")</f>
        <v>8MP_JPG</v>
      </c>
      <c r="G550" s="15" t="str">
        <f>IFERROR(__xludf.DUMMYFUNCTION("""COMPUTED_VALUE"""),"CLOUDY, GERMANY, CLEAR, WET_ROAD, ARROWS, DAY, EUROPE, SUNNY")</f>
        <v>CLOUDY, GERMANY, CLEAR, WET_ROAD, ARROWS, DAY, EUROPE, SUNNY</v>
      </c>
      <c r="H550" s="15">
        <f>IFERROR(__xludf.DUMMYFUNCTION("""COMPUTED_VALUE"""),950.0)</f>
        <v>950</v>
      </c>
      <c r="I550" s="15">
        <f>IFERROR(__xludf.DUMMYFUNCTION("""COMPUTED_VALUE"""),1675.0)</f>
        <v>1675</v>
      </c>
      <c r="J550" s="15">
        <f>IFERROR(__xludf.DUMMYFUNCTION("""COMPUTED_VALUE"""),1585.0)</f>
        <v>1585</v>
      </c>
      <c r="K550" s="33">
        <f>IFERROR(__xludf.DUMMYFUNCTION("""COMPUTED_VALUE"""),45390.38847222222)</f>
        <v>45390.38847</v>
      </c>
    </row>
    <row r="551">
      <c r="A551" s="15" t="str">
        <f>IFERROR(__xludf.DUMMYFUNCTION("""COMPUTED_VALUE"""),"64254a32be8ede2209d06a5c")</f>
        <v>64254a32be8ede2209d06a5c</v>
      </c>
      <c r="B551" s="15" t="str">
        <f>IFERROR(__xludf.DUMMYFUNCTION("""COMPUTED_VALUE"""),"stellantis_empty_set_after_filtering_for_train_20_03_23_for_train_tagged")</f>
        <v>stellantis_empty_set_after_filtering_for_train_20_03_23_for_train_tagged</v>
      </c>
      <c r="C551" s="15" t="str">
        <f>IFERROR(__xludf.DUMMYFUNCTION("""COMPUTED_VALUE"""),"train")</f>
        <v>train</v>
      </c>
      <c r="D551" s="15" t="str">
        <f>IFERROR(__xludf.DUMMYFUNCTION("""COMPUTED_VALUE"""),"train")</f>
        <v>train</v>
      </c>
      <c r="E551" s="15">
        <f>IFERROR(__xludf.DUMMYFUNCTION("""COMPUTED_VALUE"""),513.0)</f>
        <v>513</v>
      </c>
      <c r="F551" s="15" t="str">
        <f>IFERROR(__xludf.DUMMYFUNCTION("""COMPUTED_VALUE"""),"8MP_JPG")</f>
        <v>8MP_JPG</v>
      </c>
      <c r="G551" s="15" t="str">
        <f>IFERROR(__xludf.DUMMYFUNCTION("""COMPUTED_VALUE"""),"CLOUDY, GERMANY, FRANCE, DAY, EUROPE")</f>
        <v>CLOUDY, GERMANY, FRANCE, DAY, EUROPE</v>
      </c>
      <c r="H551" s="15">
        <f>IFERROR(__xludf.DUMMYFUNCTION("""COMPUTED_VALUE"""),950.0)</f>
        <v>950</v>
      </c>
      <c r="I551" s="15">
        <f>IFERROR(__xludf.DUMMYFUNCTION("""COMPUTED_VALUE"""),1675.0)</f>
        <v>1675</v>
      </c>
      <c r="J551" s="15">
        <f>IFERROR(__xludf.DUMMYFUNCTION("""COMPUTED_VALUE"""),1585.0)</f>
        <v>1585</v>
      </c>
      <c r="K551" s="33">
        <f>IFERROR(__xludf.DUMMYFUNCTION("""COMPUTED_VALUE"""),45390.38853009259)</f>
        <v>45390.38853</v>
      </c>
    </row>
    <row r="552">
      <c r="A552" s="15" t="str">
        <f>IFERROR(__xludf.DUMMYFUNCTION("""COMPUTED_VALUE"""),"641ff5d5be8ede2209d02abb")</f>
        <v>641ff5d5be8ede2209d02abb</v>
      </c>
      <c r="B552" s="15" t="str">
        <f>IFERROR(__xludf.DUMMYFUNCTION("""COMPUTED_VALUE"""),"erh_7799_20230308_112001_aptiv_day_10_fps_checking_for_train_tagged")</f>
        <v>erh_7799_20230308_112001_aptiv_day_10_fps_checking_for_train_tagged</v>
      </c>
      <c r="C552" s="15" t="str">
        <f>IFERROR(__xludf.DUMMYFUNCTION("""COMPUTED_VALUE"""),"train")</f>
        <v>train</v>
      </c>
      <c r="D552" s="15" t="str">
        <f>IFERROR(__xludf.DUMMYFUNCTION("""COMPUTED_VALUE"""),"train")</f>
        <v>train</v>
      </c>
      <c r="E552" s="15">
        <f>IFERROR(__xludf.DUMMYFUNCTION("""COMPUTED_VALUE"""),143.0)</f>
        <v>143</v>
      </c>
      <c r="F552" s="15" t="str">
        <f>IFERROR(__xludf.DUMMYFUNCTION("""COMPUTED_VALUE"""),"8MP_JPG")</f>
        <v>8MP_JPG</v>
      </c>
      <c r="G552" s="15" t="str">
        <f>IFERROR(__xludf.DUMMYFUNCTION("""COMPUTED_VALUE"""),"DAY, TUNNEL, SNOW")</f>
        <v>DAY, TUNNEL, SNOW</v>
      </c>
      <c r="H552" s="15">
        <f>IFERROR(__xludf.DUMMYFUNCTION("""COMPUTED_VALUE"""),950.0)</f>
        <v>950</v>
      </c>
      <c r="I552" s="15">
        <f>IFERROR(__xludf.DUMMYFUNCTION("""COMPUTED_VALUE"""),1675.0)</f>
        <v>1675</v>
      </c>
      <c r="J552" s="15">
        <f>IFERROR(__xludf.DUMMYFUNCTION("""COMPUTED_VALUE"""),1585.0)</f>
        <v>1585</v>
      </c>
      <c r="K552" s="33">
        <f>IFERROR(__xludf.DUMMYFUNCTION("""COMPUTED_VALUE"""),45390.38858796296)</f>
        <v>45390.38859</v>
      </c>
    </row>
    <row r="553">
      <c r="A553" s="26" t="str">
        <f>IFERROR(__xludf.DUMMYFUNCTION("""COMPUTED_VALUE"""),"659ac992d8ef2d6f5c529006")</f>
        <v>659ac992d8ef2d6f5c529006</v>
      </c>
      <c r="B553" s="26" t="str">
        <f>IFERROR(__xludf.DUMMYFUNCTION("""COMPUTED_VALUE"""),"official_europe_heavy_rain_for_train")</f>
        <v>official_europe_heavy_rain_for_train</v>
      </c>
      <c r="C553" s="26" t="str">
        <f>IFERROR(__xludf.DUMMYFUNCTION("""COMPUTED_VALUE"""),"train")</f>
        <v>train</v>
      </c>
      <c r="D553" s="26" t="str">
        <f>IFERROR(__xludf.DUMMYFUNCTION("""COMPUTED_VALUE"""),"train")</f>
        <v>train</v>
      </c>
      <c r="E553" s="26">
        <f>IFERROR(__xludf.DUMMYFUNCTION("""COMPUTED_VALUE"""),500.0)</f>
        <v>500</v>
      </c>
      <c r="F553" s="26" t="str">
        <f>IFERROR(__xludf.DUMMYFUNCTION("""COMPUTED_VALUE"""),"8MP_JPG")</f>
        <v>8MP_JPG</v>
      </c>
      <c r="G553" s="26" t="str">
        <f>IFERROR(__xludf.DUMMYFUNCTION("""COMPUTED_VALUE"""),"WET_ROAD, GERMANY, LANE_CHANGE, DAY, RAIN")</f>
        <v>WET_ROAD, GERMANY, LANE_CHANGE, DAY, RAIN</v>
      </c>
      <c r="H553" s="26">
        <f>IFERROR(__xludf.DUMMYFUNCTION("""COMPUTED_VALUE"""),950.0)</f>
        <v>950</v>
      </c>
      <c r="I553" s="26">
        <f>IFERROR(__xludf.DUMMYFUNCTION("""COMPUTED_VALUE"""),-1.0)</f>
        <v>-1</v>
      </c>
      <c r="J553" s="26">
        <f>IFERROR(__xludf.DUMMYFUNCTION("""COMPUTED_VALUE"""),-1.0)</f>
        <v>-1</v>
      </c>
      <c r="K553" s="34">
        <f>IFERROR(__xludf.DUMMYFUNCTION("""COMPUTED_VALUE"""),45390.63319444445)</f>
        <v>45390.63319</v>
      </c>
    </row>
    <row r="554">
      <c r="A554" s="15" t="str">
        <f>IFERROR(__xludf.DUMMYFUNCTION("""COMPUTED_VALUE"""),"6565f82dfa38f84eb4f9175f")</f>
        <v>6565f82dfa38f84eb4f9175f</v>
      </c>
      <c r="B554" s="15" t="str">
        <f>IFERROR(__xludf.DUMMYFUNCTION("""COMPUTED_VALUE"""),"_2023_08_01_08_44_05_vaihingen_kitzingen_heavy_rain_day_as_single_set_skipped_6_batch_34_split_by_size_of_500_tagged")</f>
        <v>_2023_08_01_08_44_05_vaihingen_kitzingen_heavy_rain_day_as_single_set_skipped_6_batch_34_split_by_size_of_500_tagged</v>
      </c>
      <c r="C554" s="15" t="str">
        <f>IFERROR(__xludf.DUMMYFUNCTION("""COMPUTED_VALUE"""),"train")</f>
        <v>train</v>
      </c>
      <c r="D554" s="15" t="str">
        <f>IFERROR(__xludf.DUMMYFUNCTION("""COMPUTED_VALUE"""),"train")</f>
        <v>train</v>
      </c>
      <c r="E554" s="15">
        <f>IFERROR(__xludf.DUMMYFUNCTION("""COMPUTED_VALUE"""),483.0)</f>
        <v>483</v>
      </c>
      <c r="F554" s="15" t="str">
        <f>IFERROR(__xludf.DUMMYFUNCTION("""COMPUTED_VALUE"""),"8MP_JPG")</f>
        <v>8MP_JPG</v>
      </c>
      <c r="G554" s="15" t="str">
        <f>IFERROR(__xludf.DUMMYFUNCTION("""COMPUTED_VALUE"""),"DAY, RAIN, DEMO, GERMANY")</f>
        <v>DAY, RAIN, DEMO, GERMANY</v>
      </c>
      <c r="H554" s="15">
        <f>IFERROR(__xludf.DUMMYFUNCTION("""COMPUTED_VALUE"""),-1.0)</f>
        <v>-1</v>
      </c>
      <c r="I554" s="15">
        <f>IFERROR(__xludf.DUMMYFUNCTION("""COMPUTED_VALUE"""),-1.0)</f>
        <v>-1</v>
      </c>
      <c r="J554" s="15">
        <f>IFERROR(__xludf.DUMMYFUNCTION("""COMPUTED_VALUE"""),-1.0)</f>
        <v>-1</v>
      </c>
      <c r="K554" s="33">
        <f>IFERROR(__xludf.DUMMYFUNCTION("""COMPUTED_VALUE"""),45390.63321759259)</f>
        <v>45390.63322</v>
      </c>
    </row>
    <row r="555">
      <c r="A555" s="15" t="str">
        <f>IFERROR(__xludf.DUMMYFUNCTION("""COMPUTED_VALUE"""),"6565f822fa38f84eb4f91116")</f>
        <v>6565f822fa38f84eb4f91116</v>
      </c>
      <c r="B555" s="15" t="str">
        <f>IFERROR(__xludf.DUMMYFUNCTION("""COMPUTED_VALUE"""),"_2023_08_01_08_44_05_vaihingen_kitzingen_heavy_rain_day_as_single_set_skipped_6_batch_35_split_by_size_of_500_tagged")</f>
        <v>_2023_08_01_08_44_05_vaihingen_kitzingen_heavy_rain_day_as_single_set_skipped_6_batch_35_split_by_size_of_500_tagged</v>
      </c>
      <c r="C555" s="15" t="str">
        <f>IFERROR(__xludf.DUMMYFUNCTION("""COMPUTED_VALUE"""),"train")</f>
        <v>train</v>
      </c>
      <c r="D555" s="15" t="str">
        <f>IFERROR(__xludf.DUMMYFUNCTION("""COMPUTED_VALUE"""),"train")</f>
        <v>train</v>
      </c>
      <c r="E555" s="15">
        <f>IFERROR(__xludf.DUMMYFUNCTION("""COMPUTED_VALUE"""),495.0)</f>
        <v>495</v>
      </c>
      <c r="F555" s="15" t="str">
        <f>IFERROR(__xludf.DUMMYFUNCTION("""COMPUTED_VALUE"""),"8MP_JPG")</f>
        <v>8MP_JPG</v>
      </c>
      <c r="G555" s="15" t="str">
        <f>IFERROR(__xludf.DUMMYFUNCTION("""COMPUTED_VALUE"""),"DAY, RAIN, DEMO, GERMANY")</f>
        <v>DAY, RAIN, DEMO, GERMANY</v>
      </c>
      <c r="H555" s="15">
        <f>IFERROR(__xludf.DUMMYFUNCTION("""COMPUTED_VALUE"""),950.0)</f>
        <v>950</v>
      </c>
      <c r="I555" s="15">
        <f>IFERROR(__xludf.DUMMYFUNCTION("""COMPUTED_VALUE"""),-1.0)</f>
        <v>-1</v>
      </c>
      <c r="J555" s="15">
        <f>IFERROR(__xludf.DUMMYFUNCTION("""COMPUTED_VALUE"""),-1.0)</f>
        <v>-1</v>
      </c>
      <c r="K555" s="33">
        <f>IFERROR(__xludf.DUMMYFUNCTION("""COMPUTED_VALUE"""),45390.63322916667)</f>
        <v>45390.63323</v>
      </c>
    </row>
    <row r="556">
      <c r="A556" s="15" t="str">
        <f>IFERROR(__xludf.DUMMYFUNCTION("""COMPUTED_VALUE"""),"6565f818fa38f84eb4f90a0a")</f>
        <v>6565f818fa38f84eb4f90a0a</v>
      </c>
      <c r="B556" s="15" t="str">
        <f>IFERROR(__xludf.DUMMYFUNCTION("""COMPUTED_VALUE"""),"_2023_08_01_08_44_05_vaihingen_kitzingen_heavy_rain_day_as_single_set_skipped_6_batch_36_split_by_size_of_500_tagged")</f>
        <v>_2023_08_01_08_44_05_vaihingen_kitzingen_heavy_rain_day_as_single_set_skipped_6_batch_36_split_by_size_of_500_tagged</v>
      </c>
      <c r="C556" s="15" t="str">
        <f>IFERROR(__xludf.DUMMYFUNCTION("""COMPUTED_VALUE"""),"train")</f>
        <v>train</v>
      </c>
      <c r="D556" s="15" t="str">
        <f>IFERROR(__xludf.DUMMYFUNCTION("""COMPUTED_VALUE"""),"train")</f>
        <v>train</v>
      </c>
      <c r="E556" s="15">
        <f>IFERROR(__xludf.DUMMYFUNCTION("""COMPUTED_VALUE"""),498.0)</f>
        <v>498</v>
      </c>
      <c r="F556" s="15" t="str">
        <f>IFERROR(__xludf.DUMMYFUNCTION("""COMPUTED_VALUE"""),"8MP_JPG")</f>
        <v>8MP_JPG</v>
      </c>
      <c r="G556" s="15" t="str">
        <f>IFERROR(__xludf.DUMMYFUNCTION("""COMPUTED_VALUE"""),"DAY, RAIN, DEMO, GERMANY")</f>
        <v>DAY, RAIN, DEMO, GERMANY</v>
      </c>
      <c r="H556" s="15">
        <f>IFERROR(__xludf.DUMMYFUNCTION("""COMPUTED_VALUE"""),-1.0)</f>
        <v>-1</v>
      </c>
      <c r="I556" s="15">
        <f>IFERROR(__xludf.DUMMYFUNCTION("""COMPUTED_VALUE"""),-1.0)</f>
        <v>-1</v>
      </c>
      <c r="J556" s="15">
        <f>IFERROR(__xludf.DUMMYFUNCTION("""COMPUTED_VALUE"""),-1.0)</f>
        <v>-1</v>
      </c>
      <c r="K556" s="33">
        <f>IFERROR(__xludf.DUMMYFUNCTION("""COMPUTED_VALUE"""),45390.633252314816)</f>
        <v>45390.63325</v>
      </c>
    </row>
    <row r="557">
      <c r="A557" s="15" t="str">
        <f>IFERROR(__xludf.DUMMYFUNCTION("""COMPUTED_VALUE"""),"6565f80dfa38f84eb4f902d3")</f>
        <v>6565f80dfa38f84eb4f902d3</v>
      </c>
      <c r="B557" s="15" t="str">
        <f>IFERROR(__xludf.DUMMYFUNCTION("""COMPUTED_VALUE"""),"_2023_08_01_08_44_05_vaihingen_kitzingen_heavy_rain_day_as_single_set_skipped_6_batch_37_split_by_size_of_500_tagged")</f>
        <v>_2023_08_01_08_44_05_vaihingen_kitzingen_heavy_rain_day_as_single_set_skipped_6_batch_37_split_by_size_of_500_tagged</v>
      </c>
      <c r="C557" s="15" t="str">
        <f>IFERROR(__xludf.DUMMYFUNCTION("""COMPUTED_VALUE"""),"train")</f>
        <v>train</v>
      </c>
      <c r="D557" s="15" t="str">
        <f>IFERROR(__xludf.DUMMYFUNCTION("""COMPUTED_VALUE"""),"train")</f>
        <v>train</v>
      </c>
      <c r="E557" s="15">
        <f>IFERROR(__xludf.DUMMYFUNCTION("""COMPUTED_VALUE"""),500.0)</f>
        <v>500</v>
      </c>
      <c r="F557" s="15" t="str">
        <f>IFERROR(__xludf.DUMMYFUNCTION("""COMPUTED_VALUE"""),"8MP_JPG")</f>
        <v>8MP_JPG</v>
      </c>
      <c r="G557" s="15" t="str">
        <f>IFERROR(__xludf.DUMMYFUNCTION("""COMPUTED_VALUE"""),"DAY, RAIN, DEMO, GERMANY")</f>
        <v>DAY, RAIN, DEMO, GERMANY</v>
      </c>
      <c r="H557" s="15">
        <f>IFERROR(__xludf.DUMMYFUNCTION("""COMPUTED_VALUE"""),-1.0)</f>
        <v>-1</v>
      </c>
      <c r="I557" s="15">
        <f>IFERROR(__xludf.DUMMYFUNCTION("""COMPUTED_VALUE"""),-1.0)</f>
        <v>-1</v>
      </c>
      <c r="J557" s="15">
        <f>IFERROR(__xludf.DUMMYFUNCTION("""COMPUTED_VALUE"""),-1.0)</f>
        <v>-1</v>
      </c>
      <c r="K557" s="33">
        <f>IFERROR(__xludf.DUMMYFUNCTION("""COMPUTED_VALUE"""),45390.63327546296)</f>
        <v>45390.63328</v>
      </c>
    </row>
    <row r="558">
      <c r="A558" s="15" t="str">
        <f>IFERROR(__xludf.DUMMYFUNCTION("""COMPUTED_VALUE"""),"6565f803fa38f84eb4f8fd07")</f>
        <v>6565f803fa38f84eb4f8fd07</v>
      </c>
      <c r="B558" s="15" t="str">
        <f>IFERROR(__xludf.DUMMYFUNCTION("""COMPUTED_VALUE"""),"_2023_08_01_08_44_05_vaihingen_kitzingen_heavy_rain_day_as_single_set_skipped_6_batch_38_split_by_size_of_500_tagged")</f>
        <v>_2023_08_01_08_44_05_vaihingen_kitzingen_heavy_rain_day_as_single_set_skipped_6_batch_38_split_by_size_of_500_tagged</v>
      </c>
      <c r="C558" s="15" t="str">
        <f>IFERROR(__xludf.DUMMYFUNCTION("""COMPUTED_VALUE"""),"train")</f>
        <v>train</v>
      </c>
      <c r="D558" s="15" t="str">
        <f>IFERROR(__xludf.DUMMYFUNCTION("""COMPUTED_VALUE"""),"train")</f>
        <v>train</v>
      </c>
      <c r="E558" s="15">
        <f>IFERROR(__xludf.DUMMYFUNCTION("""COMPUTED_VALUE"""),500.0)</f>
        <v>500</v>
      </c>
      <c r="F558" s="15" t="str">
        <f>IFERROR(__xludf.DUMMYFUNCTION("""COMPUTED_VALUE"""),"8MP_JPG")</f>
        <v>8MP_JPG</v>
      </c>
      <c r="G558" s="15" t="str">
        <f>IFERROR(__xludf.DUMMYFUNCTION("""COMPUTED_VALUE"""),"DAY, RAIN, DEMO, GERMANY")</f>
        <v>DAY, RAIN, DEMO, GERMANY</v>
      </c>
      <c r="H558" s="15">
        <f>IFERROR(__xludf.DUMMYFUNCTION("""COMPUTED_VALUE"""),950.0)</f>
        <v>950</v>
      </c>
      <c r="I558" s="15">
        <f>IFERROR(__xludf.DUMMYFUNCTION("""COMPUTED_VALUE"""),-1.0)</f>
        <v>-1</v>
      </c>
      <c r="J558" s="15">
        <f>IFERROR(__xludf.DUMMYFUNCTION("""COMPUTED_VALUE"""),-1.0)</f>
        <v>-1</v>
      </c>
      <c r="K558" s="33">
        <f>IFERROR(__xludf.DUMMYFUNCTION("""COMPUTED_VALUE"""),45390.63328703704)</f>
        <v>45390.63329</v>
      </c>
    </row>
    <row r="559">
      <c r="A559" s="15" t="str">
        <f>IFERROR(__xludf.DUMMYFUNCTION("""COMPUTED_VALUE"""),"6565f7f9fa38f84eb4f8f455")</f>
        <v>6565f7f9fa38f84eb4f8f455</v>
      </c>
      <c r="B559" s="15" t="str">
        <f>IFERROR(__xludf.DUMMYFUNCTION("""COMPUTED_VALUE"""),"_2023_08_01_08_44_05_vaihingen_kitzingen_heavy_rain_day_as_single_set_skipped_6_batch_41_split_by_size_of_500_tagged")</f>
        <v>_2023_08_01_08_44_05_vaihingen_kitzingen_heavy_rain_day_as_single_set_skipped_6_batch_41_split_by_size_of_500_tagged</v>
      </c>
      <c r="C559" s="15" t="str">
        <f>IFERROR(__xludf.DUMMYFUNCTION("""COMPUTED_VALUE"""),"train")</f>
        <v>train</v>
      </c>
      <c r="D559" s="15" t="str">
        <f>IFERROR(__xludf.DUMMYFUNCTION("""COMPUTED_VALUE"""),"train")</f>
        <v>train</v>
      </c>
      <c r="E559" s="15">
        <f>IFERROR(__xludf.DUMMYFUNCTION("""COMPUTED_VALUE"""),495.0)</f>
        <v>495</v>
      </c>
      <c r="F559" s="15" t="str">
        <f>IFERROR(__xludf.DUMMYFUNCTION("""COMPUTED_VALUE"""),"8MP_JPG")</f>
        <v>8MP_JPG</v>
      </c>
      <c r="G559" s="15" t="str">
        <f>IFERROR(__xludf.DUMMYFUNCTION("""COMPUTED_VALUE"""),"DAY, RAIN, DEMO, GERMANY")</f>
        <v>DAY, RAIN, DEMO, GERMANY</v>
      </c>
      <c r="H559" s="15">
        <f>IFERROR(__xludf.DUMMYFUNCTION("""COMPUTED_VALUE"""),950.0)</f>
        <v>950</v>
      </c>
      <c r="I559" s="15">
        <f>IFERROR(__xludf.DUMMYFUNCTION("""COMPUTED_VALUE"""),-1.0)</f>
        <v>-1</v>
      </c>
      <c r="J559" s="15">
        <f>IFERROR(__xludf.DUMMYFUNCTION("""COMPUTED_VALUE"""),-1.0)</f>
        <v>-1</v>
      </c>
      <c r="K559" s="33">
        <f>IFERROR(__xludf.DUMMYFUNCTION("""COMPUTED_VALUE"""),45390.633310185185)</f>
        <v>45390.63331</v>
      </c>
    </row>
    <row r="560">
      <c r="A560" s="15" t="str">
        <f>IFERROR(__xludf.DUMMYFUNCTION("""COMPUTED_VALUE"""),"6565f7eefa38f84eb4f8ed9d")</f>
        <v>6565f7eefa38f84eb4f8ed9d</v>
      </c>
      <c r="B560" s="15" t="str">
        <f>IFERROR(__xludf.DUMMYFUNCTION("""COMPUTED_VALUE"""),"_2023_08_01_08_44_05_vaihingen_kitzingen_heavy_rain_day_as_single_set_skipped_6_batch_42_split_by_size_of_500_tagged")</f>
        <v>_2023_08_01_08_44_05_vaihingen_kitzingen_heavy_rain_day_as_single_set_skipped_6_batch_42_split_by_size_of_500_tagged</v>
      </c>
      <c r="C560" s="15" t="str">
        <f>IFERROR(__xludf.DUMMYFUNCTION("""COMPUTED_VALUE"""),"train")</f>
        <v>train</v>
      </c>
      <c r="D560" s="15" t="str">
        <f>IFERROR(__xludf.DUMMYFUNCTION("""COMPUTED_VALUE"""),"train")</f>
        <v>train</v>
      </c>
      <c r="E560" s="15">
        <f>IFERROR(__xludf.DUMMYFUNCTION("""COMPUTED_VALUE"""),491.0)</f>
        <v>491</v>
      </c>
      <c r="F560" s="15" t="str">
        <f>IFERROR(__xludf.DUMMYFUNCTION("""COMPUTED_VALUE"""),"8MP_JPG")</f>
        <v>8MP_JPG</v>
      </c>
      <c r="G560" s="15" t="str">
        <f>IFERROR(__xludf.DUMMYFUNCTION("""COMPUTED_VALUE"""),"DAY, RAIN, DEMO, GERMANY")</f>
        <v>DAY, RAIN, DEMO, GERMANY</v>
      </c>
      <c r="H560" s="15">
        <f>IFERROR(__xludf.DUMMYFUNCTION("""COMPUTED_VALUE"""),950.0)</f>
        <v>950</v>
      </c>
      <c r="I560" s="15">
        <f>IFERROR(__xludf.DUMMYFUNCTION("""COMPUTED_VALUE"""),-1.0)</f>
        <v>-1</v>
      </c>
      <c r="J560" s="15">
        <f>IFERROR(__xludf.DUMMYFUNCTION("""COMPUTED_VALUE"""),-1.0)</f>
        <v>-1</v>
      </c>
      <c r="K560" s="33">
        <f>IFERROR(__xludf.DUMMYFUNCTION("""COMPUTED_VALUE"""),45390.63332175926)</f>
        <v>45390.63332</v>
      </c>
    </row>
    <row r="561">
      <c r="A561" s="26" t="str">
        <f>IFERROR(__xludf.DUMMYFUNCTION("""COMPUTED_VALUE"""),"6565f7e4fa38f84eb4f8e492")</f>
        <v>6565f7e4fa38f84eb4f8e492</v>
      </c>
      <c r="B561" s="26" t="str">
        <f>IFERROR(__xludf.DUMMYFUNCTION("""COMPUTED_VALUE"""),"_2023_08_01_08_44_05_vaihingen_kitzingen_heavy_rain_day_as_single_set_skipped_6_batch_43_split_by_size_of_500_tagged")</f>
        <v>_2023_08_01_08_44_05_vaihingen_kitzingen_heavy_rain_day_as_single_set_skipped_6_batch_43_split_by_size_of_500_tagged</v>
      </c>
      <c r="C561" s="26" t="str">
        <f>IFERROR(__xludf.DUMMYFUNCTION("""COMPUTED_VALUE"""),"train")</f>
        <v>train</v>
      </c>
      <c r="D561" s="26" t="str">
        <f>IFERROR(__xludf.DUMMYFUNCTION("""COMPUTED_VALUE"""),"train")</f>
        <v>train</v>
      </c>
      <c r="E561" s="26">
        <f>IFERROR(__xludf.DUMMYFUNCTION("""COMPUTED_VALUE"""),499.0)</f>
        <v>499</v>
      </c>
      <c r="F561" s="26" t="str">
        <f>IFERROR(__xludf.DUMMYFUNCTION("""COMPUTED_VALUE"""),"8MP_JPG")</f>
        <v>8MP_JPG</v>
      </c>
      <c r="G561" s="26" t="str">
        <f>IFERROR(__xludf.DUMMYFUNCTION("""COMPUTED_VALUE"""),"DAY, RAIN, DEMO, GERMANY")</f>
        <v>DAY, RAIN, DEMO, GERMANY</v>
      </c>
      <c r="H561" s="26">
        <f>IFERROR(__xludf.DUMMYFUNCTION("""COMPUTED_VALUE"""),950.0)</f>
        <v>950</v>
      </c>
      <c r="I561" s="26">
        <f>IFERROR(__xludf.DUMMYFUNCTION("""COMPUTED_VALUE"""),-1.0)</f>
        <v>-1</v>
      </c>
      <c r="J561" s="26">
        <f>IFERROR(__xludf.DUMMYFUNCTION("""COMPUTED_VALUE"""),-1.0)</f>
        <v>-1</v>
      </c>
      <c r="K561" s="34">
        <f>IFERROR(__xludf.DUMMYFUNCTION("""COMPUTED_VALUE"""),45390.63334490741)</f>
        <v>45390.63334</v>
      </c>
    </row>
    <row r="562">
      <c r="A562" s="26" t="str">
        <f>IFERROR(__xludf.DUMMYFUNCTION("""COMPUTED_VALUE"""),"6565f7d8fa38f84eb4f8dc10")</f>
        <v>6565f7d8fa38f84eb4f8dc10</v>
      </c>
      <c r="B562" s="26" t="str">
        <f>IFERROR(__xludf.DUMMYFUNCTION("""COMPUTED_VALUE"""),"_2023_08_01_08_44_05_vaihingen_kitzingen_heavy_rain_day_as_single_set_skipped_6_batch_44_split_by_size_of_500_tagged")</f>
        <v>_2023_08_01_08_44_05_vaihingen_kitzingen_heavy_rain_day_as_single_set_skipped_6_batch_44_split_by_size_of_500_tagged</v>
      </c>
      <c r="C562" s="26" t="str">
        <f>IFERROR(__xludf.DUMMYFUNCTION("""COMPUTED_VALUE"""),"train")</f>
        <v>train</v>
      </c>
      <c r="D562" s="26" t="str">
        <f>IFERROR(__xludf.DUMMYFUNCTION("""COMPUTED_VALUE"""),"train")</f>
        <v>train</v>
      </c>
      <c r="E562" s="26">
        <f>IFERROR(__xludf.DUMMYFUNCTION("""COMPUTED_VALUE"""),498.0)</f>
        <v>498</v>
      </c>
      <c r="F562" s="26" t="str">
        <f>IFERROR(__xludf.DUMMYFUNCTION("""COMPUTED_VALUE"""),"8MP_JPG")</f>
        <v>8MP_JPG</v>
      </c>
      <c r="G562" s="26" t="str">
        <f>IFERROR(__xludf.DUMMYFUNCTION("""COMPUTED_VALUE"""),"DAY, RAIN, DEMO, GERMANY")</f>
        <v>DAY, RAIN, DEMO, GERMANY</v>
      </c>
      <c r="H562" s="26">
        <f>IFERROR(__xludf.DUMMYFUNCTION("""COMPUTED_VALUE"""),-1.0)</f>
        <v>-1</v>
      </c>
      <c r="I562" s="26">
        <f>IFERROR(__xludf.DUMMYFUNCTION("""COMPUTED_VALUE"""),-1.0)</f>
        <v>-1</v>
      </c>
      <c r="J562" s="26">
        <f>IFERROR(__xludf.DUMMYFUNCTION("""COMPUTED_VALUE"""),-1.0)</f>
        <v>-1</v>
      </c>
      <c r="K562" s="34">
        <f>IFERROR(__xludf.DUMMYFUNCTION("""COMPUTED_VALUE"""),45390.633356481485)</f>
        <v>45390.63336</v>
      </c>
    </row>
    <row r="563">
      <c r="A563" s="15" t="str">
        <f>IFERROR(__xludf.DUMMYFUNCTION("""COMPUTED_VALUE"""),"6565f7cefa38f84eb4f8d377")</f>
        <v>6565f7cefa38f84eb4f8d377</v>
      </c>
      <c r="B563" s="15" t="str">
        <f>IFERROR(__xludf.DUMMYFUNCTION("""COMPUTED_VALUE"""),"_2023_08_01_08_44_05_vaihingen_kitzingen_heavy_rain_day_as_single_set_skipped_6_batch_45_split_by_size_of_500_tagged")</f>
        <v>_2023_08_01_08_44_05_vaihingen_kitzingen_heavy_rain_day_as_single_set_skipped_6_batch_45_split_by_size_of_500_tagged</v>
      </c>
      <c r="C563" s="15" t="str">
        <f>IFERROR(__xludf.DUMMYFUNCTION("""COMPUTED_VALUE"""),"train")</f>
        <v>train</v>
      </c>
      <c r="D563" s="15" t="str">
        <f>IFERROR(__xludf.DUMMYFUNCTION("""COMPUTED_VALUE"""),"train")</f>
        <v>train</v>
      </c>
      <c r="E563" s="15">
        <f>IFERROR(__xludf.DUMMYFUNCTION("""COMPUTED_VALUE"""),496.0)</f>
        <v>496</v>
      </c>
      <c r="F563" s="15" t="str">
        <f>IFERROR(__xludf.DUMMYFUNCTION("""COMPUTED_VALUE"""),"8MP_JPG")</f>
        <v>8MP_JPG</v>
      </c>
      <c r="G563" s="15" t="str">
        <f>IFERROR(__xludf.DUMMYFUNCTION("""COMPUTED_VALUE"""),"DAY, RAIN, DEMO, GERMANY")</f>
        <v>DAY, RAIN, DEMO, GERMANY</v>
      </c>
      <c r="H563" s="15">
        <f>IFERROR(__xludf.DUMMYFUNCTION("""COMPUTED_VALUE"""),950.0)</f>
        <v>950</v>
      </c>
      <c r="I563" s="15">
        <f>IFERROR(__xludf.DUMMYFUNCTION("""COMPUTED_VALUE"""),-1.0)</f>
        <v>-1</v>
      </c>
      <c r="J563" s="15">
        <f>IFERROR(__xludf.DUMMYFUNCTION("""COMPUTED_VALUE"""),-1.0)</f>
        <v>-1</v>
      </c>
      <c r="K563" s="33">
        <f>IFERROR(__xludf.DUMMYFUNCTION("""COMPUTED_VALUE"""),45390.63337962963)</f>
        <v>45390.63338</v>
      </c>
    </row>
    <row r="564">
      <c r="A564" s="26" t="str">
        <f>IFERROR(__xludf.DUMMYFUNCTION("""COMPUTED_VALUE"""),"653132ed54107825f76a845e")</f>
        <v>653132ed54107825f76a845e</v>
      </c>
      <c r="B564" s="26" t="str">
        <f>IFERROR(__xludf.DUMMYFUNCTION("""COMPUTED_VALUE"""),"official_od_2023_08_01_08_44_05_vaihingen_kitzingen_heavy_rain_day_as_single_set_skipped_6_batch_39_split_by_size_of_500_for_train_tagged")</f>
        <v>official_od_2023_08_01_08_44_05_vaihingen_kitzingen_heavy_rain_day_as_single_set_skipped_6_batch_39_split_by_size_of_500_for_train_tagged</v>
      </c>
      <c r="C564" s="26" t="str">
        <f>IFERROR(__xludf.DUMMYFUNCTION("""COMPUTED_VALUE"""),"train")</f>
        <v>train</v>
      </c>
      <c r="D564" s="26" t="str">
        <f>IFERROR(__xludf.DUMMYFUNCTION("""COMPUTED_VALUE"""),"train")</f>
        <v>train</v>
      </c>
      <c r="E564" s="26">
        <f>IFERROR(__xludf.DUMMYFUNCTION("""COMPUTED_VALUE"""),498.0)</f>
        <v>498</v>
      </c>
      <c r="F564" s="26" t="str">
        <f>IFERROR(__xludf.DUMMYFUNCTION("""COMPUTED_VALUE"""),"8MP_JPG")</f>
        <v>8MP_JPG</v>
      </c>
      <c r="G564" s="26" t="str">
        <f>IFERROR(__xludf.DUMMYFUNCTION("""COMPUTED_VALUE"""),"HIGHWAY_EXIT, GERMANY, DEMO, LANE_CHANGE, DAY, RAIN")</f>
        <v>HIGHWAY_EXIT, GERMANY, DEMO, LANE_CHANGE, DAY, RAIN</v>
      </c>
      <c r="H564" s="26">
        <f>IFERROR(__xludf.DUMMYFUNCTION("""COMPUTED_VALUE"""),-1.0)</f>
        <v>-1</v>
      </c>
      <c r="I564" s="26">
        <f>IFERROR(__xludf.DUMMYFUNCTION("""COMPUTED_VALUE"""),-1.0)</f>
        <v>-1</v>
      </c>
      <c r="J564" s="26">
        <f>IFERROR(__xludf.DUMMYFUNCTION("""COMPUTED_VALUE"""),-1.0)</f>
        <v>-1</v>
      </c>
      <c r="K564" s="34">
        <f>IFERROR(__xludf.DUMMYFUNCTION("""COMPUTED_VALUE"""),45390.63340277778)</f>
        <v>45390.6334</v>
      </c>
    </row>
    <row r="565">
      <c r="A565" s="15" t="str">
        <f>IFERROR(__xludf.DUMMYFUNCTION("""COMPUTED_VALUE"""),"653132e254107825f76a7e21")</f>
        <v>653132e254107825f76a7e21</v>
      </c>
      <c r="B565" s="15" t="str">
        <f>IFERROR(__xludf.DUMMYFUNCTION("""COMPUTED_VALUE"""),"official_od_2023_08_01_08_44_05_vaihingen_kitzingen_heavy_rain_day_as_single_set_skipped_6_batch_40_split_by_size_of_500_for_train_tagged")</f>
        <v>official_od_2023_08_01_08_44_05_vaihingen_kitzingen_heavy_rain_day_as_single_set_skipped_6_batch_40_split_by_size_of_500_for_train_tagged</v>
      </c>
      <c r="C565" s="15" t="str">
        <f>IFERROR(__xludf.DUMMYFUNCTION("""COMPUTED_VALUE"""),"train")</f>
        <v>train</v>
      </c>
      <c r="D565" s="15" t="str">
        <f>IFERROR(__xludf.DUMMYFUNCTION("""COMPUTED_VALUE"""),"train")</f>
        <v>train</v>
      </c>
      <c r="E565" s="15">
        <f>IFERROR(__xludf.DUMMYFUNCTION("""COMPUTED_VALUE"""),500.0)</f>
        <v>500</v>
      </c>
      <c r="F565" s="15" t="str">
        <f>IFERROR(__xludf.DUMMYFUNCTION("""COMPUTED_VALUE"""),"8MP_JPG")</f>
        <v>8MP_JPG</v>
      </c>
      <c r="G565" s="15" t="str">
        <f>IFERROR(__xludf.DUMMYFUNCTION("""COMPUTED_VALUE"""),"DAY, RAIN, DEMO, GERMANY")</f>
        <v>DAY, RAIN, DEMO, GERMANY</v>
      </c>
      <c r="H565" s="15">
        <f>IFERROR(__xludf.DUMMYFUNCTION("""COMPUTED_VALUE"""),-1.0)</f>
        <v>-1</v>
      </c>
      <c r="I565" s="15">
        <f>IFERROR(__xludf.DUMMYFUNCTION("""COMPUTED_VALUE"""),-1.0)</f>
        <v>-1</v>
      </c>
      <c r="J565" s="15">
        <f>IFERROR(__xludf.DUMMYFUNCTION("""COMPUTED_VALUE"""),-1.0)</f>
        <v>-1</v>
      </c>
      <c r="K565" s="33">
        <f>IFERROR(__xludf.DUMMYFUNCTION("""COMPUTED_VALUE"""),45390.633414351854)</f>
        <v>45390.63341</v>
      </c>
    </row>
    <row r="566">
      <c r="A566" s="15" t="str">
        <f>IFERROR(__xludf.DUMMYFUNCTION("""COMPUTED_VALUE"""),"64e38d7f7225d01c8be18be6")</f>
        <v>64e38d7f7225d01c8be18be6</v>
      </c>
      <c r="B566" s="15" t="str">
        <f>IFERROR(__xludf.DUMMYFUNCTION("""COMPUTED_VALUE"""),"amba_youtube_validation_set_london_day_updated")</f>
        <v>amba_youtube_validation_set_london_day_updated</v>
      </c>
      <c r="C566" s="15" t="str">
        <f>IFERROR(__xludf.DUMMYFUNCTION("""COMPUTED_VALUE"""),"train")</f>
        <v>train</v>
      </c>
      <c r="D566" s="15" t="str">
        <f>IFERROR(__xludf.DUMMYFUNCTION("""COMPUTED_VALUE"""),"train")</f>
        <v>train</v>
      </c>
      <c r="E566" s="15">
        <f>IFERROR(__xludf.DUMMYFUNCTION("""COMPUTED_VALUE"""),1455.0)</f>
        <v>1455</v>
      </c>
      <c r="F566" s="15" t="str">
        <f>IFERROR(__xludf.DUMMYFUNCTION("""COMPUTED_VALUE"""),"AMBARELLA_3840_1920")</f>
        <v>AMBARELLA_3840_1920</v>
      </c>
      <c r="G566" s="15" t="str">
        <f>IFERROR(__xludf.DUMMYFUNCTION("""COMPUTED_VALUE"""),"DAY")</f>
        <v>DAY</v>
      </c>
      <c r="H566" s="15">
        <f>IFERROR(__xludf.DUMMYFUNCTION("""COMPUTED_VALUE"""),950.0)</f>
        <v>950</v>
      </c>
      <c r="I566" s="15">
        <f>IFERROR(__xludf.DUMMYFUNCTION("""COMPUTED_VALUE"""),1675.0)</f>
        <v>1675</v>
      </c>
      <c r="J566" s="15">
        <f>IFERROR(__xludf.DUMMYFUNCTION("""COMPUTED_VALUE"""),1585.0)</f>
        <v>1585</v>
      </c>
      <c r="K566" s="33">
        <f>IFERROR(__xludf.DUMMYFUNCTION("""COMPUTED_VALUE"""),45451.50172453704)</f>
        <v>45451.50172</v>
      </c>
    </row>
    <row r="567">
      <c r="A567" s="15" t="str">
        <f>IFERROR(__xludf.DUMMYFUNCTION("""COMPUTED_VALUE"""),"62e8eaa407d51f12277c9770")</f>
        <v>62e8eaa407d51f12277c9770</v>
      </c>
      <c r="B567" s="15" t="str">
        <f>IFERROR(__xludf.DUMMYFUNCTION("""COMPUTED_VALUE"""),"amba_taiwan_train_0208")</f>
        <v>amba_taiwan_train_0208</v>
      </c>
      <c r="C567" s="15" t="str">
        <f>IFERROR(__xludf.DUMMYFUNCTION("""COMPUTED_VALUE"""),"train")</f>
        <v>train</v>
      </c>
      <c r="D567" s="15" t="str">
        <f>IFERROR(__xludf.DUMMYFUNCTION("""COMPUTED_VALUE"""),"train")</f>
        <v>train</v>
      </c>
      <c r="E567" s="15">
        <f>IFERROR(__xludf.DUMMYFUNCTION("""COMPUTED_VALUE"""),467.0)</f>
        <v>467</v>
      </c>
      <c r="F567" s="15" t="str">
        <f>IFERROR(__xludf.DUMMYFUNCTION("""COMPUTED_VALUE"""),"AMBARELLA_3840_1920")</f>
        <v>AMBARELLA_3840_1920</v>
      </c>
      <c r="G567" s="15" t="str">
        <f>IFERROR(__xludf.DUMMYFUNCTION("""COMPUTED_VALUE"""),"CLOUDY, DAY")</f>
        <v>CLOUDY, DAY</v>
      </c>
      <c r="H567" s="15">
        <f>IFERROR(__xludf.DUMMYFUNCTION("""COMPUTED_VALUE"""),950.0)</f>
        <v>950</v>
      </c>
      <c r="I567" s="15">
        <f>IFERROR(__xludf.DUMMYFUNCTION("""COMPUTED_VALUE"""),1675.0)</f>
        <v>1675</v>
      </c>
      <c r="J567" s="15">
        <f>IFERROR(__xludf.DUMMYFUNCTION("""COMPUTED_VALUE"""),1585.0)</f>
        <v>1585</v>
      </c>
      <c r="K567" s="33">
        <f>IFERROR(__xludf.DUMMYFUNCTION("""COMPUTED_VALUE"""),45451.50177083333)</f>
        <v>45451.50177</v>
      </c>
    </row>
    <row r="568">
      <c r="A568" s="15" t="str">
        <f>IFERROR(__xludf.DUMMYFUNCTION("""COMPUTED_VALUE"""),"62dd57d62934ab0e865c3b0d")</f>
        <v>62dd57d62934ab0e865c3b0d</v>
      </c>
      <c r="B568" s="15" t="str">
        <f>IFERROR(__xludf.DUMMYFUNCTION("""COMPUTED_VALUE"""),"amba_las_vegas_train_fully")</f>
        <v>amba_las_vegas_train_fully</v>
      </c>
      <c r="C568" s="15" t="str">
        <f>IFERROR(__xludf.DUMMYFUNCTION("""COMPUTED_VALUE"""),"train")</f>
        <v>train</v>
      </c>
      <c r="D568" s="15" t="str">
        <f>IFERROR(__xludf.DUMMYFUNCTION("""COMPUTED_VALUE"""),"train")</f>
        <v>train</v>
      </c>
      <c r="E568" s="15">
        <f>IFERROR(__xludf.DUMMYFUNCTION("""COMPUTED_VALUE"""),1173.0)</f>
        <v>1173</v>
      </c>
      <c r="F568" s="15" t="str">
        <f>IFERROR(__xludf.DUMMYFUNCTION("""COMPUTED_VALUE"""),"AMBARELLA_3840_1920")</f>
        <v>AMBARELLA_3840_1920</v>
      </c>
      <c r="G568" s="15" t="str">
        <f>IFERROR(__xludf.DUMMYFUNCTION("""COMPUTED_VALUE"""),"DAY")</f>
        <v>DAY</v>
      </c>
      <c r="H568" s="15">
        <f>IFERROR(__xludf.DUMMYFUNCTION("""COMPUTED_VALUE"""),950.0)</f>
        <v>950</v>
      </c>
      <c r="I568" s="15">
        <f>IFERROR(__xludf.DUMMYFUNCTION("""COMPUTED_VALUE"""),1675.0)</f>
        <v>1675</v>
      </c>
      <c r="J568" s="15">
        <f>IFERROR(__xludf.DUMMYFUNCTION("""COMPUTED_VALUE"""),1585.0)</f>
        <v>1585</v>
      </c>
      <c r="K568" s="33">
        <f>IFERROR(__xludf.DUMMYFUNCTION("""COMPUTED_VALUE"""),45451.501851851855)</f>
        <v>45451.50185</v>
      </c>
    </row>
    <row r="569">
      <c r="A569" s="15" t="str">
        <f>IFERROR(__xludf.DUMMYFUNCTION("""COMPUTED_VALUE"""),"66793bcb0273422c870cb26a")</f>
        <v>66793bcb0273422c870cb26a</v>
      </c>
      <c r="B569" s="15" t="str">
        <f>IFERROR(__xludf.DUMMYFUNCTION("""COMPUTED_VALUE"""),"_strange_trucks_task_official_super_set_od_train_8mp_to_tag_batch_0_each_200_added_to_odtaggeddataboard")</f>
        <v>_strange_trucks_task_official_super_set_od_train_8mp_to_tag_batch_0_each_200_added_to_odtaggeddataboard</v>
      </c>
      <c r="C569" s="15" t="str">
        <f>IFERROR(__xludf.DUMMYFUNCTION("""COMPUTED_VALUE"""),"train")</f>
        <v>train</v>
      </c>
      <c r="D569" s="15" t="str">
        <f>IFERROR(__xludf.DUMMYFUNCTION("""COMPUTED_VALUE"""),"train")</f>
        <v>train</v>
      </c>
      <c r="E569" s="15">
        <f>IFERROR(__xludf.DUMMYFUNCTION("""COMPUTED_VALUE"""),1.0)</f>
        <v>1</v>
      </c>
      <c r="F569" s="15" t="str">
        <f>IFERROR(__xludf.DUMMYFUNCTION("""COMPUTED_VALUE"""),"AMBARELLA_3840_1920")</f>
        <v>AMBARELLA_3840_1920</v>
      </c>
      <c r="G569" s="15" t="str">
        <f>IFERROR(__xludf.DUMMYFUNCTION("""COMPUTED_VALUE"""),"DAY, CLEAR")</f>
        <v>DAY, CLEAR</v>
      </c>
      <c r="H569" s="15">
        <f>IFERROR(__xludf.DUMMYFUNCTION("""COMPUTED_VALUE"""),-1.0)</f>
        <v>-1</v>
      </c>
      <c r="I569" s="15">
        <f>IFERROR(__xludf.DUMMYFUNCTION("""COMPUTED_VALUE"""),-1.0)</f>
        <v>-1</v>
      </c>
      <c r="J569" s="15">
        <f>IFERROR(__xludf.DUMMYFUNCTION("""COMPUTED_VALUE"""),-1.0)</f>
        <v>-1</v>
      </c>
      <c r="K569" s="33">
        <f>IFERROR(__xludf.DUMMYFUNCTION("""COMPUTED_VALUE"""),45634.58634259259)</f>
        <v>45634.58634</v>
      </c>
    </row>
    <row r="570">
      <c r="A570" s="15" t="str">
        <f>IFERROR(__xludf.DUMMYFUNCTION("""COMPUTED_VALUE"""),"64e38c887225d01c8be18bd1")</f>
        <v>64e38c887225d01c8be18bd1</v>
      </c>
      <c r="B570" s="15" t="str">
        <f>IFERROR(__xludf.DUMMYFUNCTION("""COMPUTED_VALUE"""),"01082022_koln_urban_ab_v0.8.1a_amba_rel11072022_part1_combined_v1new_updated")</f>
        <v>01082022_koln_urban_ab_v0.8.1a_amba_rel11072022_part1_combined_v1new_updated</v>
      </c>
      <c r="C570" s="15" t="str">
        <f>IFERROR(__xludf.DUMMYFUNCTION("""COMPUTED_VALUE"""),"train")</f>
        <v>train</v>
      </c>
      <c r="D570" s="15" t="str">
        <f>IFERROR(__xludf.DUMMYFUNCTION("""COMPUTED_VALUE"""),"train")</f>
        <v>train</v>
      </c>
      <c r="E570" s="15">
        <f>IFERROR(__xludf.DUMMYFUNCTION("""COMPUTED_VALUE"""),973.0)</f>
        <v>973</v>
      </c>
      <c r="F570" s="15" t="str">
        <f>IFERROR(__xludf.DUMMYFUNCTION("""COMPUTED_VALUE"""),"AMBARELLA_3840_1920")</f>
        <v>AMBARELLA_3840_1920</v>
      </c>
      <c r="G570" s="15" t="str">
        <f>IFERROR(__xludf.DUMMYFUNCTION("""COMPUTED_VALUE"""),"DAY")</f>
        <v>DAY</v>
      </c>
      <c r="H570" s="15">
        <f>IFERROR(__xludf.DUMMYFUNCTION("""COMPUTED_VALUE"""),950.0)</f>
        <v>950</v>
      </c>
      <c r="I570" s="15">
        <f>IFERROR(__xludf.DUMMYFUNCTION("""COMPUTED_VALUE"""),1675.0)</f>
        <v>1675</v>
      </c>
      <c r="J570" s="15">
        <f>IFERROR(__xludf.DUMMYFUNCTION("""COMPUTED_VALUE"""),1585.0)</f>
        <v>1585</v>
      </c>
      <c r="K570" s="33">
        <f>IFERROR(__xludf.DUMMYFUNCTION("""COMPUTED_VALUE"""),45634.58640046296)</f>
        <v>45634.5864</v>
      </c>
    </row>
    <row r="571">
      <c r="A571" s="15" t="str">
        <f>IFERROR(__xludf.DUMMYFUNCTION("""COMPUTED_VALUE"""),"64664b81be8ede2209d1c128")</f>
        <v>64664b81be8ede2209d1c128</v>
      </c>
      <c r="B571" s="15" t="str">
        <f>IFERROR(__xludf.DUMMYFUNCTION("""COMPUTED_VALUE"""),"official_dataset_with_bus_images_only_combined_for_train_18_05_23")</f>
        <v>official_dataset_with_bus_images_only_combined_for_train_18_05_23</v>
      </c>
      <c r="C571" s="15" t="str">
        <f>IFERROR(__xludf.DUMMYFUNCTION("""COMPUTED_VALUE"""),"undefined")</f>
        <v>undefined</v>
      </c>
      <c r="D571" s="15" t="str">
        <f>IFERROR(__xludf.DUMMYFUNCTION("""COMPUTED_VALUE"""),"undefined")</f>
        <v>undefined</v>
      </c>
      <c r="E571" s="15">
        <f>IFERROR(__xludf.DUMMYFUNCTION("""COMPUTED_VALUE"""),678.0)</f>
        <v>678</v>
      </c>
      <c r="F571" s="15" t="str">
        <f>IFERROR(__xludf.DUMMYFUNCTION("""COMPUTED_VALUE"""),"AMBARELLA_3840_1920")</f>
        <v>AMBARELLA_3840_1920</v>
      </c>
      <c r="G571" s="15" t="str">
        <f>IFERROR(__xludf.DUMMYFUNCTION("""COMPUTED_VALUE"""),"DAY, CLEAR")</f>
        <v>DAY, CLEAR</v>
      </c>
      <c r="H571" s="15">
        <f>IFERROR(__xludf.DUMMYFUNCTION("""COMPUTED_VALUE"""),950.0)</f>
        <v>950</v>
      </c>
      <c r="I571" s="15">
        <f>IFERROR(__xludf.DUMMYFUNCTION("""COMPUTED_VALUE"""),0.0)</f>
        <v>0</v>
      </c>
      <c r="J571" s="15">
        <f>IFERROR(__xludf.DUMMYFUNCTION("""COMPUTED_VALUE"""),0.0)</f>
        <v>0</v>
      </c>
      <c r="K571" s="33">
        <f>IFERROR(__xludf.DUMMYFUNCTION("""COMPUTED_VALUE"""),45634.58644675926)</f>
        <v>45634.58645</v>
      </c>
    </row>
    <row r="572">
      <c r="A572" s="15" t="str">
        <f>IFERROR(__xludf.DUMMYFUNCTION("""COMPUTED_VALUE"""),"6347f3ff5378b16a97be352a")</f>
        <v>6347f3ff5378b16a97be352a</v>
      </c>
      <c r="B572" s="15" t="str">
        <f>IFERROR(__xludf.DUMMYFUNCTION("""COMPUTED_VALUE"""),"train_set_stuttgar_urban_liran_batch_7_8_9_")</f>
        <v>train_set_stuttgar_urban_liran_batch_7_8_9_</v>
      </c>
      <c r="C572" s="15" t="str">
        <f>IFERROR(__xludf.DUMMYFUNCTION("""COMPUTED_VALUE"""),"train")</f>
        <v>train</v>
      </c>
      <c r="D572" s="15" t="str">
        <f>IFERROR(__xludf.DUMMYFUNCTION("""COMPUTED_VALUE"""),"train")</f>
        <v>train</v>
      </c>
      <c r="E572" s="15">
        <f>IFERROR(__xludf.DUMMYFUNCTION("""COMPUTED_VALUE"""),184.0)</f>
        <v>184</v>
      </c>
      <c r="F572" s="15" t="str">
        <f>IFERROR(__xludf.DUMMYFUNCTION("""COMPUTED_VALUE"""),"AMBARELLA_3840_1920")</f>
        <v>AMBARELLA_3840_1920</v>
      </c>
      <c r="G572" s="15" t="str">
        <f>IFERROR(__xludf.DUMMYFUNCTION("""COMPUTED_VALUE"""),"DAY")</f>
        <v>DAY</v>
      </c>
      <c r="H572" s="15">
        <f>IFERROR(__xludf.DUMMYFUNCTION("""COMPUTED_VALUE"""),950.0)</f>
        <v>950</v>
      </c>
      <c r="I572" s="15">
        <f>IFERROR(__xludf.DUMMYFUNCTION("""COMPUTED_VALUE"""),1675.0)</f>
        <v>1675</v>
      </c>
      <c r="J572" s="15">
        <f>IFERROR(__xludf.DUMMYFUNCTION("""COMPUTED_VALUE"""),1585.0)</f>
        <v>1585</v>
      </c>
      <c r="K572" s="33">
        <f>IFERROR(__xludf.DUMMYFUNCTION("""COMPUTED_VALUE"""),45634.586481481485)</f>
        <v>45634.58648</v>
      </c>
    </row>
    <row r="573">
      <c r="A573" s="15" t="str">
        <f>IFERROR(__xludf.DUMMYFUNCTION("""COMPUTED_VALUE"""),"63397f7d5378b16a975095ae")</f>
        <v>63397f7d5378b16a975095ae</v>
      </c>
      <c r="B573" s="15" t="str">
        <f>IFERROR(__xludf.DUMMYFUNCTION("""COMPUTED_VALUE"""),"train_sailauf_to_stuttgart_highway_cloudy_rainy")</f>
        <v>train_sailauf_to_stuttgart_highway_cloudy_rainy</v>
      </c>
      <c r="C573" s="15" t="str">
        <f>IFERROR(__xludf.DUMMYFUNCTION("""COMPUTED_VALUE"""),"train")</f>
        <v>train</v>
      </c>
      <c r="D573" s="15" t="str">
        <f>IFERROR(__xludf.DUMMYFUNCTION("""COMPUTED_VALUE"""),"train")</f>
        <v>train</v>
      </c>
      <c r="E573" s="15">
        <f>IFERROR(__xludf.DUMMYFUNCTION("""COMPUTED_VALUE"""),261.0)</f>
        <v>261</v>
      </c>
      <c r="F573" s="15" t="str">
        <f>IFERROR(__xludf.DUMMYFUNCTION("""COMPUTED_VALUE"""),"AMBARELLA_3840_1920")</f>
        <v>AMBARELLA_3840_1920</v>
      </c>
      <c r="G573" s="15" t="str">
        <f>IFERROR(__xludf.DUMMYFUNCTION("""COMPUTED_VALUE"""),"DAY")</f>
        <v>DAY</v>
      </c>
      <c r="H573" s="15">
        <f>IFERROR(__xludf.DUMMYFUNCTION("""COMPUTED_VALUE"""),950.0)</f>
        <v>950</v>
      </c>
      <c r="I573" s="15">
        <f>IFERROR(__xludf.DUMMYFUNCTION("""COMPUTED_VALUE"""),1675.0)</f>
        <v>1675</v>
      </c>
      <c r="J573" s="15">
        <f>IFERROR(__xludf.DUMMYFUNCTION("""COMPUTED_VALUE"""),1585.0)</f>
        <v>1585</v>
      </c>
      <c r="K573" s="33">
        <f>IFERROR(__xludf.DUMMYFUNCTION("""COMPUTED_VALUE"""),45634.5865625)</f>
        <v>45634.58656</v>
      </c>
    </row>
    <row r="574">
      <c r="A574" s="26" t="str">
        <f>IFERROR(__xludf.DUMMYFUNCTION("""COMPUTED_VALUE"""),"63106cda6f140808cc7fbacb")</f>
        <v>63106cda6f140808cc7fbacb</v>
      </c>
      <c r="B574" s="26" t="str">
        <f>IFERROR(__xludf.DUMMYFUNCTION("""COMPUTED_VALUE"""),"stuttgart_urban_from_0_to_99_fr_30_train")</f>
        <v>stuttgart_urban_from_0_to_99_fr_30_train</v>
      </c>
      <c r="C574" s="26" t="str">
        <f>IFERROR(__xludf.DUMMYFUNCTION("""COMPUTED_VALUE"""),"train")</f>
        <v>train</v>
      </c>
      <c r="D574" s="26" t="str">
        <f>IFERROR(__xludf.DUMMYFUNCTION("""COMPUTED_VALUE"""),"train")</f>
        <v>train</v>
      </c>
      <c r="E574" s="26">
        <f>IFERROR(__xludf.DUMMYFUNCTION("""COMPUTED_VALUE"""),994.0)</f>
        <v>994</v>
      </c>
      <c r="F574" s="26" t="str">
        <f>IFERROR(__xludf.DUMMYFUNCTION("""COMPUTED_VALUE"""),"AMBARELLA_3840_1920")</f>
        <v>AMBARELLA_3840_1920</v>
      </c>
      <c r="G574" s="26" t="str">
        <f>IFERROR(__xludf.DUMMYFUNCTION("""COMPUTED_VALUE"""),"DAY")</f>
        <v>DAY</v>
      </c>
      <c r="H574" s="26">
        <f>IFERROR(__xludf.DUMMYFUNCTION("""COMPUTED_VALUE"""),950.0)</f>
        <v>950</v>
      </c>
      <c r="I574" s="26">
        <f>IFERROR(__xludf.DUMMYFUNCTION("""COMPUTED_VALUE"""),1675.0)</f>
        <v>1675</v>
      </c>
      <c r="J574" s="26">
        <f>IFERROR(__xludf.DUMMYFUNCTION("""COMPUTED_VALUE"""),1585.0)</f>
        <v>1585</v>
      </c>
      <c r="K574" s="34">
        <f>IFERROR(__xludf.DUMMYFUNCTION("""COMPUTED_VALUE"""),45634.58671296296)</f>
        <v>45634.58671</v>
      </c>
    </row>
    <row r="575">
      <c r="A575" s="15" t="str">
        <f>IFERROR(__xludf.DUMMYFUNCTION("""COMPUTED_VALUE"""),"66ba03efdc62822ed0f826e9")</f>
        <v>66ba03efdc62822ed0f826e9</v>
      </c>
      <c r="B575" s="15" t="str">
        <f>IFERROR(__xludf.DUMMYFUNCTION("""COMPUTED_VALUE"""),"fa_and_md_images_fix_from__test_tagged")</f>
        <v>fa_and_md_images_fix_from__test_tagged</v>
      </c>
      <c r="C575" s="15" t="str">
        <f>IFERROR(__xludf.DUMMYFUNCTION("""COMPUTED_VALUE"""),"test")</f>
        <v>test</v>
      </c>
      <c r="D575" s="15" t="str">
        <f>IFERROR(__xludf.DUMMYFUNCTION("""COMPUTED_VALUE"""),"test")</f>
        <v>test</v>
      </c>
      <c r="E575" s="15">
        <f>IFERROR(__xludf.DUMMYFUNCTION("""COMPUTED_VALUE"""),1.0)</f>
        <v>1</v>
      </c>
      <c r="F575" s="15" t="str">
        <f>IFERROR(__xludf.DUMMYFUNCTION("""COMPUTED_VALUE"""),"AMBARELLA_3840_1920")</f>
        <v>AMBARELLA_3840_1920</v>
      </c>
      <c r="G575" s="15"/>
      <c r="H575" s="15">
        <f>IFERROR(__xludf.DUMMYFUNCTION("""COMPUTED_VALUE"""),-1.0)</f>
        <v>-1</v>
      </c>
      <c r="I575" s="15">
        <f>IFERROR(__xludf.DUMMYFUNCTION("""COMPUTED_VALUE"""),-1.0)</f>
        <v>-1</v>
      </c>
      <c r="J575" s="15">
        <f>IFERROR(__xludf.DUMMYFUNCTION("""COMPUTED_VALUE"""),-1.0)</f>
        <v>-1</v>
      </c>
      <c r="K575" s="33">
        <f>IFERROR(__xludf.DUMMYFUNCTION("""COMPUTED_VALUE"""),45634.65666666667)</f>
        <v>45634.65667</v>
      </c>
    </row>
    <row r="576">
      <c r="A576" s="15" t="str">
        <f>IFERROR(__xludf.DUMMYFUNCTION("""COMPUTED_VALUE"""),"66b46e30dc62822ed0f3036c")</f>
        <v>66b46e30dc62822ed0f3036c</v>
      </c>
      <c r="B576" s="15" t="str">
        <f>IFERROR(__xludf.DUMMYFUNCTION("""COMPUTED_VALUE"""),"fa_and_md_images_fix_from__train")</f>
        <v>fa_and_md_images_fix_from__train</v>
      </c>
      <c r="C576" s="15" t="str">
        <f>IFERROR(__xludf.DUMMYFUNCTION("""COMPUTED_VALUE"""),"train")</f>
        <v>train</v>
      </c>
      <c r="D576" s="15" t="str">
        <f>IFERROR(__xludf.DUMMYFUNCTION("""COMPUTED_VALUE"""),"train")</f>
        <v>train</v>
      </c>
      <c r="E576" s="15">
        <f>IFERROR(__xludf.DUMMYFUNCTION("""COMPUTED_VALUE"""),2.0)</f>
        <v>2</v>
      </c>
      <c r="F576" s="15" t="str">
        <f>IFERROR(__xludf.DUMMYFUNCTION("""COMPUTED_VALUE"""),"AMBARELLA_3840_1920")</f>
        <v>AMBARELLA_3840_1920</v>
      </c>
      <c r="G576" s="15" t="str">
        <f>IFERROR(__xludf.DUMMYFUNCTION("""COMPUTED_VALUE"""),"SUNNY, DAY")</f>
        <v>SUNNY, DAY</v>
      </c>
      <c r="H576" s="15">
        <f>IFERROR(__xludf.DUMMYFUNCTION("""COMPUTED_VALUE"""),-1.0)</f>
        <v>-1</v>
      </c>
      <c r="I576" s="15">
        <f>IFERROR(__xludf.DUMMYFUNCTION("""COMPUTED_VALUE"""),-1.0)</f>
        <v>-1</v>
      </c>
      <c r="J576" s="15">
        <f>IFERROR(__xludf.DUMMYFUNCTION("""COMPUTED_VALUE"""),-1.0)</f>
        <v>-1</v>
      </c>
      <c r="K576" s="33">
        <f>IFERROR(__xludf.DUMMYFUNCTION("""COMPUTED_VALUE"""),45634.66131944444)</f>
        <v>45634.66132</v>
      </c>
    </row>
    <row r="577">
      <c r="A577" s="15" t="str">
        <f>IFERROR(__xludf.DUMMYFUNCTION("""COMPUTED_VALUE"""),"65f71e2079512c347d587840")</f>
        <v>65f71e2079512c347d587840</v>
      </c>
      <c r="B577" s="15" t="str">
        <f>IFERROR(__xludf.DUMMYFUNCTION("""COMPUTED_VALUE"""),"_horizon_1000_fix_train_session_2_8mp_jpg_train_tagged")</f>
        <v>_horizon_1000_fix_train_session_2_8mp_jpg_train_tagged</v>
      </c>
      <c r="C577" s="15" t="str">
        <f>IFERROR(__xludf.DUMMYFUNCTION("""COMPUTED_VALUE"""),"train")</f>
        <v>train</v>
      </c>
      <c r="D577" s="15" t="str">
        <f>IFERROR(__xludf.DUMMYFUNCTION("""COMPUTED_VALUE"""),"train")</f>
        <v>train</v>
      </c>
      <c r="E577" s="15">
        <f>IFERROR(__xludf.DUMMYFUNCTION("""COMPUTED_VALUE"""),2036.0)</f>
        <v>2036</v>
      </c>
      <c r="F577" s="15" t="str">
        <f>IFERROR(__xludf.DUMMYFUNCTION("""COMPUTED_VALUE"""),"8MP_JPG")</f>
        <v>8MP_JPG</v>
      </c>
      <c r="G577" s="15" t="str">
        <f>IFERROR(__xludf.DUMMYFUNCTION("""COMPUTED_VALUE"""),"EUROPE, CLEAR, DEMO, GERMANY, FRANCE, NIGHT")</f>
        <v>EUROPE, CLEAR, DEMO, GERMANY, FRANCE, NIGHT</v>
      </c>
      <c r="H577" s="15">
        <f>IFERROR(__xludf.DUMMYFUNCTION("""COMPUTED_VALUE"""),1000.0)</f>
        <v>1000</v>
      </c>
      <c r="I577" s="15">
        <f>IFERROR(__xludf.DUMMYFUNCTION("""COMPUTED_VALUE"""),-1.0)</f>
        <v>-1</v>
      </c>
      <c r="J577" s="15">
        <f>IFERROR(__xludf.DUMMYFUNCTION("""COMPUTED_VALUE"""),-1.0)</f>
        <v>-1</v>
      </c>
      <c r="K577" s="33">
        <f>IFERROR(__xludf.DUMMYFUNCTION("""COMPUTED_VALUE"""),45634.68796296296)</f>
        <v>45634.68796</v>
      </c>
    </row>
    <row r="578">
      <c r="A578" s="15" t="str">
        <f>IFERROR(__xludf.DUMMYFUNCTION("""COMPUTED_VALUE"""),"659ac459d8ef2d6f5c51e9cc")</f>
        <v>659ac459d8ef2d6f5c51e9cc</v>
      </c>
      <c r="B578" s="15" t="str">
        <f>IFERROR(__xludf.DUMMYFUNCTION("""COMPUTED_VALUE"""),"europe_unique_vehicles_for_train")</f>
        <v>europe_unique_vehicles_for_train</v>
      </c>
      <c r="C578" s="15" t="str">
        <f>IFERROR(__xludf.DUMMYFUNCTION("""COMPUTED_VALUE"""),"train")</f>
        <v>train</v>
      </c>
      <c r="D578" s="15" t="str">
        <f>IFERROR(__xludf.DUMMYFUNCTION("""COMPUTED_VALUE"""),"train")</f>
        <v>train</v>
      </c>
      <c r="E578" s="15">
        <f>IFERROR(__xludf.DUMMYFUNCTION("""COMPUTED_VALUE"""),1258.0)</f>
        <v>1258</v>
      </c>
      <c r="F578" s="15" t="str">
        <f>IFERROR(__xludf.DUMMYFUNCTION("""COMPUTED_VALUE"""),"8MP_JPG")</f>
        <v>8MP_JPG</v>
      </c>
      <c r="G578" s="15" t="str">
        <f>IFERROR(__xludf.DUMMYFUNCTION("""COMPUTED_VALUE"""),"EUROPE, DAY, RAIN, GERMANY")</f>
        <v>EUROPE, DAY, RAIN, GERMANY</v>
      </c>
      <c r="H578" s="15">
        <f>IFERROR(__xludf.DUMMYFUNCTION("""COMPUTED_VALUE"""),-1.0)</f>
        <v>-1</v>
      </c>
      <c r="I578" s="15">
        <f>IFERROR(__xludf.DUMMYFUNCTION("""COMPUTED_VALUE"""),-1.0)</f>
        <v>-1</v>
      </c>
      <c r="J578" s="15">
        <f>IFERROR(__xludf.DUMMYFUNCTION("""COMPUTED_VALUE"""),-1.0)</f>
        <v>-1</v>
      </c>
      <c r="K578" s="33">
        <f>IFERROR(__xludf.DUMMYFUNCTION("""COMPUTED_VALUE"""),45634.68802083333)</f>
        <v>45634.68802</v>
      </c>
    </row>
    <row r="579">
      <c r="A579" s="15" t="str">
        <f>IFERROR(__xludf.DUMMYFUNCTION("""COMPUTED_VALUE"""),"659ac28bd8ef2d6f5c51a2d9")</f>
        <v>659ac28bd8ef2d6f5c51a2d9</v>
      </c>
      <c r="B579" s="15" t="str">
        <f>IFERROR(__xludf.DUMMYFUNCTION("""COMPUTED_VALUE"""),"europe_fog_train")</f>
        <v>europe_fog_train</v>
      </c>
      <c r="C579" s="15" t="str">
        <f>IFERROR(__xludf.DUMMYFUNCTION("""COMPUTED_VALUE"""),"train")</f>
        <v>train</v>
      </c>
      <c r="D579" s="15" t="str">
        <f>IFERROR(__xludf.DUMMYFUNCTION("""COMPUTED_VALUE"""),"train")</f>
        <v>train</v>
      </c>
      <c r="E579" s="15">
        <f>IFERROR(__xludf.DUMMYFUNCTION("""COMPUTED_VALUE"""),2510.0)</f>
        <v>2510</v>
      </c>
      <c r="F579" s="15" t="str">
        <f>IFERROR(__xludf.DUMMYFUNCTION("""COMPUTED_VALUE"""),"8MP_JPG")</f>
        <v>8MP_JPG</v>
      </c>
      <c r="G579" s="15" t="str">
        <f>IFERROR(__xludf.DUMMYFUNCTION("""COMPUTED_VALUE"""),"FOG, EUROPE, DAY, GERMANY")</f>
        <v>FOG, EUROPE, DAY, GERMANY</v>
      </c>
      <c r="H579" s="15">
        <f>IFERROR(__xludf.DUMMYFUNCTION("""COMPUTED_VALUE"""),-1.0)</f>
        <v>-1</v>
      </c>
      <c r="I579" s="15">
        <f>IFERROR(__xludf.DUMMYFUNCTION("""COMPUTED_VALUE"""),-1.0)</f>
        <v>-1</v>
      </c>
      <c r="J579" s="15">
        <f>IFERROR(__xludf.DUMMYFUNCTION("""COMPUTED_VALUE"""),-1.0)</f>
        <v>-1</v>
      </c>
      <c r="K579" s="33">
        <f>IFERROR(__xludf.DUMMYFUNCTION("""COMPUTED_VALUE"""),45634.68809027778)</f>
        <v>45634.68809</v>
      </c>
    </row>
    <row r="580">
      <c r="A580" s="15" t="str">
        <f>IFERROR(__xludf.DUMMYFUNCTION("""COMPUTED_VALUE"""),"6565f6d2fa38f84eb4f8b0c3")</f>
        <v>6565f6d2fa38f84eb4f8b0c3</v>
      </c>
      <c r="B580" s="15" t="str">
        <f>IFERROR(__xludf.DUMMYFUNCTION("""COMPUTED_VALUE"""),"_od_unique_vehicles_v1_for_train_tagged")</f>
        <v>_od_unique_vehicles_v1_for_train_tagged</v>
      </c>
      <c r="C580" s="15" t="str">
        <f>IFERROR(__xludf.DUMMYFUNCTION("""COMPUTED_VALUE"""),"train")</f>
        <v>train</v>
      </c>
      <c r="D580" s="15" t="str">
        <f>IFERROR(__xludf.DUMMYFUNCTION("""COMPUTED_VALUE"""),"train")</f>
        <v>train</v>
      </c>
      <c r="E580" s="15">
        <f>IFERROR(__xludf.DUMMYFUNCTION("""COMPUTED_VALUE"""),955.0)</f>
        <v>955</v>
      </c>
      <c r="F580" s="15" t="str">
        <f>IFERROR(__xludf.DUMMYFUNCTION("""COMPUTED_VALUE"""),"8MP_JPG")</f>
        <v>8MP_JPG</v>
      </c>
      <c r="G580" s="15" t="str">
        <f>IFERROR(__xludf.DUMMYFUNCTION("""COMPUTED_VALUE"""),"EUROPE, DAY, CLEAR, GERMANY")</f>
        <v>EUROPE, DAY, CLEAR, GERMANY</v>
      </c>
      <c r="H580" s="15">
        <f>IFERROR(__xludf.DUMMYFUNCTION("""COMPUTED_VALUE"""),-1.0)</f>
        <v>-1</v>
      </c>
      <c r="I580" s="15">
        <f>IFERROR(__xludf.DUMMYFUNCTION("""COMPUTED_VALUE"""),-1.0)</f>
        <v>-1</v>
      </c>
      <c r="J580" s="15">
        <f>IFERROR(__xludf.DUMMYFUNCTION("""COMPUTED_VALUE"""),-1.0)</f>
        <v>-1</v>
      </c>
      <c r="K580" s="33">
        <f>IFERROR(__xludf.DUMMYFUNCTION("""COMPUTED_VALUE"""),45634.68814814815)</f>
        <v>45634.68815</v>
      </c>
    </row>
    <row r="581">
      <c r="A581" s="15" t="str">
        <f>IFERROR(__xludf.DUMMYFUNCTION("""COMPUTED_VALUE"""),"64e38bc27225d01c8be18bcc")</f>
        <v>64e38bc27225d01c8be18bcc</v>
      </c>
      <c r="B581" s="15" t="str">
        <f>IFERROR(__xludf.DUMMYFUNCTION("""COMPUTED_VALUE"""),"official_fakt_wolfsburg_paris_4w_classifier_2ws_02_03_23_for_train_tagged_images")</f>
        <v>official_fakt_wolfsburg_paris_4w_classifier_2ws_02_03_23_for_train_tagged_images</v>
      </c>
      <c r="C581" s="15" t="str">
        <f>IFERROR(__xludf.DUMMYFUNCTION("""COMPUTED_VALUE"""),"train")</f>
        <v>train</v>
      </c>
      <c r="D581" s="15" t="str">
        <f>IFERROR(__xludf.DUMMYFUNCTION("""COMPUTED_VALUE"""),"train")</f>
        <v>train</v>
      </c>
      <c r="E581" s="15">
        <f>IFERROR(__xludf.DUMMYFUNCTION("""COMPUTED_VALUE"""),931.0)</f>
        <v>931</v>
      </c>
      <c r="F581" s="15" t="str">
        <f>IFERROR(__xludf.DUMMYFUNCTION("""COMPUTED_VALUE"""),"8MP_JPG")</f>
        <v>8MP_JPG</v>
      </c>
      <c r="G581" s="15" t="str">
        <f>IFERROR(__xludf.DUMMYFUNCTION("""COMPUTED_VALUE"""),"EUROPE, DAY, CLEAR, CLOUDY, SUNNY, GERMANY, FRANCE")</f>
        <v>EUROPE, DAY, CLEAR, CLOUDY, SUNNY, GERMANY, FRANCE</v>
      </c>
      <c r="H581" s="15">
        <f>IFERROR(__xludf.DUMMYFUNCTION("""COMPUTED_VALUE"""),950.0)</f>
        <v>950</v>
      </c>
      <c r="I581" s="15">
        <f>IFERROR(__xludf.DUMMYFUNCTION("""COMPUTED_VALUE"""),1675.0)</f>
        <v>1675</v>
      </c>
      <c r="J581" s="15">
        <f>IFERROR(__xludf.DUMMYFUNCTION("""COMPUTED_VALUE"""),1585.0)</f>
        <v>1585</v>
      </c>
      <c r="K581" s="33">
        <f>IFERROR(__xludf.DUMMYFUNCTION("""COMPUTED_VALUE"""),45634.688206018516)</f>
        <v>45634.68821</v>
      </c>
    </row>
    <row r="582">
      <c r="A582" s="15" t="str">
        <f>IFERROR(__xludf.DUMMYFUNCTION("""COMPUTED_VALUE"""),"6460c613be8ede2209d185a4")</f>
        <v>6460c613be8ede2209d185a4</v>
      </c>
      <c r="B582" s="15" t="str">
        <f>IFERROR(__xludf.DUMMYFUNCTION("""COMPUTED_VALUE"""),"paris_night_urban_for_train_tagged_14_05_23")</f>
        <v>paris_night_urban_for_train_tagged_14_05_23</v>
      </c>
      <c r="C582" s="15" t="str">
        <f>IFERROR(__xludf.DUMMYFUNCTION("""COMPUTED_VALUE"""),"train")</f>
        <v>train</v>
      </c>
      <c r="D582" s="15" t="str">
        <f>IFERROR(__xludf.DUMMYFUNCTION("""COMPUTED_VALUE"""),"train")</f>
        <v>train</v>
      </c>
      <c r="E582" s="15">
        <f>IFERROR(__xludf.DUMMYFUNCTION("""COMPUTED_VALUE"""),912.0)</f>
        <v>912</v>
      </c>
      <c r="F582" s="15" t="str">
        <f>IFERROR(__xludf.DUMMYFUNCTION("""COMPUTED_VALUE"""),"8MP_JPG")</f>
        <v>8MP_JPG</v>
      </c>
      <c r="G582" s="15" t="str">
        <f>IFERROR(__xludf.DUMMYFUNCTION("""COMPUTED_VALUE"""),"DAY, NIGHT")</f>
        <v>DAY, NIGHT</v>
      </c>
      <c r="H582" s="15">
        <f>IFERROR(__xludf.DUMMYFUNCTION("""COMPUTED_VALUE"""),950.0)</f>
        <v>950</v>
      </c>
      <c r="I582" s="15">
        <f>IFERROR(__xludf.DUMMYFUNCTION("""COMPUTED_VALUE"""),1675.0)</f>
        <v>1675</v>
      </c>
      <c r="J582" s="15">
        <f>IFERROR(__xludf.DUMMYFUNCTION("""COMPUTED_VALUE"""),1585.0)</f>
        <v>1585</v>
      </c>
      <c r="K582" s="33">
        <f>IFERROR(__xludf.DUMMYFUNCTION("""COMPUTED_VALUE"""),45634.688252314816)</f>
        <v>45634.68825</v>
      </c>
    </row>
    <row r="583">
      <c r="A583" s="26" t="str">
        <f>IFERROR(__xludf.DUMMYFUNCTION("""COMPUTED_VALUE"""),"64244663be8ede2209d05db7")</f>
        <v>64244663be8ede2209d05db7</v>
      </c>
      <c r="B583" s="26" t="str">
        <f>IFERROR(__xludf.DUMMYFUNCTION("""COMPUTED_VALUE"""),"erh_7799_20230308_122429_aptiv_day_10_fps_after_checking_for_train_tagged")</f>
        <v>erh_7799_20230308_122429_aptiv_day_10_fps_after_checking_for_train_tagged</v>
      </c>
      <c r="C583" s="26" t="str">
        <f>IFERROR(__xludf.DUMMYFUNCTION("""COMPUTED_VALUE"""),"train")</f>
        <v>train</v>
      </c>
      <c r="D583" s="26" t="str">
        <f>IFERROR(__xludf.DUMMYFUNCTION("""COMPUTED_VALUE"""),"train")</f>
        <v>train</v>
      </c>
      <c r="E583" s="26">
        <f>IFERROR(__xludf.DUMMYFUNCTION("""COMPUTED_VALUE"""),359.0)</f>
        <v>359</v>
      </c>
      <c r="F583" s="26" t="str">
        <f>IFERROR(__xludf.DUMMYFUNCTION("""COMPUTED_VALUE"""),"8MP_JPG")</f>
        <v>8MP_JPG</v>
      </c>
      <c r="G583" s="26" t="str">
        <f>IFERROR(__xludf.DUMMYFUNCTION("""COMPUTED_VALUE"""),"DAY, SNOW")</f>
        <v>DAY, SNOW</v>
      </c>
      <c r="H583" s="26">
        <f>IFERROR(__xludf.DUMMYFUNCTION("""COMPUTED_VALUE"""),950.0)</f>
        <v>950</v>
      </c>
      <c r="I583" s="26">
        <f>IFERROR(__xludf.DUMMYFUNCTION("""COMPUTED_VALUE"""),1675.0)</f>
        <v>1675</v>
      </c>
      <c r="J583" s="26">
        <f>IFERROR(__xludf.DUMMYFUNCTION("""COMPUTED_VALUE"""),1585.0)</f>
        <v>1585</v>
      </c>
      <c r="K583" s="34">
        <f>IFERROR(__xludf.DUMMYFUNCTION("""COMPUTED_VALUE"""),45634.68829861111)</f>
        <v>45634.6883</v>
      </c>
    </row>
    <row r="584">
      <c r="A584" s="26" t="str">
        <f>IFERROR(__xludf.DUMMYFUNCTION("""COMPUTED_VALUE"""),"637ce3df5378b16a97aac904")</f>
        <v>637ce3df5378b16a97aac904</v>
      </c>
      <c r="B584" s="26" t="str">
        <f>IFERROR(__xludf.DUMMYFUNCTION("""COMPUTED_VALUE"""),"train_22092022_frankfurt_urban_part1_combined")</f>
        <v>train_22092022_frankfurt_urban_part1_combined</v>
      </c>
      <c r="C584" s="26" t="str">
        <f>IFERROR(__xludf.DUMMYFUNCTION("""COMPUTED_VALUE"""),"train")</f>
        <v>train</v>
      </c>
      <c r="D584" s="26" t="str">
        <f>IFERROR(__xludf.DUMMYFUNCTION("""COMPUTED_VALUE"""),"train")</f>
        <v>train</v>
      </c>
      <c r="E584" s="26">
        <f>IFERROR(__xludf.DUMMYFUNCTION("""COMPUTED_VALUE"""),928.0)</f>
        <v>928</v>
      </c>
      <c r="F584" s="26" t="str">
        <f>IFERROR(__xludf.DUMMYFUNCTION("""COMPUTED_VALUE"""),"AMBARELLA_3840_1920")</f>
        <v>AMBARELLA_3840_1920</v>
      </c>
      <c r="G584" s="26" t="str">
        <f>IFERROR(__xludf.DUMMYFUNCTION("""COMPUTED_VALUE"""),"DAY")</f>
        <v>DAY</v>
      </c>
      <c r="H584" s="26">
        <f>IFERROR(__xludf.DUMMYFUNCTION("""COMPUTED_VALUE"""),950.0)</f>
        <v>950</v>
      </c>
      <c r="I584" s="26">
        <f>IFERROR(__xludf.DUMMYFUNCTION("""COMPUTED_VALUE"""),1675.0)</f>
        <v>1675</v>
      </c>
      <c r="J584" s="26">
        <f>IFERROR(__xludf.DUMMYFUNCTION("""COMPUTED_VALUE"""),1585.0)</f>
        <v>1585</v>
      </c>
      <c r="K584" s="34">
        <f>IFERROR(__xludf.DUMMYFUNCTION("""COMPUTED_VALUE"""),45634.68835648148)</f>
        <v>45634.68836</v>
      </c>
    </row>
    <row r="585">
      <c r="A585" s="26" t="str">
        <f>IFERROR(__xludf.DUMMYFUNCTION("""COMPUTED_VALUE"""),"6375e5d15378b16a97735d26")</f>
        <v>6375e5d15378b16a97735d26</v>
      </c>
      <c r="B585" s="26" t="str">
        <f>IFERROR(__xludf.DUMMYFUNCTION("""COMPUTED_VALUE"""),"train_mainz_urban_part_1")</f>
        <v>train_mainz_urban_part_1</v>
      </c>
      <c r="C585" s="26" t="str">
        <f>IFERROR(__xludf.DUMMYFUNCTION("""COMPUTED_VALUE"""),"train")</f>
        <v>train</v>
      </c>
      <c r="D585" s="26" t="str">
        <f>IFERROR(__xludf.DUMMYFUNCTION("""COMPUTED_VALUE"""),"train")</f>
        <v>train</v>
      </c>
      <c r="E585" s="26">
        <f>IFERROR(__xludf.DUMMYFUNCTION("""COMPUTED_VALUE"""),1193.0)</f>
        <v>1193</v>
      </c>
      <c r="F585" s="26" t="str">
        <f>IFERROR(__xludf.DUMMYFUNCTION("""COMPUTED_VALUE"""),"AMBARELLA_3840_1920")</f>
        <v>AMBARELLA_3840_1920</v>
      </c>
      <c r="G585" s="26" t="str">
        <f>IFERROR(__xludf.DUMMYFUNCTION("""COMPUTED_VALUE"""),"DAY")</f>
        <v>DAY</v>
      </c>
      <c r="H585" s="26">
        <f>IFERROR(__xludf.DUMMYFUNCTION("""COMPUTED_VALUE"""),950.0)</f>
        <v>950</v>
      </c>
      <c r="I585" s="26">
        <f>IFERROR(__xludf.DUMMYFUNCTION("""COMPUTED_VALUE"""),1675.0)</f>
        <v>1675</v>
      </c>
      <c r="J585" s="26">
        <f>IFERROR(__xludf.DUMMYFUNCTION("""COMPUTED_VALUE"""),1585.0)</f>
        <v>1585</v>
      </c>
      <c r="K585" s="34">
        <f>IFERROR(__xludf.DUMMYFUNCTION("""COMPUTED_VALUE"""),45634.688414351855)</f>
        <v>45634.68841</v>
      </c>
    </row>
    <row r="586">
      <c r="A586" s="26" t="str">
        <f>IFERROR(__xludf.DUMMYFUNCTION("""COMPUTED_VALUE"""),"63749d4a5378b16a976b2203")</f>
        <v>63749d4a5378b16a976b2203</v>
      </c>
      <c r="B586" s="26" t="str">
        <f>IFERROR(__xludf.DUMMYFUNCTION("""COMPUTED_VALUE"""),"train_28102022_testrecording")</f>
        <v>train_28102022_testrecording</v>
      </c>
      <c r="C586" s="26" t="str">
        <f>IFERROR(__xludf.DUMMYFUNCTION("""COMPUTED_VALUE"""),"train")</f>
        <v>train</v>
      </c>
      <c r="D586" s="26" t="str">
        <f>IFERROR(__xludf.DUMMYFUNCTION("""COMPUTED_VALUE"""),"train")</f>
        <v>train</v>
      </c>
      <c r="E586" s="26">
        <f>IFERROR(__xludf.DUMMYFUNCTION("""COMPUTED_VALUE"""),408.0)</f>
        <v>408</v>
      </c>
      <c r="F586" s="26" t="str">
        <f>IFERROR(__xludf.DUMMYFUNCTION("""COMPUTED_VALUE"""),"AMBARELLA_3840_1920")</f>
        <v>AMBARELLA_3840_1920</v>
      </c>
      <c r="G586" s="26" t="str">
        <f>IFERROR(__xludf.DUMMYFUNCTION("""COMPUTED_VALUE"""),"DAY")</f>
        <v>DAY</v>
      </c>
      <c r="H586" s="26">
        <f>IFERROR(__xludf.DUMMYFUNCTION("""COMPUTED_VALUE"""),950.0)</f>
        <v>950</v>
      </c>
      <c r="I586" s="26">
        <f>IFERROR(__xludf.DUMMYFUNCTION("""COMPUTED_VALUE"""),1675.0)</f>
        <v>1675</v>
      </c>
      <c r="J586" s="26">
        <f>IFERROR(__xludf.DUMMYFUNCTION("""COMPUTED_VALUE"""),1585.0)</f>
        <v>1585</v>
      </c>
      <c r="K586" s="34">
        <f>IFERROR(__xludf.DUMMYFUNCTION("""COMPUTED_VALUE"""),45634.68846064815)</f>
        <v>45634.68846</v>
      </c>
    </row>
    <row r="587">
      <c r="A587" s="26" t="str">
        <f>IFERROR(__xludf.DUMMYFUNCTION("""COMPUTED_VALUE"""),"6373a77e5378b16a975855e0")</f>
        <v>6373a77e5378b16a975855e0</v>
      </c>
      <c r="B587" s="26" t="str">
        <f>IFERROR(__xludf.DUMMYFUNCTION("""COMPUTED_VALUE"""),"22092022_frankfurt_urban_part3_until_part_88_of_90_train")</f>
        <v>22092022_frankfurt_urban_part3_until_part_88_of_90_train</v>
      </c>
      <c r="C587" s="26" t="str">
        <f>IFERROR(__xludf.DUMMYFUNCTION("""COMPUTED_VALUE"""),"train")</f>
        <v>train</v>
      </c>
      <c r="D587" s="26" t="str">
        <f>IFERROR(__xludf.DUMMYFUNCTION("""COMPUTED_VALUE"""),"train")</f>
        <v>train</v>
      </c>
      <c r="E587" s="26">
        <f>IFERROR(__xludf.DUMMYFUNCTION("""COMPUTED_VALUE"""),1167.0)</f>
        <v>1167</v>
      </c>
      <c r="F587" s="26" t="str">
        <f>IFERROR(__xludf.DUMMYFUNCTION("""COMPUTED_VALUE"""),"AMBARELLA_3840_1920")</f>
        <v>AMBARELLA_3840_1920</v>
      </c>
      <c r="G587" s="26" t="str">
        <f>IFERROR(__xludf.DUMMYFUNCTION("""COMPUTED_VALUE"""),"DAY, NIGHT")</f>
        <v>DAY, NIGHT</v>
      </c>
      <c r="H587" s="26">
        <f>IFERROR(__xludf.DUMMYFUNCTION("""COMPUTED_VALUE"""),950.0)</f>
        <v>950</v>
      </c>
      <c r="I587" s="26">
        <f>IFERROR(__xludf.DUMMYFUNCTION("""COMPUTED_VALUE"""),1675.0)</f>
        <v>1675</v>
      </c>
      <c r="J587" s="26">
        <f>IFERROR(__xludf.DUMMYFUNCTION("""COMPUTED_VALUE"""),1585.0)</f>
        <v>1585</v>
      </c>
      <c r="K587" s="34">
        <f>IFERROR(__xludf.DUMMYFUNCTION("""COMPUTED_VALUE"""),45634.68851851852)</f>
        <v>45634.68852</v>
      </c>
    </row>
    <row r="588">
      <c r="A588" s="26" t="str">
        <f>IFERROR(__xludf.DUMMYFUNCTION("""COMPUTED_VALUE"""),"635f95d15378b16a976796cd")</f>
        <v>635f95d15378b16a976796cd</v>
      </c>
      <c r="B588" s="26" t="str">
        <f>IFERROR(__xludf.DUMMYFUNCTION("""COMPUTED_VALUE"""),"train_22092022_frankfurt_urban_part2_combined")</f>
        <v>train_22092022_frankfurt_urban_part2_combined</v>
      </c>
      <c r="C588" s="26" t="str">
        <f>IFERROR(__xludf.DUMMYFUNCTION("""COMPUTED_VALUE"""),"train")</f>
        <v>train</v>
      </c>
      <c r="D588" s="26" t="str">
        <f>IFERROR(__xludf.DUMMYFUNCTION("""COMPUTED_VALUE"""),"train")</f>
        <v>train</v>
      </c>
      <c r="E588" s="26">
        <f>IFERROR(__xludf.DUMMYFUNCTION("""COMPUTED_VALUE"""),1282.0)</f>
        <v>1282</v>
      </c>
      <c r="F588" s="26" t="str">
        <f>IFERROR(__xludf.DUMMYFUNCTION("""COMPUTED_VALUE"""),"AMBARELLA_3840_1920")</f>
        <v>AMBARELLA_3840_1920</v>
      </c>
      <c r="G588" s="26" t="str">
        <f>IFERROR(__xludf.DUMMYFUNCTION("""COMPUTED_VALUE"""),"EUROPE, DAY, GERMANY, FOG, NIGHT")</f>
        <v>EUROPE, DAY, GERMANY, FOG, NIGHT</v>
      </c>
      <c r="H588" s="26">
        <f>IFERROR(__xludf.DUMMYFUNCTION("""COMPUTED_VALUE"""),950.0)</f>
        <v>950</v>
      </c>
      <c r="I588" s="26">
        <f>IFERROR(__xludf.DUMMYFUNCTION("""COMPUTED_VALUE"""),1675.0)</f>
        <v>1675</v>
      </c>
      <c r="J588" s="26">
        <f>IFERROR(__xludf.DUMMYFUNCTION("""COMPUTED_VALUE"""),1585.0)</f>
        <v>1585</v>
      </c>
      <c r="K588" s="34">
        <f>IFERROR(__xludf.DUMMYFUNCTION("""COMPUTED_VALUE"""),45634.68858796296)</f>
        <v>45634.68859</v>
      </c>
    </row>
    <row r="589">
      <c r="A589" s="26" t="str">
        <f>IFERROR(__xludf.DUMMYFUNCTION("""COMPUTED_VALUE"""),"6342959d5378b16a978979c4")</f>
        <v>6342959d5378b16a978979c4</v>
      </c>
      <c r="B589" s="26" t="str">
        <f>IFERROR(__xludf.DUMMYFUNCTION("""COMPUTED_VALUE"""),"germany_train_g810412")</f>
        <v>germany_train_g810412</v>
      </c>
      <c r="C589" s="26" t="str">
        <f>IFERROR(__xludf.DUMMYFUNCTION("""COMPUTED_VALUE"""),"train")</f>
        <v>train</v>
      </c>
      <c r="D589" s="26" t="str">
        <f>IFERROR(__xludf.DUMMYFUNCTION("""COMPUTED_VALUE"""),"train")</f>
        <v>train</v>
      </c>
      <c r="E589" s="26">
        <f>IFERROR(__xludf.DUMMYFUNCTION("""COMPUTED_VALUE"""),808.0)</f>
        <v>808</v>
      </c>
      <c r="F589" s="26" t="str">
        <f>IFERROR(__xludf.DUMMYFUNCTION("""COMPUTED_VALUE"""),"AMBARELLA_3840_1920")</f>
        <v>AMBARELLA_3840_1920</v>
      </c>
      <c r="G589" s="26" t="str">
        <f>IFERROR(__xludf.DUMMYFUNCTION("""COMPUTED_VALUE"""),"EUROPE, DAY, SUNNY")</f>
        <v>EUROPE, DAY, SUNNY</v>
      </c>
      <c r="H589" s="26">
        <f>IFERROR(__xludf.DUMMYFUNCTION("""COMPUTED_VALUE"""),950.0)</f>
        <v>950</v>
      </c>
      <c r="I589" s="26">
        <f>IFERROR(__xludf.DUMMYFUNCTION("""COMPUTED_VALUE"""),1675.0)</f>
        <v>1675</v>
      </c>
      <c r="J589" s="26">
        <f>IFERROR(__xludf.DUMMYFUNCTION("""COMPUTED_VALUE"""),1585.0)</f>
        <v>1585</v>
      </c>
      <c r="K589" s="34">
        <f>IFERROR(__xludf.DUMMYFUNCTION("""COMPUTED_VALUE"""),45634.68863425926)</f>
        <v>45634.68863</v>
      </c>
    </row>
    <row r="590">
      <c r="A590" s="26" t="str">
        <f>IFERROR(__xludf.DUMMYFUNCTION("""COMPUTED_VALUE"""),"632334475378b16a97a7c036")</f>
        <v>632334475378b16a97a7c036</v>
      </c>
      <c r="B590" s="26" t="str">
        <f>IFERROR(__xludf.DUMMYFUNCTION("""COMPUTED_VALUE"""),"koln_2_new_train")</f>
        <v>koln_2_new_train</v>
      </c>
      <c r="C590" s="26" t="str">
        <f>IFERROR(__xludf.DUMMYFUNCTION("""COMPUTED_VALUE"""),"train")</f>
        <v>train</v>
      </c>
      <c r="D590" s="26" t="str">
        <f>IFERROR(__xludf.DUMMYFUNCTION("""COMPUTED_VALUE"""),"train")</f>
        <v>train</v>
      </c>
      <c r="E590" s="26">
        <f>IFERROR(__xludf.DUMMYFUNCTION("""COMPUTED_VALUE"""),3375.0)</f>
        <v>3375</v>
      </c>
      <c r="F590" s="26" t="str">
        <f>IFERROR(__xludf.DUMMYFUNCTION("""COMPUTED_VALUE"""),"AMBARELLA_3840_1920")</f>
        <v>AMBARELLA_3840_1920</v>
      </c>
      <c r="G590" s="26" t="str">
        <f>IFERROR(__xludf.DUMMYFUNCTION("""COMPUTED_VALUE"""),"DAY, NIGHT")</f>
        <v>DAY, NIGHT</v>
      </c>
      <c r="H590" s="26">
        <f>IFERROR(__xludf.DUMMYFUNCTION("""COMPUTED_VALUE"""),950.0)</f>
        <v>950</v>
      </c>
      <c r="I590" s="26">
        <f>IFERROR(__xludf.DUMMYFUNCTION("""COMPUTED_VALUE"""),1675.0)</f>
        <v>1675</v>
      </c>
      <c r="J590" s="26">
        <f>IFERROR(__xludf.DUMMYFUNCTION("""COMPUTED_VALUE"""),1585.0)</f>
        <v>1585</v>
      </c>
      <c r="K590" s="34">
        <f>IFERROR(__xludf.DUMMYFUNCTION("""COMPUTED_VALUE"""),45634.688738425924)</f>
        <v>45634.68874</v>
      </c>
    </row>
    <row r="591">
      <c r="A591" s="26" t="str">
        <f>IFERROR(__xludf.DUMMYFUNCTION("""COMPUTED_VALUE"""),"62fa5cf607d51f1227c87c18")</f>
        <v>62fa5cf607d51f1227c87c18</v>
      </c>
      <c r="B591" s="26" t="str">
        <f>IFERROR(__xludf.DUMMYFUNCTION("""COMPUTED_VALUE"""),"germany_new_train_batch_1508")</f>
        <v>germany_new_train_batch_1508</v>
      </c>
      <c r="C591" s="26" t="str">
        <f>IFERROR(__xludf.DUMMYFUNCTION("""COMPUTED_VALUE"""),"train")</f>
        <v>train</v>
      </c>
      <c r="D591" s="26" t="str">
        <f>IFERROR(__xludf.DUMMYFUNCTION("""COMPUTED_VALUE"""),"train")</f>
        <v>train</v>
      </c>
      <c r="E591" s="26">
        <f>IFERROR(__xludf.DUMMYFUNCTION("""COMPUTED_VALUE"""),2739.0)</f>
        <v>2739</v>
      </c>
      <c r="F591" s="26" t="str">
        <f>IFERROR(__xludf.DUMMYFUNCTION("""COMPUTED_VALUE"""),"AMBARELLA_3840_1920")</f>
        <v>AMBARELLA_3840_1920</v>
      </c>
      <c r="G591" s="26" t="str">
        <f>IFERROR(__xludf.DUMMYFUNCTION("""COMPUTED_VALUE"""),"DAY")</f>
        <v>DAY</v>
      </c>
      <c r="H591" s="26">
        <f>IFERROR(__xludf.DUMMYFUNCTION("""COMPUTED_VALUE"""),950.0)</f>
        <v>950</v>
      </c>
      <c r="I591" s="26">
        <f>IFERROR(__xludf.DUMMYFUNCTION("""COMPUTED_VALUE"""),1675.0)</f>
        <v>1675</v>
      </c>
      <c r="J591" s="26">
        <f>IFERROR(__xludf.DUMMYFUNCTION("""COMPUTED_VALUE"""),1585.0)</f>
        <v>1585</v>
      </c>
      <c r="K591" s="34">
        <f>IFERROR(__xludf.DUMMYFUNCTION("""COMPUTED_VALUE"""),45634.688784722224)</f>
        <v>45634.68878</v>
      </c>
    </row>
    <row r="592">
      <c r="A592" s="26" t="str">
        <f>IFERROR(__xludf.DUMMYFUNCTION("""COMPUTED_VALUE"""),"62e8f64807d51f12277ca5fb")</f>
        <v>62e8f64807d51f12277ca5fb</v>
      </c>
      <c r="B592" s="26" t="str">
        <f>IFERROR(__xludf.DUMMYFUNCTION("""COMPUTED_VALUE"""),"germany_train_0208")</f>
        <v>germany_train_0208</v>
      </c>
      <c r="C592" s="26" t="str">
        <f>IFERROR(__xludf.DUMMYFUNCTION("""COMPUTED_VALUE"""),"train")</f>
        <v>train</v>
      </c>
      <c r="D592" s="26" t="str">
        <f>IFERROR(__xludf.DUMMYFUNCTION("""COMPUTED_VALUE"""),"train")</f>
        <v>train</v>
      </c>
      <c r="E592" s="26">
        <f>IFERROR(__xludf.DUMMYFUNCTION("""COMPUTED_VALUE"""),3139.0)</f>
        <v>3139</v>
      </c>
      <c r="F592" s="26" t="str">
        <f>IFERROR(__xludf.DUMMYFUNCTION("""COMPUTED_VALUE"""),"AMBARELLA_3840_1920")</f>
        <v>AMBARELLA_3840_1920</v>
      </c>
      <c r="G592" s="26" t="str">
        <f>IFERROR(__xludf.DUMMYFUNCTION("""COMPUTED_VALUE"""),"EUROPE, DAY, CLOUDY, SUNNY, GERMANY")</f>
        <v>EUROPE, DAY, CLOUDY, SUNNY, GERMANY</v>
      </c>
      <c r="H592" s="26">
        <f>IFERROR(__xludf.DUMMYFUNCTION("""COMPUTED_VALUE"""),950.0)</f>
        <v>950</v>
      </c>
      <c r="I592" s="26">
        <f>IFERROR(__xludf.DUMMYFUNCTION("""COMPUTED_VALUE"""),1675.0)</f>
        <v>1675</v>
      </c>
      <c r="J592" s="26">
        <f>IFERROR(__xludf.DUMMYFUNCTION("""COMPUTED_VALUE"""),1585.0)</f>
        <v>1585</v>
      </c>
      <c r="K592" s="34">
        <f>IFERROR(__xludf.DUMMYFUNCTION("""COMPUTED_VALUE"""),45634.68885416666)</f>
        <v>45634.68885</v>
      </c>
    </row>
    <row r="593">
      <c r="A593" s="26" t="str">
        <f>IFERROR(__xludf.DUMMYFUNCTION("""COMPUTED_VALUE"""),"659abf8ad8ef2d6f5c51135b")</f>
        <v>659abf8ad8ef2d6f5c51135b</v>
      </c>
      <c r="B593" s="26" t="str">
        <f>IFERROR(__xludf.DUMMYFUNCTION("""COMPUTED_VALUE"""),"israel_urban_with_buses")</f>
        <v>israel_urban_with_buses</v>
      </c>
      <c r="C593" s="26" t="str">
        <f>IFERROR(__xludf.DUMMYFUNCTION("""COMPUTED_VALUE"""),"train")</f>
        <v>train</v>
      </c>
      <c r="D593" s="26" t="str">
        <f>IFERROR(__xludf.DUMMYFUNCTION("""COMPUTED_VALUE"""),"train")</f>
        <v>train</v>
      </c>
      <c r="E593" s="26">
        <f>IFERROR(__xludf.DUMMYFUNCTION("""COMPUTED_VALUE"""),7943.0)</f>
        <v>7943</v>
      </c>
      <c r="F593" s="26" t="str">
        <f>IFERROR(__xludf.DUMMYFUNCTION("""COMPUTED_VALUE"""),"8MP_JPG")</f>
        <v>8MP_JPG</v>
      </c>
      <c r="G593" s="26" t="str">
        <f>IFERROR(__xludf.DUMMYFUNCTION("""COMPUTED_VALUE"""),"DAY, NIGHT")</f>
        <v>DAY, NIGHT</v>
      </c>
      <c r="H593" s="26">
        <f>IFERROR(__xludf.DUMMYFUNCTION("""COMPUTED_VALUE"""),-1.0)</f>
        <v>-1</v>
      </c>
      <c r="I593" s="26">
        <f>IFERROR(__xludf.DUMMYFUNCTION("""COMPUTED_VALUE"""),-1.0)</f>
        <v>-1</v>
      </c>
      <c r="J593" s="26">
        <f>IFERROR(__xludf.DUMMYFUNCTION("""COMPUTED_VALUE"""),-1.0)</f>
        <v>-1</v>
      </c>
      <c r="K593" s="26" t="str">
        <f>IFERROR(__xludf.DUMMYFUNCTION("""COMPUTED_VALUE"""),"15/08/2024, 10:04:10")</f>
        <v>15/08/2024, 10:04:10</v>
      </c>
    </row>
    <row r="594">
      <c r="A594" s="26" t="str">
        <f>IFERROR(__xludf.DUMMYFUNCTION("""COMPUTED_VALUE"""),"659aa76bd8ef2d6f5c4eacbd")</f>
        <v>659aa76bd8ef2d6f5c4eacbd</v>
      </c>
      <c r="B594" s="26" t="str">
        <f>IFERROR(__xludf.DUMMYFUNCTION("""COMPUTED_VALUE"""),"europe_israel_usa_special_trucks_cement_mixer_and_buses_for_train")</f>
        <v>europe_israel_usa_special_trucks_cement_mixer_and_buses_for_train</v>
      </c>
      <c r="C594" s="26" t="str">
        <f>IFERROR(__xludf.DUMMYFUNCTION("""COMPUTED_VALUE"""),"train")</f>
        <v>train</v>
      </c>
      <c r="D594" s="26" t="str">
        <f>IFERROR(__xludf.DUMMYFUNCTION("""COMPUTED_VALUE"""),"train")</f>
        <v>train</v>
      </c>
      <c r="E594" s="26">
        <f>IFERROR(__xludf.DUMMYFUNCTION("""COMPUTED_VALUE"""),867.0)</f>
        <v>867</v>
      </c>
      <c r="F594" s="26" t="str">
        <f>IFERROR(__xludf.DUMMYFUNCTION("""COMPUTED_VALUE"""),"8MP_JPG")</f>
        <v>8MP_JPG</v>
      </c>
      <c r="G594" s="26" t="str">
        <f>IFERROR(__xludf.DUMMYFUNCTION("""COMPUTED_VALUE"""),"DAY, SUNNY, ISRAEL")</f>
        <v>DAY, SUNNY, ISRAEL</v>
      </c>
      <c r="H594" s="26">
        <f>IFERROR(__xludf.DUMMYFUNCTION("""COMPUTED_VALUE"""),-1.0)</f>
        <v>-1</v>
      </c>
      <c r="I594" s="26">
        <f>IFERROR(__xludf.DUMMYFUNCTION("""COMPUTED_VALUE"""),-1.0)</f>
        <v>-1</v>
      </c>
      <c r="J594" s="26">
        <f>IFERROR(__xludf.DUMMYFUNCTION("""COMPUTED_VALUE"""),-1.0)</f>
        <v>-1</v>
      </c>
      <c r="K594" s="26" t="str">
        <f>IFERROR(__xludf.DUMMYFUNCTION("""COMPUTED_VALUE"""),"15/08/2024, 10:04:15")</f>
        <v>15/08/2024, 10:04:15</v>
      </c>
    </row>
    <row r="595">
      <c r="A595" s="26" t="str">
        <f>IFERROR(__xludf.DUMMYFUNCTION("""COMPUTED_VALUE"""),"6565f8e3fa38f84eb4f9c94a")</f>
        <v>6565f8e3fa38f84eb4f9c94a</v>
      </c>
      <c r="B595" s="26" t="str">
        <f>IFERROR(__xludf.DUMMYFUNCTION("""COMPUTED_VALUE"""),"_2023_08_01_08_44_05_vaihingen_kitzingen_heavy_rain_day_as_single_set_skipped_6_batch_2_split_by_size_of_500_tagged")</f>
        <v>_2023_08_01_08_44_05_vaihingen_kitzingen_heavy_rain_day_as_single_set_skipped_6_batch_2_split_by_size_of_500_tagged</v>
      </c>
      <c r="C595" s="26" t="str">
        <f>IFERROR(__xludf.DUMMYFUNCTION("""COMPUTED_VALUE"""),"train")</f>
        <v>train</v>
      </c>
      <c r="D595" s="26" t="str">
        <f>IFERROR(__xludf.DUMMYFUNCTION("""COMPUTED_VALUE"""),"train")</f>
        <v>train</v>
      </c>
      <c r="E595" s="26">
        <f>IFERROR(__xludf.DUMMYFUNCTION("""COMPUTED_VALUE"""),485.0)</f>
        <v>485</v>
      </c>
      <c r="F595" s="26" t="str">
        <f>IFERROR(__xludf.DUMMYFUNCTION("""COMPUTED_VALUE"""),"8MP_JPG")</f>
        <v>8MP_JPG</v>
      </c>
      <c r="G595" s="26" t="str">
        <f>IFERROR(__xludf.DUMMYFUNCTION("""COMPUTED_VALUE"""),"DAY, RAIN, DEMO, GERMANY")</f>
        <v>DAY, RAIN, DEMO, GERMANY</v>
      </c>
      <c r="H595" s="26">
        <f>IFERROR(__xludf.DUMMYFUNCTION("""COMPUTED_VALUE"""),950.0)</f>
        <v>950</v>
      </c>
      <c r="I595" s="26">
        <f>IFERROR(__xludf.DUMMYFUNCTION("""COMPUTED_VALUE"""),-1.0)</f>
        <v>-1</v>
      </c>
      <c r="J595" s="26">
        <f>IFERROR(__xludf.DUMMYFUNCTION("""COMPUTED_VALUE"""),-1.0)</f>
        <v>-1</v>
      </c>
      <c r="K595" s="26" t="str">
        <f>IFERROR(__xludf.DUMMYFUNCTION("""COMPUTED_VALUE"""),"15/08/2024, 10:04:18")</f>
        <v>15/08/2024, 10:04:18</v>
      </c>
    </row>
    <row r="596">
      <c r="A596" s="26" t="str">
        <f>IFERROR(__xludf.DUMMYFUNCTION("""COMPUTED_VALUE"""),"6565f8d7fa38f84eb4f9be80")</f>
        <v>6565f8d7fa38f84eb4f9be80</v>
      </c>
      <c r="B596" s="26" t="str">
        <f>IFERROR(__xludf.DUMMYFUNCTION("""COMPUTED_VALUE"""),"_2023_08_01_08_44_05_vaihingen_kitzingen_heavy_rain_day_as_single_set_skipped_6_batch_11_split_by_size_of_500_tagged")</f>
        <v>_2023_08_01_08_44_05_vaihingen_kitzingen_heavy_rain_day_as_single_set_skipped_6_batch_11_split_by_size_of_500_tagged</v>
      </c>
      <c r="C596" s="26" t="str">
        <f>IFERROR(__xludf.DUMMYFUNCTION("""COMPUTED_VALUE"""),"train")</f>
        <v>train</v>
      </c>
      <c r="D596" s="26" t="str">
        <f>IFERROR(__xludf.DUMMYFUNCTION("""COMPUTED_VALUE"""),"train")</f>
        <v>train</v>
      </c>
      <c r="E596" s="26">
        <f>IFERROR(__xludf.DUMMYFUNCTION("""COMPUTED_VALUE"""),498.0)</f>
        <v>498</v>
      </c>
      <c r="F596" s="26" t="str">
        <f>IFERROR(__xludf.DUMMYFUNCTION("""COMPUTED_VALUE"""),"8MP_JPG")</f>
        <v>8MP_JPG</v>
      </c>
      <c r="G596" s="26" t="str">
        <f>IFERROR(__xludf.DUMMYFUNCTION("""COMPUTED_VALUE"""),"DAY, RAIN, DEMO, GERMANY")</f>
        <v>DAY, RAIN, DEMO, GERMANY</v>
      </c>
      <c r="H596" s="26">
        <f>IFERROR(__xludf.DUMMYFUNCTION("""COMPUTED_VALUE"""),950.0)</f>
        <v>950</v>
      </c>
      <c r="I596" s="26">
        <f>IFERROR(__xludf.DUMMYFUNCTION("""COMPUTED_VALUE"""),-1.0)</f>
        <v>-1</v>
      </c>
      <c r="J596" s="26">
        <f>IFERROR(__xludf.DUMMYFUNCTION("""COMPUTED_VALUE"""),-1.0)</f>
        <v>-1</v>
      </c>
      <c r="K596" s="26" t="str">
        <f>IFERROR(__xludf.DUMMYFUNCTION("""COMPUTED_VALUE"""),"15/08/2024, 10:04:21")</f>
        <v>15/08/2024, 10:04:21</v>
      </c>
    </row>
    <row r="597">
      <c r="A597" s="26" t="str">
        <f>IFERROR(__xludf.DUMMYFUNCTION("""COMPUTED_VALUE"""),"653838ba54107825f76c8cf5")</f>
        <v>653838ba54107825f76c8cf5</v>
      </c>
      <c r="B597" s="26" t="str">
        <f>IFERROR(__xludf.DUMMYFUNCTION("""COMPUTED_VALUE"""),"official_od_2023_08_01_08_44_05_vaihingen_kitzingen_heavy_rain_day_as_single_set_skipped_6_batch_9_split_by_size_of_500_for_train_tagged")</f>
        <v>official_od_2023_08_01_08_44_05_vaihingen_kitzingen_heavy_rain_day_as_single_set_skipped_6_batch_9_split_by_size_of_500_for_train_tagged</v>
      </c>
      <c r="C597" s="26" t="str">
        <f>IFERROR(__xludf.DUMMYFUNCTION("""COMPUTED_VALUE"""),"train")</f>
        <v>train</v>
      </c>
      <c r="D597" s="26" t="str">
        <f>IFERROR(__xludf.DUMMYFUNCTION("""COMPUTED_VALUE"""),"train")</f>
        <v>train</v>
      </c>
      <c r="E597" s="26">
        <f>IFERROR(__xludf.DUMMYFUNCTION("""COMPUTED_VALUE"""),500.0)</f>
        <v>500</v>
      </c>
      <c r="F597" s="26" t="str">
        <f>IFERROR(__xludf.DUMMYFUNCTION("""COMPUTED_VALUE"""),"8MP_JPG")</f>
        <v>8MP_JPG</v>
      </c>
      <c r="G597" s="26" t="str">
        <f>IFERROR(__xludf.DUMMYFUNCTION("""COMPUTED_VALUE"""),"DAY, RAIN, DEMO, GERMANY")</f>
        <v>DAY, RAIN, DEMO, GERMANY</v>
      </c>
      <c r="H597" s="26">
        <f>IFERROR(__xludf.DUMMYFUNCTION("""COMPUTED_VALUE"""),-1.0)</f>
        <v>-1</v>
      </c>
      <c r="I597" s="26">
        <f>IFERROR(__xludf.DUMMYFUNCTION("""COMPUTED_VALUE"""),-1.0)</f>
        <v>-1</v>
      </c>
      <c r="J597" s="26">
        <f>IFERROR(__xludf.DUMMYFUNCTION("""COMPUTED_VALUE"""),-1.0)</f>
        <v>-1</v>
      </c>
      <c r="K597" s="26" t="str">
        <f>IFERROR(__xludf.DUMMYFUNCTION("""COMPUTED_VALUE"""),"15/08/2024, 10:04:24")</f>
        <v>15/08/2024, 10:04:24</v>
      </c>
    </row>
    <row r="598">
      <c r="A598" s="26" t="str">
        <f>IFERROR(__xludf.DUMMYFUNCTION("""COMPUTED_VALUE"""),"653838b254107825f76c73fd")</f>
        <v>653838b254107825f76c73fd</v>
      </c>
      <c r="B598" s="26" t="str">
        <f>IFERROR(__xludf.DUMMYFUNCTION("""COMPUTED_VALUE"""),"official_od_2023_08_01_08_44_05_vaihingen_kitzingen_heavy_rain_day_as_single_set_skipped_6_batch_10_split_by_size_of_500_for_train_tagged")</f>
        <v>official_od_2023_08_01_08_44_05_vaihingen_kitzingen_heavy_rain_day_as_single_set_skipped_6_batch_10_split_by_size_of_500_for_train_tagged</v>
      </c>
      <c r="C598" s="26" t="str">
        <f>IFERROR(__xludf.DUMMYFUNCTION("""COMPUTED_VALUE"""),"train")</f>
        <v>train</v>
      </c>
      <c r="D598" s="26" t="str">
        <f>IFERROR(__xludf.DUMMYFUNCTION("""COMPUTED_VALUE"""),"train")</f>
        <v>train</v>
      </c>
      <c r="E598" s="26">
        <f>IFERROR(__xludf.DUMMYFUNCTION("""COMPUTED_VALUE"""),500.0)</f>
        <v>500</v>
      </c>
      <c r="F598" s="26" t="str">
        <f>IFERROR(__xludf.DUMMYFUNCTION("""COMPUTED_VALUE"""),"8MP_JPG")</f>
        <v>8MP_JPG</v>
      </c>
      <c r="G598" s="26" t="str">
        <f>IFERROR(__xludf.DUMMYFUNCTION("""COMPUTED_VALUE"""),"DAY, RAIN, DEMO, GERMANY")</f>
        <v>DAY, RAIN, DEMO, GERMANY</v>
      </c>
      <c r="H598" s="26">
        <f>IFERROR(__xludf.DUMMYFUNCTION("""COMPUTED_VALUE"""),-1.0)</f>
        <v>-1</v>
      </c>
      <c r="I598" s="26">
        <f>IFERROR(__xludf.DUMMYFUNCTION("""COMPUTED_VALUE"""),-1.0)</f>
        <v>-1</v>
      </c>
      <c r="J598" s="26">
        <f>IFERROR(__xludf.DUMMYFUNCTION("""COMPUTED_VALUE"""),-1.0)</f>
        <v>-1</v>
      </c>
      <c r="K598" s="26" t="str">
        <f>IFERROR(__xludf.DUMMYFUNCTION("""COMPUTED_VALUE"""),"15/08/2024, 10:04:28")</f>
        <v>15/08/2024, 10:04:28</v>
      </c>
    </row>
    <row r="599">
      <c r="A599" s="26" t="str">
        <f>IFERROR(__xludf.DUMMYFUNCTION("""COMPUTED_VALUE"""),"6535056954107825f76b8754")</f>
        <v>6535056954107825f76b8754</v>
      </c>
      <c r="B599" s="26" t="str">
        <f>IFERROR(__xludf.DUMMYFUNCTION("""COMPUTED_VALUE"""),"official_od_2023_08_01_08_44_05_vaihingen_kitzingen_heavy_rain_day_as_single_set_skipped_6_batch_0_split_by_size_of_500_for_train_tagged")</f>
        <v>official_od_2023_08_01_08_44_05_vaihingen_kitzingen_heavy_rain_day_as_single_set_skipped_6_batch_0_split_by_size_of_500_for_train_tagged</v>
      </c>
      <c r="C599" s="26" t="str">
        <f>IFERROR(__xludf.DUMMYFUNCTION("""COMPUTED_VALUE"""),"train")</f>
        <v>train</v>
      </c>
      <c r="D599" s="26" t="str">
        <f>IFERROR(__xludf.DUMMYFUNCTION("""COMPUTED_VALUE"""),"train")</f>
        <v>train</v>
      </c>
      <c r="E599" s="26">
        <f>IFERROR(__xludf.DUMMYFUNCTION("""COMPUTED_VALUE"""),500.0)</f>
        <v>500</v>
      </c>
      <c r="F599" s="26" t="str">
        <f>IFERROR(__xludf.DUMMYFUNCTION("""COMPUTED_VALUE"""),"8MP_JPG")</f>
        <v>8MP_JPG</v>
      </c>
      <c r="G599" s="26" t="str">
        <f>IFERROR(__xludf.DUMMYFUNCTION("""COMPUTED_VALUE"""),"DAY, RAIN, DEMO, GERMANY")</f>
        <v>DAY, RAIN, DEMO, GERMANY</v>
      </c>
      <c r="H599" s="26">
        <f>IFERROR(__xludf.DUMMYFUNCTION("""COMPUTED_VALUE"""),-1.0)</f>
        <v>-1</v>
      </c>
      <c r="I599" s="26">
        <f>IFERROR(__xludf.DUMMYFUNCTION("""COMPUTED_VALUE"""),-1.0)</f>
        <v>-1</v>
      </c>
      <c r="J599" s="26">
        <f>IFERROR(__xludf.DUMMYFUNCTION("""COMPUTED_VALUE"""),-1.0)</f>
        <v>-1</v>
      </c>
      <c r="K599" s="26" t="str">
        <f>IFERROR(__xludf.DUMMYFUNCTION("""COMPUTED_VALUE"""),"15/08/2024, 10:04:31")</f>
        <v>15/08/2024, 10:04:31</v>
      </c>
    </row>
    <row r="600">
      <c r="A600" s="26" t="str">
        <f>IFERROR(__xludf.DUMMYFUNCTION("""COMPUTED_VALUE"""),"6535055e54107825f76b7609")</f>
        <v>6535055e54107825f76b7609</v>
      </c>
      <c r="B600" s="26" t="str">
        <f>IFERROR(__xludf.DUMMYFUNCTION("""COMPUTED_VALUE"""),"official_od_2023_08_01_08_44_05_vaihingen_kitzingen_heavy_rain_day_as_single_set_skipped_6_batch_1_split_by_size_of_500_for_train_tagged")</f>
        <v>official_od_2023_08_01_08_44_05_vaihingen_kitzingen_heavy_rain_day_as_single_set_skipped_6_batch_1_split_by_size_of_500_for_train_tagged</v>
      </c>
      <c r="C600" s="26" t="str">
        <f>IFERROR(__xludf.DUMMYFUNCTION("""COMPUTED_VALUE"""),"train")</f>
        <v>train</v>
      </c>
      <c r="D600" s="26" t="str">
        <f>IFERROR(__xludf.DUMMYFUNCTION("""COMPUTED_VALUE"""),"train")</f>
        <v>train</v>
      </c>
      <c r="E600" s="26">
        <f>IFERROR(__xludf.DUMMYFUNCTION("""COMPUTED_VALUE"""),500.0)</f>
        <v>500</v>
      </c>
      <c r="F600" s="26" t="str">
        <f>IFERROR(__xludf.DUMMYFUNCTION("""COMPUTED_VALUE"""),"8MP_JPG")</f>
        <v>8MP_JPG</v>
      </c>
      <c r="G600" s="26" t="str">
        <f>IFERROR(__xludf.DUMMYFUNCTION("""COMPUTED_VALUE"""),"RAIN, GERMANY, WET_ROAD, DAY, DEMO, ARROWS")</f>
        <v>RAIN, GERMANY, WET_ROAD, DAY, DEMO, ARROWS</v>
      </c>
      <c r="H600" s="26">
        <f>IFERROR(__xludf.DUMMYFUNCTION("""COMPUTED_VALUE"""),-1.0)</f>
        <v>-1</v>
      </c>
      <c r="I600" s="26">
        <f>IFERROR(__xludf.DUMMYFUNCTION("""COMPUTED_VALUE"""),-1.0)</f>
        <v>-1</v>
      </c>
      <c r="J600" s="26">
        <f>IFERROR(__xludf.DUMMYFUNCTION("""COMPUTED_VALUE"""),-1.0)</f>
        <v>-1</v>
      </c>
      <c r="K600" s="26" t="str">
        <f>IFERROR(__xludf.DUMMYFUNCTION("""COMPUTED_VALUE"""),"15/08/2024, 10:04:34")</f>
        <v>15/08/2024, 10:04:34</v>
      </c>
    </row>
    <row r="601">
      <c r="A601" s="26" t="str">
        <f>IFERROR(__xludf.DUMMYFUNCTION("""COMPUTED_VALUE"""),"6535055354107825f76b6a66")</f>
        <v>6535055354107825f76b6a66</v>
      </c>
      <c r="B601" s="26" t="str">
        <f>IFERROR(__xludf.DUMMYFUNCTION("""COMPUTED_VALUE"""),"official_od_2023_08_01_08_44_05_vaihingen_kitzingen_heavy_rain_day_as_single_set_skipped_6_batch_3_split_by_size_of_500_for_train_tagged")</f>
        <v>official_od_2023_08_01_08_44_05_vaihingen_kitzingen_heavy_rain_day_as_single_set_skipped_6_batch_3_split_by_size_of_500_for_train_tagged</v>
      </c>
      <c r="C601" s="26" t="str">
        <f>IFERROR(__xludf.DUMMYFUNCTION("""COMPUTED_VALUE"""),"train")</f>
        <v>train</v>
      </c>
      <c r="D601" s="26" t="str">
        <f>IFERROR(__xludf.DUMMYFUNCTION("""COMPUTED_VALUE"""),"train")</f>
        <v>train</v>
      </c>
      <c r="E601" s="26">
        <f>IFERROR(__xludf.DUMMYFUNCTION("""COMPUTED_VALUE"""),500.0)</f>
        <v>500</v>
      </c>
      <c r="F601" s="26" t="str">
        <f>IFERROR(__xludf.DUMMYFUNCTION("""COMPUTED_VALUE"""),"8MP_JPG")</f>
        <v>8MP_JPG</v>
      </c>
      <c r="G601" s="26" t="str">
        <f>IFERROR(__xludf.DUMMYFUNCTION("""COMPUTED_VALUE"""),"RAIN, GERMANY, WET_ROAD, DAY, DEMO, ARROWS")</f>
        <v>RAIN, GERMANY, WET_ROAD, DAY, DEMO, ARROWS</v>
      </c>
      <c r="H601" s="26">
        <f>IFERROR(__xludf.DUMMYFUNCTION("""COMPUTED_VALUE"""),-1.0)</f>
        <v>-1</v>
      </c>
      <c r="I601" s="26">
        <f>IFERROR(__xludf.DUMMYFUNCTION("""COMPUTED_VALUE"""),-1.0)</f>
        <v>-1</v>
      </c>
      <c r="J601" s="26">
        <f>IFERROR(__xludf.DUMMYFUNCTION("""COMPUTED_VALUE"""),-1.0)</f>
        <v>-1</v>
      </c>
      <c r="K601" s="26" t="str">
        <f>IFERROR(__xludf.DUMMYFUNCTION("""COMPUTED_VALUE"""),"15/08/2024, 10:04:37")</f>
        <v>15/08/2024, 10:04:37</v>
      </c>
    </row>
    <row r="602">
      <c r="A602" s="26" t="str">
        <f>IFERROR(__xludf.DUMMYFUNCTION("""COMPUTED_VALUE"""),"6534fb9354107825f76b6185")</f>
        <v>6534fb9354107825f76b6185</v>
      </c>
      <c r="B602" s="26" t="str">
        <f>IFERROR(__xludf.DUMMYFUNCTION("""COMPUTED_VALUE"""),"official_od_2023_08_01_08_44_05_vaihingen_kitzingen_heavy_rain_day_as_single_set_skipped_6_batch_4_split_by_size_of_500_for_train_tagged")</f>
        <v>official_od_2023_08_01_08_44_05_vaihingen_kitzingen_heavy_rain_day_as_single_set_skipped_6_batch_4_split_by_size_of_500_for_train_tagged</v>
      </c>
      <c r="C602" s="26" t="str">
        <f>IFERROR(__xludf.DUMMYFUNCTION("""COMPUTED_VALUE"""),"train")</f>
        <v>train</v>
      </c>
      <c r="D602" s="26" t="str">
        <f>IFERROR(__xludf.DUMMYFUNCTION("""COMPUTED_VALUE"""),"train")</f>
        <v>train</v>
      </c>
      <c r="E602" s="26">
        <f>IFERROR(__xludf.DUMMYFUNCTION("""COMPUTED_VALUE"""),500.0)</f>
        <v>500</v>
      </c>
      <c r="F602" s="26" t="str">
        <f>IFERROR(__xludf.DUMMYFUNCTION("""COMPUTED_VALUE"""),"8MP_JPG")</f>
        <v>8MP_JPG</v>
      </c>
      <c r="G602" s="26" t="str">
        <f>IFERROR(__xludf.DUMMYFUNCTION("""COMPUTED_VALUE"""),"RAIN, GERMANY, WET_ROAD, DAY, DEMO, ARROWS")</f>
        <v>RAIN, GERMANY, WET_ROAD, DAY, DEMO, ARROWS</v>
      </c>
      <c r="H602" s="26">
        <f>IFERROR(__xludf.DUMMYFUNCTION("""COMPUTED_VALUE"""),-1.0)</f>
        <v>-1</v>
      </c>
      <c r="I602" s="26">
        <f>IFERROR(__xludf.DUMMYFUNCTION("""COMPUTED_VALUE"""),-1.0)</f>
        <v>-1</v>
      </c>
      <c r="J602" s="26">
        <f>IFERROR(__xludf.DUMMYFUNCTION("""COMPUTED_VALUE"""),-1.0)</f>
        <v>-1</v>
      </c>
      <c r="K602" s="26" t="str">
        <f>IFERROR(__xludf.DUMMYFUNCTION("""COMPUTED_VALUE"""),"15/08/2024, 10:04:40")</f>
        <v>15/08/2024, 10:04:40</v>
      </c>
    </row>
    <row r="603">
      <c r="A603" s="26" t="str">
        <f>IFERROR(__xludf.DUMMYFUNCTION("""COMPUTED_VALUE"""),"6531331e54107825f76aafb9")</f>
        <v>6531331e54107825f76aafb9</v>
      </c>
      <c r="B603" s="26" t="str">
        <f>IFERROR(__xludf.DUMMYFUNCTION("""COMPUTED_VALUE"""),"official_od_2023_08_01_08_44_05_vaihingen_kitzingen_heavy_rain_day_as_single_set_skipped_6_batch_5_split_by_size_of_500_for_train_tagged")</f>
        <v>official_od_2023_08_01_08_44_05_vaihingen_kitzingen_heavy_rain_day_as_single_set_skipped_6_batch_5_split_by_size_of_500_for_train_tagged</v>
      </c>
      <c r="C603" s="26" t="str">
        <f>IFERROR(__xludf.DUMMYFUNCTION("""COMPUTED_VALUE"""),"train")</f>
        <v>train</v>
      </c>
      <c r="D603" s="26" t="str">
        <f>IFERROR(__xludf.DUMMYFUNCTION("""COMPUTED_VALUE"""),"train")</f>
        <v>train</v>
      </c>
      <c r="E603" s="26">
        <f>IFERROR(__xludf.DUMMYFUNCTION("""COMPUTED_VALUE"""),500.0)</f>
        <v>500</v>
      </c>
      <c r="F603" s="26" t="str">
        <f>IFERROR(__xludf.DUMMYFUNCTION("""COMPUTED_VALUE"""),"8MP_JPG")</f>
        <v>8MP_JPG</v>
      </c>
      <c r="G603" s="26" t="str">
        <f>IFERROR(__xludf.DUMMYFUNCTION("""COMPUTED_VALUE"""),"DAY, RAIN, DEMO, GERMANY")</f>
        <v>DAY, RAIN, DEMO, GERMANY</v>
      </c>
      <c r="H603" s="26">
        <f>IFERROR(__xludf.DUMMYFUNCTION("""COMPUTED_VALUE"""),-1.0)</f>
        <v>-1</v>
      </c>
      <c r="I603" s="26">
        <f>IFERROR(__xludf.DUMMYFUNCTION("""COMPUTED_VALUE"""),-1.0)</f>
        <v>-1</v>
      </c>
      <c r="J603" s="26">
        <f>IFERROR(__xludf.DUMMYFUNCTION("""COMPUTED_VALUE"""),-1.0)</f>
        <v>-1</v>
      </c>
      <c r="K603" s="26" t="str">
        <f>IFERROR(__xludf.DUMMYFUNCTION("""COMPUTED_VALUE"""),"15/08/2024, 10:04:43")</f>
        <v>15/08/2024, 10:04:43</v>
      </c>
    </row>
    <row r="604">
      <c r="A604" s="26" t="str">
        <f>IFERROR(__xludf.DUMMYFUNCTION("""COMPUTED_VALUE"""),"6531331454107825f76aa5ce")</f>
        <v>6531331454107825f76aa5ce</v>
      </c>
      <c r="B604" s="26" t="str">
        <f>IFERROR(__xludf.DUMMYFUNCTION("""COMPUTED_VALUE"""),"official_od_2023_08_01_08_44_05_vaihingen_kitzingen_heavy_rain_day_as_single_set_skipped_6_batch_6_split_by_size_of_500_for_train_tagged")</f>
        <v>official_od_2023_08_01_08_44_05_vaihingen_kitzingen_heavy_rain_day_as_single_set_skipped_6_batch_6_split_by_size_of_500_for_train_tagged</v>
      </c>
      <c r="C604" s="26" t="str">
        <f>IFERROR(__xludf.DUMMYFUNCTION("""COMPUTED_VALUE"""),"train")</f>
        <v>train</v>
      </c>
      <c r="D604" s="26" t="str">
        <f>IFERROR(__xludf.DUMMYFUNCTION("""COMPUTED_VALUE"""),"train")</f>
        <v>train</v>
      </c>
      <c r="E604" s="26">
        <f>IFERROR(__xludf.DUMMYFUNCTION("""COMPUTED_VALUE"""),500.0)</f>
        <v>500</v>
      </c>
      <c r="F604" s="26" t="str">
        <f>IFERROR(__xludf.DUMMYFUNCTION("""COMPUTED_VALUE"""),"8MP_JPG")</f>
        <v>8MP_JPG</v>
      </c>
      <c r="G604" s="26" t="str">
        <f>IFERROR(__xludf.DUMMYFUNCTION("""COMPUTED_VALUE"""),"DAY, HEAVY_RAIN, DEMO, GERMANY")</f>
        <v>DAY, HEAVY_RAIN, DEMO, GERMANY</v>
      </c>
      <c r="H604" s="26">
        <f>IFERROR(__xludf.DUMMYFUNCTION("""COMPUTED_VALUE"""),-1.0)</f>
        <v>-1</v>
      </c>
      <c r="I604" s="26">
        <f>IFERROR(__xludf.DUMMYFUNCTION("""COMPUTED_VALUE"""),-1.0)</f>
        <v>-1</v>
      </c>
      <c r="J604" s="26">
        <f>IFERROR(__xludf.DUMMYFUNCTION("""COMPUTED_VALUE"""),-1.0)</f>
        <v>-1</v>
      </c>
      <c r="K604" s="26" t="str">
        <f>IFERROR(__xludf.DUMMYFUNCTION("""COMPUTED_VALUE"""),"15/08/2024, 10:04:46")</f>
        <v>15/08/2024, 10:04:46</v>
      </c>
    </row>
    <row r="605">
      <c r="A605" s="26" t="str">
        <f>IFERROR(__xludf.DUMMYFUNCTION("""COMPUTED_VALUE"""),"6531330a54107825f76a9c37")</f>
        <v>6531330a54107825f76a9c37</v>
      </c>
      <c r="B605" s="26" t="str">
        <f>IFERROR(__xludf.DUMMYFUNCTION("""COMPUTED_VALUE"""),"official_od_2023_08_01_08_44_05_vaihingen_kitzingen_heavy_rain_day_as_single_set_skipped_6_batch_7_split_by_size_of_500_for_train_tagged")</f>
        <v>official_od_2023_08_01_08_44_05_vaihingen_kitzingen_heavy_rain_day_as_single_set_skipped_6_batch_7_split_by_size_of_500_for_train_tagged</v>
      </c>
      <c r="C605" s="26" t="str">
        <f>IFERROR(__xludf.DUMMYFUNCTION("""COMPUTED_VALUE"""),"train")</f>
        <v>train</v>
      </c>
      <c r="D605" s="26" t="str">
        <f>IFERROR(__xludf.DUMMYFUNCTION("""COMPUTED_VALUE"""),"train")</f>
        <v>train</v>
      </c>
      <c r="E605" s="26">
        <f>IFERROR(__xludf.DUMMYFUNCTION("""COMPUTED_VALUE"""),500.0)</f>
        <v>500</v>
      </c>
      <c r="F605" s="26" t="str">
        <f>IFERROR(__xludf.DUMMYFUNCTION("""COMPUTED_VALUE"""),"8MP_JPG")</f>
        <v>8MP_JPG</v>
      </c>
      <c r="G605" s="26" t="str">
        <f>IFERROR(__xludf.DUMMYFUNCTION("""COMPUTED_VALUE"""),"DAY, RAIN, DEMO, GERMANY")</f>
        <v>DAY, RAIN, DEMO, GERMANY</v>
      </c>
      <c r="H605" s="26">
        <f>IFERROR(__xludf.DUMMYFUNCTION("""COMPUTED_VALUE"""),-1.0)</f>
        <v>-1</v>
      </c>
      <c r="I605" s="26">
        <f>IFERROR(__xludf.DUMMYFUNCTION("""COMPUTED_VALUE"""),-1.0)</f>
        <v>-1</v>
      </c>
      <c r="J605" s="26">
        <f>IFERROR(__xludf.DUMMYFUNCTION("""COMPUTED_VALUE"""),-1.0)</f>
        <v>-1</v>
      </c>
      <c r="K605" s="26" t="str">
        <f>IFERROR(__xludf.DUMMYFUNCTION("""COMPUTED_VALUE"""),"15/08/2024, 10:04:49")</f>
        <v>15/08/2024, 10:04:49</v>
      </c>
    </row>
    <row r="606">
      <c r="A606" s="26" t="str">
        <f>IFERROR(__xludf.DUMMYFUNCTION("""COMPUTED_VALUE"""),"6531330054107825f76a92da")</f>
        <v>6531330054107825f76a92da</v>
      </c>
      <c r="B606" s="26" t="str">
        <f>IFERROR(__xludf.DUMMYFUNCTION("""COMPUTED_VALUE"""),"official_od_2023_08_01_08_44_05_vaihingen_kitzingen_heavy_rain_day_as_single_set_skipped_6_batch_8_split_by_size_of_500_for_train_tagged")</f>
        <v>official_od_2023_08_01_08_44_05_vaihingen_kitzingen_heavy_rain_day_as_single_set_skipped_6_batch_8_split_by_size_of_500_for_train_tagged</v>
      </c>
      <c r="C606" s="26" t="str">
        <f>IFERROR(__xludf.DUMMYFUNCTION("""COMPUTED_VALUE"""),"train")</f>
        <v>train</v>
      </c>
      <c r="D606" s="26" t="str">
        <f>IFERROR(__xludf.DUMMYFUNCTION("""COMPUTED_VALUE"""),"train")</f>
        <v>train</v>
      </c>
      <c r="E606" s="26">
        <f>IFERROR(__xludf.DUMMYFUNCTION("""COMPUTED_VALUE"""),500.0)</f>
        <v>500</v>
      </c>
      <c r="F606" s="26" t="str">
        <f>IFERROR(__xludf.DUMMYFUNCTION("""COMPUTED_VALUE"""),"8MP_JPG")</f>
        <v>8MP_JPG</v>
      </c>
      <c r="G606" s="26" t="str">
        <f>IFERROR(__xludf.DUMMYFUNCTION("""COMPUTED_VALUE"""),"DAY, RAIN, DEMO, GERMANY")</f>
        <v>DAY, RAIN, DEMO, GERMANY</v>
      </c>
      <c r="H606" s="26">
        <f>IFERROR(__xludf.DUMMYFUNCTION("""COMPUTED_VALUE"""),-1.0)</f>
        <v>-1</v>
      </c>
      <c r="I606" s="26">
        <f>IFERROR(__xludf.DUMMYFUNCTION("""COMPUTED_VALUE"""),-1.0)</f>
        <v>-1</v>
      </c>
      <c r="J606" s="26">
        <f>IFERROR(__xludf.DUMMYFUNCTION("""COMPUTED_VALUE"""),-1.0)</f>
        <v>-1</v>
      </c>
      <c r="K606" s="26" t="str">
        <f>IFERROR(__xludf.DUMMYFUNCTION("""COMPUTED_VALUE"""),"15/08/2024, 10:04:52")</f>
        <v>15/08/2024, 10:04:52</v>
      </c>
    </row>
    <row r="607">
      <c r="A607" s="26" t="str">
        <f>IFERROR(__xludf.DUMMYFUNCTION("""COMPUTED_VALUE"""),"64e72a9e7225d01c8be1a546")</f>
        <v>64e72a9e7225d01c8be1a546</v>
      </c>
      <c r="B607" s="26" t="str">
        <f>IFERROR(__xludf.DUMMYFUNCTION("""COMPUTED_VALUE"""),"official_od_diagonal_buses_22_08_23_for_train_tagged")</f>
        <v>official_od_diagonal_buses_22_08_23_for_train_tagged</v>
      </c>
      <c r="C607" s="26" t="str">
        <f>IFERROR(__xludf.DUMMYFUNCTION("""COMPUTED_VALUE"""),"train")</f>
        <v>train</v>
      </c>
      <c r="D607" s="26" t="str">
        <f>IFERROR(__xludf.DUMMYFUNCTION("""COMPUTED_VALUE"""),"train")</f>
        <v>train</v>
      </c>
      <c r="E607" s="26">
        <f>IFERROR(__xludf.DUMMYFUNCTION("""COMPUTED_VALUE"""),464.0)</f>
        <v>464</v>
      </c>
      <c r="F607" s="26" t="str">
        <f>IFERROR(__xludf.DUMMYFUNCTION("""COMPUTED_VALUE"""),"8MP_JPG")</f>
        <v>8MP_JPG</v>
      </c>
      <c r="G607" s="26" t="str">
        <f>IFERROR(__xludf.DUMMYFUNCTION("""COMPUTED_VALUE"""),"CLEAR, TEL_AVIV, ISRAEL, DAY")</f>
        <v>CLEAR, TEL_AVIV, ISRAEL, DAY</v>
      </c>
      <c r="H607" s="26">
        <f>IFERROR(__xludf.DUMMYFUNCTION("""COMPUTED_VALUE"""),950.0)</f>
        <v>950</v>
      </c>
      <c r="I607" s="26">
        <f>IFERROR(__xludf.DUMMYFUNCTION("""COMPUTED_VALUE"""),1675.0)</f>
        <v>1675</v>
      </c>
      <c r="J607" s="26">
        <f>IFERROR(__xludf.DUMMYFUNCTION("""COMPUTED_VALUE"""),1585.0)</f>
        <v>1585</v>
      </c>
      <c r="K607" s="26" t="str">
        <f>IFERROR(__xludf.DUMMYFUNCTION("""COMPUTED_VALUE"""),"15/08/2024, 10:04:54")</f>
        <v>15/08/2024, 10:04:54</v>
      </c>
    </row>
    <row r="608">
      <c r="A608" s="26"/>
      <c r="B608" s="26"/>
      <c r="C608" s="26"/>
      <c r="D608" s="26"/>
      <c r="E608" s="26"/>
      <c r="F608" s="26"/>
      <c r="G608" s="26"/>
      <c r="H608" s="26"/>
      <c r="I608" s="26"/>
      <c r="J608" s="26"/>
      <c r="K608" s="26"/>
    </row>
    <row r="609">
      <c r="A609" s="26"/>
      <c r="B609" s="26"/>
      <c r="C609" s="26"/>
      <c r="D609" s="26"/>
      <c r="E609" s="26"/>
      <c r="F609" s="26"/>
      <c r="G609" s="26"/>
      <c r="H609" s="26"/>
      <c r="I609" s="26"/>
      <c r="J609" s="26"/>
      <c r="K609" s="26"/>
    </row>
    <row r="610">
      <c r="A610" s="26"/>
      <c r="B610" s="26"/>
      <c r="C610" s="26"/>
      <c r="D610" s="26"/>
      <c r="E610" s="26"/>
      <c r="F610" s="26"/>
      <c r="G610" s="26"/>
      <c r="H610" s="26"/>
      <c r="I610" s="26"/>
      <c r="J610" s="26"/>
      <c r="K610" s="26"/>
    </row>
    <row r="611">
      <c r="A611" s="26"/>
      <c r="B611" s="26"/>
      <c r="C611" s="26"/>
      <c r="D611" s="26"/>
      <c r="E611" s="26"/>
      <c r="F611" s="26"/>
      <c r="G611" s="26"/>
      <c r="H611" s="26"/>
      <c r="I611" s="26"/>
      <c r="J611" s="26"/>
      <c r="K611" s="26"/>
    </row>
    <row r="612">
      <c r="A612" s="26"/>
      <c r="B612" s="26"/>
      <c r="C612" s="26"/>
      <c r="D612" s="26"/>
      <c r="E612" s="26"/>
      <c r="F612" s="26"/>
      <c r="G612" s="26"/>
      <c r="H612" s="26"/>
      <c r="I612" s="26"/>
      <c r="J612" s="26"/>
      <c r="K612" s="26"/>
    </row>
    <row r="613">
      <c r="A613" s="26"/>
      <c r="B613" s="26"/>
      <c r="C613" s="26"/>
      <c r="D613" s="26"/>
      <c r="E613" s="26"/>
      <c r="F613" s="26"/>
      <c r="G613" s="26"/>
      <c r="H613" s="26"/>
      <c r="I613" s="26"/>
      <c r="J613" s="26"/>
      <c r="K613" s="26"/>
    </row>
    <row r="614">
      <c r="A614" s="26"/>
      <c r="B614" s="26"/>
      <c r="C614" s="26"/>
      <c r="D614" s="26"/>
      <c r="E614" s="26"/>
      <c r="F614" s="26"/>
      <c r="G614" s="26"/>
      <c r="H614" s="26"/>
      <c r="I614" s="26"/>
      <c r="J614" s="26"/>
      <c r="K614" s="26"/>
    </row>
    <row r="615">
      <c r="A615" s="26"/>
      <c r="B615" s="26"/>
      <c r="C615" s="26"/>
      <c r="D615" s="26"/>
      <c r="E615" s="26"/>
      <c r="F615" s="26"/>
      <c r="G615" s="26"/>
      <c r="H615" s="26"/>
      <c r="I615" s="26"/>
      <c r="J615" s="26"/>
      <c r="K615" s="26"/>
    </row>
    <row r="616">
      <c r="A616" s="26"/>
      <c r="B616" s="26"/>
      <c r="C616" s="26"/>
      <c r="D616" s="26"/>
      <c r="E616" s="26"/>
      <c r="F616" s="26"/>
      <c r="G616" s="26"/>
      <c r="H616" s="26"/>
      <c r="I616" s="26"/>
      <c r="J616" s="26"/>
      <c r="K616" s="26"/>
    </row>
    <row r="617">
      <c r="A617" s="26"/>
      <c r="B617" s="26"/>
      <c r="C617" s="26"/>
      <c r="D617" s="26"/>
      <c r="E617" s="26"/>
      <c r="F617" s="26"/>
      <c r="G617" s="26"/>
      <c r="H617" s="26"/>
      <c r="I617" s="26"/>
      <c r="J617" s="26"/>
      <c r="K617" s="26"/>
    </row>
    <row r="618">
      <c r="A618" s="26"/>
      <c r="B618" s="26"/>
      <c r="C618" s="26"/>
      <c r="D618" s="26"/>
      <c r="E618" s="26"/>
      <c r="F618" s="26"/>
      <c r="G618" s="26"/>
      <c r="H618" s="26"/>
      <c r="I618" s="26"/>
      <c r="J618" s="26"/>
      <c r="K618" s="26"/>
    </row>
    <row r="619">
      <c r="A619" s="26"/>
      <c r="B619" s="26"/>
      <c r="C619" s="26"/>
      <c r="D619" s="26"/>
      <c r="E619" s="26"/>
      <c r="F619" s="26"/>
      <c r="G619" s="26"/>
      <c r="H619" s="26"/>
      <c r="I619" s="26"/>
      <c r="J619" s="26"/>
      <c r="K619" s="26"/>
    </row>
    <row r="620">
      <c r="A620" s="26"/>
      <c r="B620" s="26"/>
      <c r="C620" s="26"/>
      <c r="D620" s="26"/>
      <c r="E620" s="26"/>
      <c r="F620" s="26"/>
      <c r="G620" s="26"/>
      <c r="H620" s="26"/>
      <c r="I620" s="26"/>
      <c r="J620" s="26"/>
      <c r="K620" s="26"/>
    </row>
    <row r="621">
      <c r="A621" s="26"/>
      <c r="B621" s="26"/>
      <c r="C621" s="26"/>
      <c r="D621" s="26"/>
      <c r="E621" s="26"/>
      <c r="F621" s="26"/>
      <c r="G621" s="26"/>
      <c r="H621" s="26"/>
      <c r="I621" s="26"/>
      <c r="J621" s="26"/>
      <c r="K621" s="26"/>
    </row>
    <row r="622">
      <c r="A622" s="26"/>
      <c r="B622" s="26"/>
      <c r="C622" s="26"/>
      <c r="D622" s="26"/>
      <c r="E622" s="26"/>
      <c r="F622" s="26"/>
      <c r="G622" s="26"/>
      <c r="H622" s="26"/>
      <c r="I622" s="26"/>
      <c r="J622" s="26"/>
      <c r="K622" s="26"/>
    </row>
    <row r="623">
      <c r="A623" s="26"/>
      <c r="B623" s="26"/>
      <c r="C623" s="26"/>
      <c r="D623" s="26"/>
      <c r="E623" s="26"/>
      <c r="F623" s="26"/>
      <c r="G623" s="26"/>
      <c r="H623" s="26"/>
      <c r="I623" s="26"/>
      <c r="J623" s="26"/>
      <c r="K623" s="26"/>
    </row>
    <row r="624">
      <c r="A624" s="26"/>
      <c r="B624" s="26"/>
      <c r="C624" s="26"/>
      <c r="D624" s="26"/>
      <c r="E624" s="26"/>
      <c r="F624" s="26"/>
      <c r="G624" s="26"/>
      <c r="H624" s="26"/>
      <c r="I624" s="26"/>
      <c r="J624" s="26"/>
      <c r="K624" s="26"/>
    </row>
    <row r="625">
      <c r="A625" s="26"/>
      <c r="B625" s="26"/>
      <c r="C625" s="26"/>
      <c r="D625" s="26"/>
      <c r="E625" s="26"/>
      <c r="F625" s="26"/>
      <c r="G625" s="26"/>
      <c r="H625" s="26"/>
      <c r="I625" s="26"/>
      <c r="J625" s="26"/>
      <c r="K625" s="26"/>
    </row>
    <row r="626">
      <c r="A626" s="26"/>
      <c r="B626" s="26"/>
      <c r="C626" s="26"/>
      <c r="D626" s="26"/>
      <c r="E626" s="26"/>
      <c r="F626" s="26"/>
      <c r="G626" s="26"/>
      <c r="H626" s="26"/>
      <c r="I626" s="26"/>
      <c r="J626" s="26"/>
      <c r="K626" s="26"/>
    </row>
    <row r="627">
      <c r="A627" s="26"/>
      <c r="B627" s="26"/>
      <c r="C627" s="26"/>
      <c r="D627" s="26"/>
      <c r="E627" s="26"/>
      <c r="F627" s="26"/>
      <c r="G627" s="26"/>
      <c r="H627" s="26"/>
      <c r="I627" s="26"/>
      <c r="J627" s="26"/>
      <c r="K627" s="26"/>
    </row>
    <row r="628">
      <c r="A628" s="26"/>
      <c r="B628" s="26"/>
      <c r="C628" s="26"/>
      <c r="D628" s="26"/>
      <c r="E628" s="26"/>
      <c r="F628" s="26"/>
      <c r="G628" s="26"/>
      <c r="H628" s="26"/>
      <c r="I628" s="26"/>
      <c r="J628" s="26"/>
      <c r="K628" s="26"/>
    </row>
    <row r="629">
      <c r="A629" s="26"/>
      <c r="B629" s="26"/>
      <c r="C629" s="26"/>
      <c r="D629" s="26"/>
      <c r="E629" s="26"/>
      <c r="F629" s="26"/>
      <c r="G629" s="26"/>
      <c r="H629" s="26"/>
      <c r="I629" s="26"/>
      <c r="J629" s="26"/>
      <c r="K629" s="26"/>
    </row>
    <row r="630">
      <c r="A630" s="26"/>
      <c r="B630" s="26"/>
      <c r="C630" s="26"/>
      <c r="D630" s="26"/>
      <c r="E630" s="26"/>
      <c r="F630" s="26"/>
      <c r="G630" s="26"/>
      <c r="H630" s="26"/>
      <c r="I630" s="26"/>
      <c r="J630" s="26"/>
      <c r="K630" s="26"/>
    </row>
    <row r="631">
      <c r="A631" s="26"/>
      <c r="B631" s="26"/>
      <c r="C631" s="26"/>
      <c r="D631" s="26"/>
      <c r="E631" s="26"/>
      <c r="F631" s="26"/>
      <c r="G631" s="26"/>
      <c r="H631" s="26"/>
      <c r="I631" s="26"/>
      <c r="J631" s="26"/>
      <c r="K631" s="26"/>
    </row>
    <row r="632">
      <c r="A632" s="26"/>
      <c r="B632" s="26"/>
      <c r="C632" s="26"/>
      <c r="D632" s="26"/>
      <c r="E632" s="26"/>
      <c r="F632" s="26"/>
      <c r="G632" s="26"/>
      <c r="H632" s="26"/>
      <c r="I632" s="26"/>
      <c r="J632" s="26"/>
      <c r="K632" s="26"/>
    </row>
    <row r="633">
      <c r="A633" s="26"/>
      <c r="B633" s="26"/>
      <c r="C633" s="26"/>
      <c r="D633" s="26"/>
      <c r="E633" s="26"/>
      <c r="F633" s="26"/>
      <c r="G633" s="26"/>
      <c r="H633" s="26"/>
      <c r="I633" s="26"/>
      <c r="J633" s="26"/>
      <c r="K633" s="26"/>
    </row>
    <row r="634">
      <c r="A634" s="26"/>
      <c r="B634" s="26"/>
      <c r="C634" s="26"/>
      <c r="D634" s="26"/>
      <c r="E634" s="26"/>
      <c r="F634" s="26"/>
      <c r="G634" s="26"/>
      <c r="H634" s="26"/>
      <c r="I634" s="26"/>
      <c r="J634" s="26"/>
      <c r="K634" s="26"/>
    </row>
    <row r="635">
      <c r="A635" s="26"/>
      <c r="B635" s="26"/>
      <c r="C635" s="26"/>
      <c r="D635" s="26"/>
      <c r="E635" s="26"/>
      <c r="F635" s="26"/>
      <c r="G635" s="26"/>
      <c r="H635" s="26"/>
      <c r="I635" s="26"/>
      <c r="J635" s="26"/>
      <c r="K635" s="26"/>
    </row>
    <row r="636">
      <c r="A636" s="26"/>
      <c r="B636" s="26"/>
      <c r="C636" s="26"/>
      <c r="D636" s="26"/>
      <c r="E636" s="26"/>
      <c r="F636" s="26"/>
      <c r="G636" s="26"/>
      <c r="H636" s="26"/>
      <c r="I636" s="26"/>
      <c r="J636" s="26"/>
      <c r="K636" s="26"/>
    </row>
    <row r="637">
      <c r="A637" s="26"/>
      <c r="B637" s="26"/>
      <c r="C637" s="26"/>
      <c r="D637" s="26"/>
      <c r="E637" s="26"/>
      <c r="F637" s="26"/>
      <c r="G637" s="26"/>
      <c r="H637" s="26"/>
      <c r="I637" s="26"/>
      <c r="J637" s="26"/>
      <c r="K637" s="26"/>
    </row>
    <row r="638">
      <c r="A638" s="26"/>
      <c r="B638" s="26"/>
      <c r="C638" s="26"/>
      <c r="D638" s="26"/>
      <c r="E638" s="26"/>
      <c r="F638" s="26"/>
      <c r="G638" s="26"/>
      <c r="H638" s="26"/>
      <c r="I638" s="26"/>
      <c r="J638" s="26"/>
      <c r="K638" s="26"/>
    </row>
    <row r="639">
      <c r="A639" s="26"/>
      <c r="B639" s="26"/>
      <c r="C639" s="26"/>
      <c r="D639" s="26"/>
      <c r="E639" s="26"/>
      <c r="F639" s="26"/>
      <c r="G639" s="26"/>
      <c r="H639" s="26"/>
      <c r="I639" s="26"/>
      <c r="J639" s="26"/>
      <c r="K639" s="26"/>
    </row>
    <row r="640">
      <c r="A640" s="26"/>
      <c r="B640" s="26"/>
      <c r="C640" s="26"/>
      <c r="D640" s="26"/>
      <c r="E640" s="26"/>
      <c r="F640" s="26"/>
      <c r="G640" s="26"/>
      <c r="H640" s="26"/>
      <c r="I640" s="26"/>
      <c r="J640" s="26"/>
      <c r="K640" s="26"/>
    </row>
    <row r="641">
      <c r="A641" s="26"/>
      <c r="B641" s="26"/>
      <c r="C641" s="26"/>
      <c r="D641" s="26"/>
      <c r="E641" s="26"/>
      <c r="F641" s="26"/>
      <c r="G641" s="26"/>
      <c r="H641" s="26"/>
      <c r="I641" s="26"/>
      <c r="J641" s="26"/>
      <c r="K641" s="26"/>
    </row>
    <row r="642">
      <c r="A642" s="26"/>
      <c r="B642" s="26"/>
      <c r="C642" s="26"/>
      <c r="D642" s="26"/>
      <c r="E642" s="26"/>
      <c r="F642" s="26"/>
      <c r="G642" s="26"/>
      <c r="H642" s="26"/>
      <c r="I642" s="26"/>
      <c r="J642" s="26"/>
      <c r="K642" s="26"/>
    </row>
    <row r="643">
      <c r="A643" s="26"/>
      <c r="B643" s="26"/>
      <c r="C643" s="26"/>
      <c r="D643" s="26"/>
      <c r="E643" s="26"/>
      <c r="F643" s="26"/>
      <c r="G643" s="26"/>
      <c r="H643" s="26"/>
      <c r="I643" s="26"/>
      <c r="J643" s="26"/>
      <c r="K643" s="26"/>
    </row>
    <row r="644">
      <c r="A644" s="26"/>
      <c r="B644" s="26"/>
      <c r="C644" s="26"/>
      <c r="D644" s="26"/>
      <c r="E644" s="26"/>
      <c r="F644" s="26"/>
      <c r="G644" s="26"/>
      <c r="H644" s="26"/>
      <c r="I644" s="26"/>
      <c r="J644" s="26"/>
      <c r="K644" s="26"/>
    </row>
    <row r="645">
      <c r="A645" s="26"/>
      <c r="B645" s="26"/>
      <c r="C645" s="26"/>
      <c r="D645" s="26"/>
      <c r="E645" s="26"/>
      <c r="F645" s="26"/>
      <c r="G645" s="26"/>
      <c r="H645" s="26"/>
      <c r="I645" s="26"/>
      <c r="J645" s="26"/>
      <c r="K645" s="26"/>
    </row>
    <row r="646">
      <c r="A646" s="26"/>
      <c r="B646" s="26"/>
      <c r="C646" s="26"/>
      <c r="D646" s="26"/>
      <c r="E646" s="26"/>
      <c r="F646" s="26"/>
      <c r="G646" s="26"/>
      <c r="H646" s="26"/>
      <c r="I646" s="26"/>
      <c r="J646" s="26"/>
      <c r="K646" s="26"/>
    </row>
    <row r="647">
      <c r="A647" s="26"/>
      <c r="B647" s="26"/>
      <c r="C647" s="26"/>
      <c r="D647" s="26"/>
      <c r="E647" s="26"/>
      <c r="F647" s="26"/>
      <c r="G647" s="26"/>
      <c r="H647" s="26"/>
      <c r="I647" s="26"/>
      <c r="J647" s="26"/>
      <c r="K647" s="26"/>
    </row>
    <row r="648">
      <c r="A648" s="26"/>
      <c r="B648" s="26"/>
      <c r="C648" s="26"/>
      <c r="D648" s="26"/>
      <c r="E648" s="26"/>
      <c r="F648" s="26"/>
      <c r="G648" s="26"/>
      <c r="H648" s="26"/>
      <c r="I648" s="26"/>
      <c r="J648" s="26"/>
      <c r="K648" s="26"/>
    </row>
    <row r="649">
      <c r="A649" s="26"/>
      <c r="B649" s="26"/>
      <c r="C649" s="26"/>
      <c r="D649" s="26"/>
      <c r="E649" s="26"/>
      <c r="F649" s="26"/>
      <c r="G649" s="26"/>
      <c r="H649" s="26"/>
      <c r="I649" s="26"/>
      <c r="J649" s="26"/>
      <c r="K649" s="26"/>
    </row>
    <row r="650">
      <c r="A650" s="26"/>
      <c r="B650" s="26"/>
      <c r="C650" s="26"/>
      <c r="D650" s="26"/>
      <c r="E650" s="26"/>
      <c r="F650" s="26"/>
      <c r="G650" s="26"/>
      <c r="H650" s="26"/>
      <c r="I650" s="26"/>
      <c r="J650" s="26"/>
      <c r="K650" s="26"/>
    </row>
    <row r="651">
      <c r="A651" s="26"/>
      <c r="B651" s="26"/>
      <c r="C651" s="26"/>
      <c r="D651" s="26"/>
      <c r="E651" s="26"/>
      <c r="F651" s="26"/>
      <c r="G651" s="26"/>
      <c r="H651" s="26"/>
      <c r="I651" s="26"/>
      <c r="J651" s="26"/>
      <c r="K651" s="26"/>
    </row>
    <row r="652">
      <c r="A652" s="26"/>
      <c r="B652" s="26"/>
      <c r="C652" s="26"/>
      <c r="D652" s="26"/>
      <c r="E652" s="26"/>
      <c r="F652" s="26"/>
      <c r="G652" s="26"/>
      <c r="H652" s="26"/>
      <c r="I652" s="26"/>
      <c r="J652" s="26"/>
      <c r="K652" s="26"/>
    </row>
    <row r="653">
      <c r="A653" s="26"/>
      <c r="B653" s="26"/>
      <c r="C653" s="26"/>
      <c r="D653" s="26"/>
      <c r="E653" s="26"/>
      <c r="F653" s="26"/>
      <c r="G653" s="26"/>
      <c r="H653" s="26"/>
      <c r="I653" s="26"/>
      <c r="J653" s="26"/>
      <c r="K653" s="26"/>
    </row>
    <row r="654">
      <c r="A654" s="26"/>
      <c r="B654" s="26"/>
      <c r="C654" s="26"/>
      <c r="D654" s="26"/>
      <c r="E654" s="26"/>
      <c r="F654" s="26"/>
      <c r="G654" s="26"/>
      <c r="H654" s="26"/>
      <c r="I654" s="26"/>
      <c r="J654" s="26"/>
      <c r="K654" s="26"/>
    </row>
    <row r="655">
      <c r="A655" s="26"/>
      <c r="B655" s="26"/>
      <c r="C655" s="26"/>
      <c r="D655" s="26"/>
      <c r="E655" s="26"/>
      <c r="F655" s="26"/>
      <c r="G655" s="26"/>
      <c r="H655" s="26"/>
      <c r="I655" s="26"/>
      <c r="J655" s="26"/>
      <c r="K655" s="26"/>
    </row>
    <row r="656">
      <c r="A656" s="26"/>
      <c r="B656" s="26"/>
      <c r="C656" s="26"/>
      <c r="D656" s="26"/>
      <c r="E656" s="26"/>
      <c r="F656" s="26"/>
      <c r="G656" s="26"/>
      <c r="H656" s="26"/>
      <c r="I656" s="26"/>
      <c r="J656" s="26"/>
      <c r="K656" s="26"/>
    </row>
    <row r="657">
      <c r="A657" s="26"/>
      <c r="B657" s="26"/>
      <c r="C657" s="26"/>
      <c r="D657" s="26"/>
      <c r="E657" s="26"/>
      <c r="F657" s="26"/>
      <c r="G657" s="26"/>
      <c r="H657" s="26"/>
      <c r="I657" s="26"/>
      <c r="J657" s="26"/>
      <c r="K657" s="26"/>
    </row>
    <row r="658">
      <c r="A658" s="26"/>
      <c r="B658" s="26"/>
      <c r="C658" s="26"/>
      <c r="D658" s="26"/>
      <c r="E658" s="26"/>
      <c r="F658" s="26"/>
      <c r="G658" s="26"/>
      <c r="H658" s="26"/>
      <c r="I658" s="26"/>
      <c r="J658" s="26"/>
      <c r="K658" s="26"/>
    </row>
    <row r="659">
      <c r="A659" s="26"/>
      <c r="B659" s="26"/>
      <c r="C659" s="26"/>
      <c r="D659" s="26"/>
      <c r="E659" s="26"/>
      <c r="F659" s="26"/>
      <c r="G659" s="26"/>
      <c r="H659" s="26"/>
      <c r="I659" s="26"/>
      <c r="J659" s="26"/>
      <c r="K659" s="26"/>
    </row>
    <row r="660">
      <c r="A660" s="26"/>
      <c r="B660" s="26"/>
      <c r="C660" s="26"/>
      <c r="D660" s="26"/>
      <c r="E660" s="26"/>
      <c r="F660" s="26"/>
      <c r="G660" s="26"/>
      <c r="H660" s="26"/>
      <c r="I660" s="26"/>
      <c r="J660" s="26"/>
      <c r="K660" s="26"/>
    </row>
    <row r="661">
      <c r="A661" s="26"/>
      <c r="B661" s="26"/>
      <c r="C661" s="26"/>
      <c r="D661" s="26"/>
      <c r="E661" s="26"/>
      <c r="F661" s="26"/>
      <c r="G661" s="26"/>
      <c r="H661" s="26"/>
      <c r="I661" s="26"/>
      <c r="J661" s="26"/>
      <c r="K661" s="26"/>
    </row>
    <row r="662">
      <c r="A662" s="26"/>
      <c r="B662" s="26"/>
      <c r="C662" s="26"/>
      <c r="D662" s="26"/>
      <c r="E662" s="26"/>
      <c r="F662" s="26"/>
      <c r="G662" s="26"/>
      <c r="H662" s="26"/>
      <c r="I662" s="26"/>
      <c r="J662" s="26"/>
      <c r="K662" s="26"/>
    </row>
    <row r="663">
      <c r="A663" s="26"/>
      <c r="B663" s="26"/>
      <c r="C663" s="26"/>
      <c r="D663" s="26"/>
      <c r="E663" s="26"/>
      <c r="F663" s="26"/>
      <c r="G663" s="26"/>
      <c r="H663" s="26"/>
      <c r="I663" s="26"/>
      <c r="J663" s="26"/>
      <c r="K663" s="26"/>
    </row>
    <row r="664">
      <c r="A664" s="26"/>
      <c r="B664" s="26"/>
      <c r="C664" s="26"/>
      <c r="D664" s="26"/>
      <c r="E664" s="26"/>
      <c r="F664" s="26"/>
      <c r="G664" s="26"/>
      <c r="H664" s="26"/>
      <c r="I664" s="26"/>
      <c r="J664" s="26"/>
      <c r="K664" s="26"/>
    </row>
    <row r="665">
      <c r="A665" s="26"/>
      <c r="B665" s="26"/>
      <c r="C665" s="26"/>
      <c r="D665" s="26"/>
      <c r="E665" s="26"/>
      <c r="F665" s="26"/>
      <c r="G665" s="26"/>
      <c r="H665" s="26"/>
      <c r="I665" s="26"/>
      <c r="J665" s="26"/>
      <c r="K665" s="26"/>
    </row>
    <row r="666">
      <c r="A666" s="26"/>
      <c r="B666" s="26"/>
      <c r="C666" s="26"/>
      <c r="D666" s="26"/>
      <c r="E666" s="26"/>
      <c r="F666" s="26"/>
      <c r="G666" s="26"/>
      <c r="H666" s="26"/>
      <c r="I666" s="26"/>
      <c r="J666" s="26"/>
      <c r="K666" s="26"/>
    </row>
    <row r="667">
      <c r="A667" s="26"/>
      <c r="B667" s="26"/>
      <c r="C667" s="26"/>
      <c r="D667" s="26"/>
      <c r="E667" s="26"/>
      <c r="F667" s="26"/>
      <c r="G667" s="26"/>
      <c r="H667" s="26"/>
      <c r="I667" s="26"/>
      <c r="J667" s="26"/>
      <c r="K667" s="26"/>
    </row>
    <row r="668">
      <c r="A668" s="26"/>
      <c r="B668" s="26"/>
      <c r="C668" s="26"/>
      <c r="D668" s="26"/>
      <c r="E668" s="26"/>
      <c r="F668" s="26"/>
      <c r="G668" s="26"/>
      <c r="H668" s="26"/>
      <c r="I668" s="26"/>
      <c r="J668" s="26"/>
      <c r="K668" s="26"/>
    </row>
    <row r="669">
      <c r="A669" s="26"/>
      <c r="B669" s="26"/>
      <c r="C669" s="26"/>
      <c r="D669" s="26"/>
      <c r="E669" s="26"/>
      <c r="F669" s="26"/>
      <c r="G669" s="26"/>
      <c r="H669" s="26"/>
      <c r="I669" s="26"/>
      <c r="J669" s="26"/>
      <c r="K669" s="26"/>
    </row>
    <row r="670">
      <c r="A670" s="26"/>
      <c r="B670" s="26"/>
      <c r="C670" s="26"/>
      <c r="D670" s="26"/>
      <c r="E670" s="26"/>
      <c r="F670" s="26"/>
      <c r="G670" s="26"/>
      <c r="H670" s="26"/>
      <c r="I670" s="26"/>
      <c r="J670" s="26"/>
      <c r="K670" s="26"/>
    </row>
    <row r="671">
      <c r="A671" s="26"/>
      <c r="B671" s="26"/>
      <c r="C671" s="26"/>
      <c r="D671" s="26"/>
      <c r="E671" s="26"/>
      <c r="F671" s="26"/>
      <c r="G671" s="26"/>
      <c r="H671" s="26"/>
      <c r="I671" s="26"/>
      <c r="J671" s="26"/>
      <c r="K671" s="26"/>
    </row>
    <row r="672">
      <c r="A672" s="26"/>
      <c r="B672" s="26"/>
      <c r="C672" s="26"/>
      <c r="D672" s="26"/>
      <c r="E672" s="26"/>
      <c r="F672" s="26"/>
      <c r="G672" s="26"/>
      <c r="H672" s="26"/>
      <c r="I672" s="26"/>
      <c r="J672" s="26"/>
      <c r="K672" s="26"/>
    </row>
    <row r="673">
      <c r="A673" s="26"/>
      <c r="B673" s="26"/>
      <c r="C673" s="26"/>
      <c r="D673" s="26"/>
      <c r="E673" s="26"/>
      <c r="F673" s="26"/>
      <c r="G673" s="26"/>
      <c r="H673" s="26"/>
      <c r="I673" s="26"/>
      <c r="J673" s="26"/>
      <c r="K673" s="26"/>
    </row>
    <row r="674">
      <c r="A674" s="26"/>
      <c r="B674" s="26"/>
      <c r="C674" s="26"/>
      <c r="D674" s="26"/>
      <c r="E674" s="26"/>
      <c r="F674" s="26"/>
      <c r="G674" s="26"/>
      <c r="H674" s="26"/>
      <c r="I674" s="26"/>
      <c r="J674" s="26"/>
      <c r="K674" s="26"/>
    </row>
    <row r="675">
      <c r="A675" s="26"/>
      <c r="B675" s="26"/>
      <c r="C675" s="26"/>
      <c r="D675" s="26"/>
      <c r="E675" s="26"/>
      <c r="F675" s="26"/>
      <c r="G675" s="26"/>
      <c r="H675" s="26"/>
      <c r="I675" s="26"/>
      <c r="J675" s="26"/>
      <c r="K675" s="26"/>
    </row>
    <row r="676">
      <c r="A676" s="26"/>
      <c r="B676" s="26"/>
      <c r="C676" s="26"/>
      <c r="D676" s="26"/>
      <c r="E676" s="26"/>
      <c r="F676" s="26"/>
      <c r="G676" s="26"/>
      <c r="H676" s="26"/>
      <c r="I676" s="26"/>
      <c r="J676" s="26"/>
      <c r="K676" s="26"/>
    </row>
    <row r="677">
      <c r="A677" s="26"/>
      <c r="B677" s="26"/>
      <c r="C677" s="26"/>
      <c r="D677" s="26"/>
      <c r="E677" s="26"/>
      <c r="F677" s="26"/>
      <c r="G677" s="26"/>
      <c r="H677" s="26"/>
      <c r="I677" s="26"/>
      <c r="J677" s="26"/>
      <c r="K677" s="26"/>
    </row>
    <row r="678">
      <c r="A678" s="26"/>
      <c r="B678" s="26"/>
      <c r="C678" s="26"/>
      <c r="D678" s="26"/>
      <c r="E678" s="26"/>
      <c r="F678" s="26"/>
      <c r="G678" s="26"/>
      <c r="H678" s="26"/>
      <c r="I678" s="26"/>
      <c r="J678" s="26"/>
      <c r="K678" s="26"/>
    </row>
    <row r="679">
      <c r="A679" s="26"/>
      <c r="B679" s="26"/>
      <c r="C679" s="26"/>
      <c r="D679" s="26"/>
      <c r="E679" s="26"/>
      <c r="F679" s="26"/>
      <c r="G679" s="26"/>
      <c r="H679" s="26"/>
      <c r="I679" s="26"/>
      <c r="J679" s="26"/>
      <c r="K679" s="26"/>
    </row>
    <row r="680">
      <c r="A680" s="26"/>
      <c r="B680" s="26"/>
      <c r="C680" s="26"/>
      <c r="D680" s="26"/>
      <c r="E680" s="26"/>
      <c r="F680" s="26"/>
      <c r="G680" s="26"/>
      <c r="H680" s="26"/>
      <c r="I680" s="26"/>
      <c r="J680" s="26"/>
      <c r="K680" s="26"/>
    </row>
    <row r="681">
      <c r="A681" s="26"/>
      <c r="B681" s="26"/>
      <c r="C681" s="26"/>
      <c r="D681" s="26"/>
      <c r="E681" s="26"/>
      <c r="F681" s="26"/>
      <c r="G681" s="26"/>
      <c r="H681" s="26"/>
      <c r="I681" s="26"/>
      <c r="J681" s="26"/>
      <c r="K681" s="26"/>
    </row>
    <row r="682">
      <c r="A682" s="26"/>
      <c r="B682" s="26"/>
      <c r="C682" s="26"/>
      <c r="D682" s="26"/>
      <c r="E682" s="26"/>
      <c r="F682" s="26"/>
      <c r="G682" s="26"/>
      <c r="H682" s="26"/>
      <c r="I682" s="26"/>
      <c r="J682" s="26"/>
      <c r="K682" s="26"/>
    </row>
    <row r="683">
      <c r="A683" s="26"/>
      <c r="B683" s="26"/>
      <c r="C683" s="26"/>
      <c r="D683" s="26"/>
      <c r="E683" s="26"/>
      <c r="F683" s="26"/>
      <c r="G683" s="26"/>
      <c r="H683" s="26"/>
      <c r="I683" s="26"/>
      <c r="J683" s="26"/>
      <c r="K683" s="26"/>
    </row>
    <row r="684">
      <c r="A684" s="26"/>
      <c r="B684" s="26"/>
      <c r="C684" s="26"/>
      <c r="D684" s="26"/>
      <c r="E684" s="26"/>
      <c r="F684" s="26"/>
      <c r="G684" s="26"/>
      <c r="H684" s="26"/>
      <c r="I684" s="26"/>
      <c r="J684" s="26"/>
      <c r="K684" s="26"/>
    </row>
    <row r="685">
      <c r="A685" s="26"/>
      <c r="B685" s="26"/>
      <c r="C685" s="26"/>
      <c r="D685" s="26"/>
      <c r="E685" s="26"/>
      <c r="F685" s="26"/>
      <c r="G685" s="26"/>
      <c r="H685" s="26"/>
      <c r="I685" s="26"/>
      <c r="J685" s="26"/>
      <c r="K685" s="26"/>
    </row>
    <row r="686">
      <c r="A686" s="26"/>
      <c r="B686" s="26"/>
      <c r="C686" s="26"/>
      <c r="D686" s="26"/>
      <c r="E686" s="26"/>
      <c r="F686" s="26"/>
      <c r="G686" s="26"/>
      <c r="H686" s="26"/>
      <c r="I686" s="26"/>
      <c r="J686" s="26"/>
      <c r="K686" s="26"/>
    </row>
    <row r="687">
      <c r="A687" s="26"/>
      <c r="B687" s="26"/>
      <c r="C687" s="26"/>
      <c r="D687" s="26"/>
      <c r="E687" s="26"/>
      <c r="F687" s="26"/>
      <c r="G687" s="26"/>
      <c r="H687" s="26"/>
      <c r="I687" s="26"/>
      <c r="J687" s="26"/>
      <c r="K687" s="26"/>
    </row>
    <row r="688">
      <c r="A688" s="26"/>
      <c r="B688" s="26"/>
      <c r="C688" s="26"/>
      <c r="D688" s="26"/>
      <c r="E688" s="26"/>
      <c r="F688" s="26"/>
      <c r="G688" s="26"/>
      <c r="H688" s="26"/>
      <c r="I688" s="26"/>
      <c r="J688" s="26"/>
      <c r="K688" s="26"/>
    </row>
    <row r="689">
      <c r="A689" s="26"/>
      <c r="B689" s="26"/>
      <c r="C689" s="26"/>
      <c r="D689" s="26"/>
      <c r="E689" s="26"/>
      <c r="F689" s="26"/>
      <c r="G689" s="26"/>
      <c r="H689" s="26"/>
      <c r="I689" s="26"/>
      <c r="J689" s="26"/>
      <c r="K689" s="26"/>
    </row>
    <row r="690">
      <c r="A690" s="26"/>
      <c r="B690" s="26"/>
      <c r="C690" s="26"/>
      <c r="D690" s="26"/>
      <c r="E690" s="26"/>
      <c r="F690" s="26"/>
      <c r="G690" s="26"/>
      <c r="H690" s="26"/>
      <c r="I690" s="26"/>
      <c r="J690" s="26"/>
      <c r="K690" s="26"/>
    </row>
    <row r="691">
      <c r="A691" s="26"/>
      <c r="B691" s="26"/>
      <c r="C691" s="26"/>
      <c r="D691" s="26"/>
      <c r="E691" s="26"/>
      <c r="F691" s="26"/>
      <c r="G691" s="26"/>
      <c r="H691" s="26"/>
      <c r="I691" s="26"/>
      <c r="J691" s="26"/>
      <c r="K691" s="26"/>
    </row>
    <row r="692">
      <c r="A692" s="26"/>
      <c r="B692" s="26"/>
      <c r="C692" s="26"/>
      <c r="D692" s="26"/>
      <c r="E692" s="26"/>
      <c r="F692" s="26"/>
      <c r="G692" s="26"/>
      <c r="H692" s="26"/>
      <c r="I692" s="26"/>
      <c r="J692" s="26"/>
      <c r="K692" s="26"/>
    </row>
    <row r="693">
      <c r="A693" s="26"/>
      <c r="B693" s="26"/>
      <c r="C693" s="26"/>
      <c r="D693" s="26"/>
      <c r="E693" s="26"/>
      <c r="F693" s="26"/>
      <c r="G693" s="26"/>
      <c r="H693" s="26"/>
      <c r="I693" s="26"/>
      <c r="J693" s="26"/>
      <c r="K693" s="26"/>
    </row>
    <row r="694">
      <c r="A694" s="26"/>
      <c r="B694" s="26"/>
      <c r="C694" s="26"/>
      <c r="D694" s="26"/>
      <c r="E694" s="26"/>
      <c r="F694" s="26"/>
      <c r="G694" s="26"/>
      <c r="H694" s="26"/>
      <c r="I694" s="26"/>
      <c r="J694" s="26"/>
      <c r="K694" s="26"/>
    </row>
    <row r="695">
      <c r="A695" s="26"/>
      <c r="B695" s="26"/>
      <c r="C695" s="26"/>
      <c r="D695" s="26"/>
      <c r="E695" s="26"/>
      <c r="F695" s="26"/>
      <c r="G695" s="26"/>
      <c r="H695" s="26"/>
      <c r="I695" s="26"/>
      <c r="J695" s="26"/>
      <c r="K695" s="26"/>
    </row>
    <row r="696">
      <c r="A696" s="26"/>
      <c r="B696" s="26"/>
      <c r="C696" s="26"/>
      <c r="D696" s="26"/>
      <c r="E696" s="26"/>
      <c r="F696" s="26"/>
      <c r="G696" s="26"/>
      <c r="H696" s="26"/>
      <c r="I696" s="26"/>
      <c r="J696" s="26"/>
      <c r="K696" s="26"/>
    </row>
    <row r="697">
      <c r="A697" s="26"/>
      <c r="B697" s="26"/>
      <c r="C697" s="26"/>
      <c r="D697" s="26"/>
      <c r="E697" s="26"/>
      <c r="F697" s="26"/>
      <c r="G697" s="26"/>
      <c r="H697" s="26"/>
      <c r="I697" s="26"/>
      <c r="J697" s="26"/>
      <c r="K697" s="26"/>
    </row>
    <row r="698">
      <c r="A698" s="26"/>
      <c r="B698" s="26"/>
      <c r="C698" s="26"/>
      <c r="D698" s="26"/>
      <c r="E698" s="26"/>
      <c r="F698" s="26"/>
      <c r="G698" s="26"/>
      <c r="H698" s="26"/>
      <c r="I698" s="26"/>
      <c r="J698" s="26"/>
      <c r="K698" s="26"/>
    </row>
    <row r="699">
      <c r="A699" s="26"/>
      <c r="B699" s="26"/>
      <c r="C699" s="26"/>
      <c r="D699" s="26"/>
      <c r="E699" s="26"/>
      <c r="F699" s="26"/>
      <c r="G699" s="26"/>
      <c r="H699" s="26"/>
      <c r="I699" s="26"/>
      <c r="J699" s="26"/>
      <c r="K699" s="26"/>
    </row>
    <row r="700">
      <c r="A700" s="26"/>
      <c r="B700" s="26"/>
      <c r="C700" s="26"/>
      <c r="D700" s="26"/>
      <c r="E700" s="26"/>
      <c r="F700" s="26"/>
      <c r="G700" s="26"/>
      <c r="H700" s="26"/>
      <c r="I700" s="26"/>
      <c r="J700" s="26"/>
      <c r="K700" s="26"/>
    </row>
    <row r="701">
      <c r="A701" s="26"/>
      <c r="B701" s="26"/>
      <c r="C701" s="26"/>
      <c r="D701" s="26"/>
      <c r="E701" s="26"/>
      <c r="F701" s="26"/>
      <c r="G701" s="26"/>
      <c r="H701" s="26"/>
      <c r="I701" s="26"/>
      <c r="J701" s="26"/>
      <c r="K701" s="26"/>
    </row>
    <row r="702">
      <c r="A702" s="26"/>
      <c r="B702" s="26"/>
      <c r="C702" s="26"/>
      <c r="D702" s="26"/>
      <c r="E702" s="26"/>
      <c r="F702" s="26"/>
      <c r="G702" s="26"/>
      <c r="H702" s="26"/>
      <c r="I702" s="26"/>
      <c r="J702" s="26"/>
      <c r="K702" s="26"/>
    </row>
    <row r="703">
      <c r="A703" s="26"/>
      <c r="B703" s="26"/>
      <c r="C703" s="26"/>
      <c r="D703" s="26"/>
      <c r="E703" s="26"/>
      <c r="F703" s="26"/>
      <c r="G703" s="26"/>
      <c r="H703" s="26"/>
      <c r="I703" s="26"/>
      <c r="J703" s="26"/>
      <c r="K703" s="26"/>
    </row>
    <row r="704">
      <c r="A704" s="26"/>
      <c r="B704" s="26"/>
      <c r="C704" s="26"/>
      <c r="D704" s="26"/>
      <c r="E704" s="26"/>
      <c r="F704" s="26"/>
      <c r="G704" s="26"/>
      <c r="H704" s="26"/>
      <c r="I704" s="26"/>
      <c r="J704" s="26"/>
      <c r="K704" s="26"/>
    </row>
    <row r="705">
      <c r="A705" s="26"/>
      <c r="B705" s="26"/>
      <c r="C705" s="26"/>
      <c r="D705" s="26"/>
      <c r="E705" s="26"/>
      <c r="F705" s="26"/>
      <c r="G705" s="26"/>
      <c r="H705" s="26"/>
      <c r="I705" s="26"/>
      <c r="J705" s="26"/>
      <c r="K705" s="26"/>
    </row>
    <row r="706">
      <c r="A706" s="26"/>
      <c r="B706" s="26"/>
      <c r="C706" s="26"/>
      <c r="D706" s="26"/>
      <c r="E706" s="26"/>
      <c r="F706" s="26"/>
      <c r="G706" s="26"/>
      <c r="H706" s="26"/>
      <c r="I706" s="26"/>
      <c r="J706" s="26"/>
      <c r="K706" s="26"/>
    </row>
    <row r="707">
      <c r="A707" s="26"/>
      <c r="B707" s="26"/>
      <c r="C707" s="26"/>
      <c r="D707" s="26"/>
      <c r="E707" s="26"/>
      <c r="F707" s="26"/>
      <c r="G707" s="26"/>
      <c r="H707" s="26"/>
      <c r="I707" s="26"/>
      <c r="J707" s="26"/>
      <c r="K707" s="26"/>
    </row>
    <row r="708">
      <c r="A708" s="26"/>
      <c r="B708" s="26"/>
      <c r="C708" s="26"/>
      <c r="D708" s="26"/>
      <c r="E708" s="26"/>
      <c r="F708" s="26"/>
      <c r="G708" s="26"/>
      <c r="H708" s="26"/>
      <c r="I708" s="26"/>
      <c r="J708" s="26"/>
      <c r="K708" s="26"/>
    </row>
    <row r="709">
      <c r="A709" s="26"/>
      <c r="B709" s="26"/>
      <c r="C709" s="26"/>
      <c r="D709" s="26"/>
      <c r="E709" s="26"/>
      <c r="F709" s="26"/>
      <c r="G709" s="26"/>
      <c r="H709" s="26"/>
      <c r="I709" s="26"/>
      <c r="J709" s="26"/>
      <c r="K709" s="26"/>
    </row>
    <row r="710">
      <c r="A710" s="26"/>
      <c r="B710" s="26"/>
      <c r="C710" s="26"/>
      <c r="D710" s="26"/>
      <c r="E710" s="26"/>
      <c r="F710" s="26"/>
      <c r="G710" s="26"/>
      <c r="H710" s="26"/>
      <c r="I710" s="26"/>
      <c r="J710" s="26"/>
      <c r="K710" s="26"/>
    </row>
    <row r="711">
      <c r="A711" s="26"/>
      <c r="B711" s="26"/>
      <c r="C711" s="26"/>
      <c r="D711" s="26"/>
      <c r="E711" s="26"/>
      <c r="F711" s="26"/>
      <c r="G711" s="26"/>
      <c r="H711" s="26"/>
      <c r="I711" s="26"/>
      <c r="J711" s="26"/>
      <c r="K711" s="26"/>
    </row>
    <row r="712">
      <c r="A712" s="26"/>
      <c r="B712" s="26"/>
      <c r="C712" s="26"/>
      <c r="D712" s="26"/>
      <c r="E712" s="26"/>
      <c r="F712" s="26"/>
      <c r="G712" s="26"/>
      <c r="H712" s="26"/>
      <c r="I712" s="26"/>
      <c r="J712" s="26"/>
      <c r="K712" s="26"/>
    </row>
    <row r="713">
      <c r="A713" s="26"/>
      <c r="B713" s="26"/>
      <c r="C713" s="26"/>
      <c r="D713" s="26"/>
      <c r="E713" s="26"/>
      <c r="F713" s="26"/>
      <c r="G713" s="26"/>
      <c r="H713" s="26"/>
      <c r="I713" s="26"/>
      <c r="J713" s="26"/>
      <c r="K713" s="26"/>
    </row>
    <row r="714">
      <c r="A714" s="26"/>
      <c r="B714" s="26"/>
      <c r="C714" s="26"/>
      <c r="D714" s="26"/>
      <c r="E714" s="26"/>
      <c r="F714" s="26"/>
      <c r="G714" s="26"/>
      <c r="H714" s="26"/>
      <c r="I714" s="26"/>
      <c r="J714" s="26"/>
      <c r="K714" s="26"/>
    </row>
    <row r="715">
      <c r="A715" s="26"/>
      <c r="B715" s="26"/>
      <c r="C715" s="26"/>
      <c r="D715" s="26"/>
      <c r="E715" s="26"/>
      <c r="F715" s="26"/>
      <c r="G715" s="26"/>
      <c r="H715" s="26"/>
      <c r="I715" s="26"/>
      <c r="J715" s="26"/>
      <c r="K715" s="26"/>
    </row>
    <row r="716">
      <c r="A716" s="26"/>
      <c r="B716" s="26"/>
      <c r="C716" s="26"/>
      <c r="D716" s="26"/>
      <c r="E716" s="26"/>
      <c r="F716" s="26"/>
      <c r="G716" s="26"/>
      <c r="H716" s="26"/>
      <c r="I716" s="26"/>
      <c r="J716" s="26"/>
      <c r="K716" s="26"/>
    </row>
    <row r="717">
      <c r="A717" s="26"/>
      <c r="B717" s="26"/>
      <c r="C717" s="26"/>
      <c r="D717" s="26"/>
      <c r="E717" s="26"/>
      <c r="F717" s="26"/>
      <c r="G717" s="26"/>
      <c r="H717" s="26"/>
      <c r="I717" s="26"/>
      <c r="J717" s="26"/>
      <c r="K717" s="26"/>
    </row>
    <row r="718">
      <c r="A718" s="26"/>
      <c r="B718" s="26"/>
      <c r="C718" s="26"/>
      <c r="D718" s="26"/>
      <c r="E718" s="26"/>
      <c r="F718" s="26"/>
      <c r="G718" s="26"/>
      <c r="H718" s="26"/>
      <c r="I718" s="26"/>
      <c r="J718" s="26"/>
      <c r="K718" s="26"/>
    </row>
    <row r="719">
      <c r="A719" s="26"/>
      <c r="B719" s="26"/>
      <c r="C719" s="26"/>
      <c r="D719" s="26"/>
      <c r="E719" s="26"/>
      <c r="F719" s="26"/>
      <c r="G719" s="26"/>
      <c r="H719" s="26"/>
      <c r="I719" s="26"/>
      <c r="J719" s="26"/>
      <c r="K719" s="26"/>
    </row>
    <row r="720">
      <c r="A720" s="26"/>
      <c r="B720" s="26"/>
      <c r="C720" s="26"/>
      <c r="D720" s="26"/>
      <c r="E720" s="26"/>
      <c r="F720" s="26"/>
      <c r="G720" s="26"/>
      <c r="H720" s="26"/>
      <c r="I720" s="26"/>
      <c r="J720" s="26"/>
      <c r="K720" s="26"/>
    </row>
    <row r="721">
      <c r="A721" s="26"/>
      <c r="B721" s="26"/>
      <c r="C721" s="26"/>
      <c r="D721" s="26"/>
      <c r="E721" s="26"/>
      <c r="F721" s="26"/>
      <c r="G721" s="26"/>
      <c r="H721" s="26"/>
      <c r="I721" s="26"/>
      <c r="J721" s="26"/>
      <c r="K721" s="26"/>
    </row>
    <row r="722">
      <c r="A722" s="26"/>
      <c r="B722" s="26"/>
      <c r="C722" s="26"/>
      <c r="D722" s="26"/>
      <c r="E722" s="26"/>
      <c r="F722" s="26"/>
      <c r="G722" s="26"/>
      <c r="H722" s="26"/>
      <c r="I722" s="26"/>
      <c r="J722" s="26"/>
      <c r="K722" s="26"/>
    </row>
    <row r="723">
      <c r="A723" s="26"/>
      <c r="B723" s="26"/>
      <c r="C723" s="26"/>
      <c r="D723" s="26"/>
      <c r="E723" s="26"/>
      <c r="F723" s="26"/>
      <c r="G723" s="26"/>
      <c r="H723" s="26"/>
      <c r="I723" s="26"/>
      <c r="J723" s="26"/>
      <c r="K723" s="26"/>
    </row>
    <row r="724">
      <c r="A724" s="26"/>
      <c r="B724" s="26"/>
      <c r="C724" s="26"/>
      <c r="D724" s="26"/>
      <c r="E724" s="26"/>
      <c r="F724" s="26"/>
      <c r="G724" s="26"/>
      <c r="H724" s="26"/>
      <c r="I724" s="26"/>
      <c r="J724" s="26"/>
      <c r="K724" s="26"/>
    </row>
    <row r="725">
      <c r="A725" s="26"/>
      <c r="B725" s="26"/>
      <c r="C725" s="26"/>
      <c r="D725" s="26"/>
      <c r="E725" s="26"/>
      <c r="F725" s="26"/>
      <c r="G725" s="26"/>
      <c r="H725" s="26"/>
      <c r="I725" s="26"/>
      <c r="J725" s="26"/>
      <c r="K725" s="26"/>
    </row>
    <row r="726">
      <c r="A726" s="26"/>
      <c r="B726" s="26"/>
      <c r="C726" s="26"/>
      <c r="D726" s="26"/>
      <c r="E726" s="26"/>
      <c r="F726" s="26"/>
      <c r="G726" s="26"/>
      <c r="H726" s="26"/>
      <c r="I726" s="26"/>
      <c r="J726" s="26"/>
      <c r="K726" s="26"/>
    </row>
    <row r="727">
      <c r="A727" s="26"/>
      <c r="B727" s="26"/>
      <c r="C727" s="26"/>
      <c r="D727" s="26"/>
      <c r="E727" s="26"/>
      <c r="F727" s="26"/>
      <c r="G727" s="26"/>
      <c r="H727" s="26"/>
      <c r="I727" s="26"/>
      <c r="J727" s="26"/>
      <c r="K727" s="26"/>
    </row>
    <row r="728">
      <c r="A728" s="26"/>
      <c r="B728" s="26"/>
      <c r="C728" s="26"/>
      <c r="D728" s="26"/>
      <c r="E728" s="26"/>
      <c r="F728" s="26"/>
      <c r="G728" s="26"/>
      <c r="H728" s="26"/>
      <c r="I728" s="26"/>
      <c r="J728" s="26"/>
      <c r="K728" s="26"/>
    </row>
    <row r="729">
      <c r="A729" s="26"/>
      <c r="B729" s="26"/>
      <c r="C729" s="26"/>
      <c r="D729" s="26"/>
      <c r="E729" s="26"/>
      <c r="F729" s="26"/>
      <c r="G729" s="26"/>
      <c r="H729" s="26"/>
      <c r="I729" s="26"/>
      <c r="J729" s="26"/>
      <c r="K729" s="26"/>
    </row>
    <row r="730">
      <c r="A730" s="26"/>
      <c r="B730" s="26"/>
      <c r="C730" s="26"/>
      <c r="D730" s="26"/>
      <c r="E730" s="26"/>
      <c r="F730" s="26"/>
      <c r="G730" s="26"/>
      <c r="H730" s="26"/>
      <c r="I730" s="26"/>
      <c r="J730" s="26"/>
      <c r="K730" s="26"/>
    </row>
    <row r="731">
      <c r="A731" s="26"/>
      <c r="B731" s="26"/>
      <c r="C731" s="26"/>
      <c r="D731" s="26"/>
      <c r="E731" s="26"/>
      <c r="F731" s="26"/>
      <c r="G731" s="26"/>
      <c r="H731" s="26"/>
      <c r="I731" s="26"/>
      <c r="J731" s="26"/>
      <c r="K731" s="26"/>
    </row>
    <row r="732">
      <c r="A732" s="26"/>
      <c r="B732" s="26"/>
      <c r="C732" s="26"/>
      <c r="D732" s="26"/>
      <c r="E732" s="26"/>
      <c r="F732" s="26"/>
      <c r="G732" s="26"/>
      <c r="H732" s="26"/>
      <c r="I732" s="26"/>
      <c r="J732" s="26"/>
      <c r="K732" s="26"/>
    </row>
    <row r="733">
      <c r="A733" s="26"/>
      <c r="B733" s="26"/>
      <c r="C733" s="26"/>
      <c r="D733" s="26"/>
      <c r="E733" s="26"/>
      <c r="F733" s="26"/>
      <c r="G733" s="26"/>
      <c r="H733" s="26"/>
      <c r="I733" s="26"/>
      <c r="J733" s="26"/>
      <c r="K733" s="26"/>
    </row>
    <row r="734">
      <c r="A734" s="26"/>
      <c r="B734" s="26"/>
      <c r="C734" s="26"/>
      <c r="D734" s="26"/>
      <c r="E734" s="26"/>
      <c r="F734" s="26"/>
      <c r="G734" s="26"/>
      <c r="H734" s="26"/>
      <c r="I734" s="26"/>
      <c r="J734" s="26"/>
      <c r="K734" s="26"/>
    </row>
    <row r="735">
      <c r="A735" s="26"/>
      <c r="B735" s="26"/>
      <c r="C735" s="26"/>
      <c r="D735" s="26"/>
      <c r="E735" s="26"/>
      <c r="F735" s="26"/>
      <c r="G735" s="26"/>
      <c r="H735" s="26"/>
      <c r="I735" s="26"/>
      <c r="J735" s="26"/>
      <c r="K735" s="26"/>
    </row>
    <row r="736">
      <c r="A736" s="26"/>
      <c r="B736" s="26"/>
      <c r="C736" s="26"/>
      <c r="D736" s="26"/>
      <c r="E736" s="26"/>
      <c r="F736" s="26"/>
      <c r="G736" s="26"/>
      <c r="H736" s="26"/>
      <c r="I736" s="26"/>
      <c r="J736" s="26"/>
      <c r="K736" s="26"/>
    </row>
    <row r="737">
      <c r="A737" s="26"/>
      <c r="B737" s="26"/>
      <c r="C737" s="26"/>
      <c r="D737" s="26"/>
      <c r="E737" s="26"/>
      <c r="F737" s="26"/>
      <c r="G737" s="26"/>
      <c r="H737" s="26"/>
      <c r="I737" s="26"/>
      <c r="J737" s="26"/>
      <c r="K737" s="26"/>
    </row>
    <row r="738">
      <c r="A738" s="26"/>
      <c r="B738" s="26"/>
      <c r="C738" s="26"/>
      <c r="D738" s="26"/>
      <c r="E738" s="26"/>
      <c r="F738" s="26"/>
      <c r="G738" s="26"/>
      <c r="H738" s="26"/>
      <c r="I738" s="26"/>
      <c r="J738" s="26"/>
      <c r="K738" s="26"/>
    </row>
    <row r="739">
      <c r="A739" s="26"/>
      <c r="B739" s="26"/>
      <c r="C739" s="26"/>
      <c r="D739" s="26"/>
      <c r="E739" s="26"/>
      <c r="F739" s="26"/>
      <c r="G739" s="26"/>
      <c r="H739" s="26"/>
      <c r="I739" s="26"/>
      <c r="J739" s="26"/>
      <c r="K739" s="26"/>
    </row>
    <row r="740">
      <c r="A740" s="26"/>
      <c r="B740" s="26"/>
      <c r="C740" s="26"/>
      <c r="D740" s="26"/>
      <c r="E740" s="26"/>
      <c r="F740" s="26"/>
      <c r="G740" s="26"/>
      <c r="H740" s="26"/>
      <c r="I740" s="26"/>
      <c r="J740" s="26"/>
      <c r="K740" s="26"/>
    </row>
    <row r="741">
      <c r="A741" s="26"/>
      <c r="B741" s="26"/>
      <c r="C741" s="26"/>
      <c r="D741" s="26"/>
      <c r="E741" s="26"/>
      <c r="F741" s="26"/>
      <c r="G741" s="26"/>
      <c r="H741" s="26"/>
      <c r="I741" s="26"/>
      <c r="J741" s="26"/>
      <c r="K741" s="26"/>
    </row>
    <row r="742">
      <c r="A742" s="26"/>
      <c r="B742" s="26"/>
      <c r="C742" s="26"/>
      <c r="D742" s="26"/>
      <c r="E742" s="26"/>
      <c r="F742" s="26"/>
      <c r="G742" s="26"/>
      <c r="H742" s="26"/>
      <c r="I742" s="26"/>
      <c r="J742" s="26"/>
      <c r="K742" s="26"/>
    </row>
    <row r="743">
      <c r="A743" s="26"/>
      <c r="B743" s="26"/>
      <c r="C743" s="26"/>
      <c r="D743" s="26"/>
      <c r="E743" s="26"/>
      <c r="F743" s="26"/>
      <c r="G743" s="26"/>
      <c r="H743" s="26"/>
      <c r="I743" s="26"/>
      <c r="J743" s="26"/>
      <c r="K743" s="26"/>
    </row>
    <row r="744">
      <c r="A744" s="26"/>
      <c r="B744" s="26"/>
      <c r="C744" s="26"/>
      <c r="D744" s="26"/>
      <c r="E744" s="26"/>
      <c r="F744" s="26"/>
      <c r="G744" s="26"/>
      <c r="H744" s="26"/>
      <c r="I744" s="26"/>
      <c r="J744" s="26"/>
      <c r="K744" s="26"/>
    </row>
    <row r="745">
      <c r="A745" s="26"/>
      <c r="B745" s="26"/>
      <c r="C745" s="26"/>
      <c r="D745" s="26"/>
      <c r="E745" s="26"/>
      <c r="F745" s="26"/>
      <c r="G745" s="26"/>
      <c r="H745" s="26"/>
      <c r="I745" s="26"/>
      <c r="J745" s="26"/>
      <c r="K745" s="26"/>
    </row>
    <row r="746">
      <c r="A746" s="26"/>
      <c r="B746" s="26"/>
      <c r="C746" s="26"/>
      <c r="D746" s="26"/>
      <c r="E746" s="26"/>
      <c r="F746" s="26"/>
      <c r="G746" s="26"/>
      <c r="H746" s="26"/>
      <c r="I746" s="26"/>
      <c r="J746" s="26"/>
      <c r="K746" s="26"/>
    </row>
    <row r="747">
      <c r="A747" s="26"/>
      <c r="B747" s="26"/>
      <c r="C747" s="26"/>
      <c r="D747" s="26"/>
      <c r="E747" s="26"/>
      <c r="F747" s="26"/>
      <c r="G747" s="26"/>
      <c r="H747" s="26"/>
      <c r="I747" s="26"/>
      <c r="J747" s="26"/>
      <c r="K747" s="26"/>
    </row>
    <row r="748">
      <c r="A748" s="26"/>
      <c r="B748" s="26"/>
      <c r="C748" s="26"/>
      <c r="D748" s="26"/>
      <c r="E748" s="26"/>
      <c r="F748" s="26"/>
      <c r="G748" s="26"/>
      <c r="H748" s="26"/>
      <c r="I748" s="26"/>
      <c r="J748" s="26"/>
      <c r="K748" s="26"/>
    </row>
    <row r="749">
      <c r="A749" s="26"/>
      <c r="B749" s="26"/>
      <c r="C749" s="26"/>
      <c r="D749" s="26"/>
      <c r="E749" s="26"/>
      <c r="F749" s="26"/>
      <c r="G749" s="26"/>
      <c r="H749" s="26"/>
      <c r="I749" s="26"/>
      <c r="J749" s="26"/>
      <c r="K749" s="26"/>
    </row>
    <row r="750">
      <c r="A750" s="26"/>
      <c r="B750" s="26"/>
      <c r="C750" s="26"/>
      <c r="D750" s="26"/>
      <c r="E750" s="26"/>
      <c r="F750" s="26"/>
      <c r="G750" s="26"/>
      <c r="H750" s="26"/>
      <c r="I750" s="26"/>
      <c r="J750" s="26"/>
      <c r="K750" s="26"/>
    </row>
    <row r="751">
      <c r="A751" s="26"/>
      <c r="B751" s="26"/>
      <c r="C751" s="26"/>
      <c r="D751" s="26"/>
      <c r="E751" s="26"/>
      <c r="F751" s="26"/>
      <c r="G751" s="26"/>
      <c r="H751" s="26"/>
      <c r="I751" s="26"/>
      <c r="J751" s="26"/>
      <c r="K751" s="26"/>
    </row>
    <row r="752">
      <c r="A752" s="26"/>
      <c r="B752" s="26"/>
      <c r="C752" s="26"/>
      <c r="D752" s="26"/>
      <c r="E752" s="26"/>
      <c r="F752" s="26"/>
      <c r="G752" s="26"/>
      <c r="H752" s="26"/>
      <c r="I752" s="26"/>
      <c r="J752" s="26"/>
      <c r="K752" s="26"/>
    </row>
    <row r="753">
      <c r="A753" s="26"/>
      <c r="B753" s="26"/>
      <c r="C753" s="26"/>
      <c r="D753" s="26"/>
      <c r="E753" s="26"/>
      <c r="F753" s="26"/>
      <c r="G753" s="26"/>
      <c r="H753" s="26"/>
      <c r="I753" s="26"/>
      <c r="J753" s="26"/>
      <c r="K753" s="26"/>
    </row>
    <row r="754">
      <c r="A754" s="26"/>
      <c r="B754" s="26"/>
      <c r="C754" s="26"/>
      <c r="D754" s="26"/>
      <c r="E754" s="26"/>
      <c r="F754" s="26"/>
      <c r="G754" s="26"/>
      <c r="H754" s="26"/>
      <c r="I754" s="26"/>
      <c r="J754" s="26"/>
      <c r="K754" s="26"/>
    </row>
    <row r="755">
      <c r="A755" s="26"/>
      <c r="B755" s="26"/>
      <c r="C755" s="26"/>
      <c r="D755" s="26"/>
      <c r="E755" s="26"/>
      <c r="F755" s="26"/>
      <c r="G755" s="26"/>
      <c r="H755" s="26"/>
      <c r="I755" s="26"/>
      <c r="J755" s="26"/>
      <c r="K755" s="26"/>
    </row>
    <row r="756">
      <c r="A756" s="26"/>
      <c r="B756" s="26"/>
      <c r="C756" s="26"/>
      <c r="D756" s="26"/>
      <c r="E756" s="26"/>
      <c r="F756" s="26"/>
      <c r="G756" s="26"/>
      <c r="H756" s="26"/>
      <c r="I756" s="26"/>
      <c r="J756" s="26"/>
      <c r="K756" s="26"/>
    </row>
    <row r="757">
      <c r="A757" s="26"/>
      <c r="B757" s="26"/>
      <c r="C757" s="26"/>
      <c r="D757" s="26"/>
      <c r="E757" s="26"/>
      <c r="F757" s="26"/>
      <c r="G757" s="26"/>
      <c r="H757" s="26"/>
      <c r="I757" s="26"/>
      <c r="J757" s="26"/>
      <c r="K757" s="26"/>
    </row>
    <row r="758">
      <c r="A758" s="26"/>
      <c r="B758" s="26"/>
      <c r="C758" s="26"/>
      <c r="D758" s="26"/>
      <c r="E758" s="26"/>
      <c r="F758" s="26"/>
      <c r="G758" s="26"/>
      <c r="H758" s="26"/>
      <c r="I758" s="26"/>
      <c r="J758" s="26"/>
      <c r="K758" s="26"/>
    </row>
    <row r="759">
      <c r="A759" s="26"/>
      <c r="B759" s="26"/>
      <c r="C759" s="26"/>
      <c r="D759" s="26"/>
      <c r="E759" s="26"/>
      <c r="F759" s="26"/>
      <c r="G759" s="26"/>
      <c r="H759" s="26"/>
      <c r="I759" s="26"/>
      <c r="J759" s="26"/>
      <c r="K759" s="26"/>
    </row>
    <row r="760">
      <c r="A760" s="26"/>
      <c r="B760" s="26"/>
      <c r="C760" s="26"/>
      <c r="D760" s="26"/>
      <c r="E760" s="26"/>
      <c r="F760" s="26"/>
      <c r="G760" s="26"/>
      <c r="H760" s="26"/>
      <c r="I760" s="26"/>
      <c r="J760" s="26"/>
      <c r="K760" s="26"/>
    </row>
    <row r="761">
      <c r="A761" s="26"/>
      <c r="B761" s="26"/>
      <c r="C761" s="26"/>
      <c r="D761" s="26"/>
      <c r="E761" s="26"/>
      <c r="F761" s="26"/>
      <c r="G761" s="26"/>
      <c r="H761" s="26"/>
      <c r="I761" s="26"/>
      <c r="J761" s="26"/>
      <c r="K761" s="26"/>
    </row>
    <row r="762">
      <c r="A762" s="26"/>
      <c r="B762" s="26"/>
      <c r="C762" s="26"/>
      <c r="D762" s="26"/>
      <c r="E762" s="26"/>
      <c r="F762" s="26"/>
      <c r="G762" s="26"/>
      <c r="H762" s="26"/>
      <c r="I762" s="26"/>
      <c r="J762" s="26"/>
      <c r="K762" s="26"/>
    </row>
    <row r="763">
      <c r="A763" s="26"/>
      <c r="B763" s="26"/>
      <c r="C763" s="26"/>
      <c r="D763" s="26"/>
      <c r="E763" s="26"/>
      <c r="F763" s="26"/>
      <c r="G763" s="26"/>
      <c r="H763" s="26"/>
      <c r="I763" s="26"/>
      <c r="J763" s="26"/>
      <c r="K763" s="26"/>
    </row>
    <row r="764">
      <c r="A764" s="26"/>
      <c r="B764" s="26"/>
      <c r="C764" s="26"/>
      <c r="D764" s="26"/>
      <c r="E764" s="26"/>
      <c r="F764" s="26"/>
      <c r="G764" s="26"/>
      <c r="H764" s="26"/>
      <c r="I764" s="26"/>
      <c r="J764" s="26"/>
      <c r="K764" s="26"/>
    </row>
    <row r="765">
      <c r="A765" s="26"/>
      <c r="B765" s="26"/>
      <c r="C765" s="26"/>
      <c r="D765" s="26"/>
      <c r="E765" s="26"/>
      <c r="F765" s="26"/>
      <c r="G765" s="26"/>
      <c r="H765" s="26"/>
      <c r="I765" s="26"/>
      <c r="J765" s="26"/>
      <c r="K765" s="26"/>
    </row>
    <row r="766">
      <c r="A766" s="26"/>
      <c r="B766" s="26"/>
      <c r="C766" s="26"/>
      <c r="D766" s="26"/>
      <c r="E766" s="26"/>
      <c r="F766" s="26"/>
      <c r="G766" s="26"/>
      <c r="H766" s="26"/>
      <c r="I766" s="26"/>
      <c r="J766" s="26"/>
      <c r="K766" s="26"/>
    </row>
    <row r="767">
      <c r="A767" s="26"/>
      <c r="B767" s="26"/>
      <c r="C767" s="26"/>
      <c r="D767" s="26"/>
      <c r="E767" s="26"/>
      <c r="F767" s="26"/>
      <c r="G767" s="26"/>
      <c r="H767" s="26"/>
      <c r="I767" s="26"/>
      <c r="J767" s="26"/>
      <c r="K767" s="26"/>
    </row>
    <row r="768">
      <c r="A768" s="26"/>
      <c r="B768" s="26"/>
      <c r="C768" s="26"/>
      <c r="D768" s="26"/>
      <c r="E768" s="26"/>
      <c r="F768" s="26"/>
      <c r="G768" s="26"/>
      <c r="H768" s="26"/>
      <c r="I768" s="26"/>
      <c r="J768" s="26"/>
      <c r="K768" s="26"/>
    </row>
    <row r="769">
      <c r="A769" s="26"/>
      <c r="B769" s="26"/>
      <c r="C769" s="26"/>
      <c r="D769" s="26"/>
      <c r="E769" s="26"/>
      <c r="F769" s="26"/>
      <c r="G769" s="26"/>
      <c r="H769" s="26"/>
      <c r="I769" s="26"/>
      <c r="J769" s="26"/>
      <c r="K769" s="26"/>
    </row>
    <row r="770">
      <c r="A770" s="26"/>
      <c r="B770" s="26"/>
      <c r="C770" s="26"/>
      <c r="D770" s="26"/>
      <c r="E770" s="26"/>
      <c r="F770" s="26"/>
      <c r="G770" s="26"/>
      <c r="H770" s="26"/>
      <c r="I770" s="26"/>
      <c r="J770" s="26"/>
      <c r="K770" s="26"/>
    </row>
    <row r="771">
      <c r="A771" s="26"/>
      <c r="B771" s="26"/>
      <c r="C771" s="26"/>
      <c r="D771" s="26"/>
      <c r="E771" s="26"/>
      <c r="F771" s="26"/>
      <c r="G771" s="26"/>
      <c r="H771" s="26"/>
      <c r="I771" s="26"/>
      <c r="J771" s="26"/>
      <c r="K771" s="26"/>
    </row>
    <row r="772">
      <c r="A772" s="26"/>
      <c r="B772" s="26"/>
      <c r="C772" s="26"/>
      <c r="D772" s="26"/>
      <c r="E772" s="26"/>
      <c r="F772" s="26"/>
      <c r="G772" s="26"/>
      <c r="H772" s="26"/>
      <c r="I772" s="26"/>
      <c r="J772" s="26"/>
      <c r="K772" s="26"/>
    </row>
    <row r="773">
      <c r="A773" s="26"/>
      <c r="B773" s="26"/>
      <c r="C773" s="26"/>
      <c r="D773" s="26"/>
      <c r="E773" s="26"/>
      <c r="F773" s="26"/>
      <c r="G773" s="26"/>
      <c r="H773" s="26"/>
      <c r="I773" s="26"/>
      <c r="J773" s="26"/>
      <c r="K773" s="26"/>
    </row>
    <row r="774">
      <c r="A774" s="26"/>
      <c r="B774" s="26"/>
      <c r="C774" s="26"/>
      <c r="D774" s="26"/>
      <c r="E774" s="26"/>
      <c r="F774" s="26"/>
      <c r="G774" s="26"/>
      <c r="H774" s="26"/>
      <c r="I774" s="26"/>
      <c r="J774" s="26"/>
      <c r="K774" s="26"/>
    </row>
    <row r="775">
      <c r="A775" s="26"/>
      <c r="B775" s="26"/>
      <c r="C775" s="26"/>
      <c r="D775" s="26"/>
      <c r="E775" s="26"/>
      <c r="F775" s="26"/>
      <c r="G775" s="26"/>
      <c r="H775" s="26"/>
      <c r="I775" s="26"/>
      <c r="J775" s="26"/>
      <c r="K775" s="26"/>
    </row>
    <row r="776">
      <c r="A776" s="26"/>
      <c r="B776" s="26"/>
      <c r="C776" s="26"/>
      <c r="D776" s="26"/>
      <c r="E776" s="26"/>
      <c r="F776" s="26"/>
      <c r="G776" s="26"/>
      <c r="H776" s="26"/>
      <c r="I776" s="26"/>
      <c r="J776" s="26"/>
      <c r="K776" s="26"/>
    </row>
    <row r="777">
      <c r="A777" s="26"/>
      <c r="B777" s="26"/>
      <c r="C777" s="26"/>
      <c r="D777" s="26"/>
      <c r="E777" s="26"/>
      <c r="F777" s="26"/>
      <c r="G777" s="26"/>
      <c r="H777" s="26"/>
      <c r="I777" s="26"/>
      <c r="J777" s="26"/>
      <c r="K777" s="26"/>
    </row>
    <row r="778">
      <c r="A778" s="26"/>
      <c r="B778" s="26"/>
      <c r="C778" s="26"/>
      <c r="D778" s="26"/>
      <c r="E778" s="26"/>
      <c r="F778" s="26"/>
      <c r="G778" s="26"/>
      <c r="H778" s="26"/>
      <c r="I778" s="26"/>
      <c r="J778" s="26"/>
      <c r="K778" s="26"/>
    </row>
    <row r="779">
      <c r="A779" s="26"/>
      <c r="B779" s="26"/>
      <c r="C779" s="26"/>
      <c r="D779" s="26"/>
      <c r="E779" s="26"/>
      <c r="F779" s="26"/>
      <c r="G779" s="26"/>
      <c r="H779" s="26"/>
      <c r="I779" s="26"/>
      <c r="J779" s="26"/>
      <c r="K779" s="26"/>
    </row>
    <row r="780">
      <c r="A780" s="26"/>
      <c r="B780" s="26"/>
      <c r="C780" s="26"/>
      <c r="D780" s="26"/>
      <c r="E780" s="26"/>
      <c r="F780" s="26"/>
      <c r="G780" s="26"/>
      <c r="H780" s="26"/>
      <c r="I780" s="26"/>
      <c r="J780" s="26"/>
      <c r="K780" s="26"/>
    </row>
    <row r="781">
      <c r="A781" s="26"/>
      <c r="B781" s="26"/>
      <c r="C781" s="26"/>
      <c r="D781" s="26"/>
      <c r="E781" s="26"/>
      <c r="F781" s="26"/>
      <c r="G781" s="26"/>
      <c r="H781" s="26"/>
      <c r="I781" s="26"/>
      <c r="J781" s="26"/>
      <c r="K781" s="26"/>
    </row>
    <row r="782">
      <c r="A782" s="26"/>
      <c r="B782" s="26"/>
      <c r="C782" s="26"/>
      <c r="D782" s="26"/>
      <c r="E782" s="26"/>
      <c r="F782" s="26"/>
      <c r="G782" s="26"/>
      <c r="H782" s="26"/>
      <c r="I782" s="26"/>
      <c r="J782" s="26"/>
      <c r="K782" s="26"/>
    </row>
    <row r="783">
      <c r="A783" s="26"/>
      <c r="B783" s="26"/>
      <c r="C783" s="26"/>
      <c r="D783" s="26"/>
      <c r="E783" s="26"/>
      <c r="F783" s="26"/>
      <c r="G783" s="26"/>
      <c r="H783" s="26"/>
      <c r="I783" s="26"/>
      <c r="J783" s="26"/>
      <c r="K783" s="26"/>
    </row>
    <row r="784">
      <c r="A784" s="26"/>
      <c r="B784" s="26"/>
      <c r="C784" s="26"/>
      <c r="D784" s="26"/>
      <c r="E784" s="26"/>
      <c r="F784" s="26"/>
      <c r="G784" s="26"/>
      <c r="H784" s="26"/>
      <c r="I784" s="26"/>
      <c r="J784" s="26"/>
      <c r="K784" s="26"/>
    </row>
    <row r="785">
      <c r="A785" s="26"/>
      <c r="B785" s="26"/>
      <c r="C785" s="26"/>
      <c r="D785" s="26"/>
      <c r="E785" s="26"/>
      <c r="F785" s="26"/>
      <c r="G785" s="26"/>
      <c r="H785" s="26"/>
      <c r="I785" s="26"/>
      <c r="J785" s="26"/>
      <c r="K785" s="26"/>
    </row>
    <row r="786">
      <c r="A786" s="26"/>
      <c r="B786" s="26"/>
      <c r="C786" s="26"/>
      <c r="D786" s="26"/>
      <c r="E786" s="26"/>
      <c r="F786" s="26"/>
      <c r="G786" s="26"/>
      <c r="H786" s="26"/>
      <c r="I786" s="26"/>
      <c r="J786" s="26"/>
      <c r="K786" s="26"/>
    </row>
    <row r="787">
      <c r="A787" s="26"/>
      <c r="B787" s="26"/>
      <c r="C787" s="26"/>
      <c r="D787" s="26"/>
      <c r="E787" s="26"/>
      <c r="F787" s="26"/>
      <c r="G787" s="26"/>
      <c r="H787" s="26"/>
      <c r="I787" s="26"/>
      <c r="J787" s="26"/>
      <c r="K787" s="26"/>
    </row>
    <row r="788">
      <c r="A788" s="26"/>
      <c r="B788" s="26"/>
      <c r="C788" s="26"/>
      <c r="D788" s="26"/>
      <c r="E788" s="26"/>
      <c r="F788" s="26"/>
      <c r="G788" s="26"/>
      <c r="H788" s="26"/>
      <c r="I788" s="26"/>
      <c r="J788" s="26"/>
      <c r="K788" s="26"/>
    </row>
    <row r="789">
      <c r="A789" s="26"/>
      <c r="B789" s="26"/>
      <c r="C789" s="26"/>
      <c r="D789" s="26"/>
      <c r="E789" s="26"/>
      <c r="F789" s="26"/>
      <c r="G789" s="26"/>
      <c r="H789" s="26"/>
      <c r="I789" s="26"/>
      <c r="J789" s="26"/>
      <c r="K789" s="26"/>
    </row>
    <row r="790">
      <c r="A790" s="26"/>
      <c r="B790" s="26"/>
      <c r="C790" s="26"/>
      <c r="D790" s="26"/>
      <c r="E790" s="26"/>
      <c r="F790" s="26"/>
      <c r="G790" s="26"/>
      <c r="H790" s="26"/>
      <c r="I790" s="26"/>
      <c r="J790" s="26"/>
      <c r="K790" s="26"/>
    </row>
    <row r="791">
      <c r="A791" s="26"/>
      <c r="B791" s="26"/>
      <c r="C791" s="26"/>
      <c r="D791" s="26"/>
      <c r="E791" s="26"/>
      <c r="F791" s="26"/>
      <c r="G791" s="26"/>
      <c r="H791" s="26"/>
      <c r="I791" s="26"/>
      <c r="J791" s="26"/>
      <c r="K791" s="26"/>
    </row>
    <row r="792">
      <c r="A792" s="26"/>
      <c r="B792" s="26"/>
      <c r="C792" s="26"/>
      <c r="D792" s="26"/>
      <c r="E792" s="26"/>
      <c r="F792" s="26"/>
      <c r="G792" s="26"/>
      <c r="H792" s="26"/>
      <c r="I792" s="26"/>
      <c r="J792" s="26"/>
      <c r="K792" s="26"/>
    </row>
    <row r="793">
      <c r="A793" s="26"/>
      <c r="B793" s="26"/>
      <c r="C793" s="26"/>
      <c r="D793" s="26"/>
      <c r="E793" s="26"/>
      <c r="F793" s="26"/>
      <c r="G793" s="26"/>
      <c r="H793" s="26"/>
      <c r="I793" s="26"/>
      <c r="J793" s="26"/>
      <c r="K793" s="26"/>
    </row>
    <row r="794">
      <c r="A794" s="26"/>
      <c r="B794" s="26"/>
      <c r="C794" s="26"/>
      <c r="D794" s="26"/>
      <c r="E794" s="26"/>
      <c r="F794" s="26"/>
      <c r="G794" s="26"/>
      <c r="H794" s="26"/>
      <c r="I794" s="26"/>
      <c r="J794" s="26"/>
      <c r="K794" s="26"/>
    </row>
    <row r="795">
      <c r="A795" s="26"/>
      <c r="B795" s="26"/>
      <c r="C795" s="26"/>
      <c r="D795" s="26"/>
      <c r="E795" s="26"/>
      <c r="F795" s="26"/>
      <c r="G795" s="26"/>
      <c r="H795" s="26"/>
      <c r="I795" s="26"/>
      <c r="J795" s="26"/>
      <c r="K795" s="26"/>
    </row>
    <row r="796">
      <c r="A796" s="26"/>
      <c r="B796" s="26"/>
      <c r="C796" s="26"/>
      <c r="D796" s="26"/>
      <c r="E796" s="26"/>
      <c r="F796" s="26"/>
      <c r="G796" s="26"/>
      <c r="H796" s="26"/>
      <c r="I796" s="26"/>
      <c r="J796" s="26"/>
      <c r="K796" s="26"/>
    </row>
    <row r="797">
      <c r="A797" s="26"/>
      <c r="B797" s="26"/>
      <c r="C797" s="26"/>
      <c r="D797" s="26"/>
      <c r="E797" s="26"/>
      <c r="F797" s="26"/>
      <c r="G797" s="26"/>
      <c r="H797" s="26"/>
      <c r="I797" s="26"/>
      <c r="J797" s="26"/>
      <c r="K797" s="26"/>
    </row>
    <row r="798">
      <c r="A798" s="26"/>
      <c r="B798" s="26"/>
      <c r="C798" s="26"/>
      <c r="D798" s="26"/>
      <c r="E798" s="26"/>
      <c r="F798" s="26"/>
      <c r="G798" s="26"/>
      <c r="H798" s="26"/>
      <c r="I798" s="26"/>
      <c r="J798" s="26"/>
      <c r="K798" s="26"/>
    </row>
    <row r="799">
      <c r="A799" s="26"/>
      <c r="B799" s="26"/>
      <c r="C799" s="26"/>
      <c r="D799" s="26"/>
      <c r="E799" s="26"/>
      <c r="F799" s="26"/>
      <c r="G799" s="26"/>
      <c r="H799" s="26"/>
      <c r="I799" s="26"/>
      <c r="J799" s="26"/>
      <c r="K799" s="26"/>
    </row>
    <row r="800">
      <c r="A800" s="26"/>
      <c r="B800" s="26"/>
      <c r="C800" s="26"/>
      <c r="D800" s="26"/>
      <c r="E800" s="26"/>
      <c r="F800" s="26"/>
      <c r="G800" s="26"/>
      <c r="H800" s="26"/>
      <c r="I800" s="26"/>
      <c r="J800" s="26"/>
      <c r="K800" s="26"/>
    </row>
    <row r="801">
      <c r="A801" s="26"/>
      <c r="B801" s="26"/>
      <c r="C801" s="26"/>
      <c r="D801" s="26"/>
      <c r="E801" s="26"/>
      <c r="F801" s="26"/>
      <c r="G801" s="26"/>
      <c r="H801" s="26"/>
      <c r="I801" s="26"/>
      <c r="J801" s="26"/>
      <c r="K801" s="26"/>
    </row>
    <row r="802">
      <c r="A802" s="26"/>
      <c r="B802" s="26"/>
      <c r="C802" s="26"/>
      <c r="D802" s="26"/>
      <c r="E802" s="26"/>
      <c r="F802" s="26"/>
      <c r="G802" s="26"/>
      <c r="H802" s="26"/>
      <c r="I802" s="26"/>
      <c r="J802" s="26"/>
      <c r="K802" s="26"/>
    </row>
    <row r="803">
      <c r="A803" s="26"/>
      <c r="B803" s="26"/>
      <c r="C803" s="26"/>
      <c r="D803" s="26"/>
      <c r="E803" s="26"/>
      <c r="F803" s="26"/>
      <c r="G803" s="26"/>
      <c r="H803" s="26"/>
      <c r="I803" s="26"/>
      <c r="J803" s="26"/>
      <c r="K803" s="26"/>
    </row>
    <row r="804">
      <c r="A804" s="26"/>
      <c r="B804" s="26"/>
      <c r="C804" s="26"/>
      <c r="D804" s="26"/>
      <c r="E804" s="26"/>
      <c r="F804" s="26"/>
      <c r="G804" s="26"/>
      <c r="H804" s="26"/>
      <c r="I804" s="26"/>
      <c r="J804" s="26"/>
      <c r="K804" s="26"/>
    </row>
    <row r="805">
      <c r="A805" s="26"/>
      <c r="B805" s="26"/>
      <c r="C805" s="26"/>
      <c r="D805" s="26"/>
      <c r="E805" s="26"/>
      <c r="F805" s="26"/>
      <c r="G805" s="26"/>
      <c r="H805" s="26"/>
      <c r="I805" s="26"/>
      <c r="J805" s="26"/>
      <c r="K805" s="26"/>
    </row>
    <row r="806">
      <c r="A806" s="26"/>
      <c r="B806" s="26"/>
      <c r="C806" s="26"/>
      <c r="D806" s="26"/>
      <c r="E806" s="26"/>
      <c r="F806" s="26"/>
      <c r="G806" s="26"/>
      <c r="H806" s="26"/>
      <c r="I806" s="26"/>
      <c r="J806" s="26"/>
      <c r="K806" s="26"/>
    </row>
    <row r="807">
      <c r="A807" s="26"/>
      <c r="B807" s="26"/>
      <c r="C807" s="26"/>
      <c r="D807" s="26"/>
      <c r="E807" s="26"/>
      <c r="F807" s="26"/>
      <c r="G807" s="26"/>
      <c r="H807" s="26"/>
      <c r="I807" s="26"/>
      <c r="J807" s="26"/>
      <c r="K807" s="26"/>
    </row>
    <row r="808">
      <c r="A808" s="26"/>
      <c r="B808" s="26"/>
      <c r="C808" s="26"/>
      <c r="D808" s="26"/>
      <c r="E808" s="26"/>
      <c r="F808" s="26"/>
      <c r="G808" s="26"/>
      <c r="H808" s="26"/>
      <c r="I808" s="26"/>
      <c r="J808" s="26"/>
      <c r="K808" s="26"/>
    </row>
    <row r="809">
      <c r="A809" s="26"/>
      <c r="B809" s="26"/>
      <c r="C809" s="26"/>
      <c r="D809" s="26"/>
      <c r="E809" s="26"/>
      <c r="F809" s="26"/>
      <c r="G809" s="26"/>
      <c r="H809" s="26"/>
      <c r="I809" s="26"/>
      <c r="J809" s="26"/>
      <c r="K809" s="26"/>
    </row>
    <row r="810">
      <c r="A810" s="26"/>
      <c r="B810" s="26"/>
      <c r="C810" s="26"/>
      <c r="D810" s="26"/>
      <c r="E810" s="26"/>
      <c r="F810" s="26"/>
      <c r="G810" s="26"/>
      <c r="H810" s="26"/>
      <c r="I810" s="26"/>
      <c r="J810" s="26"/>
      <c r="K810" s="26"/>
    </row>
    <row r="811">
      <c r="A811" s="26"/>
      <c r="B811" s="26"/>
      <c r="C811" s="26"/>
      <c r="D811" s="26"/>
      <c r="E811" s="26"/>
      <c r="F811" s="26"/>
      <c r="G811" s="26"/>
      <c r="H811" s="26"/>
      <c r="I811" s="26"/>
      <c r="J811" s="26"/>
      <c r="K811" s="26"/>
    </row>
    <row r="812">
      <c r="A812" s="26"/>
      <c r="B812" s="26"/>
      <c r="C812" s="26"/>
      <c r="D812" s="26"/>
      <c r="E812" s="26"/>
      <c r="F812" s="26"/>
      <c r="G812" s="26"/>
      <c r="H812" s="26"/>
      <c r="I812" s="26"/>
      <c r="J812" s="26"/>
      <c r="K812" s="26"/>
    </row>
    <row r="813">
      <c r="A813" s="26"/>
      <c r="B813" s="26"/>
      <c r="C813" s="26"/>
      <c r="D813" s="26"/>
      <c r="E813" s="26"/>
      <c r="F813" s="26"/>
      <c r="G813" s="26"/>
      <c r="H813" s="26"/>
      <c r="I813" s="26"/>
      <c r="J813" s="26"/>
      <c r="K813" s="26"/>
    </row>
    <row r="814">
      <c r="A814" s="26"/>
      <c r="B814" s="26"/>
      <c r="C814" s="26"/>
      <c r="D814" s="26"/>
      <c r="E814" s="26"/>
      <c r="F814" s="26"/>
      <c r="G814" s="26"/>
      <c r="H814" s="26"/>
      <c r="I814" s="26"/>
      <c r="J814" s="26"/>
      <c r="K814" s="26"/>
    </row>
    <row r="815">
      <c r="A815" s="26"/>
      <c r="B815" s="26"/>
      <c r="C815" s="26"/>
      <c r="D815" s="26"/>
      <c r="E815" s="26"/>
      <c r="F815" s="26"/>
      <c r="G815" s="26"/>
      <c r="H815" s="26"/>
      <c r="I815" s="26"/>
      <c r="J815" s="26"/>
      <c r="K815" s="26"/>
    </row>
    <row r="816">
      <c r="A816" s="26"/>
      <c r="B816" s="26"/>
      <c r="C816" s="26"/>
      <c r="D816" s="26"/>
      <c r="E816" s="26"/>
      <c r="F816" s="26"/>
      <c r="G816" s="26"/>
      <c r="H816" s="26"/>
      <c r="I816" s="26"/>
      <c r="J816" s="26"/>
      <c r="K816" s="26"/>
    </row>
    <row r="817">
      <c r="A817" s="26"/>
      <c r="B817" s="26"/>
      <c r="C817" s="26"/>
      <c r="D817" s="26"/>
      <c r="E817" s="26"/>
      <c r="F817" s="26"/>
      <c r="G817" s="26"/>
      <c r="H817" s="26"/>
      <c r="I817" s="26"/>
      <c r="J817" s="26"/>
      <c r="K817" s="26"/>
    </row>
    <row r="818">
      <c r="A818" s="26"/>
      <c r="B818" s="26"/>
      <c r="C818" s="26"/>
      <c r="D818" s="26"/>
      <c r="E818" s="26"/>
      <c r="F818" s="26"/>
      <c r="G818" s="26"/>
      <c r="H818" s="26"/>
      <c r="I818" s="26"/>
      <c r="J818" s="26"/>
      <c r="K818" s="26"/>
    </row>
    <row r="819">
      <c r="A819" s="26"/>
      <c r="B819" s="26"/>
      <c r="C819" s="26"/>
      <c r="D819" s="26"/>
      <c r="E819" s="26"/>
      <c r="F819" s="26"/>
      <c r="G819" s="26"/>
      <c r="H819" s="26"/>
      <c r="I819" s="26"/>
      <c r="J819" s="26"/>
      <c r="K819" s="26"/>
    </row>
    <row r="820">
      <c r="A820" s="26"/>
      <c r="B820" s="26"/>
      <c r="C820" s="26"/>
      <c r="D820" s="26"/>
      <c r="E820" s="26"/>
      <c r="F820" s="26"/>
      <c r="G820" s="26"/>
      <c r="H820" s="26"/>
      <c r="I820" s="26"/>
      <c r="J820" s="26"/>
      <c r="K820" s="26"/>
    </row>
    <row r="821">
      <c r="A821" s="26"/>
      <c r="B821" s="26"/>
      <c r="C821" s="26"/>
      <c r="D821" s="26"/>
      <c r="E821" s="26"/>
      <c r="F821" s="26"/>
      <c r="G821" s="26"/>
      <c r="H821" s="26"/>
      <c r="I821" s="26"/>
      <c r="J821" s="26"/>
      <c r="K821" s="26"/>
    </row>
    <row r="822">
      <c r="A822" s="26"/>
      <c r="B822" s="26"/>
      <c r="C822" s="26"/>
      <c r="D822" s="26"/>
      <c r="E822" s="26"/>
      <c r="F822" s="26"/>
      <c r="G822" s="26"/>
      <c r="H822" s="26"/>
      <c r="I822" s="26"/>
      <c r="J822" s="26"/>
      <c r="K822" s="26"/>
    </row>
    <row r="823">
      <c r="A823" s="26"/>
      <c r="B823" s="26"/>
      <c r="C823" s="26"/>
      <c r="D823" s="26"/>
      <c r="E823" s="26"/>
      <c r="F823" s="26"/>
      <c r="G823" s="26"/>
      <c r="H823" s="26"/>
      <c r="I823" s="26"/>
      <c r="J823" s="26"/>
      <c r="K823" s="26"/>
    </row>
    <row r="824">
      <c r="A824" s="26"/>
      <c r="B824" s="26"/>
      <c r="C824" s="26"/>
      <c r="D824" s="26"/>
      <c r="E824" s="26"/>
      <c r="F824" s="26"/>
      <c r="G824" s="26"/>
      <c r="H824" s="26"/>
      <c r="I824" s="26"/>
      <c r="J824" s="26"/>
      <c r="K824" s="26"/>
    </row>
    <row r="825">
      <c r="A825" s="26"/>
      <c r="B825" s="26"/>
      <c r="C825" s="26"/>
      <c r="D825" s="26"/>
      <c r="E825" s="26"/>
      <c r="F825" s="26"/>
      <c r="G825" s="26"/>
      <c r="H825" s="26"/>
      <c r="I825" s="26"/>
      <c r="J825" s="26"/>
      <c r="K825" s="26"/>
    </row>
    <row r="826">
      <c r="A826" s="26"/>
      <c r="B826" s="26"/>
      <c r="C826" s="26"/>
      <c r="D826" s="26"/>
      <c r="E826" s="26"/>
      <c r="F826" s="26"/>
      <c r="G826" s="26"/>
      <c r="H826" s="26"/>
      <c r="I826" s="26"/>
      <c r="J826" s="26"/>
      <c r="K826" s="26"/>
    </row>
    <row r="827">
      <c r="A827" s="26"/>
      <c r="B827" s="26"/>
      <c r="C827" s="26"/>
      <c r="D827" s="26"/>
      <c r="E827" s="26"/>
      <c r="F827" s="26"/>
      <c r="G827" s="26"/>
      <c r="H827" s="26"/>
      <c r="I827" s="26"/>
      <c r="J827" s="26"/>
      <c r="K827" s="26"/>
    </row>
    <row r="828">
      <c r="A828" s="26"/>
      <c r="B828" s="26"/>
      <c r="C828" s="26"/>
      <c r="D828" s="26"/>
      <c r="E828" s="26"/>
      <c r="F828" s="26"/>
      <c r="G828" s="26"/>
      <c r="H828" s="26"/>
      <c r="I828" s="26"/>
      <c r="J828" s="26"/>
      <c r="K828" s="26"/>
    </row>
    <row r="829">
      <c r="A829" s="26"/>
      <c r="B829" s="26"/>
      <c r="C829" s="26"/>
      <c r="D829" s="26"/>
      <c r="E829" s="26"/>
      <c r="F829" s="26"/>
      <c r="G829" s="26"/>
      <c r="H829" s="26"/>
      <c r="I829" s="26"/>
      <c r="J829" s="26"/>
      <c r="K829" s="26"/>
    </row>
    <row r="830">
      <c r="A830" s="26"/>
      <c r="B830" s="26"/>
      <c r="C830" s="26"/>
      <c r="D830" s="26"/>
      <c r="E830" s="26"/>
      <c r="F830" s="26"/>
      <c r="G830" s="26"/>
      <c r="H830" s="26"/>
      <c r="I830" s="26"/>
      <c r="J830" s="26"/>
      <c r="K830" s="26"/>
    </row>
    <row r="831">
      <c r="A831" s="26"/>
      <c r="B831" s="26"/>
      <c r="C831" s="26"/>
      <c r="D831" s="26"/>
      <c r="E831" s="26"/>
      <c r="F831" s="26"/>
      <c r="G831" s="26"/>
      <c r="H831" s="26"/>
      <c r="I831" s="26"/>
      <c r="J831" s="26"/>
      <c r="K831" s="26"/>
    </row>
    <row r="832">
      <c r="A832" s="26"/>
      <c r="B832" s="26"/>
      <c r="C832" s="26"/>
      <c r="D832" s="26"/>
      <c r="E832" s="26"/>
      <c r="F832" s="26"/>
      <c r="G832" s="26"/>
      <c r="H832" s="26"/>
      <c r="I832" s="26"/>
      <c r="J832" s="26"/>
      <c r="K832" s="26"/>
    </row>
    <row r="833">
      <c r="A833" s="26"/>
      <c r="B833" s="26"/>
      <c r="C833" s="26"/>
      <c r="D833" s="26"/>
      <c r="E833" s="26"/>
      <c r="F833" s="26"/>
      <c r="G833" s="26"/>
      <c r="H833" s="26"/>
      <c r="I833" s="26"/>
      <c r="J833" s="26"/>
      <c r="K833" s="26"/>
    </row>
    <row r="834">
      <c r="A834" s="26"/>
      <c r="B834" s="26"/>
      <c r="C834" s="26"/>
      <c r="D834" s="26"/>
      <c r="E834" s="26"/>
      <c r="F834" s="26"/>
      <c r="G834" s="26"/>
      <c r="H834" s="26"/>
      <c r="I834" s="26"/>
      <c r="J834" s="26"/>
      <c r="K834" s="26"/>
    </row>
    <row r="835">
      <c r="A835" s="26"/>
      <c r="B835" s="26"/>
      <c r="C835" s="26"/>
      <c r="D835" s="26"/>
      <c r="E835" s="26"/>
      <c r="F835" s="26"/>
      <c r="G835" s="26"/>
      <c r="H835" s="26"/>
      <c r="I835" s="26"/>
      <c r="J835" s="26"/>
      <c r="K835" s="26"/>
    </row>
    <row r="836">
      <c r="A836" s="26"/>
      <c r="B836" s="26"/>
      <c r="C836" s="26"/>
      <c r="D836" s="26"/>
      <c r="E836" s="26"/>
      <c r="F836" s="26"/>
      <c r="G836" s="26"/>
      <c r="H836" s="26"/>
      <c r="I836" s="26"/>
      <c r="J836" s="26"/>
      <c r="K836" s="26"/>
    </row>
    <row r="837">
      <c r="A837" s="26"/>
      <c r="B837" s="26"/>
      <c r="C837" s="26"/>
      <c r="D837" s="26"/>
      <c r="E837" s="26"/>
      <c r="F837" s="26"/>
      <c r="G837" s="26"/>
      <c r="H837" s="26"/>
      <c r="I837" s="26"/>
      <c r="J837" s="26"/>
      <c r="K837" s="26"/>
    </row>
    <row r="838">
      <c r="A838" s="26"/>
      <c r="B838" s="26"/>
      <c r="C838" s="26"/>
      <c r="D838" s="26"/>
      <c r="E838" s="26"/>
      <c r="F838" s="26"/>
      <c r="G838" s="26"/>
      <c r="H838" s="26"/>
      <c r="I838" s="26"/>
      <c r="J838" s="26"/>
      <c r="K838" s="26"/>
    </row>
    <row r="839">
      <c r="A839" s="26"/>
      <c r="B839" s="26"/>
      <c r="C839" s="26"/>
      <c r="D839" s="26"/>
      <c r="E839" s="26"/>
      <c r="F839" s="26"/>
      <c r="G839" s="26"/>
      <c r="H839" s="26"/>
      <c r="I839" s="26"/>
      <c r="J839" s="26"/>
      <c r="K839" s="26"/>
    </row>
    <row r="840">
      <c r="A840" s="26"/>
      <c r="B840" s="26"/>
      <c r="C840" s="26"/>
      <c r="D840" s="26"/>
      <c r="E840" s="26"/>
      <c r="F840" s="26"/>
      <c r="G840" s="26"/>
      <c r="H840" s="26"/>
      <c r="I840" s="26"/>
      <c r="J840" s="26"/>
      <c r="K840" s="26"/>
    </row>
    <row r="841">
      <c r="A841" s="26"/>
      <c r="B841" s="26"/>
      <c r="C841" s="26"/>
      <c r="D841" s="26"/>
      <c r="E841" s="26"/>
      <c r="F841" s="26"/>
      <c r="G841" s="26"/>
      <c r="H841" s="26"/>
      <c r="I841" s="26"/>
      <c r="J841" s="26"/>
      <c r="K841" s="26"/>
    </row>
    <row r="842">
      <c r="A842" s="26"/>
      <c r="B842" s="26"/>
      <c r="C842" s="26"/>
      <c r="D842" s="26"/>
      <c r="E842" s="26"/>
      <c r="F842" s="26"/>
      <c r="G842" s="26"/>
      <c r="H842" s="26"/>
      <c r="I842" s="26"/>
      <c r="J842" s="26"/>
      <c r="K842" s="26"/>
    </row>
    <row r="843">
      <c r="A843" s="26"/>
      <c r="B843" s="26"/>
      <c r="C843" s="26"/>
      <c r="D843" s="26"/>
      <c r="E843" s="26"/>
      <c r="F843" s="26"/>
      <c r="G843" s="26"/>
      <c r="H843" s="26"/>
      <c r="I843" s="26"/>
      <c r="J843" s="26"/>
      <c r="K843" s="26"/>
    </row>
    <row r="844">
      <c r="A844" s="26"/>
      <c r="B844" s="26"/>
      <c r="C844" s="26"/>
      <c r="D844" s="26"/>
      <c r="E844" s="26"/>
      <c r="F844" s="26"/>
      <c r="G844" s="26"/>
      <c r="H844" s="26"/>
      <c r="I844" s="26"/>
      <c r="J844" s="26"/>
      <c r="K844" s="26"/>
    </row>
    <row r="845">
      <c r="A845" s="26"/>
      <c r="B845" s="26"/>
      <c r="C845" s="26"/>
      <c r="D845" s="26"/>
      <c r="E845" s="26"/>
      <c r="F845" s="26"/>
      <c r="G845" s="26"/>
      <c r="H845" s="26"/>
      <c r="I845" s="26"/>
      <c r="J845" s="26"/>
      <c r="K845" s="26"/>
    </row>
    <row r="846">
      <c r="A846" s="26"/>
      <c r="B846" s="26"/>
      <c r="C846" s="26"/>
      <c r="D846" s="26"/>
      <c r="E846" s="26"/>
      <c r="F846" s="26"/>
      <c r="G846" s="26"/>
      <c r="H846" s="26"/>
      <c r="I846" s="26"/>
      <c r="J846" s="26"/>
      <c r="K846" s="26"/>
    </row>
    <row r="847">
      <c r="A847" s="26"/>
      <c r="B847" s="26"/>
      <c r="C847" s="26"/>
      <c r="D847" s="26"/>
      <c r="E847" s="26"/>
      <c r="F847" s="26"/>
      <c r="G847" s="26"/>
      <c r="H847" s="26"/>
      <c r="I847" s="26"/>
      <c r="J847" s="26"/>
      <c r="K847" s="26"/>
    </row>
    <row r="848">
      <c r="A848" s="26"/>
      <c r="B848" s="26"/>
      <c r="C848" s="26"/>
      <c r="D848" s="26"/>
      <c r="E848" s="26"/>
      <c r="F848" s="26"/>
      <c r="G848" s="26"/>
      <c r="H848" s="26"/>
      <c r="I848" s="26"/>
      <c r="J848" s="26"/>
      <c r="K848" s="26"/>
    </row>
    <row r="849">
      <c r="A849" s="26"/>
      <c r="B849" s="26"/>
      <c r="C849" s="26"/>
      <c r="D849" s="26"/>
      <c r="E849" s="26"/>
      <c r="F849" s="26"/>
      <c r="G849" s="26"/>
      <c r="H849" s="26"/>
      <c r="I849" s="26"/>
      <c r="J849" s="26"/>
      <c r="K849" s="26"/>
    </row>
    <row r="850">
      <c r="A850" s="26"/>
      <c r="B850" s="26"/>
      <c r="C850" s="26"/>
      <c r="D850" s="26"/>
      <c r="E850" s="26"/>
      <c r="F850" s="26"/>
      <c r="G850" s="26"/>
      <c r="H850" s="26"/>
      <c r="I850" s="26"/>
      <c r="J850" s="26"/>
      <c r="K850" s="26"/>
    </row>
    <row r="851">
      <c r="A851" s="26"/>
      <c r="B851" s="26"/>
      <c r="C851" s="26"/>
      <c r="D851" s="26"/>
      <c r="E851" s="26"/>
      <c r="F851" s="26"/>
      <c r="G851" s="26"/>
      <c r="H851" s="26"/>
      <c r="I851" s="26"/>
      <c r="J851" s="26"/>
      <c r="K851" s="26"/>
    </row>
    <row r="852">
      <c r="A852" s="26"/>
      <c r="B852" s="26"/>
      <c r="C852" s="26"/>
      <c r="D852" s="26"/>
      <c r="E852" s="26"/>
      <c r="F852" s="26"/>
      <c r="G852" s="26"/>
      <c r="H852" s="26"/>
      <c r="I852" s="26"/>
      <c r="J852" s="26"/>
      <c r="K852" s="26"/>
    </row>
    <row r="853">
      <c r="A853" s="26"/>
      <c r="B853" s="26"/>
      <c r="C853" s="26"/>
      <c r="D853" s="26"/>
      <c r="E853" s="26"/>
      <c r="F853" s="26"/>
      <c r="G853" s="26"/>
      <c r="H853" s="26"/>
      <c r="I853" s="26"/>
      <c r="J853" s="26"/>
      <c r="K853" s="26"/>
    </row>
    <row r="854">
      <c r="A854" s="26"/>
      <c r="B854" s="26"/>
      <c r="C854" s="26"/>
      <c r="D854" s="26"/>
      <c r="E854" s="26"/>
      <c r="F854" s="26"/>
      <c r="G854" s="26"/>
      <c r="H854" s="26"/>
      <c r="I854" s="26"/>
      <c r="J854" s="26"/>
      <c r="K854" s="26"/>
    </row>
    <row r="855">
      <c r="A855" s="26"/>
      <c r="B855" s="26"/>
      <c r="C855" s="26"/>
      <c r="D855" s="26"/>
      <c r="E855" s="26"/>
      <c r="F855" s="26"/>
      <c r="G855" s="26"/>
      <c r="H855" s="26"/>
      <c r="I855" s="26"/>
      <c r="J855" s="26"/>
      <c r="K855" s="26"/>
    </row>
    <row r="856">
      <c r="A856" s="26"/>
      <c r="B856" s="26"/>
      <c r="C856" s="26"/>
      <c r="D856" s="26"/>
      <c r="E856" s="26"/>
      <c r="F856" s="26"/>
      <c r="G856" s="26"/>
      <c r="H856" s="26"/>
      <c r="I856" s="26"/>
      <c r="J856" s="26"/>
      <c r="K856" s="26"/>
    </row>
    <row r="857">
      <c r="A857" s="26"/>
      <c r="B857" s="26"/>
      <c r="C857" s="26"/>
      <c r="D857" s="26"/>
      <c r="E857" s="26"/>
      <c r="F857" s="26"/>
      <c r="G857" s="26"/>
      <c r="H857" s="26"/>
      <c r="I857" s="26"/>
      <c r="J857" s="26"/>
      <c r="K857" s="26"/>
    </row>
    <row r="858">
      <c r="A858" s="26"/>
      <c r="B858" s="26"/>
      <c r="C858" s="26"/>
      <c r="D858" s="26"/>
      <c r="E858" s="26"/>
      <c r="F858" s="26"/>
      <c r="G858" s="26"/>
      <c r="H858" s="26"/>
      <c r="I858" s="26"/>
      <c r="J858" s="26"/>
      <c r="K858" s="26"/>
    </row>
    <row r="859">
      <c r="A859" s="26"/>
      <c r="B859" s="26"/>
      <c r="C859" s="26"/>
      <c r="D859" s="26"/>
      <c r="E859" s="26"/>
      <c r="F859" s="26"/>
      <c r="G859" s="26"/>
      <c r="H859" s="26"/>
      <c r="I859" s="26"/>
      <c r="J859" s="26"/>
      <c r="K859" s="26"/>
    </row>
    <row r="860">
      <c r="A860" s="26"/>
      <c r="B860" s="26"/>
      <c r="C860" s="26"/>
      <c r="D860" s="26"/>
      <c r="E860" s="26"/>
      <c r="F860" s="26"/>
      <c r="G860" s="26"/>
      <c r="H860" s="26"/>
      <c r="I860" s="26"/>
      <c r="J860" s="26"/>
      <c r="K860" s="26"/>
    </row>
    <row r="861">
      <c r="A861" s="26"/>
      <c r="B861" s="26"/>
      <c r="C861" s="26"/>
      <c r="D861" s="26"/>
      <c r="E861" s="26"/>
      <c r="F861" s="26"/>
      <c r="G861" s="26"/>
      <c r="H861" s="26"/>
      <c r="I861" s="26"/>
      <c r="J861" s="26"/>
      <c r="K861" s="26"/>
    </row>
    <row r="862">
      <c r="A862" s="26"/>
      <c r="B862" s="26"/>
      <c r="C862" s="26"/>
      <c r="D862" s="26"/>
      <c r="E862" s="26"/>
      <c r="F862" s="26"/>
      <c r="G862" s="26"/>
      <c r="H862" s="26"/>
      <c r="I862" s="26"/>
      <c r="J862" s="26"/>
      <c r="K862" s="26"/>
    </row>
    <row r="863">
      <c r="A863" s="26"/>
      <c r="B863" s="26"/>
      <c r="C863" s="26"/>
      <c r="D863" s="26"/>
      <c r="E863" s="26"/>
      <c r="F863" s="26"/>
      <c r="G863" s="26"/>
      <c r="H863" s="26"/>
      <c r="I863" s="26"/>
      <c r="J863" s="26"/>
      <c r="K863" s="26"/>
    </row>
    <row r="864">
      <c r="A864" s="26"/>
      <c r="B864" s="26"/>
      <c r="C864" s="26"/>
      <c r="D864" s="26"/>
      <c r="E864" s="26"/>
      <c r="F864" s="26"/>
      <c r="G864" s="26"/>
      <c r="H864" s="26"/>
      <c r="I864" s="26"/>
      <c r="J864" s="26"/>
      <c r="K864" s="26"/>
    </row>
    <row r="865">
      <c r="A865" s="26"/>
      <c r="B865" s="26"/>
      <c r="C865" s="26"/>
      <c r="D865" s="26"/>
      <c r="E865" s="26"/>
      <c r="F865" s="26"/>
      <c r="G865" s="26"/>
      <c r="H865" s="26"/>
      <c r="I865" s="26"/>
      <c r="J865" s="26"/>
      <c r="K865" s="26"/>
    </row>
    <row r="866">
      <c r="A866" s="26"/>
      <c r="B866" s="26"/>
      <c r="C866" s="26"/>
      <c r="D866" s="26"/>
      <c r="E866" s="26"/>
      <c r="F866" s="26"/>
      <c r="G866" s="26"/>
      <c r="H866" s="26"/>
      <c r="I866" s="26"/>
      <c r="J866" s="26"/>
      <c r="K866" s="26"/>
    </row>
    <row r="867">
      <c r="A867" s="26"/>
      <c r="B867" s="26"/>
      <c r="C867" s="26"/>
      <c r="D867" s="26"/>
      <c r="E867" s="26"/>
      <c r="F867" s="26"/>
      <c r="G867" s="26"/>
      <c r="H867" s="26"/>
      <c r="I867" s="26"/>
      <c r="J867" s="26"/>
      <c r="K867" s="26"/>
    </row>
    <row r="868">
      <c r="A868" s="26"/>
      <c r="B868" s="26"/>
      <c r="C868" s="26"/>
      <c r="D868" s="26"/>
      <c r="E868" s="26"/>
      <c r="F868" s="26"/>
      <c r="G868" s="26"/>
      <c r="H868" s="26"/>
      <c r="I868" s="26"/>
      <c r="J868" s="26"/>
      <c r="K868" s="26"/>
    </row>
    <row r="869">
      <c r="A869" s="26"/>
      <c r="B869" s="26"/>
      <c r="C869" s="26"/>
      <c r="D869" s="26"/>
      <c r="E869" s="26"/>
      <c r="F869" s="26"/>
      <c r="G869" s="26"/>
      <c r="H869" s="26"/>
      <c r="I869" s="26"/>
      <c r="J869" s="26"/>
      <c r="K869" s="26"/>
    </row>
    <row r="870">
      <c r="A870" s="26"/>
      <c r="B870" s="26"/>
      <c r="C870" s="26"/>
      <c r="D870" s="26"/>
      <c r="E870" s="26"/>
      <c r="F870" s="26"/>
      <c r="G870" s="26"/>
      <c r="H870" s="26"/>
      <c r="I870" s="26"/>
      <c r="J870" s="26"/>
      <c r="K870" s="26"/>
    </row>
    <row r="871">
      <c r="A871" s="26"/>
      <c r="B871" s="26"/>
      <c r="C871" s="26"/>
      <c r="D871" s="26"/>
      <c r="E871" s="26"/>
      <c r="F871" s="26"/>
      <c r="G871" s="26"/>
      <c r="H871" s="26"/>
      <c r="I871" s="26"/>
      <c r="J871" s="26"/>
      <c r="K871" s="26"/>
    </row>
    <row r="872">
      <c r="A872" s="26"/>
      <c r="B872" s="26"/>
      <c r="C872" s="26"/>
      <c r="D872" s="26"/>
      <c r="E872" s="26"/>
      <c r="F872" s="26"/>
      <c r="G872" s="26"/>
      <c r="H872" s="26"/>
      <c r="I872" s="26"/>
      <c r="J872" s="26"/>
      <c r="K872" s="26"/>
    </row>
    <row r="873">
      <c r="A873" s="26"/>
      <c r="B873" s="26"/>
      <c r="C873" s="26"/>
      <c r="D873" s="26"/>
      <c r="E873" s="26"/>
      <c r="F873" s="26"/>
      <c r="G873" s="26"/>
      <c r="H873" s="26"/>
      <c r="I873" s="26"/>
      <c r="J873" s="26"/>
      <c r="K873" s="26"/>
    </row>
    <row r="874">
      <c r="A874" s="26"/>
      <c r="B874" s="26"/>
      <c r="C874" s="26"/>
      <c r="D874" s="26"/>
      <c r="E874" s="26"/>
      <c r="F874" s="26"/>
      <c r="G874" s="26"/>
      <c r="H874" s="26"/>
      <c r="I874" s="26"/>
      <c r="J874" s="26"/>
      <c r="K874" s="26"/>
    </row>
    <row r="875">
      <c r="A875" s="26"/>
      <c r="B875" s="26"/>
      <c r="C875" s="26"/>
      <c r="D875" s="26"/>
      <c r="E875" s="26"/>
      <c r="F875" s="26"/>
      <c r="G875" s="26"/>
      <c r="H875" s="26"/>
      <c r="I875" s="26"/>
      <c r="J875" s="26"/>
      <c r="K875" s="26"/>
    </row>
    <row r="876">
      <c r="A876" s="26"/>
      <c r="B876" s="26"/>
      <c r="C876" s="26"/>
      <c r="D876" s="26"/>
      <c r="E876" s="26"/>
      <c r="F876" s="26"/>
      <c r="G876" s="26"/>
      <c r="H876" s="26"/>
      <c r="I876" s="26"/>
      <c r="J876" s="26"/>
      <c r="K876" s="26"/>
    </row>
    <row r="877">
      <c r="A877" s="26"/>
      <c r="B877" s="26"/>
      <c r="C877" s="26"/>
      <c r="D877" s="26"/>
      <c r="E877" s="26"/>
      <c r="F877" s="26"/>
      <c r="G877" s="26"/>
      <c r="H877" s="26"/>
      <c r="I877" s="26"/>
      <c r="J877" s="26"/>
      <c r="K877" s="26"/>
    </row>
    <row r="878">
      <c r="A878" s="26"/>
      <c r="B878" s="26"/>
      <c r="C878" s="26"/>
      <c r="D878" s="26"/>
      <c r="E878" s="26"/>
      <c r="F878" s="26"/>
      <c r="G878" s="26"/>
      <c r="H878" s="26"/>
      <c r="I878" s="26"/>
      <c r="J878" s="26"/>
      <c r="K878" s="26"/>
    </row>
    <row r="879">
      <c r="A879" s="26"/>
      <c r="B879" s="26"/>
      <c r="C879" s="26"/>
      <c r="D879" s="26"/>
      <c r="E879" s="26"/>
      <c r="F879" s="26"/>
      <c r="G879" s="26"/>
      <c r="H879" s="26"/>
      <c r="I879" s="26"/>
      <c r="J879" s="26"/>
      <c r="K879" s="26"/>
    </row>
    <row r="880">
      <c r="A880" s="26"/>
      <c r="B880" s="26"/>
      <c r="C880" s="26"/>
      <c r="D880" s="26"/>
      <c r="E880" s="26"/>
      <c r="F880" s="26"/>
      <c r="G880" s="26"/>
      <c r="H880" s="26"/>
      <c r="I880" s="26"/>
      <c r="J880" s="26"/>
      <c r="K880" s="26"/>
    </row>
    <row r="881">
      <c r="A881" s="26"/>
      <c r="B881" s="26"/>
      <c r="C881" s="26"/>
      <c r="D881" s="26"/>
      <c r="E881" s="26"/>
      <c r="F881" s="26"/>
      <c r="G881" s="26"/>
      <c r="H881" s="26"/>
      <c r="I881" s="26"/>
      <c r="J881" s="26"/>
      <c r="K881" s="26"/>
    </row>
    <row r="882">
      <c r="A882" s="26"/>
      <c r="B882" s="26"/>
      <c r="C882" s="26"/>
      <c r="D882" s="26"/>
      <c r="E882" s="26"/>
      <c r="F882" s="26"/>
      <c r="G882" s="26"/>
      <c r="H882" s="26"/>
      <c r="I882" s="26"/>
      <c r="J882" s="26"/>
      <c r="K882" s="26"/>
    </row>
    <row r="883">
      <c r="A883" s="26"/>
      <c r="B883" s="26"/>
      <c r="C883" s="26"/>
      <c r="D883" s="26"/>
      <c r="E883" s="26"/>
      <c r="F883" s="26"/>
      <c r="G883" s="26"/>
      <c r="H883" s="26"/>
      <c r="I883" s="26"/>
      <c r="J883" s="26"/>
      <c r="K883" s="26"/>
    </row>
    <row r="884">
      <c r="A884" s="26"/>
      <c r="B884" s="26"/>
      <c r="C884" s="26"/>
      <c r="D884" s="26"/>
      <c r="E884" s="26"/>
      <c r="F884" s="26"/>
      <c r="G884" s="26"/>
      <c r="H884" s="26"/>
      <c r="I884" s="26"/>
      <c r="J884" s="26"/>
      <c r="K884" s="26"/>
    </row>
    <row r="885">
      <c r="A885" s="26"/>
      <c r="B885" s="26"/>
      <c r="C885" s="26"/>
      <c r="D885" s="26"/>
      <c r="E885" s="26"/>
      <c r="F885" s="26"/>
      <c r="G885" s="26"/>
      <c r="H885" s="26"/>
      <c r="I885" s="26"/>
      <c r="J885" s="26"/>
      <c r="K885" s="26"/>
    </row>
    <row r="886">
      <c r="A886" s="26"/>
      <c r="B886" s="26"/>
      <c r="C886" s="26"/>
      <c r="D886" s="26"/>
      <c r="E886" s="26"/>
      <c r="F886" s="26"/>
      <c r="G886" s="26"/>
      <c r="H886" s="26"/>
      <c r="I886" s="26"/>
      <c r="J886" s="26"/>
      <c r="K886" s="26"/>
    </row>
    <row r="887">
      <c r="A887" s="26"/>
      <c r="B887" s="26"/>
      <c r="C887" s="26"/>
      <c r="D887" s="26"/>
      <c r="E887" s="26"/>
      <c r="F887" s="26"/>
      <c r="G887" s="26"/>
      <c r="H887" s="26"/>
      <c r="I887" s="26"/>
      <c r="J887" s="26"/>
      <c r="K887" s="26"/>
    </row>
    <row r="888">
      <c r="A888" s="26"/>
      <c r="B888" s="26"/>
      <c r="C888" s="26"/>
      <c r="D888" s="26"/>
      <c r="E888" s="26"/>
      <c r="F888" s="26"/>
      <c r="G888" s="26"/>
      <c r="H888" s="26"/>
      <c r="I888" s="26"/>
      <c r="J888" s="26"/>
      <c r="K888" s="26"/>
    </row>
    <row r="889">
      <c r="A889" s="26"/>
      <c r="B889" s="26"/>
      <c r="C889" s="26"/>
      <c r="D889" s="26"/>
      <c r="E889" s="26"/>
      <c r="F889" s="26"/>
      <c r="G889" s="26"/>
      <c r="H889" s="26"/>
      <c r="I889" s="26"/>
      <c r="J889" s="26"/>
      <c r="K889" s="26"/>
    </row>
    <row r="890">
      <c r="A890" s="26"/>
      <c r="B890" s="26"/>
      <c r="C890" s="26"/>
      <c r="D890" s="26"/>
      <c r="E890" s="26"/>
      <c r="F890" s="26"/>
      <c r="G890" s="26"/>
      <c r="H890" s="26"/>
      <c r="I890" s="26"/>
      <c r="J890" s="26"/>
      <c r="K890" s="26"/>
    </row>
    <row r="891">
      <c r="A891" s="26"/>
      <c r="B891" s="26"/>
      <c r="C891" s="26"/>
      <c r="D891" s="26"/>
      <c r="E891" s="26"/>
      <c r="F891" s="26"/>
      <c r="G891" s="26"/>
      <c r="H891" s="26"/>
      <c r="I891" s="26"/>
      <c r="J891" s="26"/>
      <c r="K891" s="26"/>
    </row>
    <row r="892">
      <c r="A892" s="26"/>
      <c r="B892" s="26"/>
      <c r="C892" s="26"/>
      <c r="D892" s="26"/>
      <c r="E892" s="26"/>
      <c r="F892" s="26"/>
      <c r="G892" s="26"/>
      <c r="H892" s="26"/>
      <c r="I892" s="26"/>
      <c r="J892" s="26"/>
      <c r="K892" s="26"/>
    </row>
    <row r="893">
      <c r="A893" s="26"/>
      <c r="B893" s="26"/>
      <c r="C893" s="26"/>
      <c r="D893" s="26"/>
      <c r="E893" s="26"/>
      <c r="F893" s="26"/>
      <c r="G893" s="26"/>
      <c r="H893" s="26"/>
      <c r="I893" s="26"/>
      <c r="J893" s="26"/>
      <c r="K893" s="26"/>
    </row>
    <row r="894">
      <c r="A894" s="26"/>
      <c r="B894" s="26"/>
      <c r="C894" s="26"/>
      <c r="D894" s="26"/>
      <c r="E894" s="26"/>
      <c r="F894" s="26"/>
      <c r="G894" s="26"/>
      <c r="H894" s="26"/>
      <c r="I894" s="26"/>
      <c r="J894" s="26"/>
      <c r="K894" s="26"/>
    </row>
    <row r="895">
      <c r="A895" s="26"/>
      <c r="B895" s="26"/>
      <c r="C895" s="26"/>
      <c r="D895" s="26"/>
      <c r="E895" s="26"/>
      <c r="F895" s="26"/>
      <c r="G895" s="26"/>
      <c r="H895" s="26"/>
      <c r="I895" s="26"/>
      <c r="J895" s="26"/>
      <c r="K895" s="26"/>
    </row>
    <row r="896">
      <c r="A896" s="26"/>
      <c r="B896" s="26"/>
      <c r="C896" s="26"/>
      <c r="D896" s="26"/>
      <c r="E896" s="26"/>
      <c r="F896" s="26"/>
      <c r="G896" s="26"/>
      <c r="H896" s="26"/>
      <c r="I896" s="26"/>
      <c r="J896" s="26"/>
      <c r="K896" s="26"/>
    </row>
    <row r="897">
      <c r="A897" s="26"/>
      <c r="B897" s="26"/>
      <c r="C897" s="26"/>
      <c r="D897" s="26"/>
      <c r="E897" s="26"/>
      <c r="F897" s="26"/>
      <c r="G897" s="26"/>
      <c r="H897" s="26"/>
      <c r="I897" s="26"/>
      <c r="J897" s="26"/>
      <c r="K897" s="26"/>
    </row>
    <row r="898">
      <c r="A898" s="26"/>
      <c r="B898" s="26"/>
      <c r="C898" s="26"/>
      <c r="D898" s="26"/>
      <c r="E898" s="26"/>
      <c r="F898" s="26"/>
      <c r="G898" s="26"/>
      <c r="H898" s="26"/>
      <c r="I898" s="26"/>
      <c r="J898" s="26"/>
      <c r="K898" s="26"/>
    </row>
    <row r="899">
      <c r="A899" s="26"/>
      <c r="B899" s="26"/>
      <c r="C899" s="26"/>
      <c r="D899" s="26"/>
      <c r="E899" s="26"/>
      <c r="F899" s="26"/>
      <c r="G899" s="26"/>
      <c r="H899" s="26"/>
      <c r="I899" s="26"/>
      <c r="J899" s="26"/>
      <c r="K899" s="26"/>
    </row>
    <row r="900">
      <c r="A900" s="26"/>
      <c r="B900" s="26"/>
      <c r="C900" s="26"/>
      <c r="D900" s="26"/>
      <c r="E900" s="26"/>
      <c r="F900" s="26"/>
      <c r="G900" s="26"/>
      <c r="H900" s="26"/>
      <c r="I900" s="26"/>
      <c r="J900" s="26"/>
      <c r="K900" s="26"/>
    </row>
    <row r="901">
      <c r="A901" s="26"/>
      <c r="B901" s="26"/>
      <c r="C901" s="26"/>
      <c r="D901" s="26"/>
      <c r="E901" s="26"/>
      <c r="F901" s="26"/>
      <c r="G901" s="26"/>
      <c r="H901" s="26"/>
      <c r="I901" s="26"/>
      <c r="J901" s="26"/>
      <c r="K901" s="26"/>
    </row>
    <row r="902">
      <c r="A902" s="26"/>
      <c r="B902" s="26"/>
      <c r="C902" s="26"/>
      <c r="D902" s="26"/>
      <c r="E902" s="26"/>
      <c r="F902" s="26"/>
      <c r="G902" s="26"/>
      <c r="H902" s="26"/>
      <c r="I902" s="26"/>
      <c r="J902" s="26"/>
      <c r="K902" s="26"/>
    </row>
    <row r="903">
      <c r="A903" s="26"/>
      <c r="B903" s="26"/>
      <c r="C903" s="26"/>
      <c r="D903" s="26"/>
      <c r="E903" s="26"/>
      <c r="F903" s="26"/>
      <c r="G903" s="26"/>
      <c r="H903" s="26"/>
      <c r="I903" s="26"/>
      <c r="J903" s="26"/>
      <c r="K903" s="26"/>
    </row>
    <row r="904">
      <c r="A904" s="26"/>
      <c r="B904" s="26"/>
      <c r="C904" s="26"/>
      <c r="D904" s="26"/>
      <c r="E904" s="26"/>
      <c r="F904" s="26"/>
      <c r="G904" s="26"/>
      <c r="H904" s="26"/>
      <c r="I904" s="26"/>
      <c r="J904" s="26"/>
      <c r="K904" s="26"/>
    </row>
    <row r="905">
      <c r="A905" s="26"/>
      <c r="B905" s="26"/>
      <c r="C905" s="26"/>
      <c r="D905" s="26"/>
      <c r="E905" s="26"/>
      <c r="F905" s="26"/>
      <c r="G905" s="26"/>
      <c r="H905" s="26"/>
      <c r="I905" s="26"/>
      <c r="J905" s="26"/>
      <c r="K905" s="26"/>
    </row>
    <row r="906">
      <c r="A906" s="26"/>
      <c r="B906" s="26"/>
      <c r="C906" s="26"/>
      <c r="D906" s="26"/>
      <c r="E906" s="26"/>
      <c r="F906" s="26"/>
      <c r="G906" s="26"/>
      <c r="H906" s="26"/>
      <c r="I906" s="26"/>
      <c r="J906" s="26"/>
      <c r="K906" s="26"/>
    </row>
    <row r="907">
      <c r="A907" s="26"/>
      <c r="B907" s="26"/>
      <c r="C907" s="26"/>
      <c r="D907" s="26"/>
      <c r="E907" s="26"/>
      <c r="F907" s="26"/>
      <c r="G907" s="26"/>
      <c r="H907" s="26"/>
      <c r="I907" s="26"/>
      <c r="J907" s="26"/>
      <c r="K907" s="26"/>
    </row>
    <row r="908">
      <c r="A908" s="26"/>
      <c r="B908" s="26"/>
      <c r="C908" s="26"/>
      <c r="D908" s="26"/>
      <c r="E908" s="26"/>
      <c r="F908" s="26"/>
      <c r="G908" s="26"/>
      <c r="H908" s="26"/>
      <c r="I908" s="26"/>
      <c r="J908" s="26"/>
      <c r="K908" s="26"/>
    </row>
    <row r="909">
      <c r="A909" s="26"/>
      <c r="B909" s="26"/>
      <c r="C909" s="26"/>
      <c r="D909" s="26"/>
      <c r="E909" s="26"/>
      <c r="F909" s="26"/>
      <c r="G909" s="26"/>
      <c r="H909" s="26"/>
      <c r="I909" s="26"/>
      <c r="J909" s="26"/>
      <c r="K909" s="26"/>
    </row>
    <row r="910">
      <c r="A910" s="26"/>
      <c r="B910" s="26"/>
      <c r="C910" s="26"/>
      <c r="D910" s="26"/>
      <c r="E910" s="26"/>
      <c r="F910" s="26"/>
      <c r="G910" s="26"/>
      <c r="H910" s="26"/>
      <c r="I910" s="26"/>
      <c r="J910" s="26"/>
      <c r="K910" s="26"/>
    </row>
    <row r="911">
      <c r="A911" s="26"/>
      <c r="B911" s="26"/>
      <c r="C911" s="26"/>
      <c r="D911" s="26"/>
      <c r="E911" s="26"/>
      <c r="F911" s="26"/>
      <c r="G911" s="26"/>
      <c r="H911" s="26"/>
      <c r="I911" s="26"/>
      <c r="J911" s="26"/>
      <c r="K911" s="26"/>
    </row>
    <row r="912">
      <c r="A912" s="26"/>
      <c r="B912" s="26"/>
      <c r="C912" s="26"/>
      <c r="D912" s="26"/>
      <c r="E912" s="26"/>
      <c r="F912" s="26"/>
      <c r="G912" s="26"/>
      <c r="H912" s="26"/>
      <c r="I912" s="26"/>
      <c r="J912" s="26"/>
      <c r="K912" s="26"/>
    </row>
    <row r="913">
      <c r="A913" s="26"/>
      <c r="B913" s="26"/>
      <c r="C913" s="26"/>
      <c r="D913" s="26"/>
      <c r="E913" s="26"/>
      <c r="F913" s="26"/>
      <c r="G913" s="26"/>
      <c r="H913" s="26"/>
      <c r="I913" s="26"/>
      <c r="J913" s="26"/>
      <c r="K913" s="26"/>
    </row>
    <row r="914">
      <c r="A914" s="26"/>
      <c r="B914" s="26"/>
      <c r="C914" s="26"/>
      <c r="D914" s="26"/>
      <c r="E914" s="26"/>
      <c r="F914" s="26"/>
      <c r="G914" s="26"/>
      <c r="H914" s="26"/>
      <c r="I914" s="26"/>
      <c r="J914" s="26"/>
      <c r="K914" s="26"/>
    </row>
    <row r="915">
      <c r="A915" s="26"/>
      <c r="B915" s="26"/>
      <c r="C915" s="26"/>
      <c r="D915" s="26"/>
      <c r="E915" s="26"/>
      <c r="F915" s="26"/>
      <c r="G915" s="26"/>
      <c r="H915" s="26"/>
      <c r="I915" s="26"/>
      <c r="J915" s="26"/>
      <c r="K915" s="26"/>
    </row>
    <row r="916">
      <c r="A916" s="26"/>
      <c r="B916" s="26"/>
      <c r="C916" s="26"/>
      <c r="D916" s="26"/>
      <c r="E916" s="26"/>
      <c r="F916" s="26"/>
      <c r="G916" s="26"/>
      <c r="H916" s="26"/>
      <c r="I916" s="26"/>
      <c r="J916" s="26"/>
      <c r="K916" s="26"/>
    </row>
    <row r="917">
      <c r="A917" s="26"/>
      <c r="B917" s="26"/>
      <c r="C917" s="26"/>
      <c r="D917" s="26"/>
      <c r="E917" s="26"/>
      <c r="F917" s="26"/>
      <c r="G917" s="26"/>
      <c r="H917" s="26"/>
      <c r="I917" s="26"/>
      <c r="J917" s="26"/>
      <c r="K917" s="26"/>
    </row>
    <row r="918">
      <c r="A918" s="26"/>
      <c r="B918" s="26"/>
      <c r="C918" s="26"/>
      <c r="D918" s="26"/>
      <c r="E918" s="26"/>
      <c r="F918" s="26"/>
      <c r="G918" s="26"/>
      <c r="H918" s="26"/>
      <c r="I918" s="26"/>
      <c r="J918" s="26"/>
      <c r="K918" s="26"/>
    </row>
    <row r="919">
      <c r="A919" s="26"/>
      <c r="B919" s="26"/>
      <c r="C919" s="26"/>
      <c r="D919" s="26"/>
      <c r="E919" s="26"/>
      <c r="F919" s="26"/>
      <c r="G919" s="26"/>
      <c r="H919" s="26"/>
      <c r="I919" s="26"/>
      <c r="J919" s="26"/>
      <c r="K919" s="26"/>
    </row>
    <row r="920">
      <c r="A920" s="26"/>
      <c r="B920" s="26"/>
      <c r="C920" s="26"/>
      <c r="D920" s="26"/>
      <c r="E920" s="26"/>
      <c r="F920" s="26"/>
      <c r="G920" s="26"/>
      <c r="H920" s="26"/>
      <c r="I920" s="26"/>
      <c r="J920" s="26"/>
      <c r="K920" s="26"/>
    </row>
    <row r="921">
      <c r="A921" s="26"/>
      <c r="B921" s="26"/>
      <c r="C921" s="26"/>
      <c r="D921" s="26"/>
      <c r="E921" s="26"/>
      <c r="F921" s="26"/>
      <c r="G921" s="26"/>
      <c r="H921" s="26"/>
      <c r="I921" s="26"/>
      <c r="J921" s="26"/>
      <c r="K921" s="26"/>
    </row>
    <row r="922">
      <c r="A922" s="26"/>
      <c r="B922" s="26"/>
      <c r="C922" s="26"/>
      <c r="D922" s="26"/>
      <c r="E922" s="26"/>
      <c r="F922" s="26"/>
      <c r="G922" s="26"/>
      <c r="H922" s="26"/>
      <c r="I922" s="26"/>
      <c r="J922" s="26"/>
      <c r="K922" s="26"/>
    </row>
    <row r="923">
      <c r="A923" s="26"/>
      <c r="B923" s="26"/>
      <c r="C923" s="26"/>
      <c r="D923" s="26"/>
      <c r="E923" s="26"/>
      <c r="F923" s="26"/>
      <c r="G923" s="26"/>
      <c r="H923" s="26"/>
      <c r="I923" s="26"/>
      <c r="J923" s="26"/>
      <c r="K923" s="26"/>
    </row>
    <row r="924">
      <c r="A924" s="26"/>
      <c r="B924" s="26"/>
      <c r="C924" s="26"/>
      <c r="D924" s="26"/>
      <c r="E924" s="26"/>
      <c r="F924" s="26"/>
      <c r="G924" s="26"/>
      <c r="H924" s="26"/>
      <c r="I924" s="26"/>
      <c r="J924" s="26"/>
      <c r="K924" s="26"/>
    </row>
    <row r="925">
      <c r="A925" s="26"/>
      <c r="B925" s="26"/>
      <c r="C925" s="26"/>
      <c r="D925" s="26"/>
      <c r="E925" s="26"/>
      <c r="F925" s="26"/>
      <c r="G925" s="26"/>
      <c r="H925" s="26"/>
      <c r="I925" s="26"/>
      <c r="J925" s="26"/>
      <c r="K925" s="26"/>
    </row>
    <row r="926">
      <c r="A926" s="26"/>
      <c r="B926" s="26"/>
      <c r="C926" s="26"/>
      <c r="D926" s="26"/>
      <c r="E926" s="26"/>
      <c r="F926" s="26"/>
      <c r="G926" s="26"/>
      <c r="H926" s="26"/>
      <c r="I926" s="26"/>
      <c r="J926" s="26"/>
      <c r="K926" s="26"/>
    </row>
    <row r="927">
      <c r="A927" s="26"/>
      <c r="B927" s="26"/>
      <c r="C927" s="26"/>
      <c r="D927" s="26"/>
      <c r="E927" s="26"/>
      <c r="F927" s="26"/>
      <c r="G927" s="26"/>
      <c r="H927" s="26"/>
      <c r="I927" s="26"/>
      <c r="J927" s="26"/>
      <c r="K927" s="26"/>
    </row>
    <row r="928">
      <c r="A928" s="26"/>
      <c r="B928" s="26"/>
      <c r="C928" s="26"/>
      <c r="D928" s="26"/>
      <c r="E928" s="26"/>
      <c r="F928" s="26"/>
      <c r="G928" s="26"/>
      <c r="H928" s="26"/>
      <c r="I928" s="26"/>
      <c r="J928" s="26"/>
      <c r="K928" s="26"/>
    </row>
    <row r="929">
      <c r="A929" s="26"/>
      <c r="B929" s="26"/>
      <c r="C929" s="26"/>
      <c r="D929" s="26"/>
      <c r="E929" s="26"/>
      <c r="F929" s="26"/>
      <c r="G929" s="26"/>
      <c r="H929" s="26"/>
      <c r="I929" s="26"/>
      <c r="J929" s="26"/>
      <c r="K929" s="26"/>
    </row>
    <row r="930">
      <c r="A930" s="26"/>
      <c r="B930" s="26"/>
      <c r="C930" s="26"/>
      <c r="D930" s="26"/>
      <c r="E930" s="26"/>
      <c r="F930" s="26"/>
      <c r="G930" s="26"/>
      <c r="H930" s="26"/>
      <c r="I930" s="26"/>
      <c r="J930" s="26"/>
      <c r="K930" s="26"/>
    </row>
    <row r="931">
      <c r="A931" s="26"/>
      <c r="B931" s="26"/>
      <c r="C931" s="26"/>
      <c r="D931" s="26"/>
      <c r="E931" s="26"/>
      <c r="F931" s="26"/>
      <c r="G931" s="26"/>
      <c r="H931" s="26"/>
      <c r="I931" s="26"/>
      <c r="J931" s="26"/>
      <c r="K931" s="26"/>
    </row>
    <row r="932">
      <c r="A932" s="26"/>
      <c r="B932" s="26"/>
      <c r="C932" s="26"/>
      <c r="D932" s="26"/>
      <c r="E932" s="26"/>
      <c r="F932" s="26"/>
      <c r="G932" s="26"/>
      <c r="H932" s="26"/>
      <c r="I932" s="26"/>
      <c r="J932" s="26"/>
      <c r="K932" s="26"/>
    </row>
    <row r="933">
      <c r="A933" s="26"/>
      <c r="B933" s="26"/>
      <c r="C933" s="26"/>
      <c r="D933" s="26"/>
      <c r="E933" s="26"/>
      <c r="F933" s="26"/>
      <c r="G933" s="26"/>
      <c r="H933" s="26"/>
      <c r="I933" s="26"/>
      <c r="J933" s="26"/>
      <c r="K933" s="26"/>
    </row>
    <row r="934">
      <c r="A934" s="26"/>
      <c r="B934" s="26"/>
      <c r="C934" s="26"/>
      <c r="D934" s="26"/>
      <c r="E934" s="26"/>
      <c r="F934" s="26"/>
      <c r="G934" s="26"/>
      <c r="H934" s="26"/>
      <c r="I934" s="26"/>
      <c r="J934" s="26"/>
      <c r="K934" s="26"/>
    </row>
    <row r="935">
      <c r="A935" s="26"/>
      <c r="B935" s="26"/>
      <c r="C935" s="26"/>
      <c r="D935" s="26"/>
      <c r="E935" s="26"/>
      <c r="F935" s="26"/>
      <c r="G935" s="26"/>
      <c r="H935" s="26"/>
      <c r="I935" s="26"/>
      <c r="J935" s="26"/>
      <c r="K935" s="26"/>
    </row>
    <row r="936">
      <c r="A936" s="26"/>
      <c r="B936" s="26"/>
      <c r="C936" s="26"/>
      <c r="D936" s="26"/>
      <c r="E936" s="26"/>
      <c r="F936" s="26"/>
      <c r="G936" s="26"/>
      <c r="H936" s="26"/>
      <c r="I936" s="26"/>
      <c r="J936" s="26"/>
      <c r="K936" s="26"/>
    </row>
    <row r="937">
      <c r="A937" s="26"/>
      <c r="B937" s="26"/>
      <c r="C937" s="26"/>
      <c r="D937" s="26"/>
      <c r="E937" s="26"/>
      <c r="F937" s="26"/>
      <c r="G937" s="26"/>
      <c r="H937" s="26"/>
      <c r="I937" s="26"/>
      <c r="J937" s="26"/>
      <c r="K937" s="26"/>
    </row>
    <row r="938">
      <c r="A938" s="26"/>
      <c r="B938" s="26"/>
      <c r="C938" s="26"/>
      <c r="D938" s="26"/>
      <c r="E938" s="26"/>
      <c r="F938" s="26"/>
      <c r="G938" s="26"/>
      <c r="H938" s="26"/>
      <c r="I938" s="26"/>
      <c r="J938" s="26"/>
      <c r="K938" s="26"/>
    </row>
    <row r="939">
      <c r="A939" s="26"/>
      <c r="B939" s="26"/>
      <c r="C939" s="26"/>
      <c r="D939" s="26"/>
      <c r="E939" s="26"/>
      <c r="F939" s="26"/>
      <c r="G939" s="26"/>
      <c r="H939" s="26"/>
      <c r="I939" s="26"/>
      <c r="J939" s="26"/>
      <c r="K939" s="26"/>
    </row>
    <row r="940">
      <c r="A940" s="26"/>
      <c r="B940" s="26"/>
      <c r="C940" s="26"/>
      <c r="D940" s="26"/>
      <c r="E940" s="26"/>
      <c r="F940" s="26"/>
      <c r="G940" s="26"/>
      <c r="H940" s="26"/>
      <c r="I940" s="26"/>
      <c r="J940" s="26"/>
      <c r="K940" s="26"/>
    </row>
    <row r="941">
      <c r="A941" s="26"/>
      <c r="B941" s="26"/>
      <c r="C941" s="26"/>
      <c r="D941" s="26"/>
      <c r="E941" s="26"/>
      <c r="F941" s="26"/>
      <c r="G941" s="26"/>
      <c r="H941" s="26"/>
      <c r="I941" s="26"/>
      <c r="J941" s="26"/>
      <c r="K941" s="26"/>
    </row>
    <row r="942">
      <c r="A942" s="26"/>
      <c r="B942" s="26"/>
      <c r="C942" s="26"/>
      <c r="D942" s="26"/>
      <c r="E942" s="26"/>
      <c r="F942" s="26"/>
      <c r="G942" s="26"/>
      <c r="H942" s="26"/>
      <c r="I942" s="26"/>
      <c r="J942" s="26"/>
      <c r="K942" s="26"/>
    </row>
    <row r="943">
      <c r="A943" s="26"/>
      <c r="B943" s="26"/>
      <c r="C943" s="26"/>
      <c r="D943" s="26"/>
      <c r="E943" s="26"/>
      <c r="F943" s="26"/>
      <c r="G943" s="26"/>
      <c r="H943" s="26"/>
      <c r="I943" s="26"/>
      <c r="J943" s="26"/>
      <c r="K943" s="26"/>
    </row>
    <row r="944">
      <c r="A944" s="26"/>
      <c r="B944" s="26"/>
      <c r="C944" s="26"/>
      <c r="D944" s="26"/>
      <c r="E944" s="26"/>
      <c r="F944" s="26"/>
      <c r="G944" s="26"/>
      <c r="H944" s="26"/>
      <c r="I944" s="26"/>
      <c r="J944" s="26"/>
      <c r="K944" s="26"/>
    </row>
    <row r="945">
      <c r="A945" s="26"/>
      <c r="B945" s="26"/>
      <c r="C945" s="26"/>
      <c r="D945" s="26"/>
      <c r="E945" s="26"/>
      <c r="F945" s="26"/>
      <c r="G945" s="26"/>
      <c r="H945" s="26"/>
      <c r="I945" s="26"/>
      <c r="J945" s="26"/>
      <c r="K945" s="26"/>
    </row>
    <row r="946">
      <c r="A946" s="26"/>
      <c r="B946" s="26"/>
      <c r="C946" s="26"/>
      <c r="D946" s="26"/>
      <c r="E946" s="26"/>
      <c r="F946" s="26"/>
      <c r="G946" s="26"/>
      <c r="H946" s="26"/>
      <c r="I946" s="26"/>
      <c r="J946" s="26"/>
      <c r="K946" s="26"/>
    </row>
    <row r="947">
      <c r="A947" s="26"/>
      <c r="B947" s="26"/>
      <c r="C947" s="26"/>
      <c r="D947" s="26"/>
      <c r="E947" s="26"/>
      <c r="F947" s="26"/>
      <c r="G947" s="26"/>
      <c r="H947" s="26"/>
      <c r="I947" s="26"/>
      <c r="J947" s="26"/>
      <c r="K947" s="26"/>
    </row>
    <row r="948">
      <c r="A948" s="26"/>
      <c r="B948" s="26"/>
      <c r="C948" s="26"/>
      <c r="D948" s="26"/>
      <c r="E948" s="26"/>
      <c r="F948" s="26"/>
      <c r="G948" s="26"/>
      <c r="H948" s="26"/>
      <c r="I948" s="26"/>
      <c r="J948" s="26"/>
      <c r="K948" s="26"/>
    </row>
    <row r="949">
      <c r="A949" s="26"/>
      <c r="B949" s="26"/>
      <c r="C949" s="26"/>
      <c r="D949" s="26"/>
      <c r="E949" s="26"/>
      <c r="F949" s="26"/>
      <c r="G949" s="26"/>
      <c r="H949" s="26"/>
      <c r="I949" s="26"/>
      <c r="J949" s="26"/>
      <c r="K949" s="26"/>
    </row>
    <row r="950">
      <c r="A950" s="26"/>
      <c r="B950" s="26"/>
      <c r="C950" s="26"/>
      <c r="D950" s="26"/>
      <c r="E950" s="26"/>
      <c r="F950" s="26"/>
      <c r="G950" s="26"/>
      <c r="H950" s="26"/>
      <c r="I950" s="26"/>
      <c r="J950" s="26"/>
      <c r="K950" s="26"/>
    </row>
    <row r="951">
      <c r="A951" s="26"/>
      <c r="B951" s="26"/>
      <c r="C951" s="26"/>
      <c r="D951" s="26"/>
      <c r="E951" s="26"/>
      <c r="F951" s="26"/>
      <c r="G951" s="26"/>
      <c r="H951" s="26"/>
      <c r="I951" s="26"/>
      <c r="J951" s="26"/>
      <c r="K951" s="26"/>
    </row>
    <row r="952">
      <c r="A952" s="26"/>
      <c r="B952" s="26"/>
      <c r="C952" s="26"/>
      <c r="D952" s="26"/>
      <c r="E952" s="26"/>
      <c r="F952" s="26"/>
      <c r="G952" s="26"/>
      <c r="H952" s="26"/>
      <c r="I952" s="26"/>
      <c r="J952" s="26"/>
      <c r="K952" s="26"/>
    </row>
    <row r="953">
      <c r="A953" s="26"/>
      <c r="B953" s="26"/>
      <c r="C953" s="26"/>
      <c r="D953" s="26"/>
      <c r="E953" s="26"/>
      <c r="F953" s="26"/>
      <c r="G953" s="26"/>
      <c r="H953" s="26"/>
      <c r="I953" s="26"/>
      <c r="J953" s="26"/>
      <c r="K953" s="26"/>
    </row>
    <row r="954">
      <c r="A954" s="26"/>
      <c r="B954" s="26"/>
      <c r="C954" s="26"/>
      <c r="D954" s="26"/>
      <c r="E954" s="26"/>
      <c r="F954" s="26"/>
      <c r="G954" s="26"/>
      <c r="H954" s="26"/>
      <c r="I954" s="26"/>
      <c r="J954" s="26"/>
      <c r="K954" s="26"/>
    </row>
    <row r="955">
      <c r="A955" s="26"/>
      <c r="B955" s="26"/>
      <c r="C955" s="26"/>
      <c r="D955" s="26"/>
      <c r="E955" s="26"/>
      <c r="F955" s="26"/>
      <c r="G955" s="26"/>
      <c r="H955" s="26"/>
      <c r="I955" s="26"/>
      <c r="J955" s="26"/>
      <c r="K955" s="26"/>
    </row>
    <row r="956">
      <c r="A956" s="26"/>
      <c r="B956" s="26"/>
      <c r="C956" s="26"/>
      <c r="D956" s="26"/>
      <c r="E956" s="26"/>
      <c r="F956" s="26"/>
      <c r="G956" s="26"/>
      <c r="H956" s="26"/>
      <c r="I956" s="26"/>
      <c r="J956" s="26"/>
      <c r="K956" s="26"/>
    </row>
    <row r="957">
      <c r="A957" s="26"/>
      <c r="B957" s="26"/>
      <c r="C957" s="26"/>
      <c r="D957" s="26"/>
      <c r="E957" s="26"/>
      <c r="F957" s="26"/>
      <c r="G957" s="26"/>
      <c r="H957" s="26"/>
      <c r="I957" s="26"/>
      <c r="J957" s="26"/>
      <c r="K957" s="26"/>
    </row>
    <row r="958">
      <c r="A958" s="26"/>
      <c r="B958" s="26"/>
      <c r="C958" s="26"/>
      <c r="D958" s="26"/>
      <c r="E958" s="26"/>
      <c r="F958" s="26"/>
      <c r="G958" s="26"/>
      <c r="H958" s="26"/>
      <c r="I958" s="26"/>
      <c r="J958" s="26"/>
      <c r="K958" s="26"/>
    </row>
    <row r="959">
      <c r="A959" s="26"/>
      <c r="B959" s="26"/>
      <c r="C959" s="26"/>
      <c r="D959" s="26"/>
      <c r="E959" s="26"/>
      <c r="F959" s="26"/>
      <c r="G959" s="26"/>
      <c r="H959" s="26"/>
      <c r="I959" s="26"/>
      <c r="J959" s="26"/>
      <c r="K959" s="26"/>
    </row>
    <row r="960">
      <c r="A960" s="26"/>
      <c r="B960" s="26"/>
      <c r="C960" s="26"/>
      <c r="D960" s="26"/>
      <c r="E960" s="26"/>
      <c r="F960" s="26"/>
      <c r="G960" s="26"/>
      <c r="H960" s="26"/>
      <c r="I960" s="26"/>
      <c r="J960" s="26"/>
      <c r="K960" s="26"/>
    </row>
    <row r="961">
      <c r="A961" s="26"/>
      <c r="B961" s="26"/>
      <c r="C961" s="26"/>
      <c r="D961" s="26"/>
      <c r="E961" s="26"/>
      <c r="F961" s="26"/>
      <c r="G961" s="26"/>
      <c r="H961" s="26"/>
      <c r="I961" s="26"/>
      <c r="J961" s="26"/>
      <c r="K961" s="26"/>
    </row>
    <row r="962">
      <c r="A962" s="26"/>
      <c r="B962" s="26"/>
      <c r="C962" s="26"/>
      <c r="D962" s="26"/>
      <c r="E962" s="26"/>
      <c r="F962" s="26"/>
      <c r="G962" s="26"/>
      <c r="H962" s="26"/>
      <c r="I962" s="26"/>
      <c r="J962" s="26"/>
      <c r="K962" s="26"/>
    </row>
    <row r="963">
      <c r="A963" s="26"/>
      <c r="B963" s="26"/>
      <c r="C963" s="26"/>
      <c r="D963" s="26"/>
      <c r="E963" s="26"/>
      <c r="F963" s="26"/>
      <c r="G963" s="26"/>
      <c r="H963" s="26"/>
      <c r="I963" s="26"/>
      <c r="J963" s="26"/>
      <c r="K963" s="26"/>
    </row>
    <row r="964">
      <c r="A964" s="26"/>
      <c r="B964" s="26"/>
      <c r="C964" s="26"/>
      <c r="D964" s="26"/>
      <c r="E964" s="26"/>
      <c r="F964" s="26"/>
      <c r="G964" s="26"/>
      <c r="H964" s="26"/>
      <c r="I964" s="26"/>
      <c r="J964" s="26"/>
      <c r="K964" s="26"/>
    </row>
    <row r="965">
      <c r="A965" s="26"/>
      <c r="B965" s="26"/>
      <c r="C965" s="26"/>
      <c r="D965" s="26"/>
      <c r="E965" s="26"/>
      <c r="F965" s="26"/>
      <c r="G965" s="26"/>
      <c r="H965" s="26"/>
      <c r="I965" s="26"/>
      <c r="J965" s="26"/>
      <c r="K965" s="26"/>
    </row>
    <row r="966">
      <c r="A966" s="26"/>
      <c r="B966" s="26"/>
      <c r="C966" s="26"/>
      <c r="D966" s="26"/>
      <c r="E966" s="26"/>
      <c r="F966" s="26"/>
      <c r="G966" s="26"/>
      <c r="H966" s="26"/>
      <c r="I966" s="26"/>
      <c r="J966" s="26"/>
      <c r="K966" s="26"/>
    </row>
    <row r="967">
      <c r="A967" s="26"/>
      <c r="B967" s="26"/>
      <c r="C967" s="26"/>
      <c r="D967" s="26"/>
      <c r="E967" s="26"/>
      <c r="F967" s="26"/>
      <c r="G967" s="26"/>
      <c r="H967" s="26"/>
      <c r="I967" s="26"/>
      <c r="J967" s="26"/>
      <c r="K967" s="26"/>
    </row>
    <row r="968">
      <c r="A968" s="26"/>
      <c r="B968" s="26"/>
      <c r="C968" s="26"/>
      <c r="D968" s="26"/>
      <c r="E968" s="26"/>
      <c r="F968" s="26"/>
      <c r="G968" s="26"/>
      <c r="H968" s="26"/>
      <c r="I968" s="26"/>
      <c r="J968" s="26"/>
      <c r="K968" s="26"/>
    </row>
    <row r="969">
      <c r="A969" s="26"/>
      <c r="B969" s="26"/>
      <c r="C969" s="26"/>
      <c r="D969" s="26"/>
      <c r="E969" s="26"/>
      <c r="F969" s="26"/>
      <c r="G969" s="26"/>
      <c r="H969" s="26"/>
      <c r="I969" s="26"/>
      <c r="J969" s="26"/>
      <c r="K969" s="26"/>
    </row>
    <row r="970">
      <c r="A970" s="26"/>
      <c r="B970" s="26"/>
      <c r="C970" s="26"/>
      <c r="D970" s="26"/>
      <c r="E970" s="26"/>
      <c r="F970" s="26"/>
      <c r="G970" s="26"/>
      <c r="H970" s="26"/>
      <c r="I970" s="26"/>
      <c r="J970" s="26"/>
      <c r="K970" s="26"/>
    </row>
    <row r="971">
      <c r="A971" s="26"/>
      <c r="B971" s="26"/>
      <c r="C971" s="26"/>
      <c r="D971" s="26"/>
      <c r="E971" s="26"/>
      <c r="F971" s="26"/>
      <c r="G971" s="26"/>
      <c r="H971" s="26"/>
      <c r="I971" s="26"/>
      <c r="J971" s="26"/>
      <c r="K971" s="26"/>
    </row>
    <row r="972">
      <c r="A972" s="26"/>
      <c r="B972" s="26"/>
      <c r="C972" s="26"/>
      <c r="D972" s="26"/>
      <c r="E972" s="26"/>
      <c r="F972" s="26"/>
      <c r="G972" s="26"/>
      <c r="H972" s="26"/>
      <c r="I972" s="26"/>
      <c r="J972" s="26"/>
      <c r="K972" s="26"/>
    </row>
    <row r="973">
      <c r="A973" s="26"/>
      <c r="B973" s="26"/>
      <c r="C973" s="26"/>
      <c r="D973" s="26"/>
      <c r="E973" s="26"/>
      <c r="F973" s="26"/>
      <c r="G973" s="26"/>
      <c r="H973" s="26"/>
      <c r="I973" s="26"/>
      <c r="J973" s="26"/>
      <c r="K973" s="26"/>
    </row>
    <row r="974">
      <c r="A974" s="26"/>
      <c r="B974" s="26"/>
      <c r="C974" s="26"/>
      <c r="D974" s="26"/>
      <c r="E974" s="26"/>
      <c r="F974" s="26"/>
      <c r="G974" s="26"/>
      <c r="H974" s="26"/>
      <c r="I974" s="26"/>
      <c r="J974" s="26"/>
      <c r="K974" s="26"/>
    </row>
    <row r="975">
      <c r="A975" s="26"/>
      <c r="B975" s="26"/>
      <c r="C975" s="26"/>
      <c r="D975" s="26"/>
      <c r="E975" s="26"/>
      <c r="F975" s="26"/>
      <c r="G975" s="26"/>
      <c r="H975" s="26"/>
      <c r="I975" s="26"/>
      <c r="J975" s="26"/>
      <c r="K975" s="26"/>
    </row>
    <row r="976">
      <c r="A976" s="26"/>
      <c r="B976" s="26"/>
      <c r="C976" s="26"/>
      <c r="D976" s="26"/>
      <c r="E976" s="26"/>
      <c r="F976" s="26"/>
      <c r="G976" s="26"/>
      <c r="H976" s="26"/>
      <c r="I976" s="26"/>
      <c r="J976" s="26"/>
      <c r="K976" s="26"/>
    </row>
    <row r="977">
      <c r="A977" s="26"/>
      <c r="B977" s="26"/>
      <c r="C977" s="26"/>
      <c r="D977" s="26"/>
      <c r="E977" s="26"/>
      <c r="F977" s="26"/>
      <c r="G977" s="26"/>
      <c r="H977" s="26"/>
      <c r="I977" s="26"/>
      <c r="J977" s="26"/>
      <c r="K977" s="26"/>
    </row>
    <row r="978">
      <c r="A978" s="26"/>
      <c r="B978" s="26"/>
      <c r="C978" s="26"/>
      <c r="D978" s="26"/>
      <c r="E978" s="26"/>
      <c r="F978" s="26"/>
      <c r="G978" s="26"/>
      <c r="H978" s="26"/>
      <c r="I978" s="26"/>
      <c r="J978" s="26"/>
      <c r="K978" s="26"/>
    </row>
    <row r="979">
      <c r="A979" s="26"/>
      <c r="B979" s="26"/>
      <c r="C979" s="26"/>
      <c r="D979" s="26"/>
      <c r="E979" s="26"/>
      <c r="F979" s="26"/>
      <c r="G979" s="26"/>
      <c r="H979" s="26"/>
      <c r="I979" s="26"/>
      <c r="J979" s="26"/>
      <c r="K979" s="26"/>
    </row>
    <row r="980">
      <c r="A980" s="26"/>
      <c r="B980" s="26"/>
      <c r="C980" s="26"/>
      <c r="D980" s="26"/>
      <c r="E980" s="26"/>
      <c r="F980" s="26"/>
      <c r="G980" s="26"/>
      <c r="H980" s="26"/>
      <c r="I980" s="26"/>
      <c r="J980" s="26"/>
      <c r="K980" s="26"/>
    </row>
    <row r="981">
      <c r="A981" s="26"/>
      <c r="B981" s="26"/>
      <c r="C981" s="26"/>
      <c r="D981" s="26"/>
      <c r="E981" s="26"/>
      <c r="F981" s="26"/>
      <c r="G981" s="26"/>
      <c r="H981" s="26"/>
      <c r="I981" s="26"/>
      <c r="J981" s="26"/>
      <c r="K981" s="26"/>
    </row>
    <row r="982">
      <c r="A982" s="26"/>
      <c r="B982" s="26"/>
      <c r="C982" s="26"/>
      <c r="D982" s="26"/>
      <c r="E982" s="26"/>
      <c r="F982" s="26"/>
      <c r="G982" s="26"/>
      <c r="H982" s="26"/>
      <c r="I982" s="26"/>
      <c r="J982" s="26"/>
      <c r="K982" s="26"/>
    </row>
    <row r="983">
      <c r="A983" s="26"/>
      <c r="B983" s="26"/>
      <c r="C983" s="26"/>
      <c r="D983" s="26"/>
      <c r="E983" s="26"/>
      <c r="F983" s="26"/>
      <c r="G983" s="26"/>
      <c r="H983" s="26"/>
      <c r="I983" s="26"/>
      <c r="J983" s="26"/>
      <c r="K983" s="26"/>
    </row>
    <row r="984">
      <c r="A984" s="26"/>
      <c r="B984" s="26"/>
      <c r="C984" s="26"/>
      <c r="D984" s="26"/>
      <c r="E984" s="26"/>
      <c r="F984" s="26"/>
      <c r="G984" s="26"/>
      <c r="H984" s="26"/>
      <c r="I984" s="26"/>
      <c r="J984" s="26"/>
      <c r="K984" s="26"/>
    </row>
    <row r="985">
      <c r="A985" s="26"/>
      <c r="B985" s="26"/>
      <c r="C985" s="26"/>
      <c r="D985" s="26"/>
      <c r="E985" s="26"/>
      <c r="F985" s="26"/>
      <c r="G985" s="26"/>
      <c r="H985" s="26"/>
      <c r="I985" s="26"/>
      <c r="J985" s="26"/>
      <c r="K985" s="26"/>
    </row>
    <row r="986">
      <c r="A986" s="26"/>
      <c r="B986" s="26"/>
      <c r="C986" s="26"/>
      <c r="D986" s="26"/>
      <c r="E986" s="26"/>
      <c r="F986" s="26"/>
      <c r="G986" s="26"/>
      <c r="H986" s="26"/>
      <c r="I986" s="26"/>
      <c r="J986" s="26"/>
      <c r="K986" s="26"/>
    </row>
    <row r="987">
      <c r="A987" s="26"/>
      <c r="B987" s="26"/>
      <c r="C987" s="26"/>
      <c r="D987" s="26"/>
      <c r="E987" s="26"/>
      <c r="F987" s="26"/>
      <c r="G987" s="26"/>
      <c r="H987" s="26"/>
      <c r="I987" s="26"/>
      <c r="J987" s="26"/>
      <c r="K987" s="26"/>
    </row>
    <row r="988">
      <c r="A988" s="26"/>
      <c r="B988" s="26"/>
      <c r="C988" s="26"/>
      <c r="D988" s="26"/>
      <c r="E988" s="26"/>
      <c r="F988" s="26"/>
      <c r="G988" s="26"/>
      <c r="H988" s="26"/>
      <c r="I988" s="26"/>
      <c r="J988" s="26"/>
      <c r="K988" s="26"/>
    </row>
    <row r="989">
      <c r="A989" s="26"/>
      <c r="B989" s="26"/>
      <c r="C989" s="26"/>
      <c r="D989" s="26"/>
      <c r="E989" s="26"/>
      <c r="F989" s="26"/>
      <c r="G989" s="26"/>
      <c r="H989" s="26"/>
      <c r="I989" s="26"/>
      <c r="J989" s="26"/>
      <c r="K989" s="26"/>
    </row>
    <row r="990">
      <c r="A990" s="26"/>
      <c r="B990" s="26"/>
      <c r="C990" s="26"/>
      <c r="D990" s="26"/>
      <c r="E990" s="26"/>
      <c r="F990" s="26"/>
      <c r="G990" s="26"/>
      <c r="H990" s="26"/>
      <c r="I990" s="26"/>
      <c r="J990" s="26"/>
      <c r="K990" s="26"/>
    </row>
    <row r="991">
      <c r="A991" s="26"/>
      <c r="B991" s="26"/>
      <c r="C991" s="26"/>
      <c r="D991" s="26"/>
      <c r="E991" s="26"/>
      <c r="F991" s="26"/>
      <c r="G991" s="26"/>
      <c r="H991" s="26"/>
      <c r="I991" s="26"/>
      <c r="J991" s="26"/>
      <c r="K991" s="26"/>
    </row>
    <row r="992">
      <c r="A992" s="26"/>
      <c r="B992" s="26"/>
      <c r="C992" s="26"/>
      <c r="D992" s="26"/>
      <c r="E992" s="26"/>
      <c r="F992" s="26"/>
      <c r="G992" s="26"/>
      <c r="H992" s="26"/>
      <c r="I992" s="26"/>
      <c r="J992" s="26"/>
      <c r="K992" s="26"/>
    </row>
    <row r="993">
      <c r="A993" s="26"/>
      <c r="B993" s="26"/>
      <c r="C993" s="26"/>
      <c r="D993" s="26"/>
      <c r="E993" s="26"/>
      <c r="F993" s="26"/>
      <c r="G993" s="26"/>
      <c r="H993" s="26"/>
      <c r="I993" s="26"/>
      <c r="J993" s="26"/>
      <c r="K993" s="26"/>
    </row>
    <row r="994">
      <c r="A994" s="26"/>
      <c r="B994" s="26"/>
      <c r="C994" s="26"/>
      <c r="D994" s="26"/>
      <c r="E994" s="26"/>
      <c r="F994" s="26"/>
      <c r="G994" s="26"/>
      <c r="H994" s="26"/>
      <c r="I994" s="26"/>
      <c r="J994" s="26"/>
      <c r="K994" s="26"/>
    </row>
    <row r="995">
      <c r="A995" s="26"/>
      <c r="B995" s="26"/>
      <c r="C995" s="26"/>
      <c r="D995" s="26"/>
      <c r="E995" s="26"/>
      <c r="F995" s="26"/>
      <c r="G995" s="26"/>
      <c r="H995" s="26"/>
      <c r="I995" s="26"/>
      <c r="J995" s="26"/>
      <c r="K995" s="26"/>
    </row>
    <row r="996">
      <c r="A996" s="26"/>
      <c r="B996" s="26"/>
      <c r="C996" s="26"/>
      <c r="D996" s="26"/>
      <c r="E996" s="26"/>
      <c r="F996" s="26"/>
      <c r="G996" s="26"/>
      <c r="H996" s="26"/>
      <c r="I996" s="26"/>
      <c r="J996" s="26"/>
      <c r="K996" s="26"/>
    </row>
    <row r="997">
      <c r="A997" s="26"/>
      <c r="B997" s="26"/>
      <c r="C997" s="26"/>
      <c r="D997" s="26"/>
      <c r="E997" s="26"/>
      <c r="F997" s="26"/>
      <c r="G997" s="26"/>
      <c r="H997" s="26"/>
      <c r="I997" s="26"/>
      <c r="J997" s="26"/>
      <c r="K997" s="26"/>
    </row>
    <row r="998">
      <c r="A998" s="26"/>
      <c r="B998" s="26"/>
      <c r="C998" s="26"/>
      <c r="D998" s="26"/>
      <c r="E998" s="26"/>
      <c r="F998" s="26"/>
      <c r="G998" s="26"/>
      <c r="H998" s="26"/>
      <c r="I998" s="26"/>
      <c r="J998" s="26"/>
      <c r="K998" s="26"/>
    </row>
    <row r="999">
      <c r="A999" s="26"/>
      <c r="B999" s="26"/>
      <c r="C999" s="26"/>
      <c r="D999" s="26"/>
      <c r="E999" s="26"/>
      <c r="F999" s="26"/>
      <c r="G999" s="26"/>
      <c r="H999" s="26"/>
      <c r="I999" s="26"/>
      <c r="J999" s="26"/>
      <c r="K999" s="26"/>
    </row>
    <row r="1000">
      <c r="A1000" s="26"/>
      <c r="B1000" s="26"/>
      <c r="C1000" s="26"/>
      <c r="D1000" s="26"/>
      <c r="E1000" s="26"/>
      <c r="F1000" s="26"/>
      <c r="G1000" s="26"/>
      <c r="H1000" s="26"/>
      <c r="I1000" s="26"/>
      <c r="J1000" s="26"/>
      <c r="K1000" s="26"/>
    </row>
    <row r="1001">
      <c r="A1001" s="26"/>
      <c r="B1001" s="26"/>
      <c r="C1001" s="26"/>
      <c r="D1001" s="26"/>
      <c r="E1001" s="26"/>
      <c r="F1001" s="26"/>
      <c r="G1001" s="26"/>
      <c r="H1001" s="26"/>
      <c r="I1001" s="26"/>
      <c r="J1001" s="26"/>
      <c r="K1001" s="26"/>
    </row>
    <row r="1002">
      <c r="A1002" s="26"/>
      <c r="B1002" s="26"/>
      <c r="C1002" s="26"/>
      <c r="D1002" s="26"/>
      <c r="E1002" s="26"/>
      <c r="F1002" s="26"/>
      <c r="G1002" s="26"/>
      <c r="H1002" s="26"/>
      <c r="I1002" s="26"/>
      <c r="J1002" s="26"/>
      <c r="K1002" s="26"/>
    </row>
    <row r="1003">
      <c r="A1003" s="26"/>
      <c r="B1003" s="26"/>
      <c r="C1003" s="26"/>
      <c r="D1003" s="26"/>
      <c r="E1003" s="26"/>
      <c r="F1003" s="26"/>
      <c r="G1003" s="26"/>
      <c r="H1003" s="26"/>
      <c r="I1003" s="26"/>
      <c r="J1003" s="26"/>
      <c r="K1003" s="26"/>
    </row>
    <row r="1004">
      <c r="A1004" s="26"/>
      <c r="B1004" s="26"/>
      <c r="C1004" s="26"/>
      <c r="D1004" s="26"/>
      <c r="E1004" s="26"/>
      <c r="F1004" s="26"/>
      <c r="G1004" s="26"/>
      <c r="H1004" s="26"/>
      <c r="I1004" s="26"/>
      <c r="J1004" s="26"/>
      <c r="K1004" s="26"/>
    </row>
    <row r="1005">
      <c r="A1005" s="26"/>
      <c r="B1005" s="26"/>
      <c r="C1005" s="26"/>
      <c r="D1005" s="26"/>
      <c r="E1005" s="26"/>
      <c r="F1005" s="26"/>
      <c r="G1005" s="26"/>
      <c r="H1005" s="26"/>
      <c r="I1005" s="26"/>
      <c r="J1005" s="26"/>
      <c r="K1005" s="26"/>
    </row>
    <row r="1006">
      <c r="A1006" s="26"/>
      <c r="B1006" s="26"/>
      <c r="C1006" s="26"/>
      <c r="D1006" s="26"/>
      <c r="E1006" s="26"/>
      <c r="F1006" s="26"/>
      <c r="G1006" s="26"/>
      <c r="H1006" s="26"/>
      <c r="I1006" s="26"/>
      <c r="J1006" s="26"/>
      <c r="K1006" s="26"/>
    </row>
    <row r="1007">
      <c r="A1007" s="26"/>
      <c r="B1007" s="26"/>
      <c r="C1007" s="26"/>
      <c r="D1007" s="26"/>
      <c r="E1007" s="26"/>
      <c r="F1007" s="26"/>
      <c r="G1007" s="26"/>
      <c r="H1007" s="26"/>
      <c r="I1007" s="26"/>
      <c r="J1007" s="26"/>
      <c r="K1007" s="26"/>
    </row>
    <row r="1008">
      <c r="A1008" s="26"/>
      <c r="B1008" s="26"/>
      <c r="C1008" s="26"/>
      <c r="D1008" s="26"/>
      <c r="E1008" s="26"/>
      <c r="F1008" s="26"/>
      <c r="G1008" s="26"/>
      <c r="H1008" s="26"/>
      <c r="I1008" s="26"/>
      <c r="J1008" s="26"/>
      <c r="K1008" s="26"/>
    </row>
    <row r="1009">
      <c r="A1009" s="26"/>
      <c r="B1009" s="26"/>
      <c r="C1009" s="26"/>
      <c r="D1009" s="26"/>
      <c r="E1009" s="26"/>
      <c r="F1009" s="26"/>
      <c r="G1009" s="26"/>
      <c r="H1009" s="26"/>
      <c r="I1009" s="26"/>
      <c r="J1009" s="26"/>
      <c r="K1009" s="26"/>
    </row>
    <row r="1010">
      <c r="A1010" s="26"/>
      <c r="B1010" s="26"/>
      <c r="C1010" s="26"/>
      <c r="D1010" s="26"/>
      <c r="E1010" s="26"/>
      <c r="F1010" s="26"/>
      <c r="G1010" s="26"/>
      <c r="H1010" s="26"/>
      <c r="I1010" s="26"/>
      <c r="J1010" s="26"/>
      <c r="K1010" s="26"/>
    </row>
    <row r="1011">
      <c r="A1011" s="26"/>
      <c r="B1011" s="26"/>
      <c r="C1011" s="26"/>
      <c r="D1011" s="26"/>
      <c r="E1011" s="26"/>
      <c r="F1011" s="26"/>
      <c r="G1011" s="26"/>
      <c r="H1011" s="26"/>
      <c r="I1011" s="26"/>
      <c r="J1011" s="26"/>
      <c r="K1011" s="26"/>
    </row>
    <row r="1012">
      <c r="A1012" s="26"/>
      <c r="B1012" s="26"/>
      <c r="C1012" s="26"/>
      <c r="D1012" s="26"/>
      <c r="E1012" s="26"/>
      <c r="F1012" s="26"/>
      <c r="G1012" s="26"/>
      <c r="H1012" s="26"/>
      <c r="I1012" s="26"/>
      <c r="J1012" s="26"/>
      <c r="K1012" s="26"/>
    </row>
    <row r="1013">
      <c r="A1013" s="26"/>
      <c r="B1013" s="26"/>
      <c r="C1013" s="26"/>
      <c r="D1013" s="26"/>
      <c r="E1013" s="26"/>
      <c r="F1013" s="26"/>
      <c r="G1013" s="26"/>
      <c r="H1013" s="26"/>
      <c r="I1013" s="26"/>
      <c r="J1013" s="26"/>
      <c r="K1013" s="26"/>
    </row>
    <row r="1014">
      <c r="A1014" s="26"/>
      <c r="B1014" s="26"/>
      <c r="C1014" s="26"/>
      <c r="D1014" s="26"/>
      <c r="E1014" s="26"/>
      <c r="F1014" s="26"/>
      <c r="G1014" s="26"/>
      <c r="H1014" s="26"/>
      <c r="I1014" s="26"/>
      <c r="J1014" s="26"/>
      <c r="K1014" s="26"/>
    </row>
    <row r="1015">
      <c r="A1015" s="26"/>
      <c r="B1015" s="26"/>
      <c r="C1015" s="26"/>
      <c r="D1015" s="26"/>
      <c r="E1015" s="26"/>
      <c r="F1015" s="26"/>
      <c r="G1015" s="26"/>
      <c r="H1015" s="26"/>
      <c r="I1015" s="26"/>
      <c r="J1015" s="26"/>
      <c r="K1015" s="26"/>
    </row>
    <row r="1016">
      <c r="A1016" s="26"/>
      <c r="B1016" s="26"/>
      <c r="C1016" s="26"/>
      <c r="D1016" s="26"/>
      <c r="E1016" s="26"/>
      <c r="F1016" s="26"/>
      <c r="G1016" s="26"/>
      <c r="H1016" s="26"/>
      <c r="I1016" s="26"/>
      <c r="J1016" s="26"/>
      <c r="K1016" s="26"/>
    </row>
    <row r="1017">
      <c r="A1017" s="26"/>
      <c r="B1017" s="26"/>
      <c r="C1017" s="26"/>
      <c r="D1017" s="26"/>
      <c r="E1017" s="26"/>
      <c r="F1017" s="26"/>
      <c r="G1017" s="26"/>
      <c r="H1017" s="26"/>
      <c r="I1017" s="26"/>
      <c r="J1017" s="26"/>
      <c r="K1017" s="26"/>
    </row>
    <row r="1018">
      <c r="A1018" s="26"/>
      <c r="B1018" s="26"/>
      <c r="C1018" s="26"/>
      <c r="D1018" s="26"/>
      <c r="E1018" s="26"/>
      <c r="F1018" s="26"/>
      <c r="G1018" s="26"/>
      <c r="H1018" s="26"/>
      <c r="I1018" s="26"/>
      <c r="J1018" s="26"/>
      <c r="K1018" s="26"/>
    </row>
    <row r="1019">
      <c r="A1019" s="26"/>
      <c r="B1019" s="26"/>
      <c r="C1019" s="26"/>
      <c r="D1019" s="26"/>
      <c r="E1019" s="26"/>
      <c r="F1019" s="26"/>
      <c r="G1019" s="26"/>
      <c r="H1019" s="26"/>
      <c r="I1019" s="26"/>
      <c r="J1019" s="26"/>
      <c r="K1019" s="26"/>
    </row>
    <row r="1020">
      <c r="A1020" s="26"/>
      <c r="B1020" s="26"/>
      <c r="C1020" s="26"/>
      <c r="D1020" s="26"/>
      <c r="E1020" s="26"/>
      <c r="F1020" s="26"/>
      <c r="G1020" s="26"/>
      <c r="H1020" s="26"/>
      <c r="I1020" s="26"/>
      <c r="J1020" s="26"/>
      <c r="K1020" s="26"/>
    </row>
    <row r="1021">
      <c r="A1021" s="26"/>
      <c r="B1021" s="26"/>
      <c r="C1021" s="26"/>
      <c r="D1021" s="26"/>
      <c r="E1021" s="26"/>
      <c r="F1021" s="26"/>
      <c r="G1021" s="26"/>
      <c r="H1021" s="26"/>
      <c r="I1021" s="26"/>
      <c r="J1021" s="26"/>
      <c r="K1021" s="26"/>
    </row>
    <row r="1022">
      <c r="A1022" s="26"/>
      <c r="B1022" s="26"/>
      <c r="C1022" s="26"/>
      <c r="D1022" s="26"/>
      <c r="E1022" s="26"/>
      <c r="F1022" s="26"/>
      <c r="G1022" s="26"/>
      <c r="H1022" s="26"/>
      <c r="I1022" s="26"/>
      <c r="J1022" s="26"/>
      <c r="K1022" s="26"/>
    </row>
    <row r="1023">
      <c r="A1023" s="26"/>
      <c r="B1023" s="26"/>
      <c r="C1023" s="26"/>
      <c r="D1023" s="26"/>
      <c r="E1023" s="26"/>
      <c r="F1023" s="26"/>
      <c r="G1023" s="26"/>
      <c r="H1023" s="26"/>
      <c r="I1023" s="26"/>
      <c r="J1023" s="26"/>
      <c r="K1023" s="26"/>
    </row>
    <row r="1024">
      <c r="A1024" s="26"/>
      <c r="B1024" s="26"/>
      <c r="C1024" s="26"/>
      <c r="D1024" s="26"/>
      <c r="E1024" s="26"/>
      <c r="F1024" s="26"/>
      <c r="G1024" s="26"/>
      <c r="H1024" s="26"/>
      <c r="I1024" s="26"/>
      <c r="J1024" s="26"/>
      <c r="K1024" s="26"/>
    </row>
    <row r="1025">
      <c r="A1025" s="26"/>
      <c r="B1025" s="26"/>
      <c r="C1025" s="26"/>
      <c r="D1025" s="26"/>
      <c r="E1025" s="26"/>
      <c r="F1025" s="26"/>
      <c r="G1025" s="26"/>
      <c r="H1025" s="26"/>
      <c r="I1025" s="26"/>
      <c r="J1025" s="26"/>
      <c r="K1025" s="26"/>
    </row>
    <row r="1026">
      <c r="A1026" s="26"/>
      <c r="B1026" s="26"/>
      <c r="C1026" s="26"/>
      <c r="D1026" s="26"/>
      <c r="E1026" s="26"/>
      <c r="F1026" s="26"/>
      <c r="G1026" s="26"/>
      <c r="H1026" s="26"/>
      <c r="I1026" s="26"/>
      <c r="J1026" s="26"/>
      <c r="K1026" s="26"/>
    </row>
    <row r="1027">
      <c r="A1027" s="26"/>
      <c r="B1027" s="26"/>
      <c r="C1027" s="26"/>
      <c r="D1027" s="26"/>
      <c r="E1027" s="26"/>
      <c r="F1027" s="26"/>
      <c r="G1027" s="26"/>
      <c r="H1027" s="26"/>
      <c r="I1027" s="26"/>
      <c r="J1027" s="26"/>
      <c r="K1027" s="26"/>
    </row>
    <row r="1028">
      <c r="A1028" s="26"/>
      <c r="B1028" s="26"/>
      <c r="C1028" s="26"/>
      <c r="D1028" s="26"/>
      <c r="E1028" s="26"/>
      <c r="F1028" s="26"/>
      <c r="G1028" s="26"/>
      <c r="H1028" s="26"/>
      <c r="I1028" s="26"/>
      <c r="J1028" s="26"/>
      <c r="K1028" s="26"/>
    </row>
    <row r="1029">
      <c r="A1029" s="26"/>
      <c r="B1029" s="26"/>
      <c r="C1029" s="26"/>
      <c r="D1029" s="26"/>
      <c r="E1029" s="26"/>
      <c r="F1029" s="26"/>
      <c r="G1029" s="26"/>
      <c r="H1029" s="26"/>
      <c r="I1029" s="26"/>
      <c r="J1029" s="26"/>
      <c r="K1029" s="26"/>
    </row>
    <row r="1030">
      <c r="A1030" s="26"/>
      <c r="B1030" s="26"/>
      <c r="C1030" s="26"/>
      <c r="D1030" s="26"/>
      <c r="E1030" s="26"/>
      <c r="F1030" s="26"/>
      <c r="G1030" s="26"/>
      <c r="H1030" s="26"/>
      <c r="I1030" s="26"/>
      <c r="J1030" s="26"/>
      <c r="K1030" s="26"/>
    </row>
    <row r="1031">
      <c r="A1031" s="26"/>
      <c r="B1031" s="26"/>
      <c r="C1031" s="26"/>
      <c r="D1031" s="26"/>
      <c r="E1031" s="26"/>
      <c r="F1031" s="26"/>
      <c r="G1031" s="26"/>
      <c r="H1031" s="26"/>
      <c r="I1031" s="26"/>
      <c r="J1031" s="26"/>
      <c r="K1031" s="26"/>
    </row>
    <row r="1032">
      <c r="A1032" s="26"/>
      <c r="B1032" s="26"/>
      <c r="C1032" s="26"/>
      <c r="D1032" s="26"/>
      <c r="E1032" s="26"/>
      <c r="F1032" s="26"/>
      <c r="G1032" s="26"/>
      <c r="H1032" s="26"/>
      <c r="I1032" s="26"/>
      <c r="J1032" s="26"/>
      <c r="K1032" s="26"/>
    </row>
    <row r="1033">
      <c r="A1033" s="26"/>
      <c r="B1033" s="26"/>
      <c r="C1033" s="26"/>
      <c r="D1033" s="26"/>
      <c r="E1033" s="26"/>
      <c r="F1033" s="26"/>
      <c r="G1033" s="26"/>
      <c r="H1033" s="26"/>
      <c r="I1033" s="26"/>
      <c r="J1033" s="26"/>
      <c r="K1033" s="26"/>
    </row>
    <row r="1034">
      <c r="A1034" s="26"/>
      <c r="B1034" s="26"/>
      <c r="C1034" s="26"/>
      <c r="D1034" s="26"/>
      <c r="E1034" s="26"/>
      <c r="F1034" s="26"/>
      <c r="G1034" s="26"/>
      <c r="H1034" s="26"/>
      <c r="I1034" s="26"/>
      <c r="J1034" s="26"/>
      <c r="K1034" s="26"/>
    </row>
    <row r="1035">
      <c r="A1035" s="26"/>
      <c r="B1035" s="26"/>
      <c r="C1035" s="26"/>
      <c r="D1035" s="26"/>
      <c r="E1035" s="26"/>
      <c r="F1035" s="26"/>
      <c r="G1035" s="26"/>
      <c r="H1035" s="26"/>
      <c r="I1035" s="26"/>
      <c r="J1035" s="26"/>
      <c r="K1035" s="26"/>
    </row>
    <row r="1036">
      <c r="A1036" s="26"/>
      <c r="B1036" s="26"/>
      <c r="C1036" s="26"/>
      <c r="D1036" s="26"/>
      <c r="E1036" s="26"/>
      <c r="F1036" s="26"/>
      <c r="G1036" s="26"/>
      <c r="H1036" s="26"/>
      <c r="I1036" s="26"/>
      <c r="J1036" s="26"/>
      <c r="K1036" s="26"/>
    </row>
    <row r="1037">
      <c r="A1037" s="26"/>
      <c r="B1037" s="26"/>
      <c r="C1037" s="26"/>
      <c r="D1037" s="26"/>
      <c r="E1037" s="26"/>
      <c r="F1037" s="26"/>
      <c r="G1037" s="26"/>
      <c r="H1037" s="26"/>
      <c r="I1037" s="26"/>
      <c r="J1037" s="26"/>
      <c r="K1037" s="26"/>
    </row>
    <row r="1038">
      <c r="A1038" s="26"/>
      <c r="B1038" s="26"/>
      <c r="C1038" s="26"/>
      <c r="D1038" s="26"/>
      <c r="E1038" s="26"/>
      <c r="F1038" s="26"/>
      <c r="G1038" s="26"/>
      <c r="H1038" s="26"/>
      <c r="I1038" s="26"/>
      <c r="J1038" s="26"/>
      <c r="K1038" s="26"/>
    </row>
    <row r="1039">
      <c r="A1039" s="26"/>
      <c r="B1039" s="26"/>
      <c r="C1039" s="26"/>
      <c r="D1039" s="26"/>
      <c r="E1039" s="26"/>
      <c r="F1039" s="26"/>
      <c r="G1039" s="26"/>
      <c r="H1039" s="26"/>
      <c r="I1039" s="26"/>
      <c r="J1039" s="26"/>
      <c r="K1039" s="26"/>
    </row>
    <row r="1040">
      <c r="A1040" s="26"/>
      <c r="B1040" s="26"/>
      <c r="C1040" s="26"/>
      <c r="D1040" s="26"/>
      <c r="E1040" s="26"/>
      <c r="F1040" s="26"/>
      <c r="G1040" s="26"/>
      <c r="H1040" s="26"/>
      <c r="I1040" s="26"/>
      <c r="J1040" s="26"/>
      <c r="K1040" s="26"/>
    </row>
    <row r="1041">
      <c r="A1041" s="26"/>
      <c r="B1041" s="26"/>
      <c r="C1041" s="26"/>
      <c r="D1041" s="26"/>
      <c r="E1041" s="26"/>
      <c r="F1041" s="26"/>
      <c r="G1041" s="26"/>
      <c r="H1041" s="26"/>
      <c r="I1041" s="26"/>
      <c r="J1041" s="26"/>
      <c r="K1041" s="26"/>
    </row>
    <row r="1042">
      <c r="A1042" s="26"/>
      <c r="B1042" s="26"/>
      <c r="C1042" s="26"/>
      <c r="D1042" s="26"/>
      <c r="E1042" s="26"/>
      <c r="F1042" s="26"/>
      <c r="G1042" s="26"/>
      <c r="H1042" s="26"/>
      <c r="I1042" s="26"/>
      <c r="J1042" s="26"/>
      <c r="K1042" s="26"/>
    </row>
    <row r="1043">
      <c r="A1043" s="26"/>
      <c r="B1043" s="26"/>
      <c r="C1043" s="26"/>
      <c r="D1043" s="26"/>
      <c r="E1043" s="26"/>
      <c r="F1043" s="26"/>
      <c r="G1043" s="26"/>
      <c r="H1043" s="26"/>
      <c r="I1043" s="26"/>
      <c r="J1043" s="26"/>
      <c r="K1043" s="26"/>
    </row>
    <row r="1044">
      <c r="A1044" s="26"/>
      <c r="B1044" s="26"/>
      <c r="C1044" s="26"/>
      <c r="D1044" s="26"/>
      <c r="E1044" s="26"/>
      <c r="F1044" s="26"/>
      <c r="G1044" s="26"/>
      <c r="H1044" s="26"/>
      <c r="I1044" s="26"/>
      <c r="J1044" s="26"/>
      <c r="K1044" s="26"/>
    </row>
    <row r="1045">
      <c r="A1045" s="26"/>
      <c r="B1045" s="26"/>
      <c r="C1045" s="26"/>
      <c r="D1045" s="26"/>
      <c r="E1045" s="26"/>
      <c r="F1045" s="26"/>
      <c r="G1045" s="26"/>
      <c r="H1045" s="26"/>
      <c r="I1045" s="26"/>
      <c r="J1045" s="26"/>
      <c r="K1045" s="26"/>
    </row>
    <row r="1046">
      <c r="A1046" s="26"/>
      <c r="B1046" s="26"/>
      <c r="C1046" s="26"/>
      <c r="D1046" s="26"/>
      <c r="E1046" s="26"/>
      <c r="F1046" s="26"/>
      <c r="G1046" s="26"/>
      <c r="H1046" s="26"/>
      <c r="I1046" s="26"/>
      <c r="J1046" s="26"/>
      <c r="K1046" s="26"/>
    </row>
    <row r="1047">
      <c r="A1047" s="26"/>
      <c r="B1047" s="26"/>
      <c r="C1047" s="26"/>
      <c r="D1047" s="26"/>
      <c r="E1047" s="26"/>
      <c r="F1047" s="26"/>
      <c r="G1047" s="26"/>
      <c r="H1047" s="26"/>
      <c r="I1047" s="26"/>
      <c r="J1047" s="26"/>
      <c r="K1047" s="26"/>
    </row>
    <row r="1048">
      <c r="A1048" s="26"/>
      <c r="B1048" s="26"/>
      <c r="C1048" s="26"/>
      <c r="D1048" s="26"/>
      <c r="E1048" s="26"/>
      <c r="F1048" s="26"/>
      <c r="G1048" s="26"/>
      <c r="H1048" s="26"/>
      <c r="I1048" s="26"/>
      <c r="J1048" s="26"/>
      <c r="K1048" s="26"/>
    </row>
    <row r="1049">
      <c r="A1049" s="26"/>
      <c r="B1049" s="26"/>
      <c r="C1049" s="26"/>
      <c r="D1049" s="26"/>
      <c r="E1049" s="26"/>
      <c r="F1049" s="26"/>
      <c r="G1049" s="26"/>
      <c r="H1049" s="26"/>
      <c r="I1049" s="26"/>
      <c r="J1049" s="26"/>
      <c r="K1049" s="26"/>
    </row>
    <row r="1050">
      <c r="A1050" s="26"/>
      <c r="B1050" s="26"/>
      <c r="C1050" s="26"/>
      <c r="D1050" s="26"/>
      <c r="E1050" s="26"/>
      <c r="F1050" s="26"/>
      <c r="G1050" s="26"/>
      <c r="H1050" s="26"/>
      <c r="I1050" s="26"/>
      <c r="J1050" s="26"/>
      <c r="K1050" s="26"/>
    </row>
    <row r="1051">
      <c r="A1051" s="26"/>
      <c r="B1051" s="26"/>
      <c r="C1051" s="26"/>
      <c r="D1051" s="26"/>
      <c r="E1051" s="26"/>
      <c r="F1051" s="26"/>
      <c r="G1051" s="26"/>
      <c r="H1051" s="26"/>
      <c r="I1051" s="26"/>
      <c r="J1051" s="26"/>
      <c r="K1051" s="26"/>
    </row>
    <row r="1052">
      <c r="A1052" s="26"/>
      <c r="B1052" s="26"/>
      <c r="C1052" s="26"/>
      <c r="D1052" s="26"/>
      <c r="E1052" s="26"/>
      <c r="F1052" s="26"/>
      <c r="G1052" s="26"/>
      <c r="H1052" s="26"/>
      <c r="I1052" s="26"/>
      <c r="J1052" s="26"/>
      <c r="K1052" s="26"/>
    </row>
    <row r="1053">
      <c r="A1053" s="26"/>
      <c r="B1053" s="26"/>
      <c r="C1053" s="26"/>
      <c r="D1053" s="26"/>
      <c r="E1053" s="26"/>
      <c r="F1053" s="26"/>
      <c r="G1053" s="26"/>
      <c r="H1053" s="26"/>
      <c r="I1053" s="26"/>
      <c r="J1053" s="26"/>
      <c r="K1053" s="26"/>
    </row>
    <row r="1054">
      <c r="A1054" s="26"/>
      <c r="B1054" s="26"/>
      <c r="C1054" s="26"/>
      <c r="D1054" s="26"/>
      <c r="E1054" s="26"/>
      <c r="F1054" s="26"/>
      <c r="G1054" s="26"/>
      <c r="H1054" s="26"/>
      <c r="I1054" s="26"/>
      <c r="J1054" s="26"/>
      <c r="K1054" s="26"/>
    </row>
    <row r="1055">
      <c r="A1055" s="26"/>
      <c r="B1055" s="26"/>
      <c r="C1055" s="26"/>
      <c r="D1055" s="26"/>
      <c r="E1055" s="26"/>
      <c r="F1055" s="26"/>
      <c r="G1055" s="26"/>
      <c r="H1055" s="26"/>
      <c r="I1055" s="26"/>
      <c r="J1055" s="26"/>
      <c r="K1055" s="26"/>
    </row>
    <row r="1056">
      <c r="A1056" s="26"/>
      <c r="B1056" s="26"/>
      <c r="C1056" s="26"/>
      <c r="D1056" s="26"/>
      <c r="E1056" s="26"/>
      <c r="F1056" s="26"/>
      <c r="G1056" s="26"/>
      <c r="H1056" s="26"/>
      <c r="I1056" s="26"/>
      <c r="J1056" s="26"/>
      <c r="K1056" s="26"/>
    </row>
    <row r="1057">
      <c r="A1057" s="26"/>
      <c r="B1057" s="26"/>
      <c r="C1057" s="26"/>
      <c r="D1057" s="26"/>
      <c r="E1057" s="26"/>
      <c r="F1057" s="26"/>
      <c r="G1057" s="26"/>
      <c r="H1057" s="26"/>
      <c r="I1057" s="26"/>
      <c r="J1057" s="26"/>
      <c r="K1057" s="26"/>
    </row>
    <row r="1058">
      <c r="A1058" s="26"/>
      <c r="B1058" s="26"/>
      <c r="C1058" s="26"/>
      <c r="D1058" s="26"/>
      <c r="E1058" s="26"/>
      <c r="F1058" s="26"/>
      <c r="G1058" s="26"/>
      <c r="H1058" s="26"/>
      <c r="I1058" s="26"/>
      <c r="J1058" s="26"/>
      <c r="K1058" s="26"/>
    </row>
    <row r="1059">
      <c r="A1059" s="26"/>
      <c r="B1059" s="26"/>
      <c r="C1059" s="26"/>
      <c r="D1059" s="26"/>
      <c r="E1059" s="26"/>
      <c r="F1059" s="26"/>
      <c r="G1059" s="26"/>
      <c r="H1059" s="26"/>
      <c r="I1059" s="26"/>
      <c r="J1059" s="26"/>
      <c r="K1059" s="26"/>
    </row>
    <row r="1060">
      <c r="A1060" s="26"/>
      <c r="B1060" s="26"/>
      <c r="C1060" s="26"/>
      <c r="D1060" s="26"/>
      <c r="E1060" s="26"/>
      <c r="F1060" s="26"/>
      <c r="G1060" s="26"/>
      <c r="H1060" s="26"/>
      <c r="I1060" s="26"/>
      <c r="J1060" s="26"/>
      <c r="K1060" s="26"/>
    </row>
    <row r="1061">
      <c r="A1061" s="26"/>
      <c r="B1061" s="26"/>
      <c r="C1061" s="26"/>
      <c r="D1061" s="26"/>
      <c r="E1061" s="26"/>
      <c r="F1061" s="26"/>
      <c r="G1061" s="26"/>
      <c r="H1061" s="26"/>
      <c r="I1061" s="26"/>
      <c r="J1061" s="26"/>
      <c r="K1061" s="26"/>
    </row>
    <row r="1062">
      <c r="A1062" s="26"/>
      <c r="B1062" s="26"/>
      <c r="C1062" s="26"/>
      <c r="D1062" s="26"/>
      <c r="E1062" s="26"/>
      <c r="F1062" s="26"/>
      <c r="G1062" s="26"/>
      <c r="H1062" s="26"/>
      <c r="I1062" s="26"/>
      <c r="J1062" s="26"/>
      <c r="K1062" s="26"/>
    </row>
    <row r="1063">
      <c r="A1063" s="26"/>
      <c r="B1063" s="26"/>
      <c r="C1063" s="26"/>
      <c r="D1063" s="26"/>
      <c r="E1063" s="26"/>
      <c r="F1063" s="26"/>
      <c r="G1063" s="26"/>
      <c r="H1063" s="26"/>
      <c r="I1063" s="26"/>
      <c r="J1063" s="26"/>
      <c r="K1063" s="26"/>
    </row>
    <row r="1064">
      <c r="A1064" s="26"/>
      <c r="B1064" s="26"/>
      <c r="C1064" s="26"/>
      <c r="D1064" s="26"/>
      <c r="E1064" s="26"/>
      <c r="F1064" s="26"/>
      <c r="G1064" s="26"/>
      <c r="H1064" s="26"/>
      <c r="I1064" s="26"/>
      <c r="J1064" s="26"/>
      <c r="K1064" s="26"/>
    </row>
    <row r="1065">
      <c r="A1065" s="26"/>
      <c r="B1065" s="26"/>
      <c r="C1065" s="26"/>
      <c r="D1065" s="26"/>
      <c r="E1065" s="26"/>
      <c r="F1065" s="26"/>
      <c r="G1065" s="26"/>
      <c r="H1065" s="26"/>
      <c r="I1065" s="26"/>
      <c r="J1065" s="26"/>
      <c r="K1065" s="26"/>
    </row>
    <row r="1066">
      <c r="A1066" s="26"/>
      <c r="B1066" s="26"/>
      <c r="C1066" s="26"/>
      <c r="D1066" s="26"/>
      <c r="E1066" s="26"/>
      <c r="F1066" s="26"/>
      <c r="G1066" s="26"/>
      <c r="H1066" s="26"/>
      <c r="I1066" s="26"/>
      <c r="J1066" s="26"/>
      <c r="K1066" s="26"/>
    </row>
    <row r="1067">
      <c r="A1067" s="26"/>
      <c r="B1067" s="26"/>
      <c r="C1067" s="26"/>
      <c r="D1067" s="26"/>
      <c r="E1067" s="26"/>
      <c r="F1067" s="26"/>
      <c r="G1067" s="26"/>
      <c r="H1067" s="26"/>
      <c r="I1067" s="26"/>
      <c r="J1067" s="26"/>
      <c r="K1067" s="26"/>
    </row>
    <row r="1068">
      <c r="A1068" s="26"/>
      <c r="B1068" s="26"/>
      <c r="C1068" s="26"/>
      <c r="D1068" s="26"/>
      <c r="E1068" s="26"/>
      <c r="F1068" s="26"/>
      <c r="G1068" s="26"/>
      <c r="H1068" s="26"/>
      <c r="I1068" s="26"/>
      <c r="J1068" s="26"/>
      <c r="K1068" s="26"/>
    </row>
    <row r="1069">
      <c r="A1069" s="26"/>
      <c r="B1069" s="26"/>
      <c r="C1069" s="26"/>
      <c r="D1069" s="26"/>
      <c r="E1069" s="26"/>
      <c r="F1069" s="26"/>
      <c r="G1069" s="26"/>
      <c r="H1069" s="26"/>
      <c r="I1069" s="26"/>
      <c r="J1069" s="26"/>
      <c r="K1069" s="26"/>
    </row>
    <row r="1070">
      <c r="A1070" s="26"/>
      <c r="B1070" s="26"/>
      <c r="C1070" s="26"/>
      <c r="D1070" s="26"/>
      <c r="E1070" s="26"/>
      <c r="F1070" s="26"/>
      <c r="G1070" s="26"/>
      <c r="H1070" s="26"/>
      <c r="I1070" s="26"/>
      <c r="J1070" s="26"/>
      <c r="K1070" s="26"/>
    </row>
    <row r="1071">
      <c r="A1071" s="26"/>
      <c r="B1071" s="26"/>
      <c r="C1071" s="26"/>
      <c r="D1071" s="26"/>
      <c r="E1071" s="26"/>
      <c r="F1071" s="26"/>
      <c r="G1071" s="26"/>
      <c r="H1071" s="26"/>
      <c r="I1071" s="26"/>
      <c r="J1071" s="26"/>
      <c r="K1071" s="26"/>
    </row>
    <row r="1072">
      <c r="A1072" s="26"/>
      <c r="B1072" s="26"/>
      <c r="C1072" s="26"/>
      <c r="D1072" s="26"/>
      <c r="E1072" s="26"/>
      <c r="F1072" s="26"/>
      <c r="G1072" s="26"/>
      <c r="H1072" s="26"/>
      <c r="I1072" s="26"/>
      <c r="J1072" s="26"/>
      <c r="K1072" s="26"/>
    </row>
    <row r="1073">
      <c r="A1073" s="26"/>
      <c r="B1073" s="26"/>
      <c r="C1073" s="26"/>
      <c r="D1073" s="26"/>
      <c r="E1073" s="26"/>
      <c r="F1073" s="26"/>
      <c r="G1073" s="26"/>
      <c r="H1073" s="26"/>
      <c r="I1073" s="26"/>
      <c r="J1073" s="26"/>
      <c r="K1073" s="26"/>
    </row>
    <row r="1074">
      <c r="A1074" s="26"/>
      <c r="B1074" s="26"/>
      <c r="C1074" s="26"/>
      <c r="D1074" s="26"/>
      <c r="E1074" s="26"/>
      <c r="F1074" s="26"/>
      <c r="G1074" s="26"/>
      <c r="H1074" s="26"/>
      <c r="I1074" s="26"/>
      <c r="J1074" s="26"/>
      <c r="K1074" s="26"/>
    </row>
    <row r="1075">
      <c r="A1075" s="26"/>
      <c r="B1075" s="26"/>
      <c r="C1075" s="26"/>
      <c r="D1075" s="26"/>
      <c r="E1075" s="26"/>
      <c r="F1075" s="26"/>
      <c r="G1075" s="26"/>
      <c r="H1075" s="26"/>
      <c r="I1075" s="26"/>
      <c r="J1075" s="26"/>
      <c r="K1075" s="26"/>
    </row>
    <row r="1076">
      <c r="A1076" s="26"/>
      <c r="B1076" s="26"/>
      <c r="C1076" s="26"/>
      <c r="D1076" s="26"/>
      <c r="E1076" s="26"/>
      <c r="F1076" s="26"/>
      <c r="G1076" s="26"/>
      <c r="H1076" s="26"/>
      <c r="I1076" s="26"/>
      <c r="J1076" s="26"/>
      <c r="K1076" s="26"/>
    </row>
    <row r="1077">
      <c r="A1077" s="26"/>
      <c r="B1077" s="26"/>
      <c r="C1077" s="26"/>
      <c r="D1077" s="26"/>
      <c r="E1077" s="26"/>
      <c r="F1077" s="26"/>
      <c r="G1077" s="26"/>
      <c r="H1077" s="26"/>
      <c r="I1077" s="26"/>
      <c r="J1077" s="26"/>
      <c r="K1077" s="26"/>
    </row>
    <row r="1078">
      <c r="A1078" s="26"/>
      <c r="B1078" s="26"/>
      <c r="C1078" s="26"/>
      <c r="D1078" s="26"/>
      <c r="E1078" s="26"/>
      <c r="F1078" s="26"/>
      <c r="G1078" s="26"/>
      <c r="H1078" s="26"/>
      <c r="I1078" s="26"/>
      <c r="J1078" s="26"/>
      <c r="K1078" s="26"/>
    </row>
    <row r="1079">
      <c r="A1079" s="26"/>
      <c r="B1079" s="26"/>
      <c r="C1079" s="26"/>
      <c r="D1079" s="26"/>
      <c r="E1079" s="26"/>
      <c r="F1079" s="26"/>
      <c r="G1079" s="26"/>
      <c r="H1079" s="26"/>
      <c r="I1079" s="26"/>
      <c r="J1079" s="26"/>
      <c r="K1079" s="26"/>
    </row>
    <row r="1080">
      <c r="A1080" s="26"/>
      <c r="B1080" s="26"/>
      <c r="C1080" s="26"/>
      <c r="D1080" s="26"/>
      <c r="E1080" s="26"/>
      <c r="F1080" s="26"/>
      <c r="G1080" s="26"/>
      <c r="H1080" s="26"/>
      <c r="I1080" s="26"/>
      <c r="J1080" s="26"/>
      <c r="K1080" s="26"/>
    </row>
    <row r="1081">
      <c r="A1081" s="26"/>
      <c r="B1081" s="26"/>
      <c r="C1081" s="26"/>
      <c r="D1081" s="26"/>
      <c r="E1081" s="26"/>
      <c r="F1081" s="26"/>
      <c r="G1081" s="26"/>
      <c r="H1081" s="26"/>
      <c r="I1081" s="26"/>
      <c r="J1081" s="26"/>
      <c r="K1081" s="26"/>
    </row>
    <row r="1082">
      <c r="A1082" s="26"/>
      <c r="B1082" s="26"/>
      <c r="C1082" s="26"/>
      <c r="D1082" s="26"/>
      <c r="E1082" s="26"/>
      <c r="F1082" s="26"/>
      <c r="G1082" s="26"/>
      <c r="H1082" s="26"/>
      <c r="I1082" s="26"/>
      <c r="J1082" s="26"/>
      <c r="K1082" s="26"/>
    </row>
    <row r="1083">
      <c r="A1083" s="26"/>
      <c r="B1083" s="26"/>
      <c r="C1083" s="26"/>
      <c r="D1083" s="26"/>
      <c r="E1083" s="26"/>
      <c r="F1083" s="26"/>
      <c r="G1083" s="26"/>
      <c r="H1083" s="26"/>
      <c r="I1083" s="26"/>
      <c r="J1083" s="26"/>
      <c r="K1083" s="26"/>
    </row>
    <row r="1084">
      <c r="A1084" s="26"/>
      <c r="B1084" s="26"/>
      <c r="C1084" s="26"/>
      <c r="D1084" s="26"/>
      <c r="E1084" s="26"/>
      <c r="F1084" s="26"/>
      <c r="G1084" s="26"/>
      <c r="H1084" s="26"/>
      <c r="I1084" s="26"/>
      <c r="J1084" s="26"/>
      <c r="K1084" s="26"/>
    </row>
    <row r="1085">
      <c r="A1085" s="26"/>
      <c r="B1085" s="26"/>
      <c r="C1085" s="26"/>
      <c r="D1085" s="26"/>
      <c r="E1085" s="26"/>
      <c r="F1085" s="26"/>
      <c r="G1085" s="26"/>
      <c r="H1085" s="26"/>
      <c r="I1085" s="26"/>
      <c r="J1085" s="26"/>
      <c r="K1085" s="26"/>
    </row>
    <row r="1086">
      <c r="A1086" s="26"/>
      <c r="B1086" s="26"/>
      <c r="C1086" s="26"/>
      <c r="D1086" s="26"/>
      <c r="E1086" s="26"/>
      <c r="F1086" s="26"/>
      <c r="G1086" s="26"/>
      <c r="H1086" s="26"/>
      <c r="I1086" s="26"/>
      <c r="J1086" s="26"/>
      <c r="K1086" s="26"/>
    </row>
    <row r="1087">
      <c r="A1087" s="26"/>
      <c r="B1087" s="26"/>
      <c r="C1087" s="26"/>
      <c r="D1087" s="26"/>
      <c r="E1087" s="26"/>
      <c r="F1087" s="26"/>
      <c r="G1087" s="26"/>
      <c r="H1087" s="26"/>
      <c r="I1087" s="26"/>
      <c r="J1087" s="26"/>
      <c r="K1087" s="26"/>
    </row>
    <row r="1088">
      <c r="A1088" s="26"/>
      <c r="B1088" s="26"/>
      <c r="C1088" s="26"/>
      <c r="D1088" s="26"/>
      <c r="E1088" s="26"/>
      <c r="F1088" s="26"/>
      <c r="G1088" s="26"/>
      <c r="H1088" s="26"/>
      <c r="I1088" s="26"/>
      <c r="J1088" s="26"/>
      <c r="K1088" s="26"/>
    </row>
    <row r="1089">
      <c r="A1089" s="26"/>
      <c r="B1089" s="26"/>
      <c r="C1089" s="26"/>
      <c r="D1089" s="26"/>
      <c r="E1089" s="26"/>
      <c r="F1089" s="26"/>
      <c r="G1089" s="26"/>
      <c r="H1089" s="26"/>
      <c r="I1089" s="26"/>
      <c r="J1089" s="26"/>
      <c r="K1089" s="26"/>
    </row>
    <row r="1090">
      <c r="A1090" s="26"/>
      <c r="B1090" s="26"/>
      <c r="C1090" s="26"/>
      <c r="D1090" s="26"/>
      <c r="E1090" s="26"/>
      <c r="F1090" s="26"/>
      <c r="G1090" s="26"/>
      <c r="H1090" s="26"/>
      <c r="I1090" s="26"/>
      <c r="J1090" s="26"/>
      <c r="K1090" s="26"/>
    </row>
    <row r="1091">
      <c r="A1091" s="26"/>
      <c r="B1091" s="26"/>
      <c r="C1091" s="26"/>
      <c r="D1091" s="26"/>
      <c r="E1091" s="26"/>
      <c r="F1091" s="26"/>
      <c r="G1091" s="26"/>
      <c r="H1091" s="26"/>
      <c r="I1091" s="26"/>
      <c r="J1091" s="26"/>
      <c r="K1091" s="26"/>
    </row>
    <row r="1092">
      <c r="A1092" s="26"/>
      <c r="B1092" s="26"/>
      <c r="C1092" s="26"/>
      <c r="D1092" s="26"/>
      <c r="E1092" s="26"/>
      <c r="F1092" s="26"/>
      <c r="G1092" s="26"/>
      <c r="H1092" s="26"/>
      <c r="I1092" s="26"/>
      <c r="J1092" s="26"/>
      <c r="K1092" s="26"/>
    </row>
    <row r="1093">
      <c r="A1093" s="26"/>
      <c r="B1093" s="26"/>
      <c r="C1093" s="26"/>
      <c r="D1093" s="26"/>
      <c r="E1093" s="26"/>
      <c r="F1093" s="26"/>
      <c r="G1093" s="26"/>
      <c r="H1093" s="26"/>
      <c r="I1093" s="26"/>
      <c r="J1093" s="26"/>
      <c r="K1093" s="26"/>
    </row>
    <row r="1094">
      <c r="A1094" s="26"/>
      <c r="B1094" s="26"/>
      <c r="C1094" s="26"/>
      <c r="D1094" s="26"/>
      <c r="E1094" s="26"/>
      <c r="F1094" s="26"/>
      <c r="G1094" s="26"/>
      <c r="H1094" s="26"/>
      <c r="I1094" s="26"/>
      <c r="J1094" s="26"/>
      <c r="K1094" s="26"/>
    </row>
    <row r="1095">
      <c r="A1095" s="26"/>
      <c r="B1095" s="26"/>
      <c r="C1095" s="26"/>
      <c r="D1095" s="26"/>
      <c r="E1095" s="26"/>
      <c r="F1095" s="26"/>
      <c r="G1095" s="26"/>
      <c r="H1095" s="26"/>
      <c r="I1095" s="26"/>
      <c r="J1095" s="26"/>
      <c r="K1095" s="26"/>
    </row>
    <row r="1096">
      <c r="A1096" s="26"/>
      <c r="B1096" s="26"/>
      <c r="C1096" s="26"/>
      <c r="D1096" s="26"/>
      <c r="E1096" s="26"/>
      <c r="F1096" s="26"/>
      <c r="G1096" s="26"/>
      <c r="H1096" s="26"/>
      <c r="I1096" s="26"/>
      <c r="J1096" s="26"/>
      <c r="K1096" s="26"/>
    </row>
    <row r="1097">
      <c r="A1097" s="26"/>
      <c r="B1097" s="26"/>
      <c r="C1097" s="26"/>
      <c r="D1097" s="26"/>
      <c r="E1097" s="26"/>
      <c r="F1097" s="26"/>
      <c r="G1097" s="26"/>
      <c r="H1097" s="26"/>
      <c r="I1097" s="26"/>
      <c r="J1097" s="26"/>
      <c r="K1097" s="26"/>
    </row>
    <row r="1098">
      <c r="A1098" s="26"/>
      <c r="B1098" s="26"/>
      <c r="C1098" s="26"/>
      <c r="D1098" s="26"/>
      <c r="E1098" s="26"/>
      <c r="F1098" s="26"/>
      <c r="G1098" s="26"/>
      <c r="H1098" s="26"/>
      <c r="I1098" s="26"/>
      <c r="J1098" s="26"/>
      <c r="K1098" s="26"/>
    </row>
    <row r="1099">
      <c r="A1099" s="26"/>
      <c r="B1099" s="26"/>
      <c r="C1099" s="26"/>
      <c r="D1099" s="26"/>
      <c r="E1099" s="26"/>
      <c r="F1099" s="26"/>
      <c r="G1099" s="26"/>
      <c r="H1099" s="26"/>
      <c r="I1099" s="26"/>
      <c r="J1099" s="26"/>
      <c r="K1099" s="26"/>
    </row>
    <row r="1100">
      <c r="A1100" s="26"/>
      <c r="B1100" s="26"/>
      <c r="C1100" s="26"/>
      <c r="D1100" s="26"/>
      <c r="E1100" s="26"/>
      <c r="F1100" s="26"/>
      <c r="G1100" s="26"/>
      <c r="H1100" s="26"/>
      <c r="I1100" s="26"/>
      <c r="J1100" s="26"/>
      <c r="K1100" s="26"/>
    </row>
    <row r="1101">
      <c r="A1101" s="26"/>
      <c r="B1101" s="26"/>
      <c r="C1101" s="26"/>
      <c r="D1101" s="26"/>
      <c r="E1101" s="26"/>
      <c r="F1101" s="26"/>
      <c r="G1101" s="26"/>
      <c r="H1101" s="26"/>
      <c r="I1101" s="26"/>
      <c r="J1101" s="26"/>
      <c r="K1101" s="26"/>
    </row>
    <row r="1102">
      <c r="A1102" s="26"/>
      <c r="B1102" s="26"/>
      <c r="C1102" s="26"/>
      <c r="D1102" s="26"/>
      <c r="E1102" s="26"/>
      <c r="F1102" s="26"/>
      <c r="G1102" s="26"/>
      <c r="H1102" s="26"/>
      <c r="I1102" s="26"/>
      <c r="J1102" s="26"/>
      <c r="K1102" s="26"/>
    </row>
    <row r="1103">
      <c r="A1103" s="26"/>
      <c r="B1103" s="26"/>
      <c r="C1103" s="26"/>
      <c r="D1103" s="26"/>
      <c r="E1103" s="26"/>
      <c r="F1103" s="26"/>
      <c r="G1103" s="26"/>
      <c r="H1103" s="26"/>
      <c r="I1103" s="26"/>
      <c r="J1103" s="26"/>
      <c r="K1103" s="26"/>
    </row>
    <row r="1104">
      <c r="A1104" s="26"/>
      <c r="B1104" s="26"/>
      <c r="C1104" s="26"/>
      <c r="D1104" s="26"/>
      <c r="E1104" s="26"/>
      <c r="F1104" s="26"/>
      <c r="G1104" s="26"/>
      <c r="H1104" s="26"/>
      <c r="I1104" s="26"/>
      <c r="J1104" s="26"/>
      <c r="K1104" s="26"/>
    </row>
    <row r="1105">
      <c r="A1105" s="26"/>
      <c r="B1105" s="26"/>
      <c r="C1105" s="26"/>
      <c r="D1105" s="26"/>
      <c r="E1105" s="26"/>
      <c r="F1105" s="26"/>
      <c r="G1105" s="26"/>
      <c r="H1105" s="26"/>
      <c r="I1105" s="26"/>
      <c r="J1105" s="26"/>
      <c r="K1105" s="26"/>
    </row>
    <row r="1106">
      <c r="A1106" s="26"/>
      <c r="B1106" s="26"/>
      <c r="C1106" s="26"/>
      <c r="D1106" s="26"/>
      <c r="E1106" s="26"/>
      <c r="F1106" s="26"/>
      <c r="G1106" s="26"/>
      <c r="H1106" s="26"/>
      <c r="I1106" s="26"/>
      <c r="J1106" s="26"/>
      <c r="K1106" s="26"/>
    </row>
    <row r="1107">
      <c r="A1107" s="26"/>
      <c r="B1107" s="26"/>
      <c r="C1107" s="26"/>
      <c r="D1107" s="26"/>
      <c r="E1107" s="26"/>
      <c r="F1107" s="26"/>
      <c r="G1107" s="26"/>
      <c r="H1107" s="26"/>
      <c r="I1107" s="26"/>
      <c r="J1107" s="26"/>
      <c r="K1107" s="26"/>
    </row>
    <row r="1108">
      <c r="A1108" s="26"/>
      <c r="B1108" s="26"/>
      <c r="C1108" s="26"/>
      <c r="D1108" s="26"/>
      <c r="E1108" s="26"/>
      <c r="F1108" s="26"/>
      <c r="G1108" s="26"/>
      <c r="H1108" s="26"/>
      <c r="I1108" s="26"/>
      <c r="J1108" s="26"/>
      <c r="K1108" s="26"/>
    </row>
    <row r="1109">
      <c r="A1109" s="26"/>
      <c r="B1109" s="26"/>
      <c r="C1109" s="26"/>
      <c r="D1109" s="26"/>
      <c r="E1109" s="26"/>
      <c r="F1109" s="26"/>
      <c r="G1109" s="26"/>
      <c r="H1109" s="26"/>
      <c r="I1109" s="26"/>
      <c r="J1109" s="26"/>
      <c r="K1109" s="26"/>
    </row>
    <row r="1110">
      <c r="A1110" s="26"/>
      <c r="B1110" s="26"/>
      <c r="C1110" s="26"/>
      <c r="D1110" s="26"/>
      <c r="E1110" s="26"/>
      <c r="F1110" s="26"/>
      <c r="G1110" s="26"/>
      <c r="H1110" s="26"/>
      <c r="I1110" s="26"/>
      <c r="J1110" s="26"/>
      <c r="K1110" s="26"/>
    </row>
    <row r="1111">
      <c r="A1111" s="26"/>
      <c r="B1111" s="26"/>
      <c r="C1111" s="26"/>
      <c r="D1111" s="26"/>
      <c r="E1111" s="26"/>
      <c r="F1111" s="26"/>
      <c r="G1111" s="26"/>
      <c r="H1111" s="26"/>
      <c r="I1111" s="26"/>
      <c r="J1111" s="26"/>
      <c r="K1111" s="26"/>
    </row>
    <row r="1112">
      <c r="A1112" s="26"/>
      <c r="B1112" s="26"/>
      <c r="C1112" s="26"/>
      <c r="D1112" s="26"/>
      <c r="E1112" s="26"/>
      <c r="F1112" s="26"/>
      <c r="G1112" s="26"/>
      <c r="H1112" s="26"/>
      <c r="I1112" s="26"/>
      <c r="J1112" s="26"/>
      <c r="K1112" s="26"/>
    </row>
    <row r="1113">
      <c r="A1113" s="26"/>
      <c r="B1113" s="26"/>
      <c r="C1113" s="26"/>
      <c r="D1113" s="26"/>
      <c r="E1113" s="26"/>
      <c r="F1113" s="26"/>
      <c r="G1113" s="26"/>
      <c r="H1113" s="26"/>
      <c r="I1113" s="26"/>
      <c r="J1113" s="26"/>
      <c r="K1113" s="26"/>
    </row>
    <row r="1114">
      <c r="A1114" s="26"/>
      <c r="B1114" s="26"/>
      <c r="C1114" s="26"/>
      <c r="D1114" s="26"/>
      <c r="E1114" s="26"/>
      <c r="F1114" s="26"/>
      <c r="G1114" s="26"/>
      <c r="H1114" s="26"/>
      <c r="I1114" s="26"/>
      <c r="J1114" s="26"/>
      <c r="K1114" s="26"/>
    </row>
    <row r="1115">
      <c r="A1115" s="26"/>
      <c r="B1115" s="26"/>
      <c r="C1115" s="26"/>
      <c r="D1115" s="26"/>
      <c r="E1115" s="26"/>
      <c r="F1115" s="26"/>
      <c r="G1115" s="26"/>
      <c r="H1115" s="26"/>
      <c r="I1115" s="26"/>
      <c r="J1115" s="26"/>
      <c r="K1115" s="26"/>
    </row>
    <row r="1116">
      <c r="A1116" s="26"/>
      <c r="B1116" s="26"/>
      <c r="C1116" s="26"/>
      <c r="D1116" s="26"/>
      <c r="E1116" s="26"/>
      <c r="F1116" s="26"/>
      <c r="G1116" s="26"/>
      <c r="H1116" s="26"/>
      <c r="I1116" s="26"/>
      <c r="J1116" s="26"/>
      <c r="K1116" s="26"/>
    </row>
    <row r="1117">
      <c r="A1117" s="26"/>
      <c r="B1117" s="26"/>
      <c r="C1117" s="26"/>
      <c r="D1117" s="26"/>
      <c r="E1117" s="26"/>
      <c r="F1117" s="26"/>
      <c r="G1117" s="26"/>
      <c r="H1117" s="26"/>
      <c r="I1117" s="26"/>
      <c r="J1117" s="26"/>
      <c r="K1117" s="26"/>
    </row>
    <row r="1118">
      <c r="A1118" s="26"/>
      <c r="B1118" s="26"/>
      <c r="C1118" s="26"/>
      <c r="D1118" s="26"/>
      <c r="E1118" s="26"/>
      <c r="F1118" s="26"/>
      <c r="G1118" s="26"/>
      <c r="H1118" s="26"/>
      <c r="I1118" s="26"/>
      <c r="J1118" s="26"/>
      <c r="K1118" s="26"/>
    </row>
    <row r="1119">
      <c r="A1119" s="26"/>
      <c r="B1119" s="26"/>
      <c r="C1119" s="26"/>
      <c r="D1119" s="26"/>
      <c r="E1119" s="26"/>
      <c r="F1119" s="26"/>
      <c r="G1119" s="26"/>
      <c r="H1119" s="26"/>
      <c r="I1119" s="26"/>
      <c r="J1119" s="26"/>
      <c r="K1119" s="26"/>
    </row>
    <row r="1120">
      <c r="A1120" s="26"/>
      <c r="B1120" s="26"/>
      <c r="C1120" s="26"/>
      <c r="D1120" s="26"/>
      <c r="E1120" s="26"/>
      <c r="F1120" s="26"/>
      <c r="G1120" s="26"/>
      <c r="H1120" s="26"/>
      <c r="I1120" s="26"/>
      <c r="J1120" s="26"/>
      <c r="K1120" s="26"/>
    </row>
    <row r="1121">
      <c r="A1121" s="26"/>
      <c r="B1121" s="26"/>
      <c r="C1121" s="26"/>
      <c r="D1121" s="26"/>
      <c r="E1121" s="26"/>
      <c r="F1121" s="26"/>
      <c r="G1121" s="26"/>
      <c r="H1121" s="26"/>
      <c r="I1121" s="26"/>
      <c r="J1121" s="26"/>
      <c r="K1121" s="26"/>
    </row>
    <row r="1122">
      <c r="A1122" s="26"/>
      <c r="B1122" s="26"/>
      <c r="C1122" s="26"/>
      <c r="D1122" s="26"/>
      <c r="E1122" s="26"/>
      <c r="F1122" s="26"/>
      <c r="G1122" s="26"/>
      <c r="H1122" s="26"/>
      <c r="I1122" s="26"/>
      <c r="J1122" s="26"/>
      <c r="K1122" s="26"/>
    </row>
    <row r="1123">
      <c r="A1123" s="26"/>
      <c r="B1123" s="26"/>
      <c r="C1123" s="26"/>
      <c r="D1123" s="26"/>
      <c r="E1123" s="26"/>
      <c r="F1123" s="26"/>
      <c r="G1123" s="26"/>
      <c r="H1123" s="26"/>
      <c r="I1123" s="26"/>
      <c r="J1123" s="26"/>
      <c r="K1123" s="26"/>
    </row>
    <row r="1124">
      <c r="A1124" s="26"/>
      <c r="B1124" s="26"/>
      <c r="C1124" s="26"/>
      <c r="D1124" s="26"/>
      <c r="E1124" s="26"/>
      <c r="F1124" s="26"/>
      <c r="G1124" s="26"/>
      <c r="H1124" s="26"/>
      <c r="I1124" s="26"/>
      <c r="J1124" s="26"/>
      <c r="K1124" s="26"/>
    </row>
    <row r="1125">
      <c r="A1125" s="26"/>
      <c r="B1125" s="26"/>
      <c r="C1125" s="26"/>
      <c r="D1125" s="26"/>
      <c r="E1125" s="26"/>
      <c r="F1125" s="26"/>
      <c r="G1125" s="26"/>
      <c r="H1125" s="26"/>
      <c r="I1125" s="26"/>
      <c r="J1125" s="26"/>
      <c r="K1125" s="26"/>
    </row>
    <row r="1126">
      <c r="A1126" s="26"/>
      <c r="B1126" s="26"/>
      <c r="C1126" s="26"/>
      <c r="D1126" s="26"/>
      <c r="E1126" s="26"/>
      <c r="F1126" s="26"/>
      <c r="G1126" s="26"/>
      <c r="H1126" s="26"/>
      <c r="I1126" s="26"/>
      <c r="J1126" s="26"/>
      <c r="K1126" s="26"/>
    </row>
    <row r="1127">
      <c r="A1127" s="26"/>
      <c r="B1127" s="26"/>
      <c r="C1127" s="26"/>
      <c r="D1127" s="26"/>
      <c r="E1127" s="26"/>
      <c r="F1127" s="26"/>
      <c r="G1127" s="26"/>
      <c r="H1127" s="26"/>
      <c r="I1127" s="26"/>
      <c r="J1127" s="26"/>
      <c r="K1127" s="26"/>
    </row>
    <row r="1128">
      <c r="A1128" s="26"/>
      <c r="B1128" s="26"/>
      <c r="C1128" s="26"/>
      <c r="D1128" s="26"/>
      <c r="E1128" s="26"/>
      <c r="F1128" s="26"/>
      <c r="G1128" s="26"/>
      <c r="H1128" s="26"/>
      <c r="I1128" s="26"/>
      <c r="J1128" s="26"/>
      <c r="K1128" s="26"/>
    </row>
    <row r="1129">
      <c r="A1129" s="26"/>
      <c r="B1129" s="26"/>
      <c r="C1129" s="26"/>
      <c r="D1129" s="26"/>
      <c r="E1129" s="26"/>
      <c r="F1129" s="26"/>
      <c r="G1129" s="26"/>
      <c r="H1129" s="26"/>
      <c r="I1129" s="26"/>
      <c r="J1129" s="26"/>
      <c r="K1129" s="26"/>
    </row>
    <row r="1130">
      <c r="A1130" s="26"/>
      <c r="B1130" s="26"/>
      <c r="C1130" s="26"/>
      <c r="D1130" s="26"/>
      <c r="E1130" s="26"/>
      <c r="F1130" s="26"/>
      <c r="G1130" s="26"/>
      <c r="H1130" s="26"/>
      <c r="I1130" s="26"/>
      <c r="J1130" s="26"/>
      <c r="K1130" s="26"/>
    </row>
    <row r="1131">
      <c r="A1131" s="26"/>
      <c r="B1131" s="26"/>
      <c r="C1131" s="26"/>
      <c r="D1131" s="26"/>
      <c r="E1131" s="26"/>
      <c r="F1131" s="26"/>
      <c r="G1131" s="26"/>
      <c r="H1131" s="26"/>
      <c r="I1131" s="26"/>
      <c r="J1131" s="26"/>
      <c r="K1131" s="26"/>
    </row>
    <row r="1132">
      <c r="A1132" s="26"/>
      <c r="B1132" s="26"/>
      <c r="C1132" s="26"/>
      <c r="D1132" s="26"/>
      <c r="E1132" s="26"/>
      <c r="F1132" s="26"/>
      <c r="G1132" s="26"/>
      <c r="H1132" s="26"/>
      <c r="I1132" s="26"/>
      <c r="J1132" s="26"/>
      <c r="K1132" s="26"/>
    </row>
    <row r="1133">
      <c r="A1133" s="26"/>
      <c r="B1133" s="26"/>
      <c r="C1133" s="26"/>
      <c r="D1133" s="26"/>
      <c r="E1133" s="26"/>
      <c r="F1133" s="26"/>
      <c r="G1133" s="26"/>
      <c r="H1133" s="26"/>
      <c r="I1133" s="26"/>
      <c r="J1133" s="26"/>
      <c r="K1133" s="26"/>
    </row>
    <row r="1134">
      <c r="A1134" s="26"/>
      <c r="B1134" s="26"/>
      <c r="C1134" s="26"/>
      <c r="D1134" s="26"/>
      <c r="E1134" s="26"/>
      <c r="F1134" s="26"/>
      <c r="G1134" s="26"/>
      <c r="H1134" s="26"/>
      <c r="I1134" s="26"/>
      <c r="J1134" s="26"/>
      <c r="K1134" s="26"/>
    </row>
    <row r="1135">
      <c r="A1135" s="26"/>
      <c r="B1135" s="26"/>
      <c r="C1135" s="26"/>
      <c r="D1135" s="26"/>
      <c r="E1135" s="26"/>
      <c r="F1135" s="26"/>
      <c r="G1135" s="26"/>
      <c r="H1135" s="26"/>
      <c r="I1135" s="26"/>
      <c r="J1135" s="26"/>
      <c r="K1135" s="26"/>
    </row>
    <row r="1136">
      <c r="A1136" s="26"/>
      <c r="B1136" s="26"/>
      <c r="C1136" s="26"/>
      <c r="D1136" s="26"/>
      <c r="E1136" s="26"/>
      <c r="F1136" s="26"/>
      <c r="G1136" s="26"/>
      <c r="H1136" s="26"/>
      <c r="I1136" s="26"/>
      <c r="J1136" s="26"/>
      <c r="K1136" s="26"/>
    </row>
    <row r="1137">
      <c r="A1137" s="26"/>
      <c r="B1137" s="26"/>
      <c r="C1137" s="26"/>
      <c r="D1137" s="26"/>
      <c r="E1137" s="26"/>
      <c r="F1137" s="26"/>
      <c r="G1137" s="26"/>
      <c r="H1137" s="26"/>
      <c r="I1137" s="26"/>
      <c r="J1137" s="26"/>
      <c r="K1137" s="26"/>
    </row>
    <row r="1138">
      <c r="A1138" s="26"/>
      <c r="B1138" s="26"/>
      <c r="C1138" s="26"/>
      <c r="D1138" s="26"/>
      <c r="E1138" s="26"/>
      <c r="F1138" s="26"/>
      <c r="G1138" s="26"/>
      <c r="H1138" s="26"/>
      <c r="I1138" s="26"/>
      <c r="J1138" s="26"/>
      <c r="K1138" s="26"/>
    </row>
    <row r="1139">
      <c r="A1139" s="26"/>
      <c r="B1139" s="26"/>
      <c r="C1139" s="26"/>
      <c r="D1139" s="26"/>
      <c r="E1139" s="26"/>
      <c r="F1139" s="26"/>
      <c r="G1139" s="26"/>
      <c r="H1139" s="26"/>
      <c r="I1139" s="26"/>
      <c r="J1139" s="26"/>
      <c r="K1139" s="26"/>
    </row>
    <row r="1140">
      <c r="A1140" s="26"/>
      <c r="B1140" s="26"/>
      <c r="C1140" s="26"/>
      <c r="D1140" s="26"/>
      <c r="E1140" s="26"/>
      <c r="F1140" s="26"/>
      <c r="G1140" s="26"/>
      <c r="H1140" s="26"/>
      <c r="I1140" s="26"/>
      <c r="J1140" s="26"/>
      <c r="K1140" s="26"/>
    </row>
    <row r="1141">
      <c r="A1141" s="26"/>
      <c r="B1141" s="26"/>
      <c r="C1141" s="26"/>
      <c r="D1141" s="26"/>
      <c r="E1141" s="26"/>
      <c r="F1141" s="26"/>
      <c r="G1141" s="26"/>
      <c r="H1141" s="26"/>
      <c r="I1141" s="26"/>
      <c r="J1141" s="26"/>
      <c r="K1141" s="26"/>
    </row>
    <row r="1142">
      <c r="A1142" s="26"/>
      <c r="B1142" s="26"/>
      <c r="C1142" s="26"/>
      <c r="D1142" s="26"/>
      <c r="E1142" s="26"/>
      <c r="F1142" s="26"/>
      <c r="G1142" s="26"/>
      <c r="H1142" s="26"/>
      <c r="I1142" s="26"/>
      <c r="J1142" s="26"/>
      <c r="K1142" s="26"/>
    </row>
    <row r="1143">
      <c r="A1143" s="26"/>
      <c r="B1143" s="26"/>
      <c r="C1143" s="26"/>
      <c r="D1143" s="26"/>
      <c r="E1143" s="26"/>
      <c r="F1143" s="26"/>
      <c r="G1143" s="26"/>
      <c r="H1143" s="26"/>
      <c r="I1143" s="26"/>
      <c r="J1143" s="26"/>
      <c r="K1143" s="26"/>
    </row>
    <row r="1144">
      <c r="A1144" s="26"/>
      <c r="B1144" s="26"/>
      <c r="C1144" s="26"/>
      <c r="D1144" s="26"/>
      <c r="E1144" s="26"/>
      <c r="F1144" s="26"/>
      <c r="G1144" s="26"/>
      <c r="H1144" s="26"/>
      <c r="I1144" s="26"/>
      <c r="J1144" s="26"/>
      <c r="K1144" s="26"/>
    </row>
    <row r="1145">
      <c r="A1145" s="26"/>
      <c r="B1145" s="26"/>
      <c r="C1145" s="26"/>
      <c r="D1145" s="26"/>
      <c r="E1145" s="26"/>
      <c r="F1145" s="26"/>
      <c r="G1145" s="26"/>
      <c r="H1145" s="26"/>
      <c r="I1145" s="26"/>
      <c r="J1145" s="26"/>
      <c r="K1145" s="26"/>
    </row>
    <row r="1146">
      <c r="A1146" s="26"/>
      <c r="B1146" s="26"/>
      <c r="C1146" s="26"/>
      <c r="D1146" s="26"/>
      <c r="E1146" s="26"/>
      <c r="F1146" s="26"/>
      <c r="G1146" s="26"/>
      <c r="H1146" s="26"/>
      <c r="I1146" s="26"/>
      <c r="J1146" s="26"/>
      <c r="K1146" s="26"/>
    </row>
    <row r="1147">
      <c r="A1147" s="26"/>
      <c r="B1147" s="26"/>
      <c r="C1147" s="26"/>
      <c r="D1147" s="26"/>
      <c r="E1147" s="26"/>
      <c r="F1147" s="26"/>
      <c r="G1147" s="26"/>
      <c r="H1147" s="26"/>
      <c r="I1147" s="26"/>
      <c r="J1147" s="26"/>
      <c r="K1147" s="26"/>
    </row>
    <row r="1148">
      <c r="A1148" s="26"/>
      <c r="B1148" s="26"/>
      <c r="C1148" s="26"/>
      <c r="D1148" s="26"/>
      <c r="E1148" s="26"/>
      <c r="F1148" s="26"/>
      <c r="G1148" s="26"/>
      <c r="H1148" s="26"/>
      <c r="I1148" s="26"/>
      <c r="J1148" s="26"/>
      <c r="K1148" s="26"/>
    </row>
    <row r="1149">
      <c r="A1149" s="26"/>
      <c r="B1149" s="26"/>
      <c r="C1149" s="26"/>
      <c r="D1149" s="26"/>
      <c r="E1149" s="26"/>
      <c r="F1149" s="26"/>
      <c r="G1149" s="26"/>
      <c r="H1149" s="26"/>
      <c r="I1149" s="26"/>
      <c r="J1149" s="26"/>
      <c r="K1149" s="26"/>
    </row>
    <row r="1150">
      <c r="A1150" s="26"/>
      <c r="B1150" s="26"/>
      <c r="C1150" s="26"/>
      <c r="D1150" s="26"/>
      <c r="E1150" s="26"/>
      <c r="F1150" s="26"/>
      <c r="G1150" s="26"/>
      <c r="H1150" s="26"/>
      <c r="I1150" s="26"/>
      <c r="J1150" s="26"/>
      <c r="K1150" s="26"/>
    </row>
    <row r="1151">
      <c r="A1151" s="26"/>
      <c r="B1151" s="26"/>
      <c r="C1151" s="26"/>
      <c r="D1151" s="26"/>
      <c r="E1151" s="26"/>
      <c r="F1151" s="26"/>
      <c r="G1151" s="26"/>
      <c r="H1151" s="26"/>
      <c r="I1151" s="26"/>
      <c r="J1151" s="26"/>
      <c r="K1151" s="26"/>
    </row>
    <row r="1152">
      <c r="A1152" s="26"/>
      <c r="B1152" s="26"/>
      <c r="C1152" s="26"/>
      <c r="D1152" s="26"/>
      <c r="E1152" s="26"/>
      <c r="F1152" s="26"/>
      <c r="G1152" s="26"/>
      <c r="H1152" s="26"/>
      <c r="I1152" s="26"/>
      <c r="J1152" s="26"/>
      <c r="K1152" s="26"/>
    </row>
    <row r="1153">
      <c r="A1153" s="26"/>
      <c r="B1153" s="26"/>
      <c r="C1153" s="26"/>
      <c r="D1153" s="26"/>
      <c r="E1153" s="26"/>
      <c r="F1153" s="26"/>
      <c r="G1153" s="26"/>
      <c r="H1153" s="26"/>
      <c r="I1153" s="26"/>
      <c r="J1153" s="26"/>
      <c r="K1153" s="26"/>
    </row>
    <row r="1154">
      <c r="A1154" s="26"/>
      <c r="B1154" s="26"/>
      <c r="C1154" s="26"/>
      <c r="D1154" s="26"/>
      <c r="E1154" s="26"/>
      <c r="F1154" s="26"/>
      <c r="G1154" s="26"/>
      <c r="H1154" s="26"/>
      <c r="I1154" s="26"/>
      <c r="J1154" s="26"/>
      <c r="K1154" s="26"/>
    </row>
    <row r="1155">
      <c r="A1155" s="26"/>
      <c r="B1155" s="26"/>
      <c r="C1155" s="26"/>
      <c r="D1155" s="26"/>
      <c r="E1155" s="26"/>
      <c r="F1155" s="26"/>
      <c r="G1155" s="26"/>
      <c r="H1155" s="26"/>
      <c r="I1155" s="26"/>
      <c r="J1155" s="26"/>
      <c r="K1155" s="26"/>
    </row>
    <row r="1156">
      <c r="A1156" s="26"/>
      <c r="B1156" s="26"/>
      <c r="C1156" s="26"/>
      <c r="D1156" s="26"/>
      <c r="E1156" s="26"/>
      <c r="F1156" s="26"/>
      <c r="G1156" s="26"/>
      <c r="H1156" s="26"/>
      <c r="I1156" s="26"/>
      <c r="J1156" s="26"/>
      <c r="K1156" s="26"/>
    </row>
    <row r="1157">
      <c r="A1157" s="26"/>
      <c r="B1157" s="26"/>
      <c r="C1157" s="26"/>
      <c r="D1157" s="26"/>
      <c r="E1157" s="26"/>
      <c r="F1157" s="26"/>
      <c r="G1157" s="26"/>
      <c r="H1157" s="26"/>
      <c r="I1157" s="26"/>
      <c r="J1157" s="26"/>
      <c r="K1157" s="26"/>
    </row>
    <row r="1158">
      <c r="A1158" s="26"/>
      <c r="B1158" s="26"/>
      <c r="C1158" s="26"/>
      <c r="D1158" s="26"/>
      <c r="E1158" s="26"/>
      <c r="F1158" s="26"/>
      <c r="G1158" s="26"/>
      <c r="H1158" s="26"/>
      <c r="I1158" s="26"/>
      <c r="J1158" s="26"/>
      <c r="K1158" s="26"/>
    </row>
    <row r="1159">
      <c r="A1159" s="26"/>
      <c r="B1159" s="26"/>
      <c r="C1159" s="26"/>
      <c r="D1159" s="26"/>
      <c r="E1159" s="26"/>
      <c r="F1159" s="26"/>
      <c r="G1159" s="26"/>
      <c r="H1159" s="26"/>
      <c r="I1159" s="26"/>
      <c r="J1159" s="26"/>
      <c r="K1159" s="26"/>
    </row>
    <row r="1160">
      <c r="A1160" s="26"/>
      <c r="B1160" s="26"/>
      <c r="C1160" s="26"/>
      <c r="D1160" s="26"/>
      <c r="E1160" s="26"/>
      <c r="F1160" s="26"/>
      <c r="G1160" s="26"/>
      <c r="H1160" s="26"/>
      <c r="I1160" s="26"/>
      <c r="J1160" s="26"/>
      <c r="K1160" s="26"/>
    </row>
    <row r="1161">
      <c r="A1161" s="26"/>
      <c r="B1161" s="26"/>
      <c r="C1161" s="26"/>
      <c r="D1161" s="26"/>
      <c r="E1161" s="26"/>
      <c r="F1161" s="26"/>
      <c r="G1161" s="26"/>
      <c r="H1161" s="26"/>
      <c r="I1161" s="26"/>
      <c r="J1161" s="26"/>
      <c r="K1161" s="26"/>
    </row>
    <row r="1162">
      <c r="A1162" s="26"/>
      <c r="B1162" s="26"/>
      <c r="C1162" s="26"/>
      <c r="D1162" s="26"/>
      <c r="E1162" s="26"/>
      <c r="F1162" s="26"/>
      <c r="G1162" s="26"/>
      <c r="H1162" s="26"/>
      <c r="I1162" s="26"/>
      <c r="J1162" s="26"/>
      <c r="K1162" s="26"/>
    </row>
    <row r="1163">
      <c r="A1163" s="26"/>
      <c r="B1163" s="26"/>
      <c r="C1163" s="26"/>
      <c r="D1163" s="26"/>
      <c r="E1163" s="26"/>
      <c r="F1163" s="26"/>
      <c r="G1163" s="26"/>
      <c r="H1163" s="26"/>
      <c r="I1163" s="26"/>
      <c r="J1163" s="26"/>
      <c r="K1163" s="26"/>
    </row>
    <row r="1164">
      <c r="A1164" s="26"/>
      <c r="B1164" s="26"/>
      <c r="C1164" s="26"/>
      <c r="D1164" s="26"/>
      <c r="E1164" s="26"/>
      <c r="F1164" s="26"/>
      <c r="G1164" s="26"/>
      <c r="H1164" s="26"/>
      <c r="I1164" s="26"/>
      <c r="J1164" s="26"/>
      <c r="K1164" s="26"/>
    </row>
    <row r="1165">
      <c r="A1165" s="26"/>
      <c r="B1165" s="26"/>
      <c r="C1165" s="26"/>
      <c r="D1165" s="26"/>
      <c r="E1165" s="26"/>
      <c r="F1165" s="26"/>
      <c r="G1165" s="26"/>
      <c r="H1165" s="26"/>
      <c r="I1165" s="26"/>
      <c r="J1165" s="26"/>
      <c r="K1165" s="26"/>
    </row>
    <row r="1166">
      <c r="A1166" s="26"/>
      <c r="B1166" s="26"/>
      <c r="C1166" s="26"/>
      <c r="D1166" s="26"/>
      <c r="E1166" s="26"/>
      <c r="F1166" s="26"/>
      <c r="G1166" s="26"/>
      <c r="H1166" s="26"/>
      <c r="I1166" s="26"/>
      <c r="J1166" s="26"/>
      <c r="K1166" s="26"/>
    </row>
    <row r="1167">
      <c r="A1167" s="26"/>
      <c r="B1167" s="26"/>
      <c r="C1167" s="26"/>
      <c r="D1167" s="26"/>
      <c r="E1167" s="26"/>
      <c r="F1167" s="26"/>
      <c r="G1167" s="26"/>
      <c r="H1167" s="26"/>
      <c r="I1167" s="26"/>
      <c r="J1167" s="26"/>
      <c r="K1167" s="26"/>
    </row>
    <row r="1168">
      <c r="A1168" s="26"/>
      <c r="B1168" s="26"/>
      <c r="C1168" s="26"/>
      <c r="D1168" s="26"/>
      <c r="E1168" s="26"/>
      <c r="F1168" s="26"/>
      <c r="G1168" s="26"/>
      <c r="H1168" s="26"/>
      <c r="I1168" s="26"/>
      <c r="J1168" s="26"/>
      <c r="K1168" s="26"/>
    </row>
    <row r="1169">
      <c r="A1169" s="26"/>
      <c r="B1169" s="26"/>
      <c r="C1169" s="26"/>
      <c r="D1169" s="26"/>
      <c r="E1169" s="26"/>
      <c r="F1169" s="26"/>
      <c r="G1169" s="26"/>
      <c r="H1169" s="26"/>
      <c r="I1169" s="26"/>
      <c r="J1169" s="26"/>
      <c r="K1169" s="26"/>
    </row>
    <row r="1170">
      <c r="A1170" s="26"/>
      <c r="B1170" s="26"/>
      <c r="C1170" s="26"/>
      <c r="D1170" s="26"/>
      <c r="E1170" s="26"/>
      <c r="F1170" s="26"/>
      <c r="G1170" s="26"/>
      <c r="H1170" s="26"/>
      <c r="I1170" s="26"/>
      <c r="J1170" s="26"/>
      <c r="K1170" s="26"/>
    </row>
    <row r="1171">
      <c r="A1171" s="26"/>
      <c r="B1171" s="26"/>
      <c r="C1171" s="26"/>
      <c r="D1171" s="26"/>
      <c r="E1171" s="26"/>
      <c r="F1171" s="26"/>
      <c r="G1171" s="26"/>
      <c r="H1171" s="26"/>
      <c r="I1171" s="26"/>
      <c r="J1171" s="26"/>
      <c r="K1171" s="26"/>
    </row>
    <row r="1172">
      <c r="A1172" s="26"/>
      <c r="B1172" s="26"/>
      <c r="C1172" s="26"/>
      <c r="D1172" s="26"/>
      <c r="E1172" s="26"/>
      <c r="F1172" s="26"/>
      <c r="G1172" s="26"/>
      <c r="H1172" s="26"/>
      <c r="I1172" s="26"/>
      <c r="J1172" s="26"/>
      <c r="K1172" s="26"/>
    </row>
    <row r="1173">
      <c r="A1173" s="26"/>
      <c r="B1173" s="26"/>
      <c r="C1173" s="26"/>
      <c r="D1173" s="26"/>
      <c r="E1173" s="26"/>
      <c r="F1173" s="26"/>
      <c r="G1173" s="26"/>
      <c r="H1173" s="26"/>
      <c r="I1173" s="26"/>
      <c r="J1173" s="26"/>
      <c r="K1173" s="26"/>
    </row>
    <row r="1174">
      <c r="A1174" s="26"/>
      <c r="B1174" s="26"/>
      <c r="C1174" s="26"/>
      <c r="D1174" s="26"/>
      <c r="E1174" s="26"/>
      <c r="F1174" s="26"/>
      <c r="G1174" s="26"/>
      <c r="H1174" s="26"/>
      <c r="I1174" s="26"/>
      <c r="J1174" s="26"/>
      <c r="K1174" s="26"/>
    </row>
    <row r="1175">
      <c r="A1175" s="26"/>
      <c r="B1175" s="26"/>
      <c r="C1175" s="26"/>
      <c r="D1175" s="26"/>
      <c r="E1175" s="26"/>
      <c r="F1175" s="26"/>
      <c r="G1175" s="26"/>
      <c r="H1175" s="26"/>
      <c r="I1175" s="26"/>
      <c r="J1175" s="26"/>
      <c r="K1175" s="26"/>
    </row>
    <row r="1176">
      <c r="A1176" s="26"/>
      <c r="B1176" s="26"/>
      <c r="C1176" s="26"/>
      <c r="D1176" s="26"/>
      <c r="E1176" s="26"/>
      <c r="F1176" s="26"/>
      <c r="G1176" s="26"/>
      <c r="H1176" s="26"/>
      <c r="I1176" s="26"/>
      <c r="J1176" s="26"/>
      <c r="K1176" s="26"/>
    </row>
    <row r="1177">
      <c r="A1177" s="26"/>
      <c r="B1177" s="26"/>
      <c r="C1177" s="26"/>
      <c r="D1177" s="26"/>
      <c r="E1177" s="26"/>
      <c r="F1177" s="26"/>
      <c r="G1177" s="26"/>
      <c r="H1177" s="26"/>
      <c r="I1177" s="26"/>
      <c r="J1177" s="26"/>
      <c r="K1177" s="26"/>
    </row>
    <row r="1178">
      <c r="A1178" s="26"/>
      <c r="B1178" s="26"/>
      <c r="C1178" s="26"/>
      <c r="D1178" s="26"/>
      <c r="E1178" s="26"/>
      <c r="F1178" s="26"/>
      <c r="G1178" s="26"/>
      <c r="H1178" s="26"/>
      <c r="I1178" s="26"/>
      <c r="J1178" s="26"/>
      <c r="K1178" s="26"/>
    </row>
    <row r="1179">
      <c r="A1179" s="26"/>
      <c r="B1179" s="26"/>
      <c r="C1179" s="26"/>
      <c r="D1179" s="26"/>
      <c r="E1179" s="26"/>
      <c r="F1179" s="26"/>
      <c r="G1179" s="26"/>
      <c r="H1179" s="26"/>
      <c r="I1179" s="26"/>
      <c r="J1179" s="26"/>
      <c r="K1179" s="26"/>
    </row>
    <row r="1180">
      <c r="A1180" s="26"/>
      <c r="B1180" s="26"/>
      <c r="C1180" s="26"/>
      <c r="D1180" s="26"/>
      <c r="E1180" s="26"/>
      <c r="F1180" s="26"/>
      <c r="G1180" s="26"/>
      <c r="H1180" s="26"/>
      <c r="I1180" s="26"/>
      <c r="J1180" s="26"/>
      <c r="K1180" s="26"/>
    </row>
    <row r="1181">
      <c r="A1181" s="26"/>
      <c r="B1181" s="26"/>
      <c r="C1181" s="26"/>
      <c r="D1181" s="26"/>
      <c r="E1181" s="26"/>
      <c r="F1181" s="26"/>
      <c r="G1181" s="26"/>
      <c r="H1181" s="26"/>
      <c r="I1181" s="26"/>
      <c r="J1181" s="26"/>
      <c r="K1181" s="26"/>
    </row>
    <row r="1182">
      <c r="A1182" s="26"/>
      <c r="B1182" s="26"/>
      <c r="C1182" s="26"/>
      <c r="D1182" s="26"/>
      <c r="E1182" s="26"/>
      <c r="F1182" s="26"/>
      <c r="G1182" s="26"/>
      <c r="H1182" s="26"/>
      <c r="I1182" s="26"/>
      <c r="J1182" s="26"/>
      <c r="K1182" s="26"/>
    </row>
    <row r="1183">
      <c r="A1183" s="26"/>
      <c r="B1183" s="26"/>
      <c r="C1183" s="26"/>
      <c r="D1183" s="26"/>
      <c r="E1183" s="26"/>
      <c r="F1183" s="26"/>
      <c r="G1183" s="26"/>
      <c r="H1183" s="26"/>
      <c r="I1183" s="26"/>
      <c r="J1183" s="26"/>
      <c r="K1183" s="26"/>
    </row>
    <row r="1184">
      <c r="A1184" s="26"/>
      <c r="B1184" s="26"/>
      <c r="C1184" s="26"/>
      <c r="D1184" s="26"/>
      <c r="E1184" s="26"/>
      <c r="F1184" s="26"/>
      <c r="G1184" s="26"/>
      <c r="H1184" s="26"/>
      <c r="I1184" s="26"/>
      <c r="J1184" s="26"/>
      <c r="K1184" s="26"/>
    </row>
    <row r="1185">
      <c r="A1185" s="26"/>
      <c r="B1185" s="26"/>
      <c r="C1185" s="26"/>
      <c r="D1185" s="26"/>
      <c r="E1185" s="26"/>
      <c r="F1185" s="26"/>
      <c r="G1185" s="26"/>
      <c r="H1185" s="26"/>
      <c r="I1185" s="26"/>
      <c r="J1185" s="26"/>
      <c r="K1185" s="26"/>
    </row>
    <row r="1186">
      <c r="A1186" s="26"/>
      <c r="B1186" s="26"/>
      <c r="C1186" s="26"/>
      <c r="D1186" s="26"/>
      <c r="E1186" s="26"/>
      <c r="F1186" s="26"/>
      <c r="G1186" s="26"/>
      <c r="H1186" s="26"/>
      <c r="I1186" s="26"/>
      <c r="J1186" s="26"/>
      <c r="K1186" s="26"/>
    </row>
    <row r="1187">
      <c r="A1187" s="26"/>
      <c r="B1187" s="26"/>
      <c r="C1187" s="26"/>
      <c r="D1187" s="26"/>
      <c r="E1187" s="26"/>
      <c r="F1187" s="26"/>
      <c r="G1187" s="26"/>
      <c r="H1187" s="26"/>
      <c r="I1187" s="26"/>
      <c r="J1187" s="26"/>
      <c r="K1187" s="26"/>
    </row>
    <row r="1188">
      <c r="A1188" s="26"/>
      <c r="B1188" s="26"/>
      <c r="C1188" s="26"/>
      <c r="D1188" s="26"/>
      <c r="E1188" s="26"/>
      <c r="F1188" s="26"/>
      <c r="G1188" s="26"/>
      <c r="H1188" s="26"/>
      <c r="I1188" s="26"/>
      <c r="J1188" s="26"/>
      <c r="K1188" s="26"/>
    </row>
    <row r="1189">
      <c r="A1189" s="26"/>
      <c r="B1189" s="26"/>
      <c r="C1189" s="26"/>
      <c r="D1189" s="26"/>
      <c r="E1189" s="26"/>
      <c r="F1189" s="26"/>
      <c r="G1189" s="26"/>
      <c r="H1189" s="26"/>
      <c r="I1189" s="26"/>
      <c r="J1189" s="26"/>
      <c r="K1189" s="26"/>
    </row>
    <row r="1190">
      <c r="A1190" s="26"/>
      <c r="B1190" s="26"/>
      <c r="C1190" s="26"/>
      <c r="D1190" s="26"/>
      <c r="E1190" s="26"/>
      <c r="F1190" s="26"/>
      <c r="G1190" s="26"/>
      <c r="H1190" s="26"/>
      <c r="I1190" s="26"/>
      <c r="J1190" s="26"/>
      <c r="K1190" s="26"/>
    </row>
    <row r="1191">
      <c r="A1191" s="26"/>
      <c r="B1191" s="26"/>
      <c r="C1191" s="26"/>
      <c r="D1191" s="26"/>
      <c r="E1191" s="26"/>
      <c r="F1191" s="26"/>
      <c r="G1191" s="26"/>
      <c r="H1191" s="26"/>
      <c r="I1191" s="26"/>
      <c r="J1191" s="26"/>
      <c r="K1191" s="26"/>
    </row>
    <row r="1192">
      <c r="A1192" s="26"/>
      <c r="B1192" s="26"/>
      <c r="C1192" s="26"/>
      <c r="D1192" s="26"/>
      <c r="E1192" s="26"/>
      <c r="F1192" s="26"/>
      <c r="G1192" s="26"/>
      <c r="H1192" s="26"/>
      <c r="I1192" s="26"/>
      <c r="J1192" s="26"/>
      <c r="K1192" s="26"/>
    </row>
    <row r="1193">
      <c r="A1193" s="26"/>
      <c r="B1193" s="26"/>
      <c r="C1193" s="26"/>
      <c r="D1193" s="26"/>
      <c r="E1193" s="26"/>
      <c r="F1193" s="26"/>
      <c r="G1193" s="26"/>
      <c r="H1193" s="26"/>
      <c r="I1193" s="26"/>
      <c r="J1193" s="26"/>
      <c r="K1193" s="26"/>
    </row>
    <row r="1194">
      <c r="A1194" s="26"/>
      <c r="B1194" s="26"/>
      <c r="C1194" s="26"/>
      <c r="D1194" s="26"/>
      <c r="E1194" s="26"/>
      <c r="F1194" s="26"/>
      <c r="G1194" s="26"/>
      <c r="H1194" s="26"/>
      <c r="I1194" s="26"/>
      <c r="J1194" s="26"/>
      <c r="K1194" s="26"/>
    </row>
    <row r="1195">
      <c r="A1195" s="26"/>
      <c r="B1195" s="26"/>
      <c r="C1195" s="26"/>
      <c r="D1195" s="26"/>
      <c r="E1195" s="26"/>
      <c r="F1195" s="26"/>
      <c r="G1195" s="26"/>
      <c r="H1195" s="26"/>
      <c r="I1195" s="26"/>
      <c r="J1195" s="26"/>
      <c r="K1195" s="26"/>
    </row>
    <row r="1196">
      <c r="A1196" s="26"/>
      <c r="B1196" s="26"/>
      <c r="C1196" s="26"/>
      <c r="D1196" s="26"/>
      <c r="E1196" s="26"/>
      <c r="F1196" s="26"/>
      <c r="G1196" s="26"/>
      <c r="H1196" s="26"/>
      <c r="I1196" s="26"/>
      <c r="J1196" s="26"/>
      <c r="K1196" s="26"/>
    </row>
    <row r="1197">
      <c r="A1197" s="26"/>
      <c r="B1197" s="26"/>
      <c r="C1197" s="26"/>
      <c r="D1197" s="26"/>
      <c r="E1197" s="26"/>
      <c r="F1197" s="26"/>
      <c r="G1197" s="26"/>
      <c r="H1197" s="26"/>
      <c r="I1197" s="26"/>
      <c r="J1197" s="26"/>
      <c r="K1197" s="26"/>
    </row>
    <row r="1198">
      <c r="A1198" s="26"/>
      <c r="B1198" s="26"/>
      <c r="C1198" s="26"/>
      <c r="D1198" s="26"/>
      <c r="E1198" s="26"/>
      <c r="F1198" s="26"/>
      <c r="G1198" s="26"/>
      <c r="H1198" s="26"/>
      <c r="I1198" s="26"/>
      <c r="J1198" s="26"/>
      <c r="K1198" s="26"/>
    </row>
    <row r="1199">
      <c r="A1199" s="26"/>
      <c r="B1199" s="26"/>
      <c r="C1199" s="26"/>
      <c r="D1199" s="26"/>
      <c r="E1199" s="26"/>
      <c r="F1199" s="26"/>
      <c r="G1199" s="26"/>
      <c r="H1199" s="26"/>
      <c r="I1199" s="26"/>
      <c r="J1199" s="26"/>
      <c r="K1199" s="26"/>
    </row>
    <row r="1200">
      <c r="A1200" s="26"/>
      <c r="B1200" s="26"/>
      <c r="C1200" s="26"/>
      <c r="D1200" s="26"/>
      <c r="E1200" s="26"/>
      <c r="F1200" s="26"/>
      <c r="G1200" s="26"/>
      <c r="H1200" s="26"/>
      <c r="I1200" s="26"/>
      <c r="J1200" s="26"/>
      <c r="K1200" s="26"/>
    </row>
    <row r="1201">
      <c r="A1201" s="26"/>
      <c r="B1201" s="26"/>
      <c r="C1201" s="26"/>
      <c r="D1201" s="26"/>
      <c r="E1201" s="26"/>
      <c r="F1201" s="26"/>
      <c r="G1201" s="26"/>
      <c r="H1201" s="26"/>
      <c r="I1201" s="26"/>
      <c r="J1201" s="26"/>
      <c r="K1201" s="26"/>
    </row>
    <row r="1202">
      <c r="A1202" s="26"/>
      <c r="B1202" s="26"/>
      <c r="C1202" s="26"/>
      <c r="D1202" s="26"/>
      <c r="E1202" s="26"/>
      <c r="F1202" s="26"/>
      <c r="G1202" s="26"/>
      <c r="H1202" s="26"/>
      <c r="I1202" s="26"/>
      <c r="J1202" s="26"/>
      <c r="K1202" s="26"/>
    </row>
    <row r="1203">
      <c r="A1203" s="26"/>
      <c r="B1203" s="26"/>
      <c r="C1203" s="26"/>
      <c r="D1203" s="26"/>
      <c r="E1203" s="26"/>
      <c r="F1203" s="26"/>
      <c r="G1203" s="26"/>
      <c r="H1203" s="26"/>
      <c r="I1203" s="26"/>
      <c r="J1203" s="26"/>
      <c r="K1203" s="26"/>
    </row>
    <row r="1204">
      <c r="A1204" s="26"/>
      <c r="B1204" s="26"/>
      <c r="C1204" s="26"/>
      <c r="D1204" s="26"/>
      <c r="E1204" s="26"/>
      <c r="F1204" s="26"/>
      <c r="G1204" s="26"/>
      <c r="H1204" s="26"/>
      <c r="I1204" s="26"/>
      <c r="J1204" s="26"/>
      <c r="K1204" s="26"/>
    </row>
    <row r="1205">
      <c r="A1205" s="26"/>
      <c r="B1205" s="26"/>
      <c r="C1205" s="26"/>
      <c r="D1205" s="26"/>
      <c r="E1205" s="26"/>
      <c r="F1205" s="26"/>
      <c r="G1205" s="26"/>
      <c r="H1205" s="26"/>
      <c r="I1205" s="26"/>
      <c r="J1205" s="26"/>
      <c r="K1205" s="26"/>
    </row>
    <row r="1206">
      <c r="A1206" s="26"/>
      <c r="B1206" s="26"/>
      <c r="C1206" s="26"/>
      <c r="D1206" s="26"/>
      <c r="E1206" s="26"/>
      <c r="F1206" s="26"/>
      <c r="G1206" s="26"/>
      <c r="H1206" s="26"/>
      <c r="I1206" s="26"/>
      <c r="J1206" s="26"/>
      <c r="K1206" s="26"/>
    </row>
    <row r="1207">
      <c r="A1207" s="26"/>
      <c r="B1207" s="26"/>
      <c r="C1207" s="26"/>
      <c r="D1207" s="26"/>
      <c r="E1207" s="26"/>
      <c r="F1207" s="26"/>
      <c r="G1207" s="26"/>
      <c r="H1207" s="26"/>
      <c r="I1207" s="26"/>
      <c r="J1207" s="26"/>
      <c r="K1207" s="26"/>
    </row>
    <row r="1208">
      <c r="A1208" s="26"/>
      <c r="B1208" s="26"/>
      <c r="C1208" s="26"/>
      <c r="D1208" s="26"/>
      <c r="E1208" s="26"/>
      <c r="F1208" s="26"/>
      <c r="G1208" s="26"/>
      <c r="H1208" s="26"/>
      <c r="I1208" s="26"/>
      <c r="J1208" s="26"/>
      <c r="K1208" s="26"/>
    </row>
    <row r="1209">
      <c r="A1209" s="26"/>
      <c r="B1209" s="26"/>
      <c r="C1209" s="26"/>
      <c r="D1209" s="26"/>
      <c r="E1209" s="26"/>
      <c r="F1209" s="26"/>
      <c r="G1209" s="26"/>
      <c r="H1209" s="26"/>
      <c r="I1209" s="26"/>
      <c r="J1209" s="26"/>
      <c r="K1209" s="26"/>
    </row>
    <row r="1210">
      <c r="A1210" s="26"/>
      <c r="B1210" s="26"/>
      <c r="C1210" s="26"/>
      <c r="D1210" s="26"/>
      <c r="E1210" s="26"/>
      <c r="F1210" s="26"/>
      <c r="G1210" s="26"/>
      <c r="H1210" s="26"/>
      <c r="I1210" s="26"/>
      <c r="J1210" s="26"/>
      <c r="K1210" s="26"/>
    </row>
    <row r="1211">
      <c r="A1211" s="26"/>
      <c r="B1211" s="26"/>
      <c r="C1211" s="26"/>
      <c r="D1211" s="26"/>
      <c r="E1211" s="26"/>
      <c r="F1211" s="26"/>
      <c r="G1211" s="26"/>
      <c r="H1211" s="26"/>
      <c r="I1211" s="26"/>
      <c r="J1211" s="26"/>
      <c r="K1211" s="26"/>
    </row>
    <row r="1212">
      <c r="A1212" s="26"/>
      <c r="B1212" s="26"/>
      <c r="C1212" s="26"/>
      <c r="D1212" s="26"/>
      <c r="E1212" s="26"/>
      <c r="F1212" s="26"/>
      <c r="G1212" s="26"/>
      <c r="H1212" s="26"/>
      <c r="I1212" s="26"/>
      <c r="J1212" s="26"/>
      <c r="K1212" s="26"/>
    </row>
    <row r="1213">
      <c r="A1213" s="26"/>
      <c r="B1213" s="26"/>
      <c r="C1213" s="26"/>
      <c r="D1213" s="26"/>
      <c r="E1213" s="26"/>
      <c r="F1213" s="26"/>
      <c r="G1213" s="26"/>
      <c r="H1213" s="26"/>
      <c r="I1213" s="26"/>
      <c r="J1213" s="26"/>
      <c r="K1213" s="26"/>
    </row>
    <row r="1214">
      <c r="A1214" s="26"/>
      <c r="B1214" s="26"/>
      <c r="C1214" s="26"/>
      <c r="D1214" s="26"/>
      <c r="E1214" s="26"/>
      <c r="F1214" s="26"/>
      <c r="G1214" s="26"/>
      <c r="H1214" s="26"/>
      <c r="I1214" s="26"/>
      <c r="J1214" s="26"/>
      <c r="K1214" s="26"/>
    </row>
    <row r="1215">
      <c r="A1215" s="26"/>
      <c r="B1215" s="26"/>
      <c r="C1215" s="26"/>
      <c r="D1215" s="26"/>
      <c r="E1215" s="26"/>
      <c r="F1215" s="26"/>
      <c r="G1215" s="26"/>
      <c r="H1215" s="26"/>
      <c r="I1215" s="26"/>
      <c r="J1215" s="26"/>
      <c r="K1215" s="26"/>
    </row>
    <row r="1216">
      <c r="A1216" s="26"/>
      <c r="B1216" s="26"/>
      <c r="C1216" s="26"/>
      <c r="D1216" s="26"/>
      <c r="E1216" s="26"/>
      <c r="F1216" s="26"/>
      <c r="G1216" s="26"/>
      <c r="H1216" s="26"/>
      <c r="I1216" s="26"/>
      <c r="J1216" s="26"/>
      <c r="K1216" s="26"/>
    </row>
    <row r="1217">
      <c r="A1217" s="26"/>
      <c r="B1217" s="26"/>
      <c r="C1217" s="26"/>
      <c r="D1217" s="26"/>
      <c r="E1217" s="26"/>
      <c r="F1217" s="26"/>
      <c r="G1217" s="26"/>
      <c r="H1217" s="26"/>
      <c r="I1217" s="26"/>
      <c r="J1217" s="26"/>
      <c r="K1217" s="26"/>
    </row>
    <row r="1218">
      <c r="A1218" s="26"/>
      <c r="B1218" s="26"/>
      <c r="C1218" s="26"/>
      <c r="D1218" s="26"/>
      <c r="E1218" s="26"/>
      <c r="F1218" s="26"/>
      <c r="G1218" s="26"/>
      <c r="H1218" s="26"/>
      <c r="I1218" s="26"/>
      <c r="J1218" s="26"/>
      <c r="K1218" s="26"/>
    </row>
    <row r="1219">
      <c r="A1219" s="26"/>
      <c r="B1219" s="26"/>
      <c r="C1219" s="26"/>
      <c r="D1219" s="26"/>
      <c r="E1219" s="26"/>
      <c r="F1219" s="26"/>
      <c r="G1219" s="26"/>
      <c r="H1219" s="26"/>
      <c r="I1219" s="26"/>
      <c r="J1219" s="26"/>
      <c r="K1219" s="26"/>
    </row>
    <row r="1220">
      <c r="A1220" s="26"/>
      <c r="B1220" s="26"/>
      <c r="C1220" s="26"/>
      <c r="D1220" s="26"/>
      <c r="E1220" s="26"/>
      <c r="F1220" s="26"/>
      <c r="G1220" s="26"/>
      <c r="H1220" s="26"/>
      <c r="I1220" s="26"/>
      <c r="J1220" s="26"/>
      <c r="K1220" s="26"/>
    </row>
    <row r="1221">
      <c r="A1221" s="26"/>
      <c r="B1221" s="26"/>
      <c r="C1221" s="26"/>
      <c r="D1221" s="26"/>
      <c r="E1221" s="26"/>
      <c r="F1221" s="26"/>
      <c r="G1221" s="26"/>
      <c r="H1221" s="26"/>
      <c r="I1221" s="26"/>
      <c r="J1221" s="26"/>
      <c r="K1221" s="26"/>
    </row>
    <row r="1222">
      <c r="A1222" s="26"/>
      <c r="B1222" s="26"/>
      <c r="C1222" s="26"/>
      <c r="D1222" s="26"/>
      <c r="E1222" s="26"/>
      <c r="F1222" s="26"/>
      <c r="G1222" s="26"/>
      <c r="H1222" s="26"/>
      <c r="I1222" s="26"/>
      <c r="J1222" s="26"/>
      <c r="K1222" s="26"/>
    </row>
    <row r="1223">
      <c r="A1223" s="26"/>
      <c r="B1223" s="26"/>
      <c r="C1223" s="26"/>
      <c r="D1223" s="26"/>
      <c r="E1223" s="26"/>
      <c r="F1223" s="26"/>
      <c r="G1223" s="26"/>
      <c r="H1223" s="26"/>
      <c r="I1223" s="26"/>
      <c r="J1223" s="26"/>
      <c r="K1223" s="26"/>
    </row>
    <row r="1224">
      <c r="A1224" s="26"/>
      <c r="B1224" s="26"/>
      <c r="C1224" s="26"/>
      <c r="D1224" s="26"/>
      <c r="E1224" s="26"/>
      <c r="F1224" s="26"/>
      <c r="G1224" s="26"/>
      <c r="H1224" s="26"/>
      <c r="I1224" s="26"/>
      <c r="J1224" s="26"/>
      <c r="K1224" s="26"/>
    </row>
    <row r="1225">
      <c r="A1225" s="26"/>
      <c r="B1225" s="26"/>
      <c r="C1225" s="26"/>
      <c r="D1225" s="26"/>
      <c r="E1225" s="26"/>
      <c r="F1225" s="26"/>
      <c r="G1225" s="26"/>
      <c r="H1225" s="26"/>
      <c r="I1225" s="26"/>
      <c r="J1225" s="26"/>
      <c r="K1225" s="26"/>
    </row>
    <row r="1226">
      <c r="A1226" s="26"/>
      <c r="B1226" s="26"/>
      <c r="C1226" s="26"/>
      <c r="D1226" s="26"/>
      <c r="E1226" s="26"/>
      <c r="F1226" s="26"/>
      <c r="G1226" s="26"/>
      <c r="H1226" s="26"/>
      <c r="I1226" s="26"/>
      <c r="J1226" s="26"/>
      <c r="K1226" s="26"/>
    </row>
    <row r="1227">
      <c r="A1227" s="26"/>
      <c r="B1227" s="26"/>
      <c r="C1227" s="26"/>
      <c r="D1227" s="26"/>
      <c r="E1227" s="26"/>
      <c r="F1227" s="26"/>
      <c r="G1227" s="26"/>
      <c r="H1227" s="26"/>
      <c r="I1227" s="26"/>
      <c r="J1227" s="26"/>
      <c r="K1227" s="26"/>
    </row>
    <row r="1228">
      <c r="A1228" s="26"/>
      <c r="B1228" s="26"/>
      <c r="C1228" s="26"/>
      <c r="D1228" s="26"/>
      <c r="E1228" s="26"/>
      <c r="F1228" s="26"/>
      <c r="G1228" s="26"/>
      <c r="H1228" s="26"/>
      <c r="I1228" s="26"/>
      <c r="J1228" s="26"/>
      <c r="K1228" s="26"/>
    </row>
    <row r="1229">
      <c r="A1229" s="26"/>
      <c r="B1229" s="26"/>
      <c r="C1229" s="26"/>
      <c r="D1229" s="26"/>
      <c r="E1229" s="26"/>
      <c r="F1229" s="26"/>
      <c r="G1229" s="26"/>
      <c r="H1229" s="26"/>
      <c r="I1229" s="26"/>
      <c r="J1229" s="26"/>
      <c r="K1229" s="26"/>
    </row>
    <row r="1230">
      <c r="A1230" s="26"/>
      <c r="B1230" s="26"/>
      <c r="C1230" s="26"/>
      <c r="D1230" s="26"/>
      <c r="E1230" s="26"/>
      <c r="F1230" s="26"/>
      <c r="G1230" s="26"/>
      <c r="H1230" s="26"/>
      <c r="I1230" s="26"/>
      <c r="J1230" s="26"/>
      <c r="K1230" s="26"/>
    </row>
    <row r="1231">
      <c r="A1231" s="26"/>
      <c r="B1231" s="26"/>
      <c r="C1231" s="26"/>
      <c r="D1231" s="26"/>
      <c r="E1231" s="26"/>
      <c r="F1231" s="26"/>
      <c r="G1231" s="26"/>
      <c r="H1231" s="26"/>
      <c r="I1231" s="26"/>
      <c r="J1231" s="26"/>
      <c r="K1231" s="26"/>
    </row>
    <row r="1232">
      <c r="A1232" s="26"/>
      <c r="B1232" s="26"/>
      <c r="C1232" s="26"/>
      <c r="D1232" s="26"/>
      <c r="E1232" s="26"/>
      <c r="F1232" s="26"/>
      <c r="G1232" s="26"/>
      <c r="H1232" s="26"/>
      <c r="I1232" s="26"/>
      <c r="J1232" s="26"/>
      <c r="K1232" s="26"/>
    </row>
    <row r="1233">
      <c r="A1233" s="26"/>
      <c r="B1233" s="26"/>
      <c r="C1233" s="26"/>
      <c r="D1233" s="26"/>
      <c r="E1233" s="26"/>
      <c r="F1233" s="26"/>
      <c r="G1233" s="26"/>
      <c r="H1233" s="26"/>
      <c r="I1233" s="26"/>
      <c r="J1233" s="26"/>
      <c r="K1233" s="26"/>
    </row>
    <row r="1234">
      <c r="A1234" s="26"/>
      <c r="B1234" s="26"/>
      <c r="C1234" s="26"/>
      <c r="D1234" s="26"/>
      <c r="E1234" s="26"/>
      <c r="F1234" s="26"/>
      <c r="G1234" s="26"/>
      <c r="H1234" s="26"/>
      <c r="I1234" s="26"/>
      <c r="J1234" s="26"/>
      <c r="K1234" s="26"/>
    </row>
    <row r="1235">
      <c r="A1235" s="26"/>
      <c r="B1235" s="26"/>
      <c r="C1235" s="26"/>
      <c r="D1235" s="26"/>
      <c r="E1235" s="26"/>
      <c r="F1235" s="26"/>
      <c r="G1235" s="26"/>
      <c r="H1235" s="26"/>
      <c r="I1235" s="26"/>
      <c r="J1235" s="26"/>
      <c r="K1235" s="26"/>
    </row>
    <row r="1236">
      <c r="A1236" s="26"/>
      <c r="B1236" s="26"/>
      <c r="C1236" s="26"/>
      <c r="D1236" s="26"/>
      <c r="E1236" s="26"/>
      <c r="F1236" s="26"/>
      <c r="G1236" s="26"/>
      <c r="H1236" s="26"/>
      <c r="I1236" s="26"/>
      <c r="J1236" s="26"/>
      <c r="K1236" s="26"/>
    </row>
    <row r="1237">
      <c r="A1237" s="26"/>
      <c r="B1237" s="26"/>
      <c r="C1237" s="26"/>
      <c r="D1237" s="26"/>
      <c r="E1237" s="26"/>
      <c r="F1237" s="26"/>
      <c r="G1237" s="26"/>
      <c r="H1237" s="26"/>
      <c r="I1237" s="26"/>
      <c r="J1237" s="26"/>
      <c r="K1237" s="26"/>
    </row>
    <row r="1238">
      <c r="A1238" s="26"/>
      <c r="B1238" s="26"/>
      <c r="C1238" s="26"/>
      <c r="D1238" s="26"/>
      <c r="E1238" s="26"/>
      <c r="F1238" s="26"/>
      <c r="G1238" s="26"/>
      <c r="H1238" s="26"/>
      <c r="I1238" s="26"/>
      <c r="J1238" s="26"/>
      <c r="K1238" s="26"/>
    </row>
    <row r="1239">
      <c r="A1239" s="26"/>
      <c r="B1239" s="26"/>
      <c r="C1239" s="26"/>
      <c r="D1239" s="26"/>
      <c r="E1239" s="26"/>
      <c r="F1239" s="26"/>
      <c r="G1239" s="26"/>
      <c r="H1239" s="26"/>
      <c r="I1239" s="26"/>
      <c r="J1239" s="26"/>
      <c r="K1239" s="26"/>
    </row>
    <row r="1240">
      <c r="A1240" s="26"/>
      <c r="B1240" s="26"/>
      <c r="C1240" s="26"/>
      <c r="D1240" s="26"/>
      <c r="E1240" s="26"/>
      <c r="F1240" s="26"/>
      <c r="G1240" s="26"/>
      <c r="H1240" s="26"/>
      <c r="I1240" s="26"/>
      <c r="J1240" s="26"/>
      <c r="K1240" s="26"/>
    </row>
    <row r="1241">
      <c r="A1241" s="26"/>
      <c r="B1241" s="26"/>
      <c r="C1241" s="26"/>
      <c r="D1241" s="26"/>
      <c r="E1241" s="26"/>
      <c r="F1241" s="26"/>
      <c r="G1241" s="26"/>
      <c r="H1241" s="26"/>
      <c r="I1241" s="26"/>
      <c r="J1241" s="26"/>
      <c r="K1241" s="26"/>
    </row>
    <row r="1242">
      <c r="A1242" s="26"/>
      <c r="B1242" s="26"/>
      <c r="C1242" s="26"/>
      <c r="D1242" s="26"/>
      <c r="E1242" s="26"/>
      <c r="F1242" s="26"/>
      <c r="G1242" s="26"/>
      <c r="H1242" s="26"/>
      <c r="I1242" s="26"/>
      <c r="J1242" s="26"/>
      <c r="K1242" s="26"/>
    </row>
    <row r="1243">
      <c r="A1243" s="26"/>
      <c r="B1243" s="26"/>
      <c r="C1243" s="26"/>
      <c r="D1243" s="26"/>
      <c r="E1243" s="26"/>
      <c r="F1243" s="26"/>
      <c r="G1243" s="26"/>
      <c r="H1243" s="26"/>
      <c r="I1243" s="26"/>
      <c r="J1243" s="26"/>
      <c r="K1243" s="26"/>
    </row>
    <row r="1244">
      <c r="A1244" s="26"/>
      <c r="B1244" s="26"/>
      <c r="C1244" s="26"/>
      <c r="D1244" s="26"/>
      <c r="E1244" s="26"/>
      <c r="F1244" s="26"/>
      <c r="G1244" s="26"/>
      <c r="H1244" s="26"/>
      <c r="I1244" s="26"/>
      <c r="J1244" s="26"/>
      <c r="K1244" s="26"/>
    </row>
    <row r="1245">
      <c r="A1245" s="26"/>
      <c r="B1245" s="26"/>
      <c r="C1245" s="26"/>
      <c r="D1245" s="26"/>
      <c r="E1245" s="26"/>
      <c r="F1245" s="26"/>
      <c r="G1245" s="26"/>
      <c r="H1245" s="26"/>
      <c r="I1245" s="26"/>
      <c r="J1245" s="26"/>
      <c r="K1245" s="26"/>
    </row>
    <row r="1246">
      <c r="A1246" s="26"/>
      <c r="B1246" s="26"/>
      <c r="C1246" s="26"/>
      <c r="D1246" s="26"/>
      <c r="E1246" s="26"/>
      <c r="F1246" s="26"/>
      <c r="G1246" s="26"/>
      <c r="H1246" s="26"/>
      <c r="I1246" s="26"/>
      <c r="J1246" s="26"/>
      <c r="K1246" s="26"/>
    </row>
    <row r="1247">
      <c r="A1247" s="26"/>
      <c r="B1247" s="26"/>
      <c r="C1247" s="26"/>
      <c r="D1247" s="26"/>
      <c r="E1247" s="26"/>
      <c r="F1247" s="26"/>
      <c r="G1247" s="26"/>
      <c r="H1247" s="26"/>
      <c r="I1247" s="26"/>
      <c r="J1247" s="26"/>
      <c r="K1247" s="26"/>
    </row>
    <row r="1248">
      <c r="A1248" s="26"/>
      <c r="B1248" s="26"/>
      <c r="C1248" s="26"/>
      <c r="D1248" s="26"/>
      <c r="E1248" s="26"/>
      <c r="F1248" s="26"/>
      <c r="G1248" s="26"/>
      <c r="H1248" s="26"/>
      <c r="I1248" s="26"/>
      <c r="J1248" s="26"/>
      <c r="K1248" s="26"/>
    </row>
    <row r="1249">
      <c r="A1249" s="26"/>
      <c r="B1249" s="26"/>
      <c r="C1249" s="26"/>
      <c r="D1249" s="26"/>
      <c r="E1249" s="26"/>
      <c r="F1249" s="26"/>
      <c r="G1249" s="26"/>
      <c r="H1249" s="26"/>
      <c r="I1249" s="26"/>
      <c r="J1249" s="26"/>
      <c r="K1249" s="26"/>
    </row>
    <row r="1250">
      <c r="A1250" s="26"/>
      <c r="B1250" s="26"/>
      <c r="C1250" s="26"/>
      <c r="D1250" s="26"/>
      <c r="E1250" s="26"/>
      <c r="F1250" s="26"/>
      <c r="G1250" s="26"/>
      <c r="H1250" s="26"/>
      <c r="I1250" s="26"/>
      <c r="J1250" s="26"/>
      <c r="K1250" s="26"/>
    </row>
    <row r="1251">
      <c r="A1251" s="26"/>
      <c r="B1251" s="26"/>
      <c r="C1251" s="26"/>
      <c r="D1251" s="26"/>
      <c r="E1251" s="26"/>
      <c r="F1251" s="26"/>
      <c r="G1251" s="26"/>
      <c r="H1251" s="26"/>
      <c r="I1251" s="26"/>
      <c r="J1251" s="26"/>
      <c r="K1251" s="26"/>
    </row>
    <row r="1252">
      <c r="A1252" s="26"/>
      <c r="B1252" s="26"/>
      <c r="C1252" s="26"/>
      <c r="D1252" s="26"/>
      <c r="E1252" s="26"/>
      <c r="F1252" s="26"/>
      <c r="G1252" s="26"/>
      <c r="H1252" s="26"/>
      <c r="I1252" s="26"/>
      <c r="J1252" s="26"/>
      <c r="K1252" s="26"/>
    </row>
    <row r="1253">
      <c r="A1253" s="26"/>
      <c r="B1253" s="26"/>
      <c r="C1253" s="26"/>
      <c r="D1253" s="26"/>
      <c r="E1253" s="26"/>
      <c r="F1253" s="26"/>
      <c r="G1253" s="26"/>
      <c r="H1253" s="26"/>
      <c r="I1253" s="26"/>
      <c r="J1253" s="26"/>
      <c r="K1253" s="26"/>
    </row>
    <row r="1254">
      <c r="A1254" s="26"/>
      <c r="B1254" s="26"/>
      <c r="C1254" s="26"/>
      <c r="D1254" s="26"/>
      <c r="E1254" s="26"/>
      <c r="F1254" s="26"/>
      <c r="G1254" s="26"/>
      <c r="H1254" s="26"/>
      <c r="I1254" s="26"/>
      <c r="J1254" s="26"/>
      <c r="K1254" s="26"/>
    </row>
    <row r="1255">
      <c r="A1255" s="26"/>
      <c r="B1255" s="26"/>
      <c r="C1255" s="26"/>
      <c r="D1255" s="26"/>
      <c r="E1255" s="26"/>
      <c r="F1255" s="26"/>
      <c r="G1255" s="26"/>
      <c r="H1255" s="26"/>
      <c r="I1255" s="26"/>
      <c r="J1255" s="26"/>
      <c r="K1255" s="26"/>
    </row>
    <row r="1256">
      <c r="A1256" s="26"/>
      <c r="B1256" s="26"/>
      <c r="C1256" s="26"/>
      <c r="D1256" s="26"/>
      <c r="E1256" s="26"/>
      <c r="F1256" s="26"/>
      <c r="G1256" s="26"/>
      <c r="H1256" s="26"/>
      <c r="I1256" s="26"/>
      <c r="J1256" s="26"/>
      <c r="K1256" s="26"/>
    </row>
    <row r="1257">
      <c r="A1257" s="26"/>
      <c r="B1257" s="26"/>
      <c r="C1257" s="26"/>
      <c r="D1257" s="26"/>
      <c r="E1257" s="26"/>
      <c r="F1257" s="26"/>
      <c r="G1257" s="26"/>
      <c r="H1257" s="26"/>
      <c r="I1257" s="26"/>
      <c r="J1257" s="26"/>
      <c r="K1257" s="26"/>
    </row>
    <row r="1258">
      <c r="A1258" s="26"/>
      <c r="B1258" s="26"/>
      <c r="C1258" s="26"/>
      <c r="D1258" s="26"/>
      <c r="E1258" s="26"/>
      <c r="F1258" s="26"/>
      <c r="G1258" s="26"/>
      <c r="H1258" s="26"/>
      <c r="I1258" s="26"/>
      <c r="J1258" s="26"/>
      <c r="K1258" s="26"/>
    </row>
    <row r="1259">
      <c r="A1259" s="26"/>
      <c r="B1259" s="26"/>
      <c r="C1259" s="26"/>
      <c r="D1259" s="26"/>
      <c r="E1259" s="26"/>
      <c r="F1259" s="26"/>
      <c r="G1259" s="26"/>
      <c r="H1259" s="26"/>
      <c r="I1259" s="26"/>
      <c r="J1259" s="26"/>
      <c r="K1259" s="26"/>
    </row>
    <row r="1260">
      <c r="A1260" s="26"/>
      <c r="B1260" s="26"/>
      <c r="C1260" s="26"/>
      <c r="D1260" s="26"/>
      <c r="E1260" s="26"/>
      <c r="F1260" s="26"/>
      <c r="G1260" s="26"/>
      <c r="H1260" s="26"/>
      <c r="I1260" s="26"/>
      <c r="J1260" s="26"/>
      <c r="K1260" s="26"/>
    </row>
    <row r="1261">
      <c r="A1261" s="26"/>
      <c r="B1261" s="26"/>
      <c r="C1261" s="26"/>
      <c r="D1261" s="26"/>
      <c r="E1261" s="26"/>
      <c r="F1261" s="26"/>
      <c r="G1261" s="26"/>
      <c r="H1261" s="26"/>
      <c r="I1261" s="26"/>
      <c r="J1261" s="26"/>
      <c r="K1261" s="26"/>
    </row>
    <row r="1262">
      <c r="A1262" s="26"/>
      <c r="B1262" s="26"/>
      <c r="C1262" s="26"/>
      <c r="D1262" s="26"/>
      <c r="E1262" s="26"/>
      <c r="F1262" s="26"/>
      <c r="G1262" s="26"/>
      <c r="H1262" s="26"/>
      <c r="I1262" s="26"/>
      <c r="J1262" s="26"/>
      <c r="K1262" s="26"/>
    </row>
    <row r="1263">
      <c r="A1263" s="26"/>
      <c r="B1263" s="26"/>
      <c r="C1263" s="26"/>
      <c r="D1263" s="26"/>
      <c r="E1263" s="26"/>
      <c r="F1263" s="26"/>
      <c r="G1263" s="26"/>
      <c r="H1263" s="26"/>
      <c r="I1263" s="26"/>
      <c r="J1263" s="26"/>
      <c r="K1263" s="26"/>
    </row>
    <row r="1264">
      <c r="A1264" s="26"/>
      <c r="B1264" s="26"/>
      <c r="C1264" s="26"/>
      <c r="D1264" s="26"/>
      <c r="E1264" s="26"/>
      <c r="F1264" s="26"/>
      <c r="G1264" s="26"/>
      <c r="H1264" s="26"/>
      <c r="I1264" s="26"/>
      <c r="J1264" s="26"/>
      <c r="K1264" s="26"/>
    </row>
    <row r="1265">
      <c r="A1265" s="26"/>
      <c r="B1265" s="26"/>
      <c r="C1265" s="26"/>
      <c r="D1265" s="26"/>
      <c r="E1265" s="26"/>
      <c r="F1265" s="26"/>
      <c r="G1265" s="26"/>
      <c r="H1265" s="26"/>
      <c r="I1265" s="26"/>
      <c r="J1265" s="26"/>
      <c r="K1265" s="26"/>
    </row>
    <row r="1266">
      <c r="A1266" s="26"/>
      <c r="B1266" s="26"/>
      <c r="C1266" s="26"/>
      <c r="D1266" s="26"/>
      <c r="E1266" s="26"/>
      <c r="F1266" s="26"/>
      <c r="G1266" s="26"/>
      <c r="H1266" s="26"/>
      <c r="I1266" s="26"/>
      <c r="J1266" s="26"/>
      <c r="K1266" s="26"/>
    </row>
    <row r="1267">
      <c r="A1267" s="26"/>
      <c r="B1267" s="26"/>
      <c r="C1267" s="26"/>
      <c r="D1267" s="26"/>
      <c r="E1267" s="26"/>
      <c r="F1267" s="26"/>
      <c r="G1267" s="26"/>
      <c r="H1267" s="26"/>
      <c r="I1267" s="26"/>
      <c r="J1267" s="26"/>
      <c r="K1267" s="26"/>
    </row>
    <row r="1268">
      <c r="A1268" s="26"/>
      <c r="B1268" s="26"/>
      <c r="C1268" s="26"/>
      <c r="D1268" s="26"/>
      <c r="E1268" s="26"/>
      <c r="F1268" s="26"/>
      <c r="G1268" s="26"/>
      <c r="H1268" s="26"/>
      <c r="I1268" s="26"/>
      <c r="J1268" s="26"/>
      <c r="K1268" s="26"/>
    </row>
    <row r="1269">
      <c r="A1269" s="26"/>
      <c r="B1269" s="26"/>
      <c r="C1269" s="26"/>
      <c r="D1269" s="26"/>
      <c r="E1269" s="26"/>
      <c r="F1269" s="26"/>
      <c r="G1269" s="26"/>
      <c r="H1269" s="26"/>
      <c r="I1269" s="26"/>
      <c r="J1269" s="26"/>
      <c r="K1269" s="26"/>
    </row>
    <row r="1270">
      <c r="A1270" s="26"/>
      <c r="B1270" s="26"/>
      <c r="C1270" s="26"/>
      <c r="D1270" s="26"/>
      <c r="E1270" s="26"/>
      <c r="F1270" s="26"/>
      <c r="G1270" s="26"/>
      <c r="H1270" s="26"/>
      <c r="I1270" s="26"/>
      <c r="J1270" s="26"/>
      <c r="K1270" s="26"/>
    </row>
    <row r="1271">
      <c r="A1271" s="26"/>
      <c r="B1271" s="26"/>
      <c r="C1271" s="26"/>
      <c r="D1271" s="26"/>
      <c r="E1271" s="26"/>
      <c r="F1271" s="26"/>
      <c r="G1271" s="26"/>
      <c r="H1271" s="26"/>
      <c r="I1271" s="26"/>
      <c r="J1271" s="26"/>
      <c r="K1271" s="26"/>
    </row>
    <row r="1272">
      <c r="A1272" s="26"/>
      <c r="B1272" s="26"/>
      <c r="C1272" s="26"/>
      <c r="D1272" s="26"/>
      <c r="E1272" s="26"/>
      <c r="F1272" s="26"/>
      <c r="G1272" s="26"/>
      <c r="H1272" s="26"/>
      <c r="I1272" s="26"/>
      <c r="J1272" s="26"/>
      <c r="K1272" s="26"/>
    </row>
    <row r="1273">
      <c r="A1273" s="26"/>
      <c r="B1273" s="26"/>
      <c r="C1273" s="26"/>
      <c r="D1273" s="26"/>
      <c r="E1273" s="26"/>
      <c r="F1273" s="26"/>
      <c r="G1273" s="26"/>
      <c r="H1273" s="26"/>
      <c r="I1273" s="26"/>
      <c r="J1273" s="26"/>
      <c r="K1273" s="26"/>
    </row>
    <row r="1274">
      <c r="A1274" s="26"/>
      <c r="B1274" s="26"/>
      <c r="C1274" s="26"/>
      <c r="D1274" s="26"/>
      <c r="E1274" s="26"/>
      <c r="F1274" s="26"/>
      <c r="G1274" s="26"/>
      <c r="H1274" s="26"/>
      <c r="I1274" s="26"/>
      <c r="J1274" s="26"/>
      <c r="K1274" s="26"/>
    </row>
    <row r="1275">
      <c r="A1275" s="26"/>
      <c r="B1275" s="26"/>
      <c r="C1275" s="26"/>
      <c r="D1275" s="26"/>
      <c r="E1275" s="26"/>
      <c r="F1275" s="26"/>
      <c r="G1275" s="26"/>
      <c r="H1275" s="26"/>
      <c r="I1275" s="26"/>
      <c r="J1275" s="26"/>
      <c r="K1275" s="26"/>
    </row>
    <row r="1276">
      <c r="A1276" s="26"/>
      <c r="B1276" s="26"/>
      <c r="C1276" s="26"/>
      <c r="D1276" s="26"/>
      <c r="E1276" s="26"/>
      <c r="F1276" s="26"/>
      <c r="G1276" s="26"/>
      <c r="H1276" s="26"/>
      <c r="I1276" s="26"/>
      <c r="J1276" s="26"/>
      <c r="K1276" s="26"/>
    </row>
    <row r="1277">
      <c r="A1277" s="26"/>
      <c r="B1277" s="26"/>
      <c r="C1277" s="26"/>
      <c r="D1277" s="26"/>
      <c r="E1277" s="26"/>
      <c r="F1277" s="26"/>
      <c r="G1277" s="26"/>
      <c r="H1277" s="26"/>
      <c r="I1277" s="26"/>
      <c r="J1277" s="26"/>
      <c r="K1277" s="26"/>
    </row>
    <row r="1278">
      <c r="A1278" s="26"/>
      <c r="B1278" s="26"/>
      <c r="C1278" s="26"/>
      <c r="D1278" s="26"/>
      <c r="E1278" s="26"/>
      <c r="F1278" s="26"/>
      <c r="G1278" s="26"/>
      <c r="H1278" s="26"/>
      <c r="I1278" s="26"/>
      <c r="J1278" s="26"/>
      <c r="K1278" s="26"/>
    </row>
    <row r="1279">
      <c r="A1279" s="26"/>
      <c r="B1279" s="26"/>
      <c r="C1279" s="26"/>
      <c r="D1279" s="26"/>
      <c r="E1279" s="26"/>
      <c r="F1279" s="26"/>
      <c r="G1279" s="26"/>
      <c r="H1279" s="26"/>
      <c r="I1279" s="26"/>
      <c r="J1279" s="26"/>
      <c r="K1279" s="26"/>
    </row>
    <row r="1280">
      <c r="A1280" s="26"/>
      <c r="B1280" s="26"/>
      <c r="C1280" s="26"/>
      <c r="D1280" s="26"/>
      <c r="E1280" s="26"/>
      <c r="F1280" s="26"/>
      <c r="G1280" s="26"/>
      <c r="H1280" s="26"/>
      <c r="I1280" s="26"/>
      <c r="J1280" s="26"/>
      <c r="K1280" s="26"/>
    </row>
    <row r="1281">
      <c r="A1281" s="26"/>
      <c r="B1281" s="26"/>
      <c r="C1281" s="26"/>
      <c r="D1281" s="26"/>
      <c r="E1281" s="26"/>
      <c r="F1281" s="26"/>
      <c r="G1281" s="26"/>
      <c r="H1281" s="26"/>
      <c r="I1281" s="26"/>
      <c r="J1281" s="26"/>
      <c r="K1281" s="26"/>
    </row>
    <row r="1282">
      <c r="A1282" s="26"/>
      <c r="B1282" s="26"/>
      <c r="C1282" s="26"/>
      <c r="D1282" s="26"/>
      <c r="E1282" s="26"/>
      <c r="F1282" s="26"/>
      <c r="G1282" s="26"/>
      <c r="H1282" s="26"/>
      <c r="I1282" s="26"/>
      <c r="J1282" s="26"/>
      <c r="K1282" s="26"/>
    </row>
    <row r="1283">
      <c r="A1283" s="26"/>
      <c r="B1283" s="26"/>
      <c r="C1283" s="26"/>
      <c r="D1283" s="26"/>
      <c r="E1283" s="26"/>
      <c r="F1283" s="26"/>
      <c r="G1283" s="26"/>
      <c r="H1283" s="26"/>
      <c r="I1283" s="26"/>
      <c r="J1283" s="26"/>
      <c r="K1283" s="26"/>
    </row>
    <row r="1284">
      <c r="A1284" s="26"/>
      <c r="B1284" s="26"/>
      <c r="C1284" s="26"/>
      <c r="D1284" s="26"/>
      <c r="E1284" s="26"/>
      <c r="F1284" s="26"/>
      <c r="G1284" s="26"/>
      <c r="H1284" s="26"/>
      <c r="I1284" s="26"/>
      <c r="J1284" s="26"/>
      <c r="K1284" s="26"/>
    </row>
    <row r="1285">
      <c r="A1285" s="26"/>
      <c r="B1285" s="26"/>
      <c r="C1285" s="26"/>
      <c r="D1285" s="26"/>
      <c r="E1285" s="26"/>
      <c r="F1285" s="26"/>
      <c r="G1285" s="26"/>
      <c r="H1285" s="26"/>
      <c r="I1285" s="26"/>
      <c r="J1285" s="26"/>
      <c r="K1285" s="26"/>
    </row>
    <row r="1286">
      <c r="A1286" s="26"/>
      <c r="B1286" s="26"/>
      <c r="C1286" s="26"/>
      <c r="D1286" s="26"/>
      <c r="E1286" s="26"/>
      <c r="F1286" s="26"/>
      <c r="G1286" s="26"/>
      <c r="H1286" s="26"/>
      <c r="I1286" s="26"/>
      <c r="J1286" s="26"/>
      <c r="K1286" s="26"/>
    </row>
    <row r="1287">
      <c r="A1287" s="26"/>
      <c r="B1287" s="26"/>
      <c r="C1287" s="26"/>
      <c r="D1287" s="26"/>
      <c r="E1287" s="26"/>
      <c r="F1287" s="26"/>
      <c r="G1287" s="26"/>
      <c r="H1287" s="26"/>
      <c r="I1287" s="26"/>
      <c r="J1287" s="26"/>
      <c r="K1287" s="26"/>
    </row>
    <row r="1288">
      <c r="A1288" s="26"/>
      <c r="B1288" s="26"/>
      <c r="C1288" s="26"/>
      <c r="D1288" s="26"/>
      <c r="E1288" s="26"/>
      <c r="F1288" s="26"/>
      <c r="G1288" s="26"/>
      <c r="H1288" s="26"/>
      <c r="I1288" s="26"/>
      <c r="J1288" s="26"/>
      <c r="K1288" s="26"/>
    </row>
    <row r="1289">
      <c r="A1289" s="26"/>
      <c r="B1289" s="26"/>
      <c r="C1289" s="26"/>
      <c r="D1289" s="26"/>
      <c r="E1289" s="26"/>
      <c r="F1289" s="26"/>
      <c r="G1289" s="26"/>
      <c r="H1289" s="26"/>
      <c r="I1289" s="26"/>
      <c r="J1289" s="26"/>
      <c r="K1289" s="26"/>
    </row>
    <row r="1290">
      <c r="A1290" s="26"/>
      <c r="B1290" s="26"/>
      <c r="C1290" s="26"/>
      <c r="D1290" s="26"/>
      <c r="E1290" s="26"/>
      <c r="F1290" s="26"/>
      <c r="G1290" s="26"/>
      <c r="H1290" s="26"/>
      <c r="I1290" s="26"/>
      <c r="J1290" s="26"/>
      <c r="K1290" s="26"/>
    </row>
    <row r="1291">
      <c r="A1291" s="26"/>
      <c r="B1291" s="26"/>
      <c r="C1291" s="26"/>
      <c r="D1291" s="26"/>
      <c r="E1291" s="26"/>
      <c r="F1291" s="26"/>
      <c r="G1291" s="26"/>
      <c r="H1291" s="26"/>
      <c r="I1291" s="26"/>
      <c r="J1291" s="26"/>
      <c r="K1291" s="26"/>
    </row>
    <row r="1292">
      <c r="A1292" s="26"/>
      <c r="B1292" s="26"/>
      <c r="C1292" s="26"/>
      <c r="D1292" s="26"/>
      <c r="E1292" s="26"/>
      <c r="F1292" s="26"/>
      <c r="G1292" s="26"/>
      <c r="H1292" s="26"/>
      <c r="I1292" s="26"/>
      <c r="J1292" s="26"/>
      <c r="K1292" s="26"/>
    </row>
    <row r="1293">
      <c r="A1293" s="26"/>
      <c r="B1293" s="26"/>
      <c r="C1293" s="26"/>
      <c r="D1293" s="26"/>
      <c r="E1293" s="26"/>
      <c r="F1293" s="26"/>
      <c r="G1293" s="26"/>
      <c r="H1293" s="26"/>
      <c r="I1293" s="26"/>
      <c r="J1293" s="26"/>
      <c r="K1293" s="26"/>
    </row>
    <row r="1294">
      <c r="A1294" s="26"/>
      <c r="B1294" s="26"/>
      <c r="C1294" s="26"/>
      <c r="D1294" s="26"/>
      <c r="E1294" s="26"/>
      <c r="F1294" s="26"/>
      <c r="G1294" s="26"/>
      <c r="H1294" s="26"/>
      <c r="I1294" s="26"/>
      <c r="J1294" s="26"/>
      <c r="K1294" s="26"/>
    </row>
    <row r="1295">
      <c r="A1295" s="26"/>
      <c r="B1295" s="26"/>
      <c r="C1295" s="26"/>
      <c r="D1295" s="26"/>
      <c r="E1295" s="26"/>
      <c r="F1295" s="26"/>
      <c r="G1295" s="26"/>
      <c r="H1295" s="26"/>
      <c r="I1295" s="26"/>
      <c r="J1295" s="26"/>
      <c r="K1295" s="26"/>
    </row>
    <row r="1296">
      <c r="A1296" s="26"/>
      <c r="B1296" s="26"/>
      <c r="C1296" s="26"/>
      <c r="D1296" s="26"/>
      <c r="E1296" s="26"/>
      <c r="F1296" s="26"/>
      <c r="G1296" s="26"/>
      <c r="H1296" s="26"/>
      <c r="I1296" s="26"/>
      <c r="J1296" s="26"/>
      <c r="K1296" s="26"/>
    </row>
    <row r="1297">
      <c r="A1297" s="26"/>
      <c r="B1297" s="26"/>
      <c r="C1297" s="26"/>
      <c r="D1297" s="26"/>
      <c r="E1297" s="26"/>
      <c r="F1297" s="26"/>
      <c r="G1297" s="26"/>
      <c r="H1297" s="26"/>
      <c r="I1297" s="26"/>
      <c r="J1297" s="26"/>
      <c r="K1297" s="26"/>
    </row>
    <row r="1298">
      <c r="A1298" s="26"/>
      <c r="B1298" s="26"/>
      <c r="C1298" s="26"/>
      <c r="D1298" s="26"/>
      <c r="E1298" s="26"/>
      <c r="F1298" s="26"/>
      <c r="G1298" s="26"/>
      <c r="H1298" s="26"/>
      <c r="I1298" s="26"/>
      <c r="J1298" s="26"/>
      <c r="K1298" s="26"/>
    </row>
    <row r="1299">
      <c r="A1299" s="26"/>
      <c r="B1299" s="26"/>
      <c r="C1299" s="26"/>
      <c r="D1299" s="26"/>
      <c r="E1299" s="26"/>
      <c r="F1299" s="26"/>
      <c r="G1299" s="26"/>
      <c r="H1299" s="26"/>
      <c r="I1299" s="26"/>
      <c r="J1299" s="26"/>
      <c r="K1299" s="26"/>
    </row>
    <row r="1300">
      <c r="A1300" s="26"/>
      <c r="B1300" s="26"/>
      <c r="C1300" s="26"/>
      <c r="D1300" s="26"/>
      <c r="E1300" s="26"/>
      <c r="F1300" s="26"/>
      <c r="G1300" s="26"/>
      <c r="H1300" s="26"/>
      <c r="I1300" s="26"/>
      <c r="J1300" s="26"/>
      <c r="K1300" s="26"/>
    </row>
    <row r="1301">
      <c r="A1301" s="26"/>
      <c r="B1301" s="26"/>
      <c r="C1301" s="26"/>
      <c r="D1301" s="26"/>
      <c r="E1301" s="26"/>
      <c r="F1301" s="26"/>
      <c r="G1301" s="26"/>
      <c r="H1301" s="26"/>
      <c r="I1301" s="26"/>
      <c r="J1301" s="26"/>
      <c r="K1301" s="26"/>
    </row>
    <row r="1302">
      <c r="A1302" s="26"/>
      <c r="B1302" s="26"/>
      <c r="C1302" s="26"/>
      <c r="D1302" s="26"/>
      <c r="E1302" s="26"/>
      <c r="F1302" s="26"/>
      <c r="G1302" s="26"/>
      <c r="H1302" s="26"/>
      <c r="I1302" s="26"/>
      <c r="J1302" s="26"/>
      <c r="K1302" s="26"/>
    </row>
    <row r="1303">
      <c r="A1303" s="26"/>
      <c r="B1303" s="26"/>
      <c r="C1303" s="26"/>
      <c r="D1303" s="26"/>
      <c r="E1303" s="26"/>
      <c r="F1303" s="26"/>
      <c r="G1303" s="26"/>
      <c r="H1303" s="26"/>
      <c r="I1303" s="26"/>
      <c r="J1303" s="26"/>
      <c r="K1303" s="26"/>
    </row>
    <row r="1304">
      <c r="A1304" s="26"/>
      <c r="B1304" s="26"/>
      <c r="C1304" s="26"/>
      <c r="D1304" s="26"/>
      <c r="E1304" s="26"/>
      <c r="F1304" s="26"/>
      <c r="G1304" s="26"/>
      <c r="H1304" s="26"/>
      <c r="I1304" s="26"/>
      <c r="J1304" s="26"/>
      <c r="K1304" s="26"/>
    </row>
    <row r="1305">
      <c r="A1305" s="26"/>
      <c r="B1305" s="26"/>
      <c r="C1305" s="26"/>
      <c r="D1305" s="26"/>
      <c r="E1305" s="26"/>
      <c r="F1305" s="26"/>
      <c r="G1305" s="26"/>
      <c r="H1305" s="26"/>
      <c r="I1305" s="26"/>
      <c r="J1305" s="26"/>
      <c r="K1305" s="26"/>
    </row>
    <row r="1306">
      <c r="A1306" s="26"/>
      <c r="B1306" s="26"/>
      <c r="C1306" s="26"/>
      <c r="D1306" s="26"/>
      <c r="E1306" s="26"/>
      <c r="F1306" s="26"/>
      <c r="G1306" s="26"/>
      <c r="H1306" s="26"/>
      <c r="I1306" s="26"/>
      <c r="J1306" s="26"/>
      <c r="K1306" s="26"/>
    </row>
    <row r="1307">
      <c r="A1307" s="26"/>
      <c r="B1307" s="26"/>
      <c r="C1307" s="26"/>
      <c r="D1307" s="26"/>
      <c r="E1307" s="26"/>
      <c r="F1307" s="26"/>
      <c r="G1307" s="26"/>
      <c r="H1307" s="26"/>
      <c r="I1307" s="26"/>
      <c r="J1307" s="26"/>
      <c r="K1307" s="26"/>
    </row>
    <row r="1308">
      <c r="A1308" s="26"/>
      <c r="B1308" s="26"/>
      <c r="C1308" s="26"/>
      <c r="D1308" s="26"/>
      <c r="E1308" s="26"/>
      <c r="F1308" s="26"/>
      <c r="G1308" s="26"/>
      <c r="H1308" s="26"/>
      <c r="I1308" s="26"/>
      <c r="J1308" s="26"/>
      <c r="K1308" s="26"/>
    </row>
    <row r="1309">
      <c r="A1309" s="26"/>
      <c r="B1309" s="26"/>
      <c r="C1309" s="26"/>
      <c r="D1309" s="26"/>
      <c r="E1309" s="26"/>
      <c r="F1309" s="26"/>
      <c r="G1309" s="26"/>
      <c r="H1309" s="26"/>
      <c r="I1309" s="26"/>
      <c r="J1309" s="26"/>
      <c r="K1309" s="26"/>
    </row>
    <row r="1310">
      <c r="A1310" s="26"/>
      <c r="B1310" s="26"/>
      <c r="C1310" s="26"/>
      <c r="D1310" s="26"/>
      <c r="E1310" s="26"/>
      <c r="F1310" s="26"/>
      <c r="G1310" s="26"/>
      <c r="H1310" s="26"/>
      <c r="I1310" s="26"/>
      <c r="J1310" s="26"/>
      <c r="K1310" s="26"/>
    </row>
    <row r="1311">
      <c r="A1311" s="26"/>
      <c r="B1311" s="26"/>
      <c r="C1311" s="26"/>
      <c r="D1311" s="26"/>
      <c r="E1311" s="26"/>
      <c r="F1311" s="26"/>
      <c r="G1311" s="26"/>
      <c r="H1311" s="26"/>
      <c r="I1311" s="26"/>
      <c r="J1311" s="26"/>
      <c r="K1311" s="26"/>
    </row>
    <row r="1312">
      <c r="A1312" s="26"/>
      <c r="B1312" s="26"/>
      <c r="C1312" s="26"/>
      <c r="D1312" s="26"/>
      <c r="E1312" s="26"/>
      <c r="F1312" s="26"/>
      <c r="G1312" s="26"/>
      <c r="H1312" s="26"/>
      <c r="I1312" s="26"/>
      <c r="J1312" s="26"/>
      <c r="K1312" s="26"/>
    </row>
    <row r="1313">
      <c r="A1313" s="26"/>
      <c r="B1313" s="26"/>
      <c r="C1313" s="26"/>
      <c r="D1313" s="26"/>
      <c r="E1313" s="26"/>
      <c r="F1313" s="26"/>
      <c r="G1313" s="26"/>
      <c r="H1313" s="26"/>
      <c r="I1313" s="26"/>
      <c r="J1313" s="26"/>
      <c r="K1313" s="26"/>
    </row>
    <row r="1314">
      <c r="A1314" s="26"/>
      <c r="B1314" s="26"/>
      <c r="C1314" s="26"/>
      <c r="D1314" s="26"/>
      <c r="E1314" s="26"/>
      <c r="F1314" s="26"/>
      <c r="G1314" s="26"/>
      <c r="H1314" s="26"/>
      <c r="I1314" s="26"/>
      <c r="J1314" s="26"/>
      <c r="K1314" s="26"/>
    </row>
    <row r="1315">
      <c r="A1315" s="26"/>
      <c r="B1315" s="26"/>
      <c r="C1315" s="26"/>
      <c r="D1315" s="26"/>
      <c r="E1315" s="26"/>
      <c r="F1315" s="26"/>
      <c r="G1315" s="26"/>
      <c r="H1315" s="26"/>
      <c r="I1315" s="26"/>
      <c r="J1315" s="26"/>
      <c r="K1315" s="26"/>
    </row>
    <row r="1316">
      <c r="A1316" s="26"/>
      <c r="B1316" s="26"/>
      <c r="C1316" s="26"/>
      <c r="D1316" s="26"/>
      <c r="E1316" s="26"/>
      <c r="F1316" s="26"/>
      <c r="G1316" s="26"/>
      <c r="H1316" s="26"/>
      <c r="I1316" s="26"/>
      <c r="J1316" s="26"/>
      <c r="K1316" s="26"/>
    </row>
    <row r="1317">
      <c r="A1317" s="26"/>
      <c r="B1317" s="26"/>
      <c r="C1317" s="26"/>
      <c r="D1317" s="26"/>
      <c r="E1317" s="26"/>
      <c r="F1317" s="26"/>
      <c r="G1317" s="26"/>
      <c r="H1317" s="26"/>
      <c r="I1317" s="26"/>
      <c r="J1317" s="26"/>
      <c r="K1317" s="26"/>
    </row>
    <row r="1318">
      <c r="A1318" s="26"/>
      <c r="B1318" s="26"/>
      <c r="C1318" s="26"/>
      <c r="D1318" s="26"/>
      <c r="E1318" s="26"/>
      <c r="F1318" s="26"/>
      <c r="G1318" s="26"/>
      <c r="H1318" s="26"/>
      <c r="I1318" s="26"/>
      <c r="J1318" s="26"/>
      <c r="K1318" s="26"/>
    </row>
    <row r="1319">
      <c r="A1319" s="26"/>
      <c r="B1319" s="26"/>
      <c r="C1319" s="26"/>
      <c r="D1319" s="26"/>
      <c r="E1319" s="26"/>
      <c r="F1319" s="26"/>
      <c r="G1319" s="26"/>
      <c r="H1319" s="26"/>
      <c r="I1319" s="26"/>
      <c r="J1319" s="26"/>
      <c r="K1319" s="26"/>
    </row>
    <row r="1320">
      <c r="A1320" s="26"/>
      <c r="B1320" s="26"/>
      <c r="C1320" s="26"/>
      <c r="D1320" s="26"/>
      <c r="E1320" s="26"/>
      <c r="F1320" s="26"/>
      <c r="G1320" s="26"/>
      <c r="H1320" s="26"/>
      <c r="I1320" s="26"/>
      <c r="J1320" s="26"/>
      <c r="K1320" s="26"/>
    </row>
    <row r="1321">
      <c r="A1321" s="26"/>
      <c r="B1321" s="26"/>
      <c r="C1321" s="26"/>
      <c r="D1321" s="26"/>
      <c r="E1321" s="26"/>
      <c r="F1321" s="26"/>
      <c r="G1321" s="26"/>
      <c r="H1321" s="26"/>
      <c r="I1321" s="26"/>
      <c r="J1321" s="26"/>
      <c r="K1321" s="26"/>
    </row>
    <row r="1322">
      <c r="A1322" s="26"/>
      <c r="B1322" s="26"/>
      <c r="C1322" s="26"/>
      <c r="D1322" s="26"/>
      <c r="E1322" s="26"/>
      <c r="F1322" s="26"/>
      <c r="G1322" s="26"/>
      <c r="H1322" s="26"/>
      <c r="I1322" s="26"/>
      <c r="J1322" s="26"/>
      <c r="K1322" s="26"/>
    </row>
    <row r="1323">
      <c r="A1323" s="26"/>
      <c r="B1323" s="26"/>
      <c r="C1323" s="26"/>
      <c r="D1323" s="26"/>
      <c r="E1323" s="26"/>
      <c r="F1323" s="26"/>
      <c r="G1323" s="26"/>
      <c r="H1323" s="26"/>
      <c r="I1323" s="26"/>
      <c r="J1323" s="26"/>
      <c r="K1323" s="26"/>
    </row>
    <row r="1324">
      <c r="A1324" s="26"/>
      <c r="B1324" s="26"/>
      <c r="C1324" s="26"/>
      <c r="D1324" s="26"/>
      <c r="E1324" s="26"/>
      <c r="F1324" s="26"/>
      <c r="G1324" s="26"/>
      <c r="H1324" s="26"/>
      <c r="I1324" s="26"/>
      <c r="J1324" s="26"/>
      <c r="K1324" s="26"/>
    </row>
    <row r="1325">
      <c r="A1325" s="26"/>
      <c r="B1325" s="26"/>
      <c r="C1325" s="26"/>
      <c r="D1325" s="26"/>
      <c r="E1325" s="26"/>
      <c r="F1325" s="26"/>
      <c r="G1325" s="26"/>
      <c r="H1325" s="26"/>
      <c r="I1325" s="26"/>
      <c r="J1325" s="26"/>
      <c r="K1325" s="26"/>
    </row>
    <row r="1326">
      <c r="A1326" s="26"/>
      <c r="B1326" s="26"/>
      <c r="C1326" s="26"/>
      <c r="D1326" s="26"/>
      <c r="E1326" s="26"/>
      <c r="F1326" s="26"/>
      <c r="G1326" s="26"/>
      <c r="H1326" s="26"/>
      <c r="I1326" s="26"/>
      <c r="J1326" s="26"/>
      <c r="K1326" s="26"/>
    </row>
    <row r="1327">
      <c r="A1327" s="26"/>
      <c r="B1327" s="26"/>
      <c r="C1327" s="26"/>
      <c r="D1327" s="26"/>
      <c r="E1327" s="26"/>
      <c r="F1327" s="26"/>
      <c r="G1327" s="26"/>
      <c r="H1327" s="26"/>
      <c r="I1327" s="26"/>
      <c r="J1327" s="26"/>
      <c r="K1327" s="26"/>
    </row>
    <row r="1328">
      <c r="A1328" s="26"/>
      <c r="B1328" s="26"/>
      <c r="C1328" s="26"/>
      <c r="D1328" s="26"/>
      <c r="E1328" s="26"/>
      <c r="F1328" s="26"/>
      <c r="G1328" s="26"/>
      <c r="H1328" s="26"/>
      <c r="I1328" s="26"/>
      <c r="J1328" s="26"/>
      <c r="K1328" s="26"/>
    </row>
    <row r="1329">
      <c r="A1329" s="26"/>
      <c r="B1329" s="26"/>
      <c r="C1329" s="26"/>
      <c r="D1329" s="26"/>
      <c r="E1329" s="26"/>
      <c r="F1329" s="26"/>
      <c r="G1329" s="26"/>
      <c r="H1329" s="26"/>
      <c r="I1329" s="26"/>
      <c r="J1329" s="26"/>
      <c r="K1329" s="26"/>
    </row>
    <row r="1330">
      <c r="A1330" s="26"/>
      <c r="B1330" s="26"/>
      <c r="C1330" s="26"/>
      <c r="D1330" s="26"/>
      <c r="E1330" s="26"/>
      <c r="F1330" s="26"/>
      <c r="G1330" s="26"/>
      <c r="H1330" s="26"/>
      <c r="I1330" s="26"/>
      <c r="J1330" s="26"/>
      <c r="K1330" s="26"/>
    </row>
    <row r="1331">
      <c r="A1331" s="26"/>
      <c r="B1331" s="26"/>
      <c r="C1331" s="26"/>
      <c r="D1331" s="26"/>
      <c r="E1331" s="26"/>
      <c r="F1331" s="26"/>
      <c r="G1331" s="26"/>
      <c r="H1331" s="26"/>
      <c r="I1331" s="26"/>
      <c r="J1331" s="26"/>
      <c r="K1331" s="26"/>
    </row>
    <row r="1332">
      <c r="A1332" s="26"/>
      <c r="B1332" s="26"/>
      <c r="C1332" s="26"/>
      <c r="D1332" s="26"/>
      <c r="E1332" s="26"/>
      <c r="F1332" s="26"/>
      <c r="G1332" s="26"/>
      <c r="H1332" s="26"/>
      <c r="I1332" s="26"/>
      <c r="J1332" s="26"/>
      <c r="K1332" s="26"/>
    </row>
    <row r="1333">
      <c r="A1333" s="26"/>
      <c r="B1333" s="26"/>
      <c r="C1333" s="26"/>
      <c r="D1333" s="26"/>
      <c r="E1333" s="26"/>
      <c r="F1333" s="26"/>
      <c r="G1333" s="26"/>
      <c r="H1333" s="26"/>
      <c r="I1333" s="26"/>
      <c r="J1333" s="26"/>
      <c r="K1333" s="26"/>
    </row>
    <row r="1334">
      <c r="A1334" s="26"/>
      <c r="B1334" s="26"/>
      <c r="C1334" s="26"/>
      <c r="D1334" s="26"/>
      <c r="E1334" s="26"/>
      <c r="F1334" s="26"/>
      <c r="G1334" s="26"/>
      <c r="H1334" s="26"/>
      <c r="I1334" s="26"/>
      <c r="J1334" s="26"/>
      <c r="K1334" s="26"/>
    </row>
    <row r="1335">
      <c r="A1335" s="26"/>
      <c r="B1335" s="26"/>
      <c r="C1335" s="26"/>
      <c r="D1335" s="26"/>
      <c r="E1335" s="26"/>
      <c r="F1335" s="26"/>
      <c r="G1335" s="26"/>
      <c r="H1335" s="26"/>
      <c r="I1335" s="26"/>
      <c r="J1335" s="26"/>
      <c r="K1335" s="26"/>
    </row>
    <row r="1336">
      <c r="A1336" s="26"/>
      <c r="B1336" s="26"/>
      <c r="C1336" s="26"/>
      <c r="D1336" s="26"/>
      <c r="E1336" s="26"/>
      <c r="F1336" s="26"/>
      <c r="G1336" s="26"/>
      <c r="H1336" s="26"/>
      <c r="I1336" s="26"/>
      <c r="J1336" s="26"/>
      <c r="K1336" s="26"/>
    </row>
    <row r="1337">
      <c r="A1337" s="26"/>
      <c r="B1337" s="26"/>
      <c r="C1337" s="26"/>
      <c r="D1337" s="26"/>
      <c r="E1337" s="26"/>
      <c r="F1337" s="26"/>
      <c r="G1337" s="26"/>
      <c r="H1337" s="26"/>
      <c r="I1337" s="26"/>
      <c r="J1337" s="26"/>
      <c r="K1337" s="26"/>
    </row>
    <row r="1338">
      <c r="A1338" s="26"/>
      <c r="B1338" s="26"/>
      <c r="C1338" s="26"/>
      <c r="D1338" s="26"/>
      <c r="E1338" s="26"/>
      <c r="F1338" s="26"/>
      <c r="G1338" s="26"/>
      <c r="H1338" s="26"/>
      <c r="I1338" s="26"/>
      <c r="J1338" s="26"/>
      <c r="K1338" s="26"/>
    </row>
    <row r="1339">
      <c r="A1339" s="26"/>
      <c r="B1339" s="26"/>
      <c r="C1339" s="26"/>
      <c r="D1339" s="26"/>
      <c r="E1339" s="26"/>
      <c r="F1339" s="26"/>
      <c r="G1339" s="26"/>
      <c r="H1339" s="26"/>
      <c r="I1339" s="26"/>
      <c r="J1339" s="26"/>
      <c r="K1339" s="26"/>
    </row>
    <row r="1340">
      <c r="A1340" s="26"/>
      <c r="B1340" s="26"/>
      <c r="C1340" s="26"/>
      <c r="D1340" s="26"/>
      <c r="E1340" s="26"/>
      <c r="F1340" s="26"/>
      <c r="G1340" s="26"/>
      <c r="H1340" s="26"/>
      <c r="I1340" s="26"/>
      <c r="J1340" s="26"/>
      <c r="K1340" s="26"/>
    </row>
    <row r="1341">
      <c r="A1341" s="26"/>
      <c r="B1341" s="26"/>
      <c r="C1341" s="26"/>
      <c r="D1341" s="26"/>
      <c r="E1341" s="26"/>
      <c r="F1341" s="26"/>
      <c r="G1341" s="26"/>
      <c r="H1341" s="26"/>
      <c r="I1341" s="26"/>
      <c r="J1341" s="26"/>
      <c r="K1341" s="26"/>
    </row>
    <row r="1342">
      <c r="A1342" s="26"/>
      <c r="B1342" s="26"/>
      <c r="C1342" s="26"/>
      <c r="D1342" s="26"/>
      <c r="E1342" s="26"/>
      <c r="F1342" s="26"/>
      <c r="G1342" s="26"/>
      <c r="H1342" s="26"/>
      <c r="I1342" s="26"/>
      <c r="J1342" s="26"/>
      <c r="K1342" s="26"/>
    </row>
    <row r="1343">
      <c r="A1343" s="26"/>
      <c r="B1343" s="26"/>
      <c r="C1343" s="26"/>
      <c r="D1343" s="26"/>
      <c r="E1343" s="26"/>
      <c r="F1343" s="26"/>
      <c r="G1343" s="26"/>
      <c r="H1343" s="26"/>
      <c r="I1343" s="26"/>
      <c r="J1343" s="26"/>
      <c r="K1343" s="26"/>
    </row>
    <row r="1344">
      <c r="A1344" s="26"/>
      <c r="B1344" s="26"/>
      <c r="C1344" s="26"/>
      <c r="D1344" s="26"/>
      <c r="E1344" s="26"/>
      <c r="F1344" s="26"/>
      <c r="G1344" s="26"/>
      <c r="H1344" s="26"/>
      <c r="I1344" s="26"/>
      <c r="J1344" s="26"/>
      <c r="K1344" s="26"/>
    </row>
    <row r="1345">
      <c r="A1345" s="26"/>
      <c r="B1345" s="26"/>
      <c r="C1345" s="26"/>
      <c r="D1345" s="26"/>
      <c r="E1345" s="26"/>
      <c r="F1345" s="26"/>
      <c r="G1345" s="26"/>
      <c r="H1345" s="26"/>
      <c r="I1345" s="26"/>
      <c r="J1345" s="26"/>
      <c r="K1345" s="26"/>
    </row>
    <row r="1346">
      <c r="A1346" s="26"/>
      <c r="B1346" s="26"/>
      <c r="C1346" s="26"/>
      <c r="D1346" s="26"/>
      <c r="E1346" s="26"/>
      <c r="F1346" s="26"/>
      <c r="G1346" s="26"/>
      <c r="H1346" s="26"/>
      <c r="I1346" s="26"/>
      <c r="J1346" s="26"/>
      <c r="K1346" s="26"/>
    </row>
    <row r="1347">
      <c r="A1347" s="26"/>
      <c r="B1347" s="26"/>
      <c r="C1347" s="26"/>
      <c r="D1347" s="26"/>
      <c r="E1347" s="26"/>
      <c r="F1347" s="26"/>
      <c r="G1347" s="26"/>
      <c r="H1347" s="26"/>
      <c r="I1347" s="26"/>
      <c r="J1347" s="26"/>
      <c r="K1347" s="26"/>
    </row>
    <row r="1348">
      <c r="A1348" s="26"/>
      <c r="B1348" s="26"/>
      <c r="C1348" s="26"/>
      <c r="D1348" s="26"/>
      <c r="E1348" s="26"/>
      <c r="F1348" s="26"/>
      <c r="G1348" s="26"/>
      <c r="H1348" s="26"/>
      <c r="I1348" s="26"/>
      <c r="J1348" s="26"/>
      <c r="K1348" s="26"/>
    </row>
    <row r="1349">
      <c r="A1349" s="26"/>
      <c r="B1349" s="26"/>
      <c r="C1349" s="26"/>
      <c r="D1349" s="26"/>
      <c r="E1349" s="26"/>
      <c r="F1349" s="26"/>
      <c r="G1349" s="26"/>
      <c r="H1349" s="26"/>
      <c r="I1349" s="26"/>
      <c r="J1349" s="26"/>
      <c r="K1349" s="26"/>
    </row>
    <row r="1350">
      <c r="A1350" s="26"/>
      <c r="B1350" s="26"/>
      <c r="C1350" s="26"/>
      <c r="D1350" s="26"/>
      <c r="E1350" s="26"/>
      <c r="F1350" s="26"/>
      <c r="G1350" s="26"/>
      <c r="H1350" s="26"/>
      <c r="I1350" s="26"/>
      <c r="J1350" s="26"/>
      <c r="K1350" s="26"/>
    </row>
    <row r="1351">
      <c r="A1351" s="26"/>
      <c r="B1351" s="26"/>
      <c r="C1351" s="26"/>
      <c r="D1351" s="26"/>
      <c r="E1351" s="26"/>
      <c r="F1351" s="26"/>
      <c r="G1351" s="26"/>
      <c r="H1351" s="26"/>
      <c r="I1351" s="26"/>
      <c r="J1351" s="26"/>
      <c r="K1351" s="26"/>
    </row>
    <row r="1352">
      <c r="A1352" s="26"/>
      <c r="B1352" s="26"/>
      <c r="C1352" s="26"/>
      <c r="D1352" s="26"/>
      <c r="E1352" s="26"/>
      <c r="F1352" s="26"/>
      <c r="G1352" s="26"/>
      <c r="H1352" s="26"/>
      <c r="I1352" s="26"/>
      <c r="J1352" s="26"/>
      <c r="K1352" s="26"/>
    </row>
    <row r="1353">
      <c r="A1353" s="26"/>
      <c r="B1353" s="26"/>
      <c r="C1353" s="26"/>
      <c r="D1353" s="26"/>
      <c r="E1353" s="26"/>
      <c r="F1353" s="26"/>
      <c r="G1353" s="26"/>
      <c r="H1353" s="26"/>
      <c r="I1353" s="26"/>
      <c r="J1353" s="26"/>
      <c r="K1353" s="26"/>
    </row>
    <row r="1354">
      <c r="A1354" s="26"/>
      <c r="B1354" s="26"/>
      <c r="C1354" s="26"/>
      <c r="D1354" s="26"/>
      <c r="E1354" s="26"/>
      <c r="F1354" s="26"/>
      <c r="G1354" s="26"/>
      <c r="H1354" s="26"/>
      <c r="I1354" s="26"/>
      <c r="J1354" s="26"/>
      <c r="K1354" s="26"/>
    </row>
    <row r="1355">
      <c r="A1355" s="26"/>
      <c r="B1355" s="26"/>
      <c r="C1355" s="26"/>
      <c r="D1355" s="26"/>
      <c r="E1355" s="26"/>
      <c r="F1355" s="26"/>
      <c r="G1355" s="26"/>
      <c r="H1355" s="26"/>
      <c r="I1355" s="26"/>
      <c r="J1355" s="26"/>
      <c r="K1355" s="26"/>
    </row>
    <row r="1356">
      <c r="A1356" s="26"/>
      <c r="B1356" s="26"/>
      <c r="C1356" s="26"/>
      <c r="D1356" s="26"/>
      <c r="E1356" s="26"/>
      <c r="F1356" s="26"/>
      <c r="G1356" s="26"/>
      <c r="H1356" s="26"/>
      <c r="I1356" s="26"/>
      <c r="J1356" s="26"/>
      <c r="K1356" s="26"/>
    </row>
    <row r="1357">
      <c r="A1357" s="26"/>
      <c r="B1357" s="26"/>
      <c r="C1357" s="26"/>
      <c r="D1357" s="26"/>
      <c r="E1357" s="26"/>
      <c r="F1357" s="26"/>
      <c r="G1357" s="26"/>
      <c r="H1357" s="26"/>
      <c r="I1357" s="26"/>
      <c r="J1357" s="26"/>
      <c r="K1357" s="26"/>
    </row>
    <row r="1358">
      <c r="A1358" s="26"/>
      <c r="B1358" s="26"/>
      <c r="C1358" s="26"/>
      <c r="D1358" s="26"/>
      <c r="E1358" s="26"/>
      <c r="F1358" s="26"/>
      <c r="G1358" s="26"/>
      <c r="H1358" s="26"/>
      <c r="I1358" s="26"/>
      <c r="J1358" s="26"/>
      <c r="K1358" s="26"/>
    </row>
    <row r="1359">
      <c r="A1359" s="26"/>
      <c r="B1359" s="26"/>
      <c r="C1359" s="26"/>
      <c r="D1359" s="26"/>
      <c r="E1359" s="26"/>
      <c r="F1359" s="26"/>
      <c r="G1359" s="26"/>
      <c r="H1359" s="26"/>
      <c r="I1359" s="26"/>
      <c r="J1359" s="26"/>
      <c r="K1359" s="26"/>
    </row>
    <row r="1360">
      <c r="A1360" s="26"/>
      <c r="B1360" s="26"/>
      <c r="C1360" s="26"/>
      <c r="D1360" s="26"/>
      <c r="E1360" s="26"/>
      <c r="F1360" s="26"/>
      <c r="G1360" s="26"/>
      <c r="H1360" s="26"/>
      <c r="I1360" s="26"/>
      <c r="J1360" s="26"/>
      <c r="K1360" s="26"/>
    </row>
    <row r="1361">
      <c r="A1361" s="26"/>
      <c r="B1361" s="26"/>
      <c r="C1361" s="26"/>
      <c r="D1361" s="26"/>
      <c r="E1361" s="26"/>
      <c r="F1361" s="26"/>
      <c r="G1361" s="26"/>
      <c r="H1361" s="26"/>
      <c r="I1361" s="26"/>
      <c r="J1361" s="26"/>
      <c r="K1361" s="26"/>
    </row>
    <row r="1362">
      <c r="A1362" s="26"/>
      <c r="B1362" s="26"/>
      <c r="C1362" s="26"/>
      <c r="D1362" s="26"/>
      <c r="E1362" s="26"/>
      <c r="F1362" s="26"/>
      <c r="G1362" s="26"/>
      <c r="H1362" s="26"/>
      <c r="I1362" s="26"/>
      <c r="J1362" s="26"/>
      <c r="K1362" s="26"/>
    </row>
    <row r="1363">
      <c r="A1363" s="26"/>
      <c r="B1363" s="26"/>
      <c r="C1363" s="26"/>
      <c r="D1363" s="26"/>
      <c r="E1363" s="26"/>
      <c r="F1363" s="26"/>
      <c r="G1363" s="26"/>
      <c r="H1363" s="26"/>
      <c r="I1363" s="26"/>
      <c r="J1363" s="26"/>
      <c r="K1363" s="26"/>
    </row>
    <row r="1364">
      <c r="A1364" s="26"/>
      <c r="B1364" s="26"/>
      <c r="C1364" s="26"/>
      <c r="D1364" s="26"/>
      <c r="E1364" s="26"/>
      <c r="F1364" s="26"/>
      <c r="G1364" s="26"/>
      <c r="H1364" s="26"/>
      <c r="I1364" s="26"/>
      <c r="J1364" s="26"/>
      <c r="K1364" s="26"/>
    </row>
    <row r="1365">
      <c r="A1365" s="26"/>
      <c r="B1365" s="26"/>
      <c r="C1365" s="26"/>
      <c r="D1365" s="26"/>
      <c r="E1365" s="26"/>
      <c r="F1365" s="26"/>
      <c r="G1365" s="26"/>
      <c r="H1365" s="26"/>
      <c r="I1365" s="26"/>
      <c r="J1365" s="26"/>
      <c r="K1365" s="26"/>
    </row>
    <row r="1366">
      <c r="A1366" s="26"/>
      <c r="B1366" s="26"/>
      <c r="C1366" s="26"/>
      <c r="D1366" s="26"/>
      <c r="E1366" s="26"/>
      <c r="F1366" s="26"/>
      <c r="G1366" s="26"/>
      <c r="H1366" s="26"/>
      <c r="I1366" s="26"/>
      <c r="J1366" s="26"/>
      <c r="K1366" s="26"/>
    </row>
    <row r="1367">
      <c r="A1367" s="26"/>
      <c r="B1367" s="26"/>
      <c r="C1367" s="26"/>
      <c r="D1367" s="26"/>
      <c r="E1367" s="26"/>
      <c r="F1367" s="26"/>
      <c r="G1367" s="26"/>
      <c r="H1367" s="26"/>
      <c r="I1367" s="26"/>
      <c r="J1367" s="26"/>
      <c r="K1367" s="26"/>
    </row>
    <row r="1368">
      <c r="A1368" s="26"/>
      <c r="B1368" s="26"/>
      <c r="C1368" s="26"/>
      <c r="D1368" s="26"/>
      <c r="E1368" s="26"/>
      <c r="F1368" s="26"/>
      <c r="G1368" s="26"/>
      <c r="H1368" s="26"/>
      <c r="I1368" s="26"/>
      <c r="J1368" s="26"/>
      <c r="K1368" s="26"/>
    </row>
    <row r="1369">
      <c r="A1369" s="26"/>
      <c r="B1369" s="26"/>
      <c r="C1369" s="26"/>
      <c r="D1369" s="26"/>
      <c r="E1369" s="26"/>
      <c r="F1369" s="26"/>
      <c r="G1369" s="26"/>
      <c r="H1369" s="26"/>
      <c r="I1369" s="26"/>
      <c r="J1369" s="26"/>
      <c r="K1369" s="26"/>
    </row>
    <row r="1370">
      <c r="A1370" s="26"/>
      <c r="B1370" s="26"/>
      <c r="C1370" s="26"/>
      <c r="D1370" s="26"/>
      <c r="E1370" s="26"/>
      <c r="F1370" s="26"/>
      <c r="G1370" s="26"/>
      <c r="H1370" s="26"/>
      <c r="I1370" s="26"/>
      <c r="J1370" s="26"/>
      <c r="K1370" s="26"/>
    </row>
    <row r="1371">
      <c r="A1371" s="26"/>
      <c r="B1371" s="26"/>
      <c r="C1371" s="26"/>
      <c r="D1371" s="26"/>
      <c r="E1371" s="26"/>
      <c r="F1371" s="26"/>
      <c r="G1371" s="26"/>
      <c r="H1371" s="26"/>
      <c r="I1371" s="26"/>
      <c r="J1371" s="26"/>
      <c r="K1371" s="26"/>
    </row>
    <row r="1372">
      <c r="A1372" s="26"/>
      <c r="B1372" s="26"/>
      <c r="C1372" s="26"/>
      <c r="D1372" s="26"/>
      <c r="E1372" s="26"/>
      <c r="F1372" s="26"/>
      <c r="G1372" s="26"/>
      <c r="H1372" s="26"/>
      <c r="I1372" s="26"/>
      <c r="J1372" s="26"/>
      <c r="K1372" s="26"/>
    </row>
    <row r="1373">
      <c r="A1373" s="26"/>
      <c r="B1373" s="26"/>
      <c r="C1373" s="26"/>
      <c r="D1373" s="26"/>
      <c r="E1373" s="26"/>
      <c r="F1373" s="26"/>
      <c r="G1373" s="26"/>
      <c r="H1373" s="26"/>
      <c r="I1373" s="26"/>
      <c r="J1373" s="26"/>
      <c r="K1373" s="26"/>
    </row>
    <row r="1374">
      <c r="A1374" s="26"/>
      <c r="B1374" s="26"/>
      <c r="C1374" s="26"/>
      <c r="D1374" s="26"/>
      <c r="E1374" s="26"/>
      <c r="F1374" s="26"/>
      <c r="G1374" s="26"/>
      <c r="H1374" s="26"/>
      <c r="I1374" s="26"/>
      <c r="J1374" s="26"/>
      <c r="K1374" s="26"/>
    </row>
    <row r="1375">
      <c r="A1375" s="26"/>
      <c r="B1375" s="26"/>
      <c r="C1375" s="26"/>
      <c r="D1375" s="26"/>
      <c r="E1375" s="26"/>
      <c r="F1375" s="26"/>
      <c r="G1375" s="26"/>
      <c r="H1375" s="26"/>
      <c r="I1375" s="26"/>
      <c r="J1375" s="26"/>
      <c r="K1375" s="26"/>
    </row>
    <row r="1376">
      <c r="A1376" s="26"/>
      <c r="B1376" s="26"/>
      <c r="C1376" s="26"/>
      <c r="D1376" s="26"/>
      <c r="E1376" s="26"/>
      <c r="F1376" s="26"/>
      <c r="G1376" s="26"/>
      <c r="H1376" s="26"/>
      <c r="I1376" s="26"/>
      <c r="J1376" s="26"/>
      <c r="K1376" s="26"/>
    </row>
    <row r="1377">
      <c r="A1377" s="26"/>
      <c r="B1377" s="26"/>
      <c r="C1377" s="26"/>
      <c r="D1377" s="26"/>
      <c r="E1377" s="26"/>
      <c r="F1377" s="26"/>
      <c r="G1377" s="26"/>
      <c r="H1377" s="26"/>
      <c r="I1377" s="26"/>
      <c r="J1377" s="26"/>
      <c r="K1377" s="26"/>
    </row>
    <row r="1378">
      <c r="A1378" s="26"/>
      <c r="B1378" s="26"/>
      <c r="C1378" s="26"/>
      <c r="D1378" s="26"/>
      <c r="E1378" s="26"/>
      <c r="F1378" s="26"/>
      <c r="G1378" s="26"/>
      <c r="H1378" s="26"/>
      <c r="I1378" s="26"/>
      <c r="J1378" s="26"/>
      <c r="K1378" s="26"/>
    </row>
    <row r="1379">
      <c r="A1379" s="26"/>
      <c r="B1379" s="26"/>
      <c r="C1379" s="26"/>
      <c r="D1379" s="26"/>
      <c r="E1379" s="26"/>
      <c r="F1379" s="26"/>
      <c r="G1379" s="26"/>
      <c r="H1379" s="26"/>
      <c r="I1379" s="26"/>
      <c r="J1379" s="26"/>
      <c r="K1379" s="26"/>
    </row>
    <row r="1380">
      <c r="A1380" s="26"/>
      <c r="B1380" s="26"/>
      <c r="C1380" s="26"/>
      <c r="D1380" s="26"/>
      <c r="E1380" s="26"/>
      <c r="F1380" s="26"/>
      <c r="G1380" s="26"/>
      <c r="H1380" s="26"/>
      <c r="I1380" s="26"/>
      <c r="J1380" s="26"/>
      <c r="K1380" s="26"/>
    </row>
    <row r="1381">
      <c r="A1381" s="26"/>
      <c r="B1381" s="26"/>
      <c r="C1381" s="26"/>
      <c r="D1381" s="26"/>
      <c r="E1381" s="26"/>
      <c r="F1381" s="26"/>
      <c r="G1381" s="26"/>
      <c r="H1381" s="26"/>
      <c r="I1381" s="26"/>
      <c r="J1381" s="26"/>
      <c r="K1381" s="26"/>
    </row>
    <row r="1382">
      <c r="A1382" s="26"/>
      <c r="B1382" s="26"/>
      <c r="C1382" s="26"/>
      <c r="D1382" s="26"/>
      <c r="E1382" s="26"/>
      <c r="F1382" s="26"/>
      <c r="G1382" s="26"/>
      <c r="H1382" s="26"/>
      <c r="I1382" s="26"/>
      <c r="J1382" s="26"/>
      <c r="K1382" s="26"/>
    </row>
    <row r="1383">
      <c r="A1383" s="26"/>
      <c r="B1383" s="26"/>
      <c r="C1383" s="26"/>
      <c r="D1383" s="26"/>
      <c r="E1383" s="26"/>
      <c r="F1383" s="26"/>
      <c r="G1383" s="26"/>
      <c r="H1383" s="26"/>
      <c r="I1383" s="26"/>
      <c r="J1383" s="26"/>
      <c r="K1383" s="26"/>
    </row>
    <row r="1384">
      <c r="A1384" s="26"/>
      <c r="B1384" s="26"/>
      <c r="C1384" s="26"/>
      <c r="D1384" s="26"/>
      <c r="E1384" s="26"/>
      <c r="F1384" s="26"/>
      <c r="G1384" s="26"/>
      <c r="H1384" s="26"/>
      <c r="I1384" s="26"/>
      <c r="J1384" s="26"/>
      <c r="K1384" s="26"/>
    </row>
    <row r="1385">
      <c r="A1385" s="26"/>
      <c r="B1385" s="26"/>
      <c r="C1385" s="26"/>
      <c r="D1385" s="26"/>
      <c r="E1385" s="26"/>
      <c r="F1385" s="26"/>
      <c r="G1385" s="26"/>
      <c r="H1385" s="26"/>
      <c r="I1385" s="26"/>
      <c r="J1385" s="26"/>
      <c r="K1385" s="26"/>
    </row>
    <row r="1386">
      <c r="A1386" s="26"/>
      <c r="B1386" s="26"/>
      <c r="C1386" s="26"/>
      <c r="D1386" s="26"/>
      <c r="E1386" s="26"/>
      <c r="F1386" s="26"/>
      <c r="G1386" s="26"/>
      <c r="H1386" s="26"/>
      <c r="I1386" s="26"/>
      <c r="J1386" s="26"/>
      <c r="K1386" s="26"/>
    </row>
    <row r="1387">
      <c r="A1387" s="26"/>
      <c r="B1387" s="26"/>
      <c r="C1387" s="26"/>
      <c r="D1387" s="26"/>
      <c r="E1387" s="26"/>
      <c r="F1387" s="26"/>
      <c r="G1387" s="26"/>
      <c r="H1387" s="26"/>
      <c r="I1387" s="26"/>
      <c r="J1387" s="26"/>
      <c r="K1387" s="26"/>
    </row>
    <row r="1388">
      <c r="A1388" s="26"/>
      <c r="B1388" s="26"/>
      <c r="C1388" s="26"/>
      <c r="D1388" s="26"/>
      <c r="E1388" s="26"/>
      <c r="F1388" s="26"/>
      <c r="G1388" s="26"/>
      <c r="H1388" s="26"/>
      <c r="I1388" s="26"/>
      <c r="J1388" s="26"/>
      <c r="K1388" s="26"/>
    </row>
    <row r="1389">
      <c r="A1389" s="26"/>
      <c r="B1389" s="26"/>
      <c r="C1389" s="26"/>
      <c r="D1389" s="26"/>
      <c r="E1389" s="26"/>
      <c r="F1389" s="26"/>
      <c r="G1389" s="26"/>
      <c r="H1389" s="26"/>
      <c r="I1389" s="26"/>
      <c r="J1389" s="26"/>
      <c r="K1389" s="26"/>
    </row>
    <row r="1390">
      <c r="A1390" s="26"/>
      <c r="B1390" s="26"/>
      <c r="C1390" s="26"/>
      <c r="D1390" s="26"/>
      <c r="E1390" s="26"/>
      <c r="F1390" s="26"/>
      <c r="G1390" s="26"/>
      <c r="H1390" s="26"/>
      <c r="I1390" s="26"/>
      <c r="J1390" s="26"/>
      <c r="K1390" s="26"/>
    </row>
    <row r="1391">
      <c r="A1391" s="26"/>
      <c r="B1391" s="26"/>
      <c r="C1391" s="26"/>
      <c r="D1391" s="26"/>
      <c r="E1391" s="26"/>
      <c r="F1391" s="26"/>
      <c r="G1391" s="26"/>
      <c r="H1391" s="26"/>
      <c r="I1391" s="26"/>
      <c r="J1391" s="26"/>
      <c r="K1391" s="26"/>
    </row>
    <row r="1392">
      <c r="A1392" s="26"/>
      <c r="B1392" s="26"/>
      <c r="C1392" s="26"/>
      <c r="D1392" s="26"/>
      <c r="E1392" s="26"/>
      <c r="F1392" s="26"/>
      <c r="G1392" s="26"/>
      <c r="H1392" s="26"/>
      <c r="I1392" s="26"/>
      <c r="J1392" s="26"/>
      <c r="K1392" s="26"/>
    </row>
    <row r="1393">
      <c r="A1393" s="26"/>
      <c r="B1393" s="26"/>
      <c r="C1393" s="26"/>
      <c r="D1393" s="26"/>
      <c r="E1393" s="26"/>
      <c r="F1393" s="26"/>
      <c r="G1393" s="26"/>
      <c r="H1393" s="26"/>
      <c r="I1393" s="26"/>
      <c r="J1393" s="26"/>
      <c r="K1393" s="26"/>
    </row>
    <row r="1394">
      <c r="A1394" s="26"/>
      <c r="B1394" s="26"/>
      <c r="C1394" s="26"/>
      <c r="D1394" s="26"/>
      <c r="E1394" s="26"/>
      <c r="F1394" s="26"/>
      <c r="G1394" s="26"/>
      <c r="H1394" s="26"/>
      <c r="I1394" s="26"/>
      <c r="J1394" s="26"/>
      <c r="K1394" s="26"/>
    </row>
    <row r="1395">
      <c r="A1395" s="26"/>
      <c r="B1395" s="26"/>
      <c r="C1395" s="26"/>
      <c r="D1395" s="26"/>
      <c r="E1395" s="26"/>
      <c r="F1395" s="26"/>
      <c r="G1395" s="26"/>
      <c r="H1395" s="26"/>
      <c r="I1395" s="26"/>
      <c r="J1395" s="26"/>
      <c r="K1395" s="26"/>
    </row>
    <row r="1396">
      <c r="A1396" s="26"/>
      <c r="B1396" s="26"/>
      <c r="C1396" s="26"/>
      <c r="D1396" s="26"/>
      <c r="E1396" s="26"/>
      <c r="F1396" s="26"/>
      <c r="G1396" s="26"/>
      <c r="H1396" s="26"/>
      <c r="I1396" s="26"/>
      <c r="J1396" s="26"/>
      <c r="K1396" s="26"/>
    </row>
    <row r="1397">
      <c r="A1397" s="26"/>
      <c r="B1397" s="26"/>
      <c r="C1397" s="26"/>
      <c r="D1397" s="26"/>
      <c r="E1397" s="26"/>
      <c r="F1397" s="26"/>
      <c r="G1397" s="26"/>
      <c r="H1397" s="26"/>
      <c r="I1397" s="26"/>
      <c r="J1397" s="26"/>
      <c r="K1397" s="26"/>
    </row>
    <row r="1398">
      <c r="A1398" s="26"/>
      <c r="B1398" s="26"/>
      <c r="C1398" s="26"/>
      <c r="D1398" s="26"/>
      <c r="E1398" s="26"/>
      <c r="F1398" s="26"/>
      <c r="G1398" s="26"/>
      <c r="H1398" s="26"/>
      <c r="I1398" s="26"/>
      <c r="J1398" s="26"/>
      <c r="K1398" s="26"/>
    </row>
    <row r="1399">
      <c r="A1399" s="26"/>
      <c r="B1399" s="26"/>
      <c r="C1399" s="26"/>
      <c r="D1399" s="26"/>
      <c r="E1399" s="26"/>
      <c r="F1399" s="26"/>
      <c r="G1399" s="26"/>
      <c r="H1399" s="26"/>
      <c r="I1399" s="26"/>
      <c r="J1399" s="26"/>
      <c r="K1399" s="26"/>
    </row>
    <row r="1400">
      <c r="A1400" s="26"/>
      <c r="B1400" s="26"/>
      <c r="C1400" s="26"/>
      <c r="D1400" s="26"/>
      <c r="E1400" s="26"/>
      <c r="F1400" s="26"/>
      <c r="G1400" s="26"/>
      <c r="H1400" s="26"/>
      <c r="I1400" s="26"/>
      <c r="J1400" s="26"/>
      <c r="K1400" s="26"/>
    </row>
    <row r="1401">
      <c r="A1401" s="26"/>
      <c r="B1401" s="26"/>
      <c r="C1401" s="26"/>
      <c r="D1401" s="26"/>
      <c r="E1401" s="26"/>
      <c r="F1401" s="26"/>
      <c r="G1401" s="26"/>
      <c r="H1401" s="26"/>
      <c r="I1401" s="26"/>
      <c r="J1401" s="26"/>
      <c r="K1401" s="26"/>
    </row>
    <row r="1402">
      <c r="A1402" s="26"/>
      <c r="B1402" s="26"/>
      <c r="C1402" s="26"/>
      <c r="D1402" s="26"/>
      <c r="E1402" s="26"/>
      <c r="F1402" s="26"/>
      <c r="G1402" s="26"/>
      <c r="H1402" s="26"/>
      <c r="I1402" s="26"/>
      <c r="J1402" s="26"/>
      <c r="K1402" s="26"/>
    </row>
    <row r="1403">
      <c r="A1403" s="26"/>
      <c r="B1403" s="26"/>
      <c r="C1403" s="26"/>
      <c r="D1403" s="26"/>
      <c r="E1403" s="26"/>
      <c r="F1403" s="26"/>
      <c r="G1403" s="26"/>
      <c r="H1403" s="26"/>
      <c r="I1403" s="26"/>
      <c r="J1403" s="26"/>
      <c r="K1403" s="26"/>
    </row>
    <row r="1404">
      <c r="A1404" s="26"/>
      <c r="B1404" s="26"/>
      <c r="C1404" s="26"/>
      <c r="D1404" s="26"/>
      <c r="E1404" s="26"/>
      <c r="F1404" s="26"/>
      <c r="G1404" s="26"/>
      <c r="H1404" s="26"/>
      <c r="I1404" s="26"/>
      <c r="J1404" s="26"/>
      <c r="K1404" s="26"/>
    </row>
    <row r="1405">
      <c r="A1405" s="26"/>
      <c r="B1405" s="26"/>
      <c r="C1405" s="26"/>
      <c r="D1405" s="26"/>
      <c r="E1405" s="26"/>
      <c r="F1405" s="26"/>
      <c r="G1405" s="26"/>
      <c r="H1405" s="26"/>
      <c r="I1405" s="26"/>
      <c r="J1405" s="26"/>
      <c r="K1405" s="26"/>
    </row>
    <row r="1406">
      <c r="A1406" s="26"/>
      <c r="B1406" s="26"/>
      <c r="C1406" s="26"/>
      <c r="D1406" s="26"/>
      <c r="E1406" s="26"/>
      <c r="F1406" s="26"/>
      <c r="G1406" s="26"/>
      <c r="H1406" s="26"/>
      <c r="I1406" s="26"/>
      <c r="J1406" s="26"/>
      <c r="K1406" s="26"/>
    </row>
    <row r="1407">
      <c r="A1407" s="26"/>
      <c r="B1407" s="26"/>
      <c r="C1407" s="26"/>
      <c r="D1407" s="26"/>
      <c r="E1407" s="26"/>
      <c r="F1407" s="26"/>
      <c r="G1407" s="26"/>
      <c r="H1407" s="26"/>
      <c r="I1407" s="26"/>
      <c r="J1407" s="26"/>
      <c r="K1407" s="26"/>
    </row>
    <row r="1408">
      <c r="A1408" s="26"/>
      <c r="B1408" s="26"/>
      <c r="C1408" s="26"/>
      <c r="D1408" s="26"/>
      <c r="E1408" s="26"/>
      <c r="F1408" s="26"/>
      <c r="G1408" s="26"/>
      <c r="H1408" s="26"/>
      <c r="I1408" s="26"/>
      <c r="J1408" s="26"/>
      <c r="K1408" s="26"/>
    </row>
    <row r="1409">
      <c r="A1409" s="26"/>
      <c r="B1409" s="26"/>
      <c r="C1409" s="26"/>
      <c r="D1409" s="26"/>
      <c r="E1409" s="26"/>
      <c r="F1409" s="26"/>
      <c r="G1409" s="26"/>
      <c r="H1409" s="26"/>
      <c r="I1409" s="26"/>
      <c r="J1409" s="26"/>
      <c r="K1409" s="26"/>
    </row>
    <row r="1410">
      <c r="A1410" s="26"/>
      <c r="B1410" s="26"/>
      <c r="C1410" s="26"/>
      <c r="D1410" s="26"/>
      <c r="E1410" s="26"/>
      <c r="F1410" s="26"/>
      <c r="G1410" s="26"/>
      <c r="H1410" s="26"/>
      <c r="I1410" s="26"/>
      <c r="J1410" s="26"/>
      <c r="K1410" s="26"/>
    </row>
    <row r="1411">
      <c r="A1411" s="26"/>
      <c r="B1411" s="26"/>
      <c r="C1411" s="26"/>
      <c r="D1411" s="26"/>
      <c r="E1411" s="26"/>
      <c r="F1411" s="26"/>
      <c r="G1411" s="26"/>
      <c r="H1411" s="26"/>
      <c r="I1411" s="26"/>
      <c r="J1411" s="26"/>
      <c r="K1411" s="26"/>
    </row>
    <row r="1412">
      <c r="A1412" s="26"/>
      <c r="B1412" s="26"/>
      <c r="C1412" s="26"/>
      <c r="D1412" s="26"/>
      <c r="E1412" s="26"/>
      <c r="F1412" s="26"/>
      <c r="G1412" s="26"/>
      <c r="H1412" s="26"/>
      <c r="I1412" s="26"/>
      <c r="J1412" s="26"/>
      <c r="K1412" s="26"/>
    </row>
    <row r="1413">
      <c r="A1413" s="26"/>
      <c r="B1413" s="26"/>
      <c r="C1413" s="26"/>
      <c r="D1413" s="26"/>
      <c r="E1413" s="26"/>
      <c r="F1413" s="26"/>
      <c r="G1413" s="26"/>
      <c r="H1413" s="26"/>
      <c r="I1413" s="26"/>
      <c r="J1413" s="26"/>
      <c r="K1413" s="26"/>
    </row>
    <row r="1414">
      <c r="A1414" s="26"/>
      <c r="B1414" s="26"/>
      <c r="C1414" s="26"/>
      <c r="D1414" s="26"/>
      <c r="E1414" s="26"/>
      <c r="F1414" s="26"/>
      <c r="G1414" s="26"/>
      <c r="H1414" s="26"/>
      <c r="I1414" s="26"/>
      <c r="J1414" s="26"/>
      <c r="K1414" s="26"/>
    </row>
    <row r="1415">
      <c r="A1415" s="26"/>
      <c r="B1415" s="26"/>
      <c r="C1415" s="26"/>
      <c r="D1415" s="26"/>
      <c r="E1415" s="26"/>
      <c r="F1415" s="26"/>
      <c r="G1415" s="26"/>
      <c r="H1415" s="26"/>
      <c r="I1415" s="26"/>
      <c r="J1415" s="26"/>
      <c r="K1415" s="26"/>
    </row>
    <row r="1416">
      <c r="A1416" s="26"/>
      <c r="B1416" s="26"/>
      <c r="C1416" s="26"/>
      <c r="D1416" s="26"/>
      <c r="E1416" s="26"/>
      <c r="F1416" s="26"/>
      <c r="G1416" s="26"/>
      <c r="H1416" s="26"/>
      <c r="I1416" s="26"/>
      <c r="J1416" s="26"/>
      <c r="K1416" s="26"/>
    </row>
    <row r="1417">
      <c r="A1417" s="26"/>
      <c r="B1417" s="26"/>
      <c r="C1417" s="26"/>
      <c r="D1417" s="26"/>
      <c r="E1417" s="26"/>
      <c r="F1417" s="26"/>
      <c r="G1417" s="26"/>
      <c r="H1417" s="26"/>
      <c r="I1417" s="26"/>
      <c r="J1417" s="26"/>
      <c r="K1417" s="26"/>
    </row>
    <row r="1418">
      <c r="A1418" s="26"/>
      <c r="B1418" s="26"/>
      <c r="C1418" s="26"/>
      <c r="D1418" s="26"/>
      <c r="E1418" s="26"/>
      <c r="F1418" s="26"/>
      <c r="G1418" s="26"/>
      <c r="H1418" s="26"/>
      <c r="I1418" s="26"/>
      <c r="J1418" s="26"/>
      <c r="K1418" s="26"/>
    </row>
    <row r="1419">
      <c r="A1419" s="26"/>
      <c r="B1419" s="26"/>
      <c r="C1419" s="26"/>
      <c r="D1419" s="26"/>
      <c r="E1419" s="26"/>
      <c r="F1419" s="26"/>
      <c r="G1419" s="26"/>
      <c r="H1419" s="26"/>
      <c r="I1419" s="26"/>
      <c r="J1419" s="26"/>
      <c r="K1419" s="26"/>
    </row>
    <row r="1420">
      <c r="A1420" s="26"/>
      <c r="B1420" s="26"/>
      <c r="C1420" s="26"/>
      <c r="D1420" s="26"/>
      <c r="E1420" s="26"/>
      <c r="F1420" s="26"/>
      <c r="G1420" s="26"/>
      <c r="H1420" s="26"/>
      <c r="I1420" s="26"/>
      <c r="J1420" s="26"/>
      <c r="K1420" s="26"/>
    </row>
    <row r="1421">
      <c r="A1421" s="26"/>
      <c r="B1421" s="26"/>
      <c r="C1421" s="26"/>
      <c r="D1421" s="26"/>
      <c r="E1421" s="26"/>
      <c r="F1421" s="26"/>
      <c r="G1421" s="26"/>
      <c r="H1421" s="26"/>
      <c r="I1421" s="26"/>
      <c r="J1421" s="26"/>
      <c r="K1421" s="26"/>
    </row>
    <row r="1422">
      <c r="A1422" s="26"/>
      <c r="B1422" s="26"/>
      <c r="C1422" s="26"/>
      <c r="D1422" s="26"/>
      <c r="E1422" s="26"/>
      <c r="F1422" s="26"/>
      <c r="G1422" s="26"/>
      <c r="H1422" s="26"/>
      <c r="I1422" s="26"/>
      <c r="J1422" s="26"/>
      <c r="K1422" s="26"/>
    </row>
    <row r="1423">
      <c r="A1423" s="26"/>
      <c r="B1423" s="26"/>
      <c r="C1423" s="26"/>
      <c r="D1423" s="26"/>
      <c r="E1423" s="26"/>
      <c r="F1423" s="26"/>
      <c r="G1423" s="26"/>
      <c r="H1423" s="26"/>
      <c r="I1423" s="26"/>
      <c r="J1423" s="26"/>
      <c r="K1423" s="26"/>
    </row>
    <row r="1424">
      <c r="A1424" s="26"/>
      <c r="B1424" s="26"/>
      <c r="C1424" s="26"/>
      <c r="D1424" s="26"/>
      <c r="E1424" s="26"/>
      <c r="F1424" s="26"/>
      <c r="G1424" s="26"/>
      <c r="H1424" s="26"/>
      <c r="I1424" s="26"/>
      <c r="J1424" s="26"/>
      <c r="K1424" s="26"/>
    </row>
    <row r="1425">
      <c r="A1425" s="26"/>
      <c r="B1425" s="26"/>
      <c r="C1425" s="26"/>
      <c r="D1425" s="26"/>
      <c r="E1425" s="26"/>
      <c r="F1425" s="26"/>
      <c r="G1425" s="26"/>
      <c r="H1425" s="26"/>
      <c r="I1425" s="26"/>
      <c r="J1425" s="26"/>
      <c r="K1425" s="26"/>
    </row>
    <row r="1426">
      <c r="A1426" s="26"/>
      <c r="B1426" s="26"/>
      <c r="C1426" s="26"/>
      <c r="D1426" s="26"/>
      <c r="E1426" s="26"/>
      <c r="F1426" s="26"/>
      <c r="G1426" s="26"/>
      <c r="H1426" s="26"/>
      <c r="I1426" s="26"/>
      <c r="J1426" s="26"/>
      <c r="K1426" s="26"/>
    </row>
    <row r="1427">
      <c r="A1427" s="26"/>
      <c r="B1427" s="26"/>
      <c r="C1427" s="26"/>
      <c r="D1427" s="26"/>
      <c r="E1427" s="26"/>
      <c r="F1427" s="26"/>
      <c r="G1427" s="26"/>
      <c r="H1427" s="26"/>
      <c r="I1427" s="26"/>
      <c r="J1427" s="26"/>
      <c r="K1427" s="26"/>
    </row>
    <row r="1428">
      <c r="A1428" s="26"/>
      <c r="B1428" s="26"/>
      <c r="C1428" s="26"/>
      <c r="D1428" s="26"/>
      <c r="E1428" s="26"/>
      <c r="F1428" s="26"/>
      <c r="G1428" s="26"/>
      <c r="H1428" s="26"/>
      <c r="I1428" s="26"/>
      <c r="J1428" s="26"/>
      <c r="K1428" s="26"/>
    </row>
    <row r="1429">
      <c r="A1429" s="26"/>
      <c r="B1429" s="26"/>
      <c r="C1429" s="26"/>
      <c r="D1429" s="26"/>
      <c r="E1429" s="26"/>
      <c r="F1429" s="26"/>
      <c r="G1429" s="26"/>
      <c r="H1429" s="26"/>
      <c r="I1429" s="26"/>
      <c r="J1429" s="26"/>
      <c r="K1429" s="26"/>
    </row>
    <row r="1430">
      <c r="A1430" s="26"/>
      <c r="B1430" s="26"/>
      <c r="C1430" s="26"/>
      <c r="D1430" s="26"/>
      <c r="E1430" s="26"/>
      <c r="F1430" s="26"/>
      <c r="G1430" s="26"/>
      <c r="H1430" s="26"/>
      <c r="I1430" s="26"/>
      <c r="J1430" s="26"/>
      <c r="K1430" s="26"/>
    </row>
    <row r="1431">
      <c r="A1431" s="26"/>
      <c r="B1431" s="26"/>
      <c r="C1431" s="26"/>
      <c r="D1431" s="26"/>
      <c r="E1431" s="26"/>
      <c r="F1431" s="26"/>
      <c r="G1431" s="26"/>
      <c r="H1431" s="26"/>
      <c r="I1431" s="26"/>
      <c r="J1431" s="26"/>
      <c r="K1431" s="26"/>
    </row>
    <row r="1432">
      <c r="A1432" s="26"/>
      <c r="B1432" s="26"/>
      <c r="C1432" s="26"/>
      <c r="D1432" s="26"/>
      <c r="E1432" s="26"/>
      <c r="F1432" s="26"/>
      <c r="G1432" s="26"/>
      <c r="H1432" s="26"/>
      <c r="I1432" s="26"/>
      <c r="J1432" s="26"/>
      <c r="K1432" s="26"/>
    </row>
    <row r="1433">
      <c r="A1433" s="26"/>
      <c r="B1433" s="26"/>
      <c r="C1433" s="26"/>
      <c r="D1433" s="26"/>
      <c r="E1433" s="26"/>
      <c r="F1433" s="26"/>
      <c r="G1433" s="26"/>
      <c r="H1433" s="26"/>
      <c r="I1433" s="26"/>
      <c r="J1433" s="26"/>
      <c r="K1433" s="26"/>
    </row>
    <row r="1434">
      <c r="A1434" s="26"/>
      <c r="B1434" s="26"/>
      <c r="C1434" s="26"/>
      <c r="D1434" s="26"/>
      <c r="E1434" s="26"/>
      <c r="F1434" s="26"/>
      <c r="G1434" s="26"/>
      <c r="H1434" s="26"/>
      <c r="I1434" s="26"/>
      <c r="J1434" s="26"/>
      <c r="K1434" s="26"/>
    </row>
    <row r="1435">
      <c r="A1435" s="26"/>
      <c r="B1435" s="26"/>
      <c r="C1435" s="26"/>
      <c r="D1435" s="26"/>
      <c r="E1435" s="26"/>
      <c r="F1435" s="26"/>
      <c r="G1435" s="26"/>
      <c r="H1435" s="26"/>
      <c r="I1435" s="26"/>
      <c r="J1435" s="26"/>
      <c r="K1435" s="26"/>
    </row>
    <row r="1436">
      <c r="A1436" s="26"/>
      <c r="B1436" s="26"/>
      <c r="C1436" s="26"/>
      <c r="D1436" s="26"/>
      <c r="E1436" s="26"/>
      <c r="F1436" s="26"/>
      <c r="G1436" s="26"/>
      <c r="H1436" s="26"/>
      <c r="I1436" s="26"/>
      <c r="J1436" s="26"/>
      <c r="K1436" s="26"/>
    </row>
    <row r="1437">
      <c r="A1437" s="26"/>
      <c r="B1437" s="26"/>
      <c r="C1437" s="26"/>
      <c r="D1437" s="26"/>
      <c r="E1437" s="26"/>
      <c r="F1437" s="26"/>
      <c r="G1437" s="26"/>
      <c r="H1437" s="26"/>
      <c r="I1437" s="26"/>
      <c r="J1437" s="26"/>
      <c r="K1437" s="26"/>
    </row>
    <row r="1438">
      <c r="A1438" s="26"/>
      <c r="B1438" s="26"/>
      <c r="C1438" s="26"/>
      <c r="D1438" s="26"/>
      <c r="E1438" s="26"/>
      <c r="F1438" s="26"/>
      <c r="G1438" s="26"/>
      <c r="H1438" s="26"/>
      <c r="I1438" s="26"/>
      <c r="J1438" s="26"/>
      <c r="K1438" s="26"/>
    </row>
    <row r="1439">
      <c r="A1439" s="26"/>
      <c r="B1439" s="26"/>
      <c r="C1439" s="26"/>
      <c r="D1439" s="26"/>
      <c r="E1439" s="26"/>
      <c r="F1439" s="26"/>
      <c r="G1439" s="26"/>
      <c r="H1439" s="26"/>
      <c r="I1439" s="26"/>
      <c r="J1439" s="26"/>
      <c r="K1439" s="26"/>
    </row>
    <row r="1440">
      <c r="A1440" s="26"/>
      <c r="B1440" s="26"/>
      <c r="C1440" s="26"/>
      <c r="D1440" s="26"/>
      <c r="E1440" s="26"/>
      <c r="F1440" s="26"/>
      <c r="G1440" s="26"/>
      <c r="H1440" s="26"/>
      <c r="I1440" s="26"/>
      <c r="J1440" s="26"/>
      <c r="K1440" s="26"/>
    </row>
    <row r="1441">
      <c r="A1441" s="26"/>
      <c r="B1441" s="26"/>
      <c r="C1441" s="26"/>
      <c r="D1441" s="26"/>
      <c r="E1441" s="26"/>
      <c r="F1441" s="26"/>
      <c r="G1441" s="26"/>
      <c r="H1441" s="26"/>
      <c r="I1441" s="26"/>
      <c r="J1441" s="26"/>
      <c r="K1441" s="26"/>
    </row>
    <row r="1442">
      <c r="A1442" s="26"/>
      <c r="B1442" s="26"/>
      <c r="C1442" s="26"/>
      <c r="D1442" s="26"/>
      <c r="E1442" s="26"/>
      <c r="F1442" s="26"/>
      <c r="G1442" s="26"/>
      <c r="H1442" s="26"/>
      <c r="I1442" s="26"/>
      <c r="J1442" s="26"/>
      <c r="K1442" s="26"/>
    </row>
    <row r="1443">
      <c r="A1443" s="26"/>
      <c r="B1443" s="26"/>
      <c r="C1443" s="26"/>
      <c r="D1443" s="26"/>
      <c r="E1443" s="26"/>
      <c r="F1443" s="26"/>
      <c r="G1443" s="26"/>
      <c r="H1443" s="26"/>
      <c r="I1443" s="26"/>
      <c r="J1443" s="26"/>
      <c r="K1443" s="26"/>
    </row>
    <row r="1444">
      <c r="A1444" s="26"/>
      <c r="B1444" s="26"/>
      <c r="C1444" s="26"/>
      <c r="D1444" s="26"/>
      <c r="E1444" s="26"/>
      <c r="F1444" s="26"/>
      <c r="G1444" s="26"/>
      <c r="H1444" s="26"/>
      <c r="I1444" s="26"/>
      <c r="J1444" s="26"/>
      <c r="K1444" s="26"/>
    </row>
    <row r="1445">
      <c r="A1445" s="26"/>
      <c r="B1445" s="26"/>
      <c r="C1445" s="26"/>
      <c r="D1445" s="26"/>
      <c r="E1445" s="26"/>
      <c r="F1445" s="26"/>
      <c r="G1445" s="26"/>
      <c r="H1445" s="26"/>
      <c r="I1445" s="26"/>
      <c r="J1445" s="26"/>
      <c r="K1445" s="26"/>
    </row>
    <row r="1446">
      <c r="A1446" s="26"/>
      <c r="B1446" s="26"/>
      <c r="C1446" s="26"/>
      <c r="D1446" s="26"/>
      <c r="E1446" s="26"/>
      <c r="F1446" s="26"/>
      <c r="G1446" s="26"/>
      <c r="H1446" s="26"/>
      <c r="I1446" s="26"/>
      <c r="J1446" s="26"/>
      <c r="K1446" s="26"/>
    </row>
    <row r="1447">
      <c r="A1447" s="26"/>
      <c r="B1447" s="26"/>
      <c r="C1447" s="26"/>
      <c r="D1447" s="26"/>
      <c r="E1447" s="26"/>
      <c r="F1447" s="26"/>
      <c r="G1447" s="26"/>
      <c r="H1447" s="26"/>
      <c r="I1447" s="26"/>
      <c r="J1447" s="26"/>
      <c r="K1447" s="26"/>
    </row>
    <row r="1448">
      <c r="A1448" s="26"/>
      <c r="B1448" s="26"/>
      <c r="C1448" s="26"/>
      <c r="D1448" s="26"/>
      <c r="E1448" s="26"/>
      <c r="F1448" s="26"/>
      <c r="G1448" s="26"/>
      <c r="H1448" s="26"/>
      <c r="I1448" s="26"/>
      <c r="J1448" s="26"/>
      <c r="K1448" s="26"/>
    </row>
    <row r="1449">
      <c r="A1449" s="26"/>
      <c r="B1449" s="26"/>
      <c r="C1449" s="26"/>
      <c r="D1449" s="26"/>
      <c r="E1449" s="26"/>
      <c r="F1449" s="26"/>
      <c r="G1449" s="26"/>
      <c r="H1449" s="26"/>
      <c r="I1449" s="26"/>
      <c r="J1449" s="26"/>
      <c r="K1449" s="26"/>
    </row>
    <row r="1450">
      <c r="A1450" s="26"/>
      <c r="B1450" s="26"/>
      <c r="C1450" s="26"/>
      <c r="D1450" s="26"/>
      <c r="E1450" s="26"/>
      <c r="F1450" s="26"/>
      <c r="G1450" s="26"/>
      <c r="H1450" s="26"/>
      <c r="I1450" s="26"/>
      <c r="J1450" s="26"/>
      <c r="K1450" s="26"/>
    </row>
    <row r="1451">
      <c r="A1451" s="26"/>
      <c r="B1451" s="26"/>
      <c r="C1451" s="26"/>
      <c r="D1451" s="26"/>
      <c r="E1451" s="26"/>
      <c r="F1451" s="26"/>
      <c r="G1451" s="26"/>
      <c r="H1451" s="26"/>
      <c r="I1451" s="26"/>
      <c r="J1451" s="26"/>
      <c r="K1451" s="26"/>
    </row>
    <row r="1452">
      <c r="A1452" s="26"/>
      <c r="B1452" s="26"/>
      <c r="C1452" s="26"/>
      <c r="D1452" s="26"/>
      <c r="E1452" s="26"/>
      <c r="F1452" s="26"/>
      <c r="G1452" s="26"/>
      <c r="H1452" s="26"/>
      <c r="I1452" s="26"/>
      <c r="J1452" s="26"/>
      <c r="K1452" s="26"/>
    </row>
    <row r="1453">
      <c r="A1453" s="26"/>
      <c r="B1453" s="26"/>
      <c r="C1453" s="26"/>
      <c r="D1453" s="26"/>
      <c r="E1453" s="26"/>
      <c r="F1453" s="26"/>
      <c r="G1453" s="26"/>
      <c r="H1453" s="26"/>
      <c r="I1453" s="26"/>
      <c r="J1453" s="26"/>
      <c r="K1453" s="26"/>
    </row>
    <row r="1454">
      <c r="A1454" s="26"/>
      <c r="B1454" s="26"/>
      <c r="C1454" s="26"/>
      <c r="D1454" s="26"/>
      <c r="E1454" s="26"/>
      <c r="F1454" s="26"/>
      <c r="G1454" s="26"/>
      <c r="H1454" s="26"/>
      <c r="I1454" s="26"/>
      <c r="J1454" s="26"/>
      <c r="K1454" s="26"/>
    </row>
    <row r="1455">
      <c r="A1455" s="26"/>
      <c r="B1455" s="26"/>
      <c r="C1455" s="26"/>
      <c r="D1455" s="26"/>
      <c r="E1455" s="26"/>
      <c r="F1455" s="26"/>
      <c r="G1455" s="26"/>
      <c r="H1455" s="26"/>
      <c r="I1455" s="26"/>
      <c r="J1455" s="26"/>
      <c r="K1455" s="26"/>
    </row>
    <row r="1456">
      <c r="A1456" s="26"/>
      <c r="B1456" s="26"/>
      <c r="C1456" s="26"/>
      <c r="D1456" s="26"/>
      <c r="E1456" s="26"/>
      <c r="F1456" s="26"/>
      <c r="G1456" s="26"/>
      <c r="H1456" s="26"/>
      <c r="I1456" s="26"/>
      <c r="J1456" s="26"/>
      <c r="K1456" s="26"/>
    </row>
    <row r="1457">
      <c r="A1457" s="26"/>
      <c r="B1457" s="26"/>
      <c r="C1457" s="26"/>
      <c r="D1457" s="26"/>
      <c r="E1457" s="26"/>
      <c r="F1457" s="26"/>
      <c r="G1457" s="26"/>
      <c r="H1457" s="26"/>
      <c r="I1457" s="26"/>
      <c r="J1457" s="26"/>
      <c r="K1457" s="26"/>
    </row>
    <row r="1458">
      <c r="A1458" s="26"/>
      <c r="B1458" s="26"/>
      <c r="C1458" s="26"/>
      <c r="D1458" s="26"/>
      <c r="E1458" s="26"/>
      <c r="F1458" s="26"/>
      <c r="G1458" s="26"/>
      <c r="H1458" s="26"/>
      <c r="I1458" s="26"/>
      <c r="J1458" s="26"/>
      <c r="K1458" s="26"/>
    </row>
    <row r="1459">
      <c r="A1459" s="26"/>
      <c r="B1459" s="26"/>
      <c r="C1459" s="26"/>
      <c r="D1459" s="26"/>
      <c r="E1459" s="26"/>
      <c r="F1459" s="26"/>
      <c r="G1459" s="26"/>
      <c r="H1459" s="26"/>
      <c r="I1459" s="26"/>
      <c r="J1459" s="26"/>
      <c r="K1459" s="26"/>
    </row>
    <row r="1460">
      <c r="A1460" s="26"/>
      <c r="B1460" s="26"/>
      <c r="C1460" s="26"/>
      <c r="D1460" s="26"/>
      <c r="E1460" s="26"/>
      <c r="F1460" s="26"/>
      <c r="G1460" s="26"/>
      <c r="H1460" s="26"/>
      <c r="I1460" s="26"/>
      <c r="J1460" s="26"/>
      <c r="K1460" s="26"/>
    </row>
    <row r="1461">
      <c r="A1461" s="26"/>
      <c r="B1461" s="26"/>
      <c r="C1461" s="26"/>
      <c r="D1461" s="26"/>
      <c r="E1461" s="26"/>
      <c r="F1461" s="26"/>
      <c r="G1461" s="26"/>
      <c r="H1461" s="26"/>
      <c r="I1461" s="26"/>
      <c r="J1461" s="26"/>
      <c r="K1461" s="26"/>
    </row>
    <row r="1462">
      <c r="A1462" s="26"/>
      <c r="B1462" s="26"/>
      <c r="C1462" s="26"/>
      <c r="D1462" s="26"/>
      <c r="E1462" s="26"/>
      <c r="F1462" s="26"/>
      <c r="G1462" s="26"/>
      <c r="H1462" s="26"/>
      <c r="I1462" s="26"/>
      <c r="J1462" s="26"/>
      <c r="K1462" s="26"/>
    </row>
    <row r="1463">
      <c r="A1463" s="26"/>
      <c r="B1463" s="26"/>
      <c r="C1463" s="26"/>
      <c r="D1463" s="26"/>
      <c r="E1463" s="26"/>
      <c r="F1463" s="26"/>
      <c r="G1463" s="26"/>
      <c r="H1463" s="26"/>
      <c r="I1463" s="26"/>
      <c r="J1463" s="26"/>
      <c r="K1463" s="26"/>
    </row>
    <row r="1464">
      <c r="A1464" s="26"/>
      <c r="B1464" s="26"/>
      <c r="C1464" s="26"/>
      <c r="D1464" s="26"/>
      <c r="E1464" s="26"/>
      <c r="F1464" s="26"/>
      <c r="G1464" s="26"/>
      <c r="H1464" s="26"/>
      <c r="I1464" s="26"/>
      <c r="J1464" s="26"/>
      <c r="K1464" s="26"/>
    </row>
    <row r="1465">
      <c r="A1465" s="26"/>
      <c r="B1465" s="26"/>
      <c r="C1465" s="26"/>
      <c r="D1465" s="26"/>
      <c r="E1465" s="26"/>
      <c r="F1465" s="26"/>
      <c r="G1465" s="26"/>
      <c r="H1465" s="26"/>
      <c r="I1465" s="26"/>
      <c r="J1465" s="26"/>
      <c r="K1465" s="26"/>
    </row>
    <row r="1466">
      <c r="A1466" s="26"/>
      <c r="B1466" s="26"/>
      <c r="C1466" s="26"/>
      <c r="D1466" s="26"/>
      <c r="E1466" s="26"/>
      <c r="F1466" s="26"/>
      <c r="G1466" s="26"/>
      <c r="H1466" s="26"/>
      <c r="I1466" s="26"/>
      <c r="J1466" s="26"/>
      <c r="K1466" s="26"/>
    </row>
    <row r="1467">
      <c r="A1467" s="26"/>
      <c r="B1467" s="26"/>
      <c r="C1467" s="26"/>
      <c r="D1467" s="26"/>
      <c r="E1467" s="26"/>
      <c r="F1467" s="26"/>
      <c r="G1467" s="26"/>
      <c r="H1467" s="26"/>
      <c r="I1467" s="26"/>
      <c r="J1467" s="26"/>
      <c r="K1467" s="26"/>
    </row>
    <row r="1468">
      <c r="A1468" s="26"/>
      <c r="B1468" s="26"/>
      <c r="C1468" s="26"/>
      <c r="D1468" s="26"/>
      <c r="E1468" s="26"/>
      <c r="F1468" s="26"/>
      <c r="G1468" s="26"/>
      <c r="H1468" s="26"/>
      <c r="I1468" s="26"/>
      <c r="J1468" s="26"/>
      <c r="K1468" s="26"/>
    </row>
    <row r="1469">
      <c r="A1469" s="26"/>
      <c r="B1469" s="26"/>
      <c r="C1469" s="26"/>
      <c r="D1469" s="26"/>
      <c r="E1469" s="26"/>
      <c r="F1469" s="26"/>
      <c r="G1469" s="26"/>
      <c r="H1469" s="26"/>
      <c r="I1469" s="26"/>
      <c r="J1469" s="26"/>
      <c r="K1469" s="26"/>
    </row>
    <row r="1470">
      <c r="A1470" s="26"/>
      <c r="B1470" s="26"/>
      <c r="C1470" s="26"/>
      <c r="D1470" s="26"/>
      <c r="E1470" s="26"/>
      <c r="F1470" s="26"/>
      <c r="G1470" s="26"/>
      <c r="H1470" s="26"/>
      <c r="I1470" s="26"/>
      <c r="J1470" s="26"/>
      <c r="K1470" s="26"/>
    </row>
    <row r="1471">
      <c r="A1471" s="26"/>
      <c r="B1471" s="26"/>
      <c r="C1471" s="26"/>
      <c r="D1471" s="26"/>
      <c r="E1471" s="26"/>
      <c r="F1471" s="26"/>
      <c r="G1471" s="26"/>
      <c r="H1471" s="26"/>
      <c r="I1471" s="26"/>
      <c r="J1471" s="26"/>
      <c r="K1471" s="26"/>
    </row>
    <row r="1472">
      <c r="A1472" s="26"/>
      <c r="B1472" s="26"/>
      <c r="C1472" s="26"/>
      <c r="D1472" s="26"/>
      <c r="E1472" s="26"/>
      <c r="F1472" s="26"/>
      <c r="G1472" s="26"/>
      <c r="H1472" s="26"/>
      <c r="I1472" s="26"/>
      <c r="J1472" s="26"/>
      <c r="K1472" s="26"/>
    </row>
    <row r="1473">
      <c r="A1473" s="26"/>
      <c r="B1473" s="26"/>
      <c r="C1473" s="26"/>
      <c r="D1473" s="26"/>
      <c r="E1473" s="26"/>
      <c r="F1473" s="26"/>
      <c r="G1473" s="26"/>
      <c r="H1473" s="26"/>
      <c r="I1473" s="26"/>
      <c r="J1473" s="26"/>
      <c r="K1473" s="26"/>
    </row>
    <row r="1474">
      <c r="A1474" s="26"/>
      <c r="B1474" s="26"/>
      <c r="C1474" s="26"/>
      <c r="D1474" s="26"/>
      <c r="E1474" s="26"/>
      <c r="F1474" s="26"/>
      <c r="G1474" s="26"/>
      <c r="H1474" s="26"/>
      <c r="I1474" s="26"/>
      <c r="J1474" s="26"/>
      <c r="K1474" s="26"/>
    </row>
    <row r="1475">
      <c r="A1475" s="26"/>
      <c r="B1475" s="26"/>
      <c r="C1475" s="26"/>
      <c r="D1475" s="26"/>
      <c r="E1475" s="26"/>
      <c r="F1475" s="26"/>
      <c r="G1475" s="26"/>
      <c r="H1475" s="26"/>
      <c r="I1475" s="26"/>
      <c r="J1475" s="26"/>
      <c r="K1475" s="26"/>
    </row>
    <row r="1476">
      <c r="A1476" s="26"/>
      <c r="B1476" s="26"/>
      <c r="C1476" s="26"/>
      <c r="D1476" s="26"/>
      <c r="E1476" s="26"/>
      <c r="F1476" s="26"/>
      <c r="G1476" s="26"/>
      <c r="H1476" s="26"/>
      <c r="I1476" s="26"/>
      <c r="J1476" s="26"/>
      <c r="K1476" s="26"/>
    </row>
    <row r="1477">
      <c r="A1477" s="26"/>
      <c r="B1477" s="26"/>
      <c r="C1477" s="26"/>
      <c r="D1477" s="26"/>
      <c r="E1477" s="26"/>
      <c r="F1477" s="26"/>
      <c r="G1477" s="26"/>
      <c r="H1477" s="26"/>
      <c r="I1477" s="26"/>
      <c r="J1477" s="26"/>
      <c r="K1477" s="26"/>
    </row>
    <row r="1478">
      <c r="A1478" s="26"/>
      <c r="B1478" s="26"/>
      <c r="C1478" s="26"/>
      <c r="D1478" s="26"/>
      <c r="E1478" s="26"/>
      <c r="F1478" s="26"/>
      <c r="G1478" s="26"/>
      <c r="H1478" s="26"/>
      <c r="I1478" s="26"/>
      <c r="J1478" s="26"/>
      <c r="K1478" s="26"/>
    </row>
    <row r="1479">
      <c r="A1479" s="26"/>
      <c r="B1479" s="26"/>
      <c r="C1479" s="26"/>
      <c r="D1479" s="26"/>
      <c r="E1479" s="26"/>
      <c r="F1479" s="26"/>
      <c r="G1479" s="26"/>
      <c r="H1479" s="26"/>
      <c r="I1479" s="26"/>
      <c r="J1479" s="26"/>
      <c r="K1479" s="26"/>
    </row>
    <row r="1480">
      <c r="A1480" s="26"/>
      <c r="B1480" s="26"/>
      <c r="C1480" s="26"/>
      <c r="D1480" s="26"/>
      <c r="E1480" s="26"/>
      <c r="F1480" s="26"/>
      <c r="G1480" s="26"/>
      <c r="H1480" s="26"/>
      <c r="I1480" s="26"/>
      <c r="J1480" s="26"/>
      <c r="K1480" s="26"/>
    </row>
    <row r="1481">
      <c r="A1481" s="26"/>
      <c r="B1481" s="26"/>
      <c r="C1481" s="26"/>
      <c r="D1481" s="26"/>
      <c r="E1481" s="26"/>
      <c r="F1481" s="26"/>
      <c r="G1481" s="26"/>
      <c r="H1481" s="26"/>
      <c r="I1481" s="26"/>
      <c r="J1481" s="26"/>
      <c r="K1481" s="26"/>
    </row>
    <row r="1482">
      <c r="A1482" s="26"/>
      <c r="B1482" s="26"/>
      <c r="C1482" s="26"/>
      <c r="D1482" s="26"/>
      <c r="E1482" s="26"/>
      <c r="F1482" s="26"/>
      <c r="G1482" s="26"/>
      <c r="H1482" s="26"/>
      <c r="I1482" s="26"/>
      <c r="J1482" s="26"/>
      <c r="K1482" s="26"/>
    </row>
    <row r="1483">
      <c r="A1483" s="26"/>
      <c r="B1483" s="26"/>
      <c r="C1483" s="26"/>
      <c r="D1483" s="26"/>
      <c r="E1483" s="26"/>
      <c r="F1483" s="26"/>
      <c r="G1483" s="26"/>
      <c r="H1483" s="26"/>
      <c r="I1483" s="26"/>
      <c r="J1483" s="26"/>
      <c r="K1483" s="26"/>
    </row>
    <row r="1484">
      <c r="A1484" s="26"/>
      <c r="B1484" s="26"/>
      <c r="C1484" s="26"/>
      <c r="D1484" s="26"/>
      <c r="E1484" s="26"/>
      <c r="F1484" s="26"/>
      <c r="G1484" s="26"/>
      <c r="H1484" s="26"/>
      <c r="I1484" s="26"/>
      <c r="J1484" s="26"/>
      <c r="K1484" s="26"/>
    </row>
    <row r="1485">
      <c r="A1485" s="26"/>
      <c r="B1485" s="26"/>
      <c r="C1485" s="26"/>
      <c r="D1485" s="26"/>
      <c r="E1485" s="26"/>
      <c r="F1485" s="26"/>
      <c r="G1485" s="26"/>
      <c r="H1485" s="26"/>
      <c r="I1485" s="26"/>
      <c r="J1485" s="26"/>
      <c r="K1485" s="26"/>
    </row>
    <row r="1486">
      <c r="A1486" s="26"/>
      <c r="B1486" s="26"/>
      <c r="C1486" s="26"/>
      <c r="D1486" s="26"/>
      <c r="E1486" s="26"/>
      <c r="F1486" s="26"/>
      <c r="G1486" s="26"/>
      <c r="H1486" s="26"/>
      <c r="I1486" s="26"/>
      <c r="J1486" s="26"/>
      <c r="K1486" s="26"/>
    </row>
    <row r="1487">
      <c r="A1487" s="26"/>
      <c r="B1487" s="26"/>
      <c r="C1487" s="26"/>
      <c r="D1487" s="26"/>
      <c r="E1487" s="26"/>
      <c r="F1487" s="26"/>
      <c r="G1487" s="26"/>
      <c r="H1487" s="26"/>
      <c r="I1487" s="26"/>
      <c r="J1487" s="26"/>
      <c r="K1487" s="26"/>
    </row>
    <row r="1488">
      <c r="A1488" s="26"/>
      <c r="B1488" s="26"/>
      <c r="C1488" s="26"/>
      <c r="D1488" s="26"/>
      <c r="E1488" s="26"/>
      <c r="F1488" s="26"/>
      <c r="G1488" s="26"/>
      <c r="H1488" s="26"/>
      <c r="I1488" s="26"/>
      <c r="J1488" s="26"/>
      <c r="K1488" s="26"/>
    </row>
    <row r="1489">
      <c r="A1489" s="26"/>
      <c r="B1489" s="26"/>
      <c r="C1489" s="26"/>
      <c r="D1489" s="26"/>
      <c r="E1489" s="26"/>
      <c r="F1489" s="26"/>
      <c r="G1489" s="26"/>
      <c r="H1489" s="26"/>
      <c r="I1489" s="26"/>
      <c r="J1489" s="26"/>
      <c r="K1489" s="26"/>
    </row>
    <row r="1490">
      <c r="A1490" s="26"/>
      <c r="B1490" s="26"/>
      <c r="C1490" s="26"/>
      <c r="D1490" s="26"/>
      <c r="E1490" s="26"/>
      <c r="F1490" s="26"/>
      <c r="G1490" s="26"/>
      <c r="H1490" s="26"/>
      <c r="I1490" s="26"/>
      <c r="J1490" s="26"/>
      <c r="K1490" s="26"/>
    </row>
    <row r="1491">
      <c r="A1491" s="26"/>
      <c r="B1491" s="26"/>
      <c r="C1491" s="26"/>
      <c r="D1491" s="26"/>
      <c r="E1491" s="26"/>
      <c r="F1491" s="26"/>
      <c r="G1491" s="26"/>
      <c r="H1491" s="26"/>
      <c r="I1491" s="26"/>
      <c r="J1491" s="26"/>
      <c r="K1491" s="26"/>
    </row>
    <row r="1492">
      <c r="A1492" s="26"/>
      <c r="B1492" s="26"/>
      <c r="C1492" s="26"/>
      <c r="D1492" s="26"/>
      <c r="E1492" s="26"/>
      <c r="F1492" s="26"/>
      <c r="G1492" s="26"/>
      <c r="H1492" s="26"/>
      <c r="I1492" s="26"/>
      <c r="J1492" s="26"/>
      <c r="K1492" s="26"/>
    </row>
    <row r="1493">
      <c r="A1493" s="26"/>
      <c r="B1493" s="26"/>
      <c r="C1493" s="26"/>
      <c r="D1493" s="26"/>
      <c r="E1493" s="26"/>
      <c r="F1493" s="26"/>
      <c r="G1493" s="26"/>
      <c r="H1493" s="26"/>
      <c r="I1493" s="26"/>
      <c r="J1493" s="26"/>
      <c r="K1493" s="26"/>
    </row>
    <row r="1494">
      <c r="A1494" s="26"/>
      <c r="B1494" s="26"/>
      <c r="C1494" s="26"/>
      <c r="D1494" s="26"/>
      <c r="E1494" s="26"/>
      <c r="F1494" s="26"/>
      <c r="G1494" s="26"/>
      <c r="H1494" s="26"/>
      <c r="I1494" s="26"/>
      <c r="J1494" s="26"/>
      <c r="K1494" s="26"/>
    </row>
    <row r="1495">
      <c r="A1495" s="26"/>
      <c r="B1495" s="26"/>
      <c r="C1495" s="26"/>
      <c r="D1495" s="26"/>
      <c r="E1495" s="26"/>
      <c r="F1495" s="26"/>
      <c r="G1495" s="26"/>
      <c r="H1495" s="26"/>
      <c r="I1495" s="26"/>
      <c r="J1495" s="26"/>
      <c r="K1495" s="26"/>
    </row>
    <row r="1496">
      <c r="A1496" s="26"/>
      <c r="B1496" s="26"/>
      <c r="C1496" s="26"/>
      <c r="D1496" s="26"/>
      <c r="E1496" s="26"/>
      <c r="F1496" s="26"/>
      <c r="G1496" s="26"/>
      <c r="H1496" s="26"/>
      <c r="I1496" s="26"/>
      <c r="J1496" s="26"/>
      <c r="K1496" s="26"/>
    </row>
    <row r="1497">
      <c r="A1497" s="26"/>
      <c r="B1497" s="26"/>
      <c r="C1497" s="26"/>
      <c r="D1497" s="26"/>
      <c r="E1497" s="26"/>
      <c r="F1497" s="26"/>
      <c r="G1497" s="26"/>
      <c r="H1497" s="26"/>
      <c r="I1497" s="26"/>
      <c r="J1497" s="26"/>
      <c r="K1497" s="26"/>
    </row>
    <row r="1498">
      <c r="A1498" s="26"/>
      <c r="B1498" s="26"/>
      <c r="C1498" s="26"/>
      <c r="D1498" s="26"/>
      <c r="E1498" s="26"/>
      <c r="F1498" s="26"/>
      <c r="G1498" s="26"/>
      <c r="H1498" s="26"/>
      <c r="I1498" s="26"/>
      <c r="J1498" s="26"/>
      <c r="K1498" s="26"/>
    </row>
    <row r="1499">
      <c r="A1499" s="26"/>
      <c r="B1499" s="26"/>
      <c r="C1499" s="26"/>
      <c r="D1499" s="26"/>
      <c r="E1499" s="26"/>
      <c r="F1499" s="26"/>
      <c r="G1499" s="26"/>
      <c r="H1499" s="26"/>
      <c r="I1499" s="26"/>
      <c r="J1499" s="26"/>
      <c r="K1499" s="26"/>
    </row>
    <row r="1500">
      <c r="A1500" s="26"/>
      <c r="B1500" s="26"/>
      <c r="C1500" s="26"/>
      <c r="D1500" s="26"/>
      <c r="E1500" s="26"/>
      <c r="F1500" s="26"/>
      <c r="G1500" s="26"/>
      <c r="H1500" s="26"/>
      <c r="I1500" s="26"/>
      <c r="J1500" s="26"/>
      <c r="K1500" s="26"/>
    </row>
    <row r="1501">
      <c r="A1501" s="26"/>
      <c r="B1501" s="26"/>
      <c r="C1501" s="26"/>
      <c r="D1501" s="26"/>
      <c r="E1501" s="26"/>
      <c r="F1501" s="26"/>
      <c r="G1501" s="26"/>
      <c r="H1501" s="26"/>
      <c r="I1501" s="26"/>
      <c r="J1501" s="26"/>
      <c r="K1501" s="26"/>
    </row>
    <row r="1502">
      <c r="A1502" s="26"/>
      <c r="B1502" s="26"/>
      <c r="C1502" s="26"/>
      <c r="D1502" s="26"/>
      <c r="E1502" s="26"/>
      <c r="F1502" s="26"/>
      <c r="G1502" s="26"/>
      <c r="H1502" s="26"/>
      <c r="I1502" s="26"/>
      <c r="J1502" s="26"/>
      <c r="K1502" s="26"/>
    </row>
    <row r="1503">
      <c r="A1503" s="26"/>
      <c r="B1503" s="26"/>
      <c r="C1503" s="26"/>
      <c r="D1503" s="26"/>
      <c r="E1503" s="26"/>
      <c r="F1503" s="26"/>
      <c r="G1503" s="26"/>
      <c r="H1503" s="26"/>
      <c r="I1503" s="26"/>
      <c r="J1503" s="26"/>
      <c r="K1503" s="26"/>
    </row>
    <row r="1504">
      <c r="A1504" s="26"/>
      <c r="B1504" s="26"/>
      <c r="C1504" s="26"/>
      <c r="D1504" s="26"/>
      <c r="E1504" s="26"/>
      <c r="F1504" s="26"/>
      <c r="G1504" s="26"/>
      <c r="H1504" s="26"/>
      <c r="I1504" s="26"/>
      <c r="J1504" s="26"/>
      <c r="K1504" s="26"/>
    </row>
    <row r="1505">
      <c r="A1505" s="26"/>
      <c r="B1505" s="26"/>
      <c r="C1505" s="26"/>
      <c r="D1505" s="26"/>
      <c r="E1505" s="26"/>
      <c r="F1505" s="26"/>
      <c r="G1505" s="26"/>
      <c r="H1505" s="26"/>
      <c r="I1505" s="26"/>
      <c r="J1505" s="26"/>
      <c r="K1505" s="26"/>
    </row>
    <row r="1506">
      <c r="A1506" s="26"/>
      <c r="B1506" s="26"/>
      <c r="C1506" s="26"/>
      <c r="D1506" s="26"/>
      <c r="E1506" s="26"/>
      <c r="F1506" s="26"/>
      <c r="G1506" s="26"/>
      <c r="H1506" s="26"/>
      <c r="I1506" s="26"/>
      <c r="J1506" s="26"/>
      <c r="K1506" s="26"/>
    </row>
    <row r="1507">
      <c r="A1507" s="26"/>
      <c r="B1507" s="26"/>
      <c r="C1507" s="26"/>
      <c r="D1507" s="26"/>
      <c r="E1507" s="26"/>
      <c r="F1507" s="26"/>
      <c r="G1507" s="26"/>
      <c r="H1507" s="26"/>
      <c r="I1507" s="26"/>
      <c r="J1507" s="26"/>
      <c r="K1507" s="26"/>
    </row>
    <row r="1508">
      <c r="A1508" s="26"/>
      <c r="B1508" s="26"/>
      <c r="C1508" s="26"/>
      <c r="D1508" s="26"/>
      <c r="E1508" s="26"/>
      <c r="F1508" s="26"/>
      <c r="G1508" s="26"/>
      <c r="H1508" s="26"/>
      <c r="I1508" s="26"/>
      <c r="J1508" s="26"/>
      <c r="K1508" s="26"/>
    </row>
    <row r="1509">
      <c r="A1509" s="26"/>
      <c r="B1509" s="26"/>
      <c r="C1509" s="26"/>
      <c r="D1509" s="26"/>
      <c r="E1509" s="26"/>
      <c r="F1509" s="26"/>
      <c r="G1509" s="26"/>
      <c r="H1509" s="26"/>
      <c r="I1509" s="26"/>
      <c r="J1509" s="26"/>
      <c r="K1509" s="26"/>
    </row>
    <row r="1510">
      <c r="A1510" s="26"/>
      <c r="B1510" s="26"/>
      <c r="C1510" s="26"/>
      <c r="D1510" s="26"/>
      <c r="E1510" s="26"/>
      <c r="F1510" s="26"/>
      <c r="G1510" s="26"/>
      <c r="H1510" s="26"/>
      <c r="I1510" s="26"/>
      <c r="J1510" s="26"/>
      <c r="K1510" s="26"/>
    </row>
    <row r="1511">
      <c r="A1511" s="26"/>
      <c r="B1511" s="26"/>
      <c r="C1511" s="26"/>
      <c r="D1511" s="26"/>
      <c r="E1511" s="26"/>
      <c r="F1511" s="26"/>
      <c r="G1511" s="26"/>
      <c r="H1511" s="26"/>
      <c r="I1511" s="26"/>
      <c r="J1511" s="26"/>
      <c r="K1511" s="26"/>
    </row>
    <row r="1512">
      <c r="A1512" s="26"/>
      <c r="B1512" s="26"/>
      <c r="C1512" s="26"/>
      <c r="D1512" s="26"/>
      <c r="E1512" s="26"/>
      <c r="F1512" s="26"/>
      <c r="G1512" s="26"/>
      <c r="H1512" s="26"/>
      <c r="I1512" s="26"/>
      <c r="J1512" s="26"/>
      <c r="K1512" s="26"/>
    </row>
    <row r="1513">
      <c r="A1513" s="26"/>
      <c r="B1513" s="26"/>
      <c r="C1513" s="26"/>
      <c r="D1513" s="26"/>
      <c r="E1513" s="26"/>
      <c r="F1513" s="26"/>
      <c r="G1513" s="26"/>
      <c r="H1513" s="26"/>
      <c r="I1513" s="26"/>
      <c r="J1513" s="26"/>
      <c r="K1513" s="26"/>
    </row>
    <row r="1514">
      <c r="A1514" s="26"/>
      <c r="B1514" s="26"/>
      <c r="C1514" s="26"/>
      <c r="D1514" s="26"/>
      <c r="E1514" s="26"/>
      <c r="F1514" s="26"/>
      <c r="G1514" s="26"/>
      <c r="H1514" s="26"/>
      <c r="I1514" s="26"/>
      <c r="J1514" s="26"/>
      <c r="K1514" s="26"/>
    </row>
    <row r="1515">
      <c r="A1515" s="26"/>
      <c r="B1515" s="26"/>
      <c r="C1515" s="26"/>
      <c r="D1515" s="26"/>
      <c r="E1515" s="26"/>
      <c r="F1515" s="26"/>
      <c r="G1515" s="26"/>
      <c r="H1515" s="26"/>
      <c r="I1515" s="26"/>
      <c r="J1515" s="26"/>
      <c r="K1515" s="26"/>
    </row>
    <row r="1516">
      <c r="A1516" s="26"/>
      <c r="B1516" s="26"/>
      <c r="C1516" s="26"/>
      <c r="D1516" s="26"/>
      <c r="E1516" s="26"/>
      <c r="F1516" s="26"/>
      <c r="G1516" s="26"/>
      <c r="H1516" s="26"/>
      <c r="I1516" s="26"/>
      <c r="J1516" s="26"/>
      <c r="K1516" s="26"/>
    </row>
    <row r="1517">
      <c r="A1517" s="26"/>
      <c r="B1517" s="26"/>
      <c r="C1517" s="26"/>
      <c r="D1517" s="26"/>
      <c r="E1517" s="26"/>
      <c r="F1517" s="26"/>
      <c r="G1517" s="26"/>
      <c r="H1517" s="26"/>
      <c r="I1517" s="26"/>
      <c r="J1517" s="26"/>
      <c r="K1517" s="26"/>
    </row>
    <row r="1518">
      <c r="A1518" s="26"/>
      <c r="B1518" s="26"/>
      <c r="C1518" s="26"/>
      <c r="D1518" s="26"/>
      <c r="E1518" s="26"/>
      <c r="F1518" s="26"/>
      <c r="G1518" s="26"/>
      <c r="H1518" s="26"/>
      <c r="I1518" s="26"/>
      <c r="J1518" s="26"/>
      <c r="K1518" s="26"/>
    </row>
    <row r="1519">
      <c r="A1519" s="26"/>
      <c r="B1519" s="26"/>
      <c r="C1519" s="26"/>
      <c r="D1519" s="26"/>
      <c r="E1519" s="26"/>
      <c r="F1519" s="26"/>
      <c r="G1519" s="26"/>
      <c r="H1519" s="26"/>
      <c r="I1519" s="26"/>
      <c r="J1519" s="26"/>
      <c r="K1519" s="26"/>
    </row>
    <row r="1520">
      <c r="A1520" s="26"/>
      <c r="B1520" s="26"/>
      <c r="C1520" s="26"/>
      <c r="D1520" s="26"/>
      <c r="E1520" s="26"/>
      <c r="F1520" s="26"/>
      <c r="G1520" s="26"/>
      <c r="H1520" s="26"/>
      <c r="I1520" s="26"/>
      <c r="J1520" s="26"/>
      <c r="K1520" s="26"/>
    </row>
    <row r="1521">
      <c r="A1521" s="26"/>
      <c r="B1521" s="26"/>
      <c r="C1521" s="26"/>
      <c r="D1521" s="26"/>
      <c r="E1521" s="26"/>
      <c r="F1521" s="26"/>
      <c r="G1521" s="26"/>
      <c r="H1521" s="26"/>
      <c r="I1521" s="26"/>
      <c r="J1521" s="26"/>
      <c r="K1521" s="26"/>
    </row>
    <row r="1522">
      <c r="A1522" s="26"/>
      <c r="B1522" s="26"/>
      <c r="C1522" s="26"/>
      <c r="D1522" s="26"/>
      <c r="E1522" s="26"/>
      <c r="F1522" s="26"/>
      <c r="G1522" s="26"/>
      <c r="H1522" s="26"/>
      <c r="I1522" s="26"/>
      <c r="J1522" s="26"/>
      <c r="K1522" s="26"/>
    </row>
    <row r="1523">
      <c r="A1523" s="26"/>
      <c r="B1523" s="26"/>
      <c r="C1523" s="26"/>
      <c r="D1523" s="26"/>
      <c r="E1523" s="26"/>
      <c r="F1523" s="26"/>
      <c r="G1523" s="26"/>
      <c r="H1523" s="26"/>
      <c r="I1523" s="26"/>
      <c r="J1523" s="26"/>
      <c r="K1523" s="26"/>
    </row>
    <row r="1524">
      <c r="A1524" s="26"/>
      <c r="B1524" s="26"/>
      <c r="C1524" s="26"/>
      <c r="D1524" s="26"/>
      <c r="E1524" s="26"/>
      <c r="F1524" s="26"/>
      <c r="G1524" s="26"/>
      <c r="H1524" s="26"/>
      <c r="I1524" s="26"/>
      <c r="J1524" s="26"/>
      <c r="K1524" s="26"/>
    </row>
    <row r="1525">
      <c r="A1525" s="26"/>
      <c r="B1525" s="26"/>
      <c r="C1525" s="26"/>
      <c r="D1525" s="26"/>
      <c r="E1525" s="26"/>
      <c r="F1525" s="26"/>
      <c r="G1525" s="26"/>
      <c r="H1525" s="26"/>
      <c r="I1525" s="26"/>
      <c r="J1525" s="26"/>
      <c r="K1525" s="26"/>
    </row>
    <row r="1526">
      <c r="A1526" s="26"/>
      <c r="B1526" s="26"/>
      <c r="C1526" s="26"/>
      <c r="D1526" s="26"/>
      <c r="E1526" s="26"/>
      <c r="F1526" s="26"/>
      <c r="G1526" s="26"/>
      <c r="H1526" s="26"/>
      <c r="I1526" s="26"/>
      <c r="J1526" s="26"/>
      <c r="K1526" s="26"/>
    </row>
    <row r="1527">
      <c r="A1527" s="26"/>
      <c r="B1527" s="26"/>
      <c r="C1527" s="26"/>
      <c r="D1527" s="26"/>
      <c r="E1527" s="26"/>
      <c r="F1527" s="26"/>
      <c r="G1527" s="26"/>
      <c r="H1527" s="26"/>
      <c r="I1527" s="26"/>
      <c r="J1527" s="26"/>
      <c r="K1527" s="26"/>
    </row>
    <row r="1528">
      <c r="A1528" s="26"/>
      <c r="B1528" s="26"/>
      <c r="C1528" s="26"/>
      <c r="D1528" s="26"/>
      <c r="E1528" s="26"/>
      <c r="F1528" s="26"/>
      <c r="G1528" s="26"/>
      <c r="H1528" s="26"/>
      <c r="I1528" s="26"/>
      <c r="J1528" s="26"/>
      <c r="K1528" s="26"/>
    </row>
    <row r="1529">
      <c r="A1529" s="26"/>
      <c r="B1529" s="26"/>
      <c r="C1529" s="26"/>
      <c r="D1529" s="26"/>
      <c r="E1529" s="26"/>
      <c r="F1529" s="26"/>
      <c r="G1529" s="26"/>
      <c r="H1529" s="26"/>
      <c r="I1529" s="26"/>
      <c r="J1529" s="26"/>
      <c r="K1529" s="26"/>
    </row>
    <row r="1530">
      <c r="A1530" s="26"/>
      <c r="B1530" s="26"/>
      <c r="C1530" s="26"/>
      <c r="D1530" s="26"/>
      <c r="E1530" s="26"/>
      <c r="F1530" s="26"/>
      <c r="G1530" s="26"/>
      <c r="H1530" s="26"/>
      <c r="I1530" s="26"/>
      <c r="J1530" s="26"/>
      <c r="K1530" s="26"/>
    </row>
    <row r="1531">
      <c r="A1531" s="26"/>
      <c r="B1531" s="26"/>
      <c r="C1531" s="26"/>
      <c r="D1531" s="26"/>
      <c r="E1531" s="26"/>
      <c r="F1531" s="26"/>
      <c r="G1531" s="26"/>
      <c r="H1531" s="26"/>
      <c r="I1531" s="26"/>
      <c r="J1531" s="26"/>
      <c r="K1531" s="26"/>
    </row>
    <row r="1532">
      <c r="A1532" s="26"/>
      <c r="B1532" s="26"/>
      <c r="C1532" s="26"/>
      <c r="D1532" s="26"/>
      <c r="E1532" s="26"/>
      <c r="F1532" s="26"/>
      <c r="G1532" s="26"/>
      <c r="H1532" s="26"/>
      <c r="I1532" s="26"/>
      <c r="J1532" s="26"/>
      <c r="K1532" s="26"/>
    </row>
    <row r="1533">
      <c r="A1533" s="26"/>
      <c r="B1533" s="26"/>
      <c r="C1533" s="26"/>
      <c r="D1533" s="26"/>
      <c r="E1533" s="26"/>
      <c r="F1533" s="26"/>
      <c r="G1533" s="26"/>
      <c r="H1533" s="26"/>
      <c r="I1533" s="26"/>
      <c r="J1533" s="26"/>
      <c r="K1533" s="26"/>
    </row>
    <row r="1534">
      <c r="A1534" s="26"/>
      <c r="B1534" s="26"/>
      <c r="C1534" s="26"/>
      <c r="D1534" s="26"/>
      <c r="E1534" s="26"/>
      <c r="F1534" s="26"/>
      <c r="G1534" s="26"/>
      <c r="H1534" s="26"/>
      <c r="I1534" s="26"/>
      <c r="J1534" s="26"/>
      <c r="K1534" s="26"/>
    </row>
    <row r="1535">
      <c r="A1535" s="26"/>
      <c r="B1535" s="26"/>
      <c r="C1535" s="26"/>
      <c r="D1535" s="26"/>
      <c r="E1535" s="26"/>
      <c r="F1535" s="26"/>
      <c r="G1535" s="26"/>
      <c r="H1535" s="26"/>
      <c r="I1535" s="26"/>
      <c r="J1535" s="26"/>
      <c r="K1535" s="26"/>
    </row>
    <row r="1536">
      <c r="A1536" s="26"/>
      <c r="B1536" s="26"/>
      <c r="C1536" s="26"/>
      <c r="D1536" s="26"/>
      <c r="E1536" s="26"/>
      <c r="F1536" s="26"/>
      <c r="G1536" s="26"/>
      <c r="H1536" s="26"/>
      <c r="I1536" s="26"/>
      <c r="J1536" s="26"/>
      <c r="K1536" s="26"/>
    </row>
    <row r="1537">
      <c r="A1537" s="26"/>
      <c r="B1537" s="26"/>
      <c r="C1537" s="26"/>
      <c r="D1537" s="26"/>
      <c r="E1537" s="26"/>
      <c r="F1537" s="26"/>
      <c r="G1537" s="26"/>
      <c r="H1537" s="26"/>
      <c r="I1537" s="26"/>
      <c r="J1537" s="26"/>
      <c r="K1537" s="26"/>
    </row>
    <row r="1538">
      <c r="A1538" s="26"/>
      <c r="B1538" s="26"/>
      <c r="C1538" s="26"/>
      <c r="D1538" s="26"/>
      <c r="E1538" s="26"/>
      <c r="F1538" s="26"/>
      <c r="G1538" s="26"/>
      <c r="H1538" s="26"/>
      <c r="I1538" s="26"/>
      <c r="J1538" s="26"/>
      <c r="K1538" s="26"/>
    </row>
    <row r="1539">
      <c r="A1539" s="26"/>
      <c r="B1539" s="26"/>
      <c r="C1539" s="26"/>
      <c r="D1539" s="26"/>
      <c r="E1539" s="26"/>
      <c r="F1539" s="26"/>
      <c r="G1539" s="26"/>
      <c r="H1539" s="26"/>
      <c r="I1539" s="26"/>
      <c r="J1539" s="26"/>
      <c r="K1539" s="26"/>
    </row>
    <row r="1540">
      <c r="A1540" s="26"/>
      <c r="B1540" s="26"/>
      <c r="C1540" s="26"/>
      <c r="D1540" s="26"/>
      <c r="E1540" s="26"/>
      <c r="F1540" s="26"/>
      <c r="G1540" s="26"/>
      <c r="H1540" s="26"/>
      <c r="I1540" s="26"/>
      <c r="J1540" s="26"/>
      <c r="K1540" s="26"/>
    </row>
    <row r="1541">
      <c r="A1541" s="26"/>
      <c r="B1541" s="26"/>
      <c r="C1541" s="26"/>
      <c r="D1541" s="26"/>
      <c r="E1541" s="26"/>
      <c r="F1541" s="26"/>
      <c r="G1541" s="26"/>
      <c r="H1541" s="26"/>
      <c r="I1541" s="26"/>
      <c r="J1541" s="26"/>
      <c r="K1541" s="26"/>
    </row>
    <row r="1542">
      <c r="A1542" s="26"/>
      <c r="B1542" s="26"/>
      <c r="C1542" s="26"/>
      <c r="D1542" s="26"/>
      <c r="E1542" s="26"/>
      <c r="F1542" s="26"/>
      <c r="G1542" s="26"/>
      <c r="H1542" s="26"/>
      <c r="I1542" s="26"/>
      <c r="J1542" s="26"/>
      <c r="K1542" s="26"/>
    </row>
    <row r="1543">
      <c r="A1543" s="26"/>
      <c r="B1543" s="26"/>
      <c r="C1543" s="26"/>
      <c r="D1543" s="26"/>
      <c r="E1543" s="26"/>
      <c r="F1543" s="26"/>
      <c r="G1543" s="26"/>
      <c r="H1543" s="26"/>
      <c r="I1543" s="26"/>
      <c r="J1543" s="26"/>
      <c r="K1543" s="26"/>
    </row>
    <row r="1544">
      <c r="A1544" s="26"/>
      <c r="B1544" s="26"/>
      <c r="C1544" s="26"/>
      <c r="D1544" s="26"/>
      <c r="E1544" s="26"/>
      <c r="F1544" s="26"/>
      <c r="G1544" s="26"/>
      <c r="H1544" s="26"/>
      <c r="I1544" s="26"/>
      <c r="J1544" s="26"/>
      <c r="K1544" s="26"/>
    </row>
    <row r="1545">
      <c r="A1545" s="26"/>
      <c r="B1545" s="26"/>
      <c r="C1545" s="26"/>
      <c r="D1545" s="26"/>
      <c r="E1545" s="26"/>
      <c r="F1545" s="26"/>
      <c r="G1545" s="26"/>
      <c r="H1545" s="26"/>
      <c r="I1545" s="26"/>
      <c r="J1545" s="26"/>
      <c r="K1545" s="26"/>
    </row>
    <row r="1546">
      <c r="A1546" s="26"/>
      <c r="B1546" s="26"/>
      <c r="C1546" s="26"/>
      <c r="D1546" s="26"/>
      <c r="E1546" s="26"/>
      <c r="F1546" s="26"/>
      <c r="G1546" s="26"/>
      <c r="H1546" s="26"/>
      <c r="I1546" s="26"/>
      <c r="J1546" s="26"/>
      <c r="K1546" s="26"/>
    </row>
    <row r="1547">
      <c r="A1547" s="26"/>
      <c r="B1547" s="26"/>
      <c r="C1547" s="26"/>
      <c r="D1547" s="26"/>
      <c r="E1547" s="26"/>
      <c r="F1547" s="26"/>
      <c r="G1547" s="26"/>
      <c r="H1547" s="26"/>
      <c r="I1547" s="26"/>
      <c r="J1547" s="26"/>
      <c r="K1547" s="26"/>
    </row>
    <row r="1548">
      <c r="A1548" s="26"/>
      <c r="B1548" s="26"/>
      <c r="C1548" s="26"/>
      <c r="D1548" s="26"/>
      <c r="E1548" s="26"/>
      <c r="F1548" s="26"/>
      <c r="G1548" s="26"/>
      <c r="H1548" s="26"/>
      <c r="I1548" s="26"/>
      <c r="J1548" s="26"/>
      <c r="K1548" s="26"/>
    </row>
    <row r="1549">
      <c r="A1549" s="26"/>
      <c r="B1549" s="26"/>
      <c r="C1549" s="26"/>
      <c r="D1549" s="26"/>
      <c r="E1549" s="26"/>
      <c r="F1549" s="26"/>
      <c r="G1549" s="26"/>
      <c r="H1549" s="26"/>
      <c r="I1549" s="26"/>
      <c r="J1549" s="26"/>
      <c r="K1549" s="26"/>
    </row>
    <row r="1550">
      <c r="A1550" s="26"/>
      <c r="B1550" s="26"/>
      <c r="C1550" s="26"/>
      <c r="D1550" s="26"/>
      <c r="E1550" s="26"/>
      <c r="F1550" s="26"/>
      <c r="G1550" s="26"/>
      <c r="H1550" s="26"/>
      <c r="I1550" s="26"/>
      <c r="J1550" s="26"/>
      <c r="K1550" s="26"/>
    </row>
    <row r="1551">
      <c r="A1551" s="26"/>
      <c r="B1551" s="26"/>
      <c r="C1551" s="26"/>
      <c r="D1551" s="26"/>
      <c r="E1551" s="26"/>
      <c r="F1551" s="26"/>
      <c r="G1551" s="26"/>
      <c r="H1551" s="26"/>
      <c r="I1551" s="26"/>
      <c r="J1551" s="26"/>
      <c r="K1551" s="26"/>
    </row>
    <row r="1552">
      <c r="A1552" s="26"/>
      <c r="B1552" s="26"/>
      <c r="C1552" s="26"/>
      <c r="D1552" s="26"/>
      <c r="E1552" s="26"/>
      <c r="F1552" s="26"/>
      <c r="G1552" s="26"/>
      <c r="H1552" s="26"/>
      <c r="I1552" s="26"/>
      <c r="J1552" s="26"/>
      <c r="K1552" s="26"/>
    </row>
    <row r="1553">
      <c r="A1553" s="26"/>
      <c r="B1553" s="26"/>
      <c r="C1553" s="26"/>
      <c r="D1553" s="26"/>
      <c r="E1553" s="26"/>
      <c r="F1553" s="26"/>
      <c r="G1553" s="26"/>
      <c r="H1553" s="26"/>
      <c r="I1553" s="26"/>
      <c r="J1553" s="26"/>
      <c r="K1553" s="26"/>
    </row>
    <row r="1554">
      <c r="A1554" s="26"/>
      <c r="B1554" s="26"/>
      <c r="C1554" s="26"/>
      <c r="D1554" s="26"/>
      <c r="E1554" s="26"/>
      <c r="F1554" s="26"/>
      <c r="G1554" s="26"/>
      <c r="H1554" s="26"/>
      <c r="I1554" s="26"/>
      <c r="J1554" s="26"/>
      <c r="K1554" s="26"/>
    </row>
    <row r="1555">
      <c r="A1555" s="26"/>
      <c r="B1555" s="26"/>
      <c r="C1555" s="26"/>
      <c r="D1555" s="26"/>
      <c r="E1555" s="26"/>
      <c r="F1555" s="26"/>
      <c r="G1555" s="26"/>
      <c r="H1555" s="26"/>
      <c r="I1555" s="26"/>
      <c r="J1555" s="26"/>
      <c r="K1555" s="26"/>
    </row>
    <row r="1556">
      <c r="A1556" s="26"/>
      <c r="B1556" s="26"/>
      <c r="C1556" s="26"/>
      <c r="D1556" s="26"/>
      <c r="E1556" s="26"/>
      <c r="F1556" s="26"/>
      <c r="G1556" s="26"/>
      <c r="H1556" s="26"/>
      <c r="I1556" s="26"/>
      <c r="J1556" s="26"/>
      <c r="K1556" s="26"/>
    </row>
    <row r="1557">
      <c r="A1557" s="26"/>
      <c r="B1557" s="26"/>
      <c r="C1557" s="26"/>
      <c r="D1557" s="26"/>
      <c r="E1557" s="26"/>
      <c r="F1557" s="26"/>
      <c r="G1557" s="26"/>
      <c r="H1557" s="26"/>
      <c r="I1557" s="26"/>
      <c r="J1557" s="26"/>
      <c r="K1557" s="26"/>
    </row>
    <row r="1558">
      <c r="A1558" s="26"/>
      <c r="B1558" s="26"/>
      <c r="C1558" s="26"/>
      <c r="D1558" s="26"/>
      <c r="E1558" s="26"/>
      <c r="F1558" s="26"/>
      <c r="G1558" s="26"/>
      <c r="H1558" s="26"/>
      <c r="I1558" s="26"/>
      <c r="J1558" s="26"/>
      <c r="K1558" s="26"/>
    </row>
    <row r="1559">
      <c r="A1559" s="26"/>
      <c r="B1559" s="26"/>
      <c r="C1559" s="26"/>
      <c r="D1559" s="26"/>
      <c r="E1559" s="26"/>
      <c r="F1559" s="26"/>
      <c r="G1559" s="26"/>
      <c r="H1559" s="26"/>
      <c r="I1559" s="26"/>
      <c r="J1559" s="26"/>
      <c r="K1559" s="26"/>
    </row>
    <row r="1560">
      <c r="A1560" s="26"/>
      <c r="B1560" s="26"/>
      <c r="C1560" s="26"/>
      <c r="D1560" s="26"/>
      <c r="E1560" s="26"/>
      <c r="F1560" s="26"/>
      <c r="G1560" s="26"/>
      <c r="H1560" s="26"/>
      <c r="I1560" s="26"/>
      <c r="J1560" s="26"/>
      <c r="K1560" s="26"/>
    </row>
    <row r="1561">
      <c r="A1561" s="26"/>
      <c r="B1561" s="26"/>
      <c r="C1561" s="26"/>
      <c r="D1561" s="26"/>
      <c r="E1561" s="26"/>
      <c r="F1561" s="26"/>
      <c r="G1561" s="26"/>
      <c r="H1561" s="26"/>
      <c r="I1561" s="26"/>
      <c r="J1561" s="26"/>
      <c r="K1561" s="26"/>
    </row>
    <row r="1562">
      <c r="A1562" s="26"/>
      <c r="B1562" s="26"/>
      <c r="C1562" s="26"/>
      <c r="D1562" s="26"/>
      <c r="E1562" s="26"/>
      <c r="F1562" s="26"/>
      <c r="G1562" s="26"/>
      <c r="H1562" s="26"/>
      <c r="I1562" s="26"/>
      <c r="J1562" s="26"/>
      <c r="K1562" s="26"/>
    </row>
    <row r="1563">
      <c r="A1563" s="26"/>
      <c r="B1563" s="26"/>
      <c r="C1563" s="26"/>
      <c r="D1563" s="26"/>
      <c r="E1563" s="26"/>
      <c r="F1563" s="26"/>
      <c r="G1563" s="26"/>
      <c r="H1563" s="26"/>
      <c r="I1563" s="26"/>
      <c r="J1563" s="26"/>
      <c r="K1563" s="26"/>
    </row>
    <row r="1564">
      <c r="A1564" s="26"/>
      <c r="B1564" s="26"/>
      <c r="C1564" s="26"/>
      <c r="D1564" s="26"/>
      <c r="E1564" s="26"/>
      <c r="F1564" s="26"/>
      <c r="G1564" s="26"/>
      <c r="H1564" s="26"/>
      <c r="I1564" s="26"/>
      <c r="J1564" s="26"/>
      <c r="K1564" s="26"/>
    </row>
    <row r="1565">
      <c r="A1565" s="26"/>
      <c r="B1565" s="26"/>
      <c r="C1565" s="26"/>
      <c r="D1565" s="26"/>
      <c r="E1565" s="26"/>
      <c r="F1565" s="26"/>
      <c r="G1565" s="26"/>
      <c r="H1565" s="26"/>
      <c r="I1565" s="26"/>
      <c r="J1565" s="26"/>
      <c r="K1565" s="26"/>
    </row>
    <row r="1566">
      <c r="A1566" s="26"/>
      <c r="B1566" s="26"/>
      <c r="C1566" s="26"/>
      <c r="D1566" s="26"/>
      <c r="E1566" s="26"/>
      <c r="F1566" s="26"/>
      <c r="G1566" s="26"/>
      <c r="H1566" s="26"/>
      <c r="I1566" s="26"/>
      <c r="J1566" s="26"/>
      <c r="K1566" s="26"/>
    </row>
    <row r="1567">
      <c r="A1567" s="26"/>
      <c r="B1567" s="26"/>
      <c r="C1567" s="26"/>
      <c r="D1567" s="26"/>
      <c r="E1567" s="26"/>
      <c r="F1567" s="26"/>
      <c r="G1567" s="26"/>
      <c r="H1567" s="26"/>
      <c r="I1567" s="26"/>
      <c r="J1567" s="26"/>
      <c r="K1567" s="26"/>
    </row>
    <row r="1568">
      <c r="A1568" s="26"/>
      <c r="B1568" s="26"/>
      <c r="C1568" s="26"/>
      <c r="D1568" s="26"/>
      <c r="E1568" s="26"/>
      <c r="F1568" s="26"/>
      <c r="G1568" s="26"/>
      <c r="H1568" s="26"/>
      <c r="I1568" s="26"/>
      <c r="J1568" s="26"/>
      <c r="K1568" s="26"/>
    </row>
    <row r="1569">
      <c r="A1569" s="26"/>
      <c r="B1569" s="26"/>
      <c r="C1569" s="26"/>
      <c r="D1569" s="26"/>
      <c r="E1569" s="26"/>
      <c r="F1569" s="26"/>
      <c r="G1569" s="26"/>
      <c r="H1569" s="26"/>
      <c r="I1569" s="26"/>
      <c r="J1569" s="26"/>
      <c r="K1569" s="26"/>
    </row>
    <row r="1570">
      <c r="A1570" s="26"/>
      <c r="B1570" s="26"/>
      <c r="C1570" s="26"/>
      <c r="D1570" s="26"/>
      <c r="E1570" s="26"/>
      <c r="F1570" s="26"/>
      <c r="G1570" s="26"/>
      <c r="H1570" s="26"/>
      <c r="I1570" s="26"/>
      <c r="J1570" s="26"/>
      <c r="K1570" s="26"/>
    </row>
    <row r="1571">
      <c r="A1571" s="26"/>
      <c r="B1571" s="26"/>
      <c r="C1571" s="26"/>
      <c r="D1571" s="26"/>
      <c r="E1571" s="26"/>
      <c r="F1571" s="26"/>
      <c r="G1571" s="26"/>
      <c r="H1571" s="26"/>
      <c r="I1571" s="26"/>
      <c r="J1571" s="26"/>
      <c r="K1571" s="26"/>
    </row>
    <row r="1572">
      <c r="A1572" s="26"/>
      <c r="B1572" s="26"/>
      <c r="C1572" s="26"/>
      <c r="D1572" s="26"/>
      <c r="E1572" s="26"/>
      <c r="F1572" s="26"/>
      <c r="G1572" s="26"/>
      <c r="H1572" s="26"/>
      <c r="I1572" s="26"/>
      <c r="J1572" s="26"/>
      <c r="K1572" s="26"/>
    </row>
    <row r="1573">
      <c r="A1573" s="26"/>
      <c r="B1573" s="26"/>
      <c r="C1573" s="26"/>
      <c r="D1573" s="26"/>
      <c r="E1573" s="26"/>
      <c r="F1573" s="26"/>
      <c r="G1573" s="26"/>
      <c r="H1573" s="26"/>
      <c r="I1573" s="26"/>
      <c r="J1573" s="26"/>
      <c r="K1573" s="26"/>
    </row>
    <row r="1574">
      <c r="A1574" s="26"/>
      <c r="B1574" s="26"/>
      <c r="C1574" s="26"/>
      <c r="D1574" s="26"/>
      <c r="E1574" s="26"/>
      <c r="F1574" s="26"/>
      <c r="G1574" s="26"/>
      <c r="H1574" s="26"/>
      <c r="I1574" s="26"/>
      <c r="J1574" s="26"/>
      <c r="K1574" s="26"/>
    </row>
    <row r="1575">
      <c r="A1575" s="26"/>
      <c r="B1575" s="26"/>
      <c r="C1575" s="26"/>
      <c r="D1575" s="26"/>
      <c r="E1575" s="26"/>
      <c r="F1575" s="26"/>
      <c r="G1575" s="26"/>
      <c r="H1575" s="26"/>
      <c r="I1575" s="26"/>
      <c r="J1575" s="26"/>
      <c r="K1575" s="26"/>
    </row>
    <row r="1576">
      <c r="A1576" s="26"/>
      <c r="B1576" s="26"/>
      <c r="C1576" s="26"/>
      <c r="D1576" s="26"/>
      <c r="E1576" s="26"/>
      <c r="F1576" s="26"/>
      <c r="G1576" s="26"/>
      <c r="H1576" s="26"/>
      <c r="I1576" s="26"/>
      <c r="J1576" s="26"/>
      <c r="K1576" s="26"/>
    </row>
    <row r="1577">
      <c r="A1577" s="26"/>
      <c r="B1577" s="26"/>
      <c r="C1577" s="26"/>
      <c r="D1577" s="26"/>
      <c r="E1577" s="26"/>
      <c r="F1577" s="26"/>
      <c r="G1577" s="26"/>
      <c r="H1577" s="26"/>
      <c r="I1577" s="26"/>
      <c r="J1577" s="26"/>
      <c r="K1577" s="26"/>
    </row>
    <row r="1578">
      <c r="A1578" s="26"/>
      <c r="B1578" s="26"/>
      <c r="C1578" s="26"/>
      <c r="D1578" s="26"/>
      <c r="E1578" s="26"/>
      <c r="F1578" s="26"/>
      <c r="G1578" s="26"/>
      <c r="H1578" s="26"/>
      <c r="I1578" s="26"/>
      <c r="J1578" s="26"/>
      <c r="K1578" s="26"/>
    </row>
    <row r="1579">
      <c r="A1579" s="26"/>
      <c r="B1579" s="26"/>
      <c r="C1579" s="26"/>
      <c r="D1579" s="26"/>
      <c r="E1579" s="26"/>
      <c r="F1579" s="26"/>
      <c r="G1579" s="26"/>
      <c r="H1579" s="26"/>
      <c r="I1579" s="26"/>
      <c r="J1579" s="26"/>
      <c r="K1579" s="26"/>
    </row>
    <row r="1580">
      <c r="A1580" s="26"/>
      <c r="B1580" s="26"/>
      <c r="C1580" s="26"/>
      <c r="D1580" s="26"/>
      <c r="E1580" s="26"/>
      <c r="F1580" s="26"/>
      <c r="G1580" s="26"/>
      <c r="H1580" s="26"/>
      <c r="I1580" s="26"/>
      <c r="J1580" s="26"/>
      <c r="K1580" s="26"/>
    </row>
    <row r="1581">
      <c r="A1581" s="26"/>
      <c r="B1581" s="26"/>
      <c r="C1581" s="26"/>
      <c r="D1581" s="26"/>
      <c r="E1581" s="26"/>
      <c r="F1581" s="26"/>
      <c r="G1581" s="26"/>
      <c r="H1581" s="26"/>
      <c r="I1581" s="26"/>
      <c r="J1581" s="26"/>
      <c r="K1581" s="26"/>
    </row>
    <row r="1582">
      <c r="A1582" s="26"/>
      <c r="B1582" s="26"/>
      <c r="C1582" s="26"/>
      <c r="D1582" s="26"/>
      <c r="E1582" s="26"/>
      <c r="F1582" s="26"/>
      <c r="G1582" s="26"/>
      <c r="H1582" s="26"/>
      <c r="I1582" s="26"/>
      <c r="J1582" s="26"/>
      <c r="K1582" s="26"/>
    </row>
    <row r="1583">
      <c r="A1583" s="26"/>
      <c r="B1583" s="26"/>
      <c r="C1583" s="26"/>
      <c r="D1583" s="26"/>
      <c r="E1583" s="26"/>
      <c r="F1583" s="26"/>
      <c r="G1583" s="26"/>
      <c r="H1583" s="26"/>
      <c r="I1583" s="26"/>
      <c r="J1583" s="26"/>
      <c r="K1583" s="26"/>
    </row>
    <row r="1584">
      <c r="A1584" s="26"/>
      <c r="B1584" s="26"/>
      <c r="C1584" s="26"/>
      <c r="D1584" s="26"/>
      <c r="E1584" s="26"/>
      <c r="F1584" s="26"/>
      <c r="G1584" s="26"/>
      <c r="H1584" s="26"/>
      <c r="I1584" s="26"/>
      <c r="J1584" s="26"/>
      <c r="K1584" s="26"/>
    </row>
    <row r="1585">
      <c r="A1585" s="26"/>
      <c r="B1585" s="26"/>
      <c r="C1585" s="26"/>
      <c r="D1585" s="26"/>
      <c r="E1585" s="26"/>
      <c r="F1585" s="26"/>
      <c r="G1585" s="26"/>
      <c r="H1585" s="26"/>
      <c r="I1585" s="26"/>
      <c r="J1585" s="26"/>
      <c r="K1585" s="26"/>
    </row>
    <row r="1586">
      <c r="A1586" s="26"/>
      <c r="B1586" s="26"/>
      <c r="C1586" s="26"/>
      <c r="D1586" s="26"/>
      <c r="E1586" s="26"/>
      <c r="F1586" s="26"/>
      <c r="G1586" s="26"/>
      <c r="H1586" s="26"/>
      <c r="I1586" s="26"/>
      <c r="J1586" s="26"/>
      <c r="K1586" s="26"/>
    </row>
    <row r="1587">
      <c r="A1587" s="26"/>
      <c r="B1587" s="26"/>
      <c r="C1587" s="26"/>
      <c r="D1587" s="26"/>
      <c r="E1587" s="26"/>
      <c r="F1587" s="26"/>
      <c r="G1587" s="26"/>
      <c r="H1587" s="26"/>
      <c r="I1587" s="26"/>
      <c r="J1587" s="26"/>
      <c r="K1587" s="26"/>
    </row>
    <row r="1588">
      <c r="A1588" s="26"/>
      <c r="B1588" s="26"/>
      <c r="C1588" s="26"/>
      <c r="D1588" s="26"/>
      <c r="E1588" s="26"/>
      <c r="F1588" s="26"/>
      <c r="G1588" s="26"/>
      <c r="H1588" s="26"/>
      <c r="I1588" s="26"/>
      <c r="J1588" s="26"/>
      <c r="K1588" s="26"/>
    </row>
    <row r="1589">
      <c r="A1589" s="26"/>
      <c r="B1589" s="26"/>
      <c r="C1589" s="26"/>
      <c r="D1589" s="26"/>
      <c r="E1589" s="26"/>
      <c r="F1589" s="26"/>
      <c r="G1589" s="26"/>
      <c r="H1589" s="26"/>
      <c r="I1589" s="26"/>
      <c r="J1589" s="26"/>
      <c r="K1589" s="26"/>
    </row>
    <row r="1590">
      <c r="A1590" s="26"/>
      <c r="B1590" s="26"/>
      <c r="C1590" s="26"/>
      <c r="D1590" s="26"/>
      <c r="E1590" s="26"/>
      <c r="F1590" s="26"/>
      <c r="G1590" s="26"/>
      <c r="H1590" s="26"/>
      <c r="I1590" s="26"/>
      <c r="J1590" s="26"/>
      <c r="K1590" s="26"/>
    </row>
    <row r="1591">
      <c r="A1591" s="26"/>
      <c r="B1591" s="26"/>
      <c r="C1591" s="26"/>
      <c r="D1591" s="26"/>
      <c r="E1591" s="26"/>
      <c r="F1591" s="26"/>
      <c r="G1591" s="26"/>
      <c r="H1591" s="26"/>
      <c r="I1591" s="26"/>
      <c r="J1591" s="26"/>
      <c r="K1591" s="26"/>
    </row>
    <row r="1592">
      <c r="A1592" s="26"/>
      <c r="B1592" s="26"/>
      <c r="C1592" s="26"/>
      <c r="D1592" s="26"/>
      <c r="E1592" s="26"/>
      <c r="F1592" s="26"/>
      <c r="G1592" s="26"/>
      <c r="H1592" s="26"/>
      <c r="I1592" s="26"/>
      <c r="J1592" s="26"/>
      <c r="K1592" s="26"/>
    </row>
    <row r="1593">
      <c r="A1593" s="26"/>
      <c r="B1593" s="26"/>
      <c r="C1593" s="26"/>
      <c r="D1593" s="26"/>
      <c r="E1593" s="26"/>
      <c r="F1593" s="26"/>
      <c r="G1593" s="26"/>
      <c r="H1593" s="26"/>
      <c r="I1593" s="26"/>
      <c r="J1593" s="26"/>
      <c r="K1593" s="26"/>
    </row>
    <row r="1594">
      <c r="A1594" s="26"/>
      <c r="B1594" s="26"/>
      <c r="C1594" s="26"/>
      <c r="D1594" s="26"/>
      <c r="E1594" s="26"/>
      <c r="F1594" s="26"/>
      <c r="G1594" s="26"/>
      <c r="H1594" s="26"/>
      <c r="I1594" s="26"/>
      <c r="J1594" s="26"/>
      <c r="K1594" s="26"/>
    </row>
    <row r="1595">
      <c r="A1595" s="26"/>
      <c r="B1595" s="26"/>
      <c r="C1595" s="26"/>
      <c r="D1595" s="26"/>
      <c r="E1595" s="26"/>
      <c r="F1595" s="26"/>
      <c r="G1595" s="26"/>
      <c r="H1595" s="26"/>
      <c r="I1595" s="26"/>
      <c r="J1595" s="26"/>
      <c r="K1595" s="26"/>
    </row>
    <row r="1596">
      <c r="A1596" s="26"/>
      <c r="B1596" s="26"/>
      <c r="C1596" s="26"/>
      <c r="D1596" s="26"/>
      <c r="E1596" s="26"/>
      <c r="F1596" s="26"/>
      <c r="G1596" s="26"/>
      <c r="H1596" s="26"/>
      <c r="I1596" s="26"/>
      <c r="J1596" s="26"/>
      <c r="K1596"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23.0"/>
  </cols>
  <sheetData>
    <row r="1">
      <c r="A1" s="35" t="s">
        <v>15</v>
      </c>
      <c r="B1" s="36" t="s">
        <v>16</v>
      </c>
      <c r="C1" s="36" t="s">
        <v>17</v>
      </c>
      <c r="D1" s="36" t="s">
        <v>18</v>
      </c>
      <c r="E1" s="36" t="s">
        <v>19</v>
      </c>
      <c r="F1" s="36" t="s">
        <v>20</v>
      </c>
      <c r="G1" s="36" t="s">
        <v>21</v>
      </c>
      <c r="H1" s="36" t="s">
        <v>22</v>
      </c>
      <c r="I1" s="36" t="s">
        <v>23</v>
      </c>
      <c r="J1" s="36" t="s">
        <v>24</v>
      </c>
      <c r="K1" s="37" t="s">
        <v>25</v>
      </c>
    </row>
    <row r="2">
      <c r="A2" s="38" t="s">
        <v>1818</v>
      </c>
      <c r="B2" s="39" t="s">
        <v>1819</v>
      </c>
      <c r="C2" s="40" t="s">
        <v>1364</v>
      </c>
      <c r="D2" s="40" t="s">
        <v>1364</v>
      </c>
      <c r="E2" s="39">
        <v>67211.0</v>
      </c>
      <c r="F2" s="15" t="s">
        <v>29</v>
      </c>
      <c r="G2" s="15"/>
      <c r="H2" s="15"/>
      <c r="I2" s="15"/>
      <c r="J2" s="15"/>
      <c r="K2" s="16"/>
    </row>
    <row r="3">
      <c r="A3" s="38" t="s">
        <v>1659</v>
      </c>
      <c r="B3" s="39" t="s">
        <v>1658</v>
      </c>
      <c r="C3" s="40" t="s">
        <v>1364</v>
      </c>
      <c r="D3" s="40" t="s">
        <v>1364</v>
      </c>
      <c r="E3" s="39">
        <v>28258.0</v>
      </c>
      <c r="F3" s="15" t="s">
        <v>29</v>
      </c>
      <c r="G3" s="15"/>
      <c r="H3" s="15"/>
      <c r="I3" s="15"/>
      <c r="J3" s="15"/>
      <c r="K3" s="16"/>
    </row>
    <row r="4">
      <c r="A4" s="38" t="s">
        <v>1662</v>
      </c>
      <c r="B4" s="39" t="s">
        <v>1661</v>
      </c>
      <c r="C4" s="40" t="s">
        <v>1364</v>
      </c>
      <c r="D4" s="40" t="s">
        <v>1364</v>
      </c>
      <c r="E4" s="39">
        <v>4958.0</v>
      </c>
      <c r="F4" s="15" t="s">
        <v>29</v>
      </c>
      <c r="G4" s="15"/>
      <c r="H4" s="15"/>
      <c r="I4" s="15"/>
      <c r="J4" s="15"/>
      <c r="K4" s="16"/>
    </row>
    <row r="5">
      <c r="A5" s="38" t="s">
        <v>1665</v>
      </c>
      <c r="B5" s="39" t="s">
        <v>1664</v>
      </c>
      <c r="C5" s="40" t="s">
        <v>1364</v>
      </c>
      <c r="D5" s="40" t="s">
        <v>1364</v>
      </c>
      <c r="E5" s="39">
        <v>7361.0</v>
      </c>
      <c r="F5" s="15" t="s">
        <v>29</v>
      </c>
      <c r="G5" s="15"/>
      <c r="H5" s="15"/>
      <c r="I5" s="15"/>
      <c r="J5" s="15"/>
      <c r="K5" s="16"/>
    </row>
    <row r="6">
      <c r="A6" s="38" t="s">
        <v>1668</v>
      </c>
      <c r="B6" s="39" t="s">
        <v>1667</v>
      </c>
      <c r="C6" s="40" t="s">
        <v>1364</v>
      </c>
      <c r="D6" s="40" t="s">
        <v>1364</v>
      </c>
      <c r="E6" s="39">
        <v>3176.0</v>
      </c>
      <c r="F6" s="15" t="s">
        <v>29</v>
      </c>
      <c r="G6" s="15"/>
      <c r="H6" s="15"/>
      <c r="I6" s="15"/>
      <c r="J6" s="15"/>
      <c r="K6" s="16"/>
    </row>
    <row r="7">
      <c r="A7" s="38" t="s">
        <v>1820</v>
      </c>
      <c r="B7" s="39" t="s">
        <v>1821</v>
      </c>
      <c r="C7" s="40" t="s">
        <v>1364</v>
      </c>
      <c r="D7" s="40" t="s">
        <v>1364</v>
      </c>
      <c r="E7" s="39">
        <v>3814.0</v>
      </c>
      <c r="F7" s="15" t="s">
        <v>29</v>
      </c>
      <c r="G7" s="15"/>
      <c r="H7" s="15"/>
      <c r="I7" s="15"/>
      <c r="J7" s="15"/>
      <c r="K7" s="16"/>
    </row>
    <row r="8">
      <c r="A8" s="41" t="s">
        <v>1671</v>
      </c>
      <c r="B8" s="42" t="s">
        <v>1670</v>
      </c>
      <c r="C8" s="40" t="s">
        <v>1364</v>
      </c>
      <c r="D8" s="40" t="s">
        <v>1364</v>
      </c>
      <c r="E8" s="42">
        <v>2922.0</v>
      </c>
      <c r="F8" s="15" t="s">
        <v>29</v>
      </c>
      <c r="G8" s="15"/>
      <c r="H8" s="15"/>
      <c r="I8" s="15"/>
      <c r="J8" s="15"/>
      <c r="K8" s="16"/>
    </row>
    <row r="9">
      <c r="A9" s="41" t="s">
        <v>1674</v>
      </c>
      <c r="B9" s="43" t="s">
        <v>1673</v>
      </c>
      <c r="C9" s="40" t="s">
        <v>1364</v>
      </c>
      <c r="D9" s="40" t="s">
        <v>1364</v>
      </c>
      <c r="E9" s="44">
        <v>1480.0</v>
      </c>
      <c r="F9" s="15" t="s">
        <v>29</v>
      </c>
      <c r="G9" s="15"/>
      <c r="H9" s="15"/>
      <c r="I9" s="15"/>
      <c r="J9" s="15"/>
      <c r="K9" s="16"/>
    </row>
    <row r="10">
      <c r="A10" s="38" t="s">
        <v>1677</v>
      </c>
      <c r="B10" s="39" t="s">
        <v>1676</v>
      </c>
      <c r="C10" s="40" t="s">
        <v>1364</v>
      </c>
      <c r="D10" s="40" t="s">
        <v>1364</v>
      </c>
      <c r="E10" s="39">
        <v>2017.0</v>
      </c>
      <c r="F10" s="15" t="s">
        <v>29</v>
      </c>
      <c r="G10" s="15"/>
      <c r="H10" s="15"/>
      <c r="I10" s="15"/>
      <c r="J10" s="15"/>
      <c r="K10" s="16"/>
    </row>
    <row r="11">
      <c r="A11" s="38" t="s">
        <v>1693</v>
      </c>
      <c r="B11" s="39" t="s">
        <v>1692</v>
      </c>
      <c r="C11" s="40" t="s">
        <v>1364</v>
      </c>
      <c r="D11" s="40" t="s">
        <v>1364</v>
      </c>
      <c r="E11" s="39">
        <v>1330.0</v>
      </c>
      <c r="F11" s="15" t="s">
        <v>29</v>
      </c>
      <c r="G11" s="15"/>
      <c r="H11" s="15"/>
      <c r="I11" s="15"/>
      <c r="J11" s="15"/>
      <c r="K11" s="16"/>
    </row>
    <row r="12">
      <c r="A12" s="38" t="s">
        <v>1681</v>
      </c>
      <c r="B12" s="39" t="s">
        <v>1680</v>
      </c>
      <c r="C12" s="40" t="s">
        <v>1364</v>
      </c>
      <c r="D12" s="40" t="s">
        <v>1364</v>
      </c>
      <c r="E12" s="39">
        <v>3572.0</v>
      </c>
      <c r="F12" s="15" t="s">
        <v>29</v>
      </c>
    </row>
    <row r="13">
      <c r="A13" s="38" t="s">
        <v>1822</v>
      </c>
      <c r="B13" s="39" t="s">
        <v>1823</v>
      </c>
      <c r="C13" s="40" t="s">
        <v>1364</v>
      </c>
      <c r="D13" s="40" t="s">
        <v>1364</v>
      </c>
      <c r="E13" s="39">
        <v>2115.0</v>
      </c>
      <c r="F13" s="15" t="s">
        <v>29</v>
      </c>
    </row>
    <row r="14">
      <c r="A14" s="38" t="s">
        <v>1689</v>
      </c>
      <c r="B14" s="45" t="s">
        <v>1688</v>
      </c>
      <c r="C14" s="40" t="s">
        <v>1364</v>
      </c>
      <c r="D14" s="40" t="s">
        <v>1364</v>
      </c>
      <c r="E14" s="39">
        <v>2452.0</v>
      </c>
      <c r="F14" s="15" t="s">
        <v>29</v>
      </c>
      <c r="G14" s="15"/>
      <c r="H14" s="15"/>
      <c r="I14" s="15"/>
      <c r="J14" s="15"/>
      <c r="K14" s="16"/>
    </row>
    <row r="15">
      <c r="A15" s="38" t="s">
        <v>1824</v>
      </c>
      <c r="B15" s="46" t="s">
        <v>1825</v>
      </c>
      <c r="C15" s="40" t="s">
        <v>1364</v>
      </c>
      <c r="D15" s="40" t="s">
        <v>1364</v>
      </c>
      <c r="E15" s="39">
        <v>73924.0</v>
      </c>
      <c r="F15" s="15" t="s">
        <v>29</v>
      </c>
      <c r="G15" s="15"/>
      <c r="H15" s="15"/>
      <c r="I15" s="15"/>
      <c r="J15" s="15"/>
      <c r="K15" s="16"/>
    </row>
    <row r="16">
      <c r="A16" s="38" t="s">
        <v>1826</v>
      </c>
      <c r="B16" s="39" t="s">
        <v>1827</v>
      </c>
      <c r="C16" s="40" t="s">
        <v>1364</v>
      </c>
      <c r="D16" s="40" t="s">
        <v>1364</v>
      </c>
      <c r="E16" s="39">
        <v>6950.0</v>
      </c>
      <c r="F16" s="15" t="s">
        <v>29</v>
      </c>
      <c r="G16" s="15"/>
      <c r="H16" s="15"/>
      <c r="I16" s="15"/>
      <c r="J16" s="15"/>
      <c r="K16" s="16"/>
    </row>
    <row r="17">
      <c r="A17" s="38" t="s">
        <v>1828</v>
      </c>
      <c r="B17" s="47" t="s">
        <v>1829</v>
      </c>
      <c r="C17" s="40" t="s">
        <v>1364</v>
      </c>
      <c r="D17" s="40" t="s">
        <v>1364</v>
      </c>
      <c r="E17" s="39">
        <v>10000.0</v>
      </c>
      <c r="F17" s="15" t="s">
        <v>29</v>
      </c>
      <c r="G17" s="15"/>
      <c r="H17" s="15"/>
      <c r="I17" s="15"/>
      <c r="J17" s="15"/>
      <c r="K17" s="16"/>
    </row>
    <row r="18">
      <c r="A18" s="38" t="s">
        <v>1830</v>
      </c>
      <c r="B18" s="47" t="s">
        <v>1831</v>
      </c>
      <c r="C18" s="40" t="s">
        <v>1364</v>
      </c>
      <c r="D18" s="40" t="s">
        <v>1364</v>
      </c>
      <c r="E18" s="39">
        <v>9122.0</v>
      </c>
      <c r="F18" s="15" t="s">
        <v>29</v>
      </c>
      <c r="G18" s="15"/>
      <c r="H18" s="15"/>
      <c r="I18" s="15"/>
      <c r="J18" s="15"/>
      <c r="K18" s="16"/>
    </row>
    <row r="19">
      <c r="A19" s="38" t="s">
        <v>1832</v>
      </c>
      <c r="B19" s="47" t="s">
        <v>1833</v>
      </c>
      <c r="C19" s="40" t="s">
        <v>1364</v>
      </c>
      <c r="D19" s="40" t="s">
        <v>1364</v>
      </c>
      <c r="E19" s="39">
        <v>9997.0</v>
      </c>
      <c r="F19" s="15" t="s">
        <v>29</v>
      </c>
    </row>
    <row r="20">
      <c r="A20" s="48" t="s">
        <v>1834</v>
      </c>
      <c r="B20" s="49" t="s">
        <v>1835</v>
      </c>
      <c r="C20" s="40" t="s">
        <v>1364</v>
      </c>
      <c r="D20" s="40" t="s">
        <v>1364</v>
      </c>
      <c r="E20" s="40">
        <v>9966.0</v>
      </c>
      <c r="F20" s="15" t="s">
        <v>29</v>
      </c>
      <c r="G20" s="15"/>
      <c r="H20" s="15"/>
      <c r="I20" s="15"/>
      <c r="J20" s="15"/>
      <c r="K20" s="16"/>
    </row>
    <row r="21">
      <c r="A21" s="50" t="s">
        <v>1836</v>
      </c>
      <c r="B21" s="39" t="s">
        <v>1837</v>
      </c>
      <c r="C21" s="40" t="s">
        <v>1364</v>
      </c>
      <c r="D21" s="40" t="s">
        <v>1364</v>
      </c>
      <c r="E21" s="39">
        <v>3465.0</v>
      </c>
      <c r="F21" s="15" t="s">
        <v>29</v>
      </c>
    </row>
    <row r="22">
      <c r="A22" s="50" t="s">
        <v>1838</v>
      </c>
      <c r="B22" s="39" t="s">
        <v>1839</v>
      </c>
      <c r="C22" s="40" t="s">
        <v>1364</v>
      </c>
      <c r="D22" s="40" t="s">
        <v>1364</v>
      </c>
      <c r="E22" s="39">
        <v>3781.0</v>
      </c>
      <c r="F22" s="15" t="s">
        <v>29</v>
      </c>
      <c r="G22" s="15"/>
      <c r="H22" s="15"/>
      <c r="I22" s="15"/>
      <c r="J22" s="15"/>
      <c r="K22" s="16"/>
    </row>
    <row r="23">
      <c r="A23" s="50" t="s">
        <v>1840</v>
      </c>
      <c r="B23" s="39" t="s">
        <v>1841</v>
      </c>
      <c r="C23" s="40" t="s">
        <v>1364</v>
      </c>
      <c r="D23" s="40" t="s">
        <v>1364</v>
      </c>
      <c r="E23" s="39">
        <v>3017.0</v>
      </c>
      <c r="F23" s="15" t="s">
        <v>29</v>
      </c>
      <c r="G23" s="15"/>
      <c r="H23" s="15"/>
      <c r="I23" s="15"/>
      <c r="J23" s="15"/>
      <c r="K23" s="16"/>
    </row>
    <row r="24">
      <c r="A24" s="51" t="s">
        <v>1842</v>
      </c>
      <c r="B24" s="52" t="s">
        <v>1843</v>
      </c>
      <c r="C24" s="40" t="s">
        <v>1364</v>
      </c>
      <c r="D24" s="40" t="s">
        <v>1364</v>
      </c>
      <c r="E24" s="53">
        <v>539.0</v>
      </c>
      <c r="F24" s="15" t="s">
        <v>29</v>
      </c>
      <c r="G24" s="15"/>
      <c r="H24" s="15"/>
      <c r="I24" s="15"/>
      <c r="J24" s="15"/>
      <c r="K24" s="16"/>
    </row>
    <row r="25">
      <c r="A25" s="51" t="s">
        <v>1844</v>
      </c>
      <c r="B25" s="52" t="s">
        <v>1845</v>
      </c>
      <c r="C25" s="40" t="s">
        <v>1364</v>
      </c>
      <c r="D25" s="40" t="s">
        <v>1364</v>
      </c>
      <c r="E25" s="53">
        <v>1280.0</v>
      </c>
      <c r="F25" s="15" t="s">
        <v>29</v>
      </c>
      <c r="G25" s="15"/>
      <c r="H25" s="15"/>
      <c r="I25" s="15"/>
      <c r="J25" s="15"/>
      <c r="K25" s="16"/>
    </row>
    <row r="26">
      <c r="A26" s="54" t="s">
        <v>1846</v>
      </c>
      <c r="B26" s="55" t="s">
        <v>1847</v>
      </c>
      <c r="C26" s="40" t="s">
        <v>1364</v>
      </c>
      <c r="D26" s="40" t="s">
        <v>1364</v>
      </c>
      <c r="E26" s="53">
        <v>819.0</v>
      </c>
      <c r="F26" s="15" t="s">
        <v>29</v>
      </c>
      <c r="G26" s="15"/>
      <c r="H26" s="15"/>
      <c r="I26" s="15"/>
      <c r="J26" s="15"/>
      <c r="K26" s="16"/>
    </row>
    <row r="27">
      <c r="A27" s="50" t="s">
        <v>1848</v>
      </c>
      <c r="B27" s="39" t="s">
        <v>1849</v>
      </c>
      <c r="C27" s="40" t="s">
        <v>1364</v>
      </c>
      <c r="D27" s="40" t="s">
        <v>1364</v>
      </c>
      <c r="E27" s="39">
        <v>2638.0</v>
      </c>
      <c r="F27" s="15" t="s">
        <v>29</v>
      </c>
    </row>
    <row r="28">
      <c r="A28" s="50" t="s">
        <v>1850</v>
      </c>
      <c r="B28" s="39" t="s">
        <v>1851</v>
      </c>
      <c r="C28" s="40" t="s">
        <v>1364</v>
      </c>
      <c r="D28" s="40" t="s">
        <v>1364</v>
      </c>
      <c r="E28" s="39">
        <v>3893.0</v>
      </c>
      <c r="F28" s="15" t="s">
        <v>29</v>
      </c>
      <c r="G28" s="15"/>
      <c r="H28" s="15"/>
      <c r="I28" s="15"/>
      <c r="J28" s="15"/>
      <c r="K28" s="16"/>
    </row>
    <row r="29">
      <c r="A29" s="50" t="s">
        <v>1852</v>
      </c>
      <c r="B29" s="39" t="s">
        <v>1853</v>
      </c>
      <c r="C29" s="40" t="s">
        <v>1364</v>
      </c>
      <c r="D29" s="40" t="s">
        <v>1364</v>
      </c>
      <c r="E29" s="39">
        <v>3208.0</v>
      </c>
      <c r="F29" s="15" t="s">
        <v>29</v>
      </c>
      <c r="G29" s="15"/>
      <c r="H29" s="15"/>
      <c r="I29" s="15"/>
      <c r="J29" s="15"/>
      <c r="K29" s="16"/>
    </row>
    <row r="30">
      <c r="A30" s="56" t="s">
        <v>1854</v>
      </c>
      <c r="B30" s="57" t="s">
        <v>1855</v>
      </c>
      <c r="C30" s="40" t="s">
        <v>1364</v>
      </c>
      <c r="D30" s="40" t="s">
        <v>1364</v>
      </c>
      <c r="E30" s="39">
        <v>482.0</v>
      </c>
      <c r="F30" s="15" t="s">
        <v>29</v>
      </c>
      <c r="G30" s="15"/>
      <c r="H30" s="15"/>
      <c r="I30" s="15"/>
      <c r="J30" s="15"/>
      <c r="K30" s="16"/>
    </row>
    <row r="31">
      <c r="A31" s="56" t="s">
        <v>1856</v>
      </c>
      <c r="B31" s="58" t="s">
        <v>1857</v>
      </c>
      <c r="C31" s="40" t="s">
        <v>1364</v>
      </c>
      <c r="D31" s="40" t="s">
        <v>1364</v>
      </c>
      <c r="E31" s="59">
        <v>530.0</v>
      </c>
      <c r="F31" s="15" t="s">
        <v>29</v>
      </c>
      <c r="G31" s="15"/>
      <c r="H31" s="15"/>
      <c r="I31" s="15"/>
      <c r="J31" s="15"/>
      <c r="K31" s="16"/>
    </row>
    <row r="32">
      <c r="A32" s="56" t="s">
        <v>1858</v>
      </c>
      <c r="B32" s="58" t="s">
        <v>1859</v>
      </c>
      <c r="C32" s="40" t="s">
        <v>1364</v>
      </c>
      <c r="D32" s="40" t="s">
        <v>1364</v>
      </c>
      <c r="E32" s="39">
        <v>2778.0</v>
      </c>
      <c r="F32" s="15" t="s">
        <v>29</v>
      </c>
      <c r="G32" s="15"/>
      <c r="H32" s="15"/>
      <c r="I32" s="15"/>
      <c r="J32" s="15"/>
      <c r="K32" s="16"/>
    </row>
    <row r="33">
      <c r="A33" s="60"/>
      <c r="B33" s="15"/>
      <c r="C33" s="15"/>
      <c r="D33" s="15"/>
      <c r="E33" s="15"/>
      <c r="F33" s="15"/>
      <c r="G33" s="15"/>
      <c r="H33" s="15"/>
      <c r="I33" s="15"/>
      <c r="J33" s="15"/>
      <c r="K33" s="16"/>
    </row>
    <row r="34">
      <c r="A34" s="61"/>
      <c r="B34" s="15"/>
      <c r="C34" s="15"/>
      <c r="D34" s="15"/>
      <c r="E34" s="15"/>
      <c r="F34" s="15"/>
      <c r="G34" s="15"/>
      <c r="H34" s="15"/>
      <c r="I34" s="15"/>
      <c r="J34" s="15"/>
      <c r="K34" s="16"/>
    </row>
    <row r="35">
      <c r="A35" s="61"/>
      <c r="B35" s="15"/>
      <c r="C35" s="15"/>
      <c r="D35" s="15"/>
      <c r="E35" s="15"/>
      <c r="F35" s="15"/>
      <c r="G35" s="15"/>
      <c r="H35" s="15"/>
      <c r="I35" s="15"/>
      <c r="J35" s="15"/>
      <c r="K35" s="16"/>
    </row>
    <row r="36">
      <c r="A36" s="61"/>
      <c r="B36" s="15"/>
      <c r="C36" s="15"/>
      <c r="D36" s="15"/>
      <c r="E36" s="15"/>
      <c r="F36" s="15"/>
      <c r="G36" s="15"/>
      <c r="H36" s="15"/>
      <c r="I36" s="15"/>
      <c r="J36" s="15"/>
      <c r="K36" s="16"/>
    </row>
    <row r="37">
      <c r="A37" s="61"/>
      <c r="B37" s="15"/>
      <c r="C37" s="15"/>
      <c r="D37" s="15"/>
      <c r="E37" s="15"/>
      <c r="F37" s="15"/>
      <c r="G37" s="15"/>
      <c r="H37" s="15"/>
      <c r="I37" s="15"/>
      <c r="J37" s="15"/>
      <c r="K37" s="16"/>
    </row>
    <row r="38">
      <c r="A38" s="61"/>
      <c r="B38" s="15"/>
      <c r="C38" s="15"/>
      <c r="D38" s="15"/>
      <c r="E38" s="15"/>
      <c r="F38" s="15"/>
      <c r="G38" s="15"/>
      <c r="H38" s="15"/>
      <c r="I38" s="15"/>
      <c r="J38" s="15"/>
      <c r="K38" s="16"/>
    </row>
    <row r="39">
      <c r="A39" s="61"/>
      <c r="B39" s="15"/>
      <c r="C39" s="15"/>
      <c r="D39" s="15"/>
      <c r="E39" s="15"/>
      <c r="F39" s="15"/>
      <c r="G39" s="15"/>
      <c r="H39" s="15"/>
      <c r="I39" s="15"/>
      <c r="J39" s="15"/>
      <c r="K39" s="16"/>
    </row>
    <row r="40">
      <c r="A40" s="61"/>
      <c r="B40" s="15"/>
      <c r="C40" s="15"/>
      <c r="D40" s="15"/>
      <c r="E40" s="15"/>
      <c r="F40" s="15"/>
      <c r="G40" s="15"/>
      <c r="H40" s="15"/>
      <c r="I40" s="15"/>
      <c r="J40" s="15"/>
      <c r="K40" s="16"/>
    </row>
    <row r="41">
      <c r="A41" s="61"/>
      <c r="B41" s="15"/>
      <c r="C41" s="15"/>
      <c r="D41" s="15"/>
      <c r="E41" s="15"/>
      <c r="F41" s="15"/>
      <c r="G41" s="15"/>
      <c r="H41" s="15"/>
      <c r="I41" s="15"/>
      <c r="J41" s="15"/>
      <c r="K41" s="16"/>
    </row>
    <row r="42">
      <c r="A42" s="61"/>
      <c r="B42" s="15"/>
      <c r="C42" s="15"/>
      <c r="D42" s="15"/>
      <c r="E42" s="15"/>
      <c r="F42" s="15"/>
      <c r="G42" s="15"/>
      <c r="H42" s="15"/>
      <c r="I42" s="15"/>
      <c r="J42" s="15"/>
      <c r="K42" s="16"/>
    </row>
    <row r="43">
      <c r="A43" s="61"/>
      <c r="B43" s="15"/>
      <c r="C43" s="15"/>
      <c r="D43" s="15"/>
      <c r="E43" s="15"/>
      <c r="F43" s="15"/>
      <c r="G43" s="15"/>
      <c r="H43" s="15"/>
      <c r="I43" s="15"/>
      <c r="J43" s="15"/>
      <c r="K43" s="16"/>
    </row>
    <row r="44">
      <c r="A44" s="61"/>
      <c r="B44" s="15"/>
      <c r="C44" s="15"/>
      <c r="D44" s="15"/>
      <c r="E44" s="15"/>
      <c r="F44" s="15"/>
      <c r="G44" s="15"/>
      <c r="H44" s="15"/>
      <c r="I44" s="15"/>
      <c r="J44" s="15"/>
      <c r="K44" s="16"/>
    </row>
    <row r="45">
      <c r="A45" s="61"/>
      <c r="B45" s="15"/>
      <c r="C45" s="15"/>
      <c r="D45" s="15"/>
      <c r="E45" s="15"/>
      <c r="F45" s="15"/>
      <c r="G45" s="15"/>
      <c r="H45" s="15"/>
      <c r="I45" s="15"/>
      <c r="J45" s="15"/>
      <c r="K45" s="16"/>
    </row>
    <row r="46">
      <c r="A46" s="61"/>
      <c r="B46" s="15"/>
      <c r="C46" s="15"/>
      <c r="D46" s="15"/>
      <c r="E46" s="15"/>
      <c r="F46" s="15"/>
      <c r="G46" s="15"/>
      <c r="H46" s="15"/>
      <c r="I46" s="15"/>
      <c r="J46" s="15"/>
      <c r="K46" s="16"/>
    </row>
    <row r="47">
      <c r="A47" s="61"/>
      <c r="B47" s="15"/>
      <c r="C47" s="15"/>
      <c r="D47" s="15"/>
      <c r="E47" s="15"/>
      <c r="F47" s="15"/>
      <c r="G47" s="15"/>
      <c r="H47" s="15"/>
      <c r="I47" s="15"/>
      <c r="J47" s="15"/>
      <c r="K47" s="16"/>
    </row>
    <row r="48">
      <c r="A48" s="61"/>
      <c r="B48" s="15"/>
      <c r="C48" s="15"/>
      <c r="D48" s="15"/>
      <c r="E48" s="15"/>
      <c r="F48" s="15"/>
      <c r="G48" s="15"/>
      <c r="H48" s="15"/>
      <c r="I48" s="15"/>
      <c r="J48" s="15"/>
      <c r="K48" s="16"/>
    </row>
    <row r="49">
      <c r="A49" s="61"/>
      <c r="B49" s="15"/>
      <c r="C49" s="15"/>
      <c r="D49" s="15"/>
      <c r="E49" s="15"/>
      <c r="F49" s="15"/>
      <c r="G49" s="15"/>
      <c r="H49" s="15"/>
      <c r="I49" s="15"/>
      <c r="J49" s="15"/>
      <c r="K49" s="16"/>
    </row>
    <row r="50">
      <c r="A50" s="61"/>
      <c r="B50" s="15"/>
      <c r="C50" s="15"/>
      <c r="D50" s="15"/>
      <c r="E50" s="15"/>
      <c r="F50" s="15"/>
      <c r="G50" s="15"/>
      <c r="H50" s="15"/>
      <c r="I50" s="15"/>
      <c r="J50" s="15"/>
      <c r="K50" s="16"/>
    </row>
    <row r="51">
      <c r="A51" s="61"/>
      <c r="B51" s="15"/>
      <c r="C51" s="15"/>
      <c r="D51" s="15"/>
      <c r="E51" s="15"/>
      <c r="F51" s="15"/>
      <c r="G51" s="15"/>
      <c r="H51" s="15"/>
      <c r="I51" s="15"/>
      <c r="J51" s="15"/>
      <c r="K51" s="16"/>
    </row>
    <row r="52">
      <c r="A52" s="61"/>
      <c r="B52" s="15"/>
      <c r="C52" s="15"/>
      <c r="D52" s="15"/>
      <c r="E52" s="15"/>
      <c r="F52" s="15"/>
      <c r="G52" s="15"/>
      <c r="H52" s="15"/>
      <c r="I52" s="15"/>
      <c r="J52" s="15"/>
      <c r="K52" s="16"/>
    </row>
    <row r="53">
      <c r="A53" s="61"/>
      <c r="B53" s="15"/>
      <c r="C53" s="15"/>
      <c r="D53" s="15"/>
      <c r="E53" s="15"/>
      <c r="F53" s="15"/>
      <c r="G53" s="15"/>
      <c r="H53" s="15"/>
      <c r="I53" s="15"/>
      <c r="J53" s="15"/>
      <c r="K53" s="16"/>
    </row>
    <row r="54">
      <c r="A54" s="61"/>
      <c r="B54" s="15"/>
      <c r="C54" s="15"/>
      <c r="D54" s="15"/>
      <c r="E54" s="15"/>
      <c r="F54" s="15"/>
      <c r="G54" s="15"/>
      <c r="H54" s="15"/>
      <c r="I54" s="15"/>
      <c r="J54" s="15"/>
      <c r="K54" s="16"/>
    </row>
    <row r="55">
      <c r="A55" s="61"/>
      <c r="B55" s="15"/>
      <c r="C55" s="15"/>
      <c r="D55" s="15"/>
      <c r="E55" s="15"/>
      <c r="F55" s="15"/>
      <c r="G55" s="15"/>
      <c r="H55" s="15"/>
      <c r="I55" s="15"/>
      <c r="J55" s="15"/>
      <c r="K55" s="16"/>
    </row>
    <row r="56">
      <c r="A56" s="61"/>
      <c r="B56" s="15"/>
      <c r="C56" s="15"/>
      <c r="D56" s="15"/>
      <c r="E56" s="15"/>
      <c r="F56" s="15"/>
      <c r="G56" s="15"/>
      <c r="H56" s="15"/>
      <c r="I56" s="15"/>
      <c r="J56" s="15"/>
      <c r="K56" s="16"/>
    </row>
    <row r="57">
      <c r="A57" s="61"/>
      <c r="B57" s="15"/>
      <c r="C57" s="15"/>
      <c r="D57" s="15"/>
      <c r="E57" s="15"/>
      <c r="F57" s="15"/>
      <c r="G57" s="15"/>
      <c r="H57" s="15"/>
      <c r="I57" s="15"/>
      <c r="J57" s="15"/>
      <c r="K57" s="16"/>
    </row>
    <row r="58">
      <c r="A58" s="61"/>
      <c r="B58" s="15"/>
      <c r="C58" s="15"/>
      <c r="D58" s="15"/>
      <c r="E58" s="15"/>
      <c r="F58" s="15"/>
      <c r="G58" s="15"/>
      <c r="H58" s="15"/>
      <c r="I58" s="15"/>
      <c r="J58" s="15"/>
      <c r="K58" s="16"/>
    </row>
    <row r="59">
      <c r="A59" s="61"/>
      <c r="B59" s="15"/>
      <c r="C59" s="15"/>
      <c r="D59" s="15"/>
      <c r="E59" s="15"/>
      <c r="F59" s="15"/>
      <c r="G59" s="15"/>
      <c r="H59" s="15"/>
      <c r="I59" s="15"/>
      <c r="J59" s="15"/>
      <c r="K59" s="16"/>
    </row>
    <row r="60">
      <c r="A60" s="61"/>
      <c r="B60" s="15"/>
      <c r="C60" s="15"/>
      <c r="D60" s="15"/>
      <c r="E60" s="15"/>
      <c r="F60" s="15"/>
      <c r="G60" s="15"/>
      <c r="H60" s="15"/>
      <c r="I60" s="15"/>
      <c r="J60" s="15"/>
      <c r="K60" s="16"/>
    </row>
    <row r="61">
      <c r="A61" s="61"/>
      <c r="B61" s="15"/>
      <c r="C61" s="15"/>
      <c r="D61" s="15"/>
      <c r="E61" s="15"/>
      <c r="F61" s="15"/>
      <c r="G61" s="15"/>
      <c r="H61" s="15"/>
      <c r="I61" s="15"/>
      <c r="J61" s="15"/>
      <c r="K61" s="16"/>
    </row>
    <row r="62">
      <c r="A62" s="61"/>
      <c r="B62" s="15"/>
      <c r="C62" s="15"/>
      <c r="D62" s="15"/>
      <c r="E62" s="15"/>
      <c r="F62" s="15"/>
      <c r="G62" s="15"/>
      <c r="H62" s="15"/>
      <c r="I62" s="15"/>
      <c r="J62" s="15"/>
      <c r="K62" s="16"/>
    </row>
    <row r="63">
      <c r="A63" s="61"/>
      <c r="B63" s="15"/>
      <c r="C63" s="15"/>
      <c r="D63" s="15"/>
      <c r="E63" s="15"/>
      <c r="F63" s="15"/>
      <c r="G63" s="15"/>
      <c r="H63" s="15"/>
      <c r="I63" s="15"/>
      <c r="J63" s="15"/>
      <c r="K63" s="16"/>
    </row>
    <row r="64">
      <c r="A64" s="61"/>
      <c r="B64" s="15"/>
      <c r="C64" s="15"/>
      <c r="D64" s="15"/>
      <c r="E64" s="15"/>
      <c r="F64" s="15"/>
      <c r="G64" s="15"/>
      <c r="H64" s="15"/>
      <c r="I64" s="15"/>
      <c r="J64" s="15"/>
      <c r="K64" s="16"/>
    </row>
    <row r="65">
      <c r="A65" s="61"/>
      <c r="B65" s="15"/>
      <c r="C65" s="15"/>
      <c r="D65" s="15"/>
      <c r="E65" s="15"/>
      <c r="F65" s="15"/>
      <c r="G65" s="15"/>
      <c r="H65" s="15"/>
      <c r="I65" s="15"/>
      <c r="J65" s="15"/>
      <c r="K65" s="16"/>
    </row>
    <row r="66">
      <c r="A66" s="61"/>
      <c r="B66" s="15"/>
      <c r="C66" s="15"/>
      <c r="D66" s="15"/>
      <c r="E66" s="15"/>
      <c r="F66" s="15"/>
      <c r="G66" s="15"/>
      <c r="H66" s="15"/>
      <c r="I66" s="15"/>
      <c r="J66" s="15"/>
      <c r="K66" s="16"/>
    </row>
    <row r="67">
      <c r="A67" s="61"/>
      <c r="B67" s="15"/>
      <c r="C67" s="15"/>
      <c r="D67" s="15"/>
      <c r="E67" s="15"/>
      <c r="F67" s="15"/>
      <c r="G67" s="15"/>
      <c r="H67" s="15"/>
      <c r="I67" s="15"/>
      <c r="J67" s="15"/>
      <c r="K67" s="16"/>
    </row>
    <row r="68">
      <c r="A68" s="61"/>
      <c r="B68" s="15"/>
      <c r="C68" s="15"/>
      <c r="D68" s="15"/>
      <c r="E68" s="15"/>
      <c r="F68" s="15"/>
      <c r="G68" s="15"/>
      <c r="H68" s="15"/>
      <c r="I68" s="15"/>
      <c r="J68" s="15"/>
      <c r="K68" s="16"/>
    </row>
    <row r="69">
      <c r="A69" s="61"/>
      <c r="B69" s="15"/>
      <c r="C69" s="15"/>
      <c r="D69" s="15"/>
      <c r="E69" s="15"/>
      <c r="F69" s="15"/>
      <c r="G69" s="15"/>
      <c r="H69" s="15"/>
      <c r="I69" s="15"/>
      <c r="J69" s="15"/>
      <c r="K69" s="16"/>
    </row>
    <row r="70">
      <c r="A70" s="61"/>
      <c r="B70" s="15"/>
      <c r="C70" s="15"/>
      <c r="D70" s="15"/>
      <c r="E70" s="15"/>
      <c r="F70" s="15"/>
      <c r="G70" s="15"/>
      <c r="H70" s="15"/>
      <c r="I70" s="15"/>
      <c r="J70" s="15"/>
      <c r="K70" s="16"/>
    </row>
    <row r="71">
      <c r="A71" s="61"/>
      <c r="B71" s="15"/>
      <c r="C71" s="15"/>
      <c r="D71" s="15"/>
      <c r="E71" s="15"/>
      <c r="F71" s="15"/>
      <c r="G71" s="15"/>
      <c r="H71" s="15"/>
      <c r="I71" s="15"/>
      <c r="J71" s="15"/>
      <c r="K71" s="16"/>
    </row>
    <row r="72">
      <c r="A72" s="61"/>
      <c r="B72" s="15"/>
      <c r="C72" s="15"/>
      <c r="D72" s="15"/>
      <c r="E72" s="15"/>
      <c r="F72" s="15"/>
      <c r="G72" s="15"/>
      <c r="H72" s="15"/>
      <c r="I72" s="15"/>
      <c r="J72" s="15"/>
      <c r="K72" s="16"/>
    </row>
    <row r="73">
      <c r="A73" s="61"/>
      <c r="B73" s="15"/>
      <c r="C73" s="15"/>
      <c r="D73" s="15"/>
      <c r="E73" s="15"/>
      <c r="F73" s="15"/>
      <c r="G73" s="15"/>
      <c r="H73" s="15"/>
      <c r="I73" s="15"/>
      <c r="J73" s="15"/>
      <c r="K73" s="16"/>
    </row>
    <row r="74">
      <c r="A74" s="61"/>
      <c r="B74" s="15"/>
      <c r="C74" s="15"/>
      <c r="D74" s="15"/>
      <c r="E74" s="15"/>
      <c r="F74" s="15"/>
      <c r="G74" s="15"/>
      <c r="H74" s="15"/>
      <c r="I74" s="15"/>
      <c r="J74" s="15"/>
      <c r="K74" s="16"/>
    </row>
    <row r="75">
      <c r="A75" s="61"/>
      <c r="B75" s="15"/>
      <c r="C75" s="15"/>
      <c r="D75" s="15"/>
      <c r="E75" s="15"/>
      <c r="F75" s="15"/>
      <c r="G75" s="15"/>
      <c r="H75" s="15"/>
      <c r="I75" s="15"/>
      <c r="J75" s="15"/>
      <c r="K75" s="16"/>
    </row>
    <row r="76">
      <c r="A76" s="61"/>
      <c r="B76" s="15"/>
      <c r="C76" s="15"/>
      <c r="D76" s="15"/>
      <c r="E76" s="15"/>
      <c r="F76" s="15"/>
      <c r="G76" s="15"/>
      <c r="H76" s="15"/>
      <c r="I76" s="15"/>
      <c r="J76" s="15"/>
      <c r="K76" s="16"/>
    </row>
    <row r="77">
      <c r="A77" s="61"/>
      <c r="B77" s="15"/>
      <c r="C77" s="15"/>
      <c r="D77" s="15"/>
      <c r="E77" s="15"/>
      <c r="F77" s="15"/>
      <c r="G77" s="15"/>
      <c r="H77" s="15"/>
      <c r="I77" s="15"/>
      <c r="J77" s="15"/>
      <c r="K77" s="16"/>
    </row>
    <row r="78">
      <c r="A78" s="61"/>
      <c r="B78" s="15"/>
      <c r="C78" s="15"/>
      <c r="D78" s="15"/>
      <c r="E78" s="15"/>
      <c r="F78" s="15"/>
      <c r="G78" s="15"/>
      <c r="H78" s="15"/>
      <c r="I78" s="15"/>
      <c r="J78" s="15"/>
      <c r="K78" s="16"/>
    </row>
    <row r="79">
      <c r="A79" s="61"/>
      <c r="B79" s="15"/>
      <c r="C79" s="15"/>
      <c r="D79" s="15"/>
      <c r="E79" s="15"/>
      <c r="F79" s="15"/>
      <c r="G79" s="15"/>
      <c r="H79" s="15"/>
      <c r="I79" s="15"/>
      <c r="J79" s="15"/>
      <c r="K79" s="16"/>
    </row>
    <row r="80">
      <c r="A80" s="61"/>
      <c r="B80" s="15"/>
      <c r="C80" s="15"/>
      <c r="D80" s="15"/>
      <c r="E80" s="15"/>
      <c r="F80" s="15"/>
      <c r="G80" s="15"/>
      <c r="H80" s="15"/>
      <c r="I80" s="15"/>
      <c r="J80" s="15"/>
      <c r="K80" s="16"/>
    </row>
    <row r="81">
      <c r="A81" s="61"/>
      <c r="B81" s="15"/>
      <c r="C81" s="15"/>
      <c r="D81" s="15"/>
      <c r="E81" s="15"/>
      <c r="F81" s="15"/>
      <c r="G81" s="15"/>
      <c r="H81" s="15"/>
      <c r="I81" s="15"/>
      <c r="J81" s="15"/>
      <c r="K81" s="16"/>
    </row>
    <row r="82">
      <c r="A82" s="61"/>
      <c r="B82" s="15"/>
      <c r="C82" s="15"/>
      <c r="D82" s="15"/>
      <c r="E82" s="15"/>
      <c r="F82" s="15"/>
      <c r="G82" s="15"/>
      <c r="H82" s="15"/>
      <c r="I82" s="15"/>
      <c r="J82" s="15"/>
      <c r="K82" s="16"/>
    </row>
    <row r="83">
      <c r="A83" s="61"/>
      <c r="B83" s="15"/>
      <c r="C83" s="15"/>
      <c r="D83" s="15"/>
      <c r="E83" s="15"/>
      <c r="F83" s="15"/>
      <c r="G83" s="15"/>
      <c r="H83" s="15"/>
      <c r="I83" s="15"/>
      <c r="J83" s="15"/>
      <c r="K83" s="16"/>
    </row>
    <row r="84">
      <c r="A84" s="61"/>
      <c r="B84" s="15"/>
      <c r="C84" s="15"/>
      <c r="D84" s="15"/>
      <c r="E84" s="15"/>
      <c r="F84" s="15"/>
      <c r="G84" s="15"/>
      <c r="H84" s="15"/>
      <c r="I84" s="15"/>
      <c r="J84" s="15"/>
      <c r="K84" s="16"/>
    </row>
    <row r="85">
      <c r="A85" s="61"/>
      <c r="B85" s="15"/>
      <c r="C85" s="15"/>
      <c r="D85" s="15"/>
      <c r="E85" s="15"/>
      <c r="F85" s="15"/>
      <c r="G85" s="15"/>
      <c r="H85" s="15"/>
      <c r="I85" s="15"/>
      <c r="J85" s="15"/>
      <c r="K85" s="16"/>
    </row>
    <row r="86">
      <c r="A86" s="61"/>
      <c r="B86" s="15"/>
      <c r="C86" s="15"/>
      <c r="D86" s="15"/>
      <c r="E86" s="15"/>
      <c r="F86" s="15"/>
      <c r="G86" s="15"/>
      <c r="H86" s="15"/>
      <c r="I86" s="15"/>
      <c r="J86" s="15"/>
      <c r="K86" s="16"/>
    </row>
    <row r="87">
      <c r="A87" s="61"/>
      <c r="B87" s="15"/>
      <c r="C87" s="15"/>
      <c r="D87" s="15"/>
      <c r="E87" s="15"/>
      <c r="F87" s="15"/>
      <c r="G87" s="15"/>
      <c r="H87" s="15"/>
      <c r="I87" s="15"/>
      <c r="J87" s="15"/>
      <c r="K87" s="16"/>
    </row>
    <row r="88">
      <c r="A88" s="61"/>
      <c r="B88" s="15"/>
      <c r="C88" s="15"/>
      <c r="D88" s="15"/>
      <c r="E88" s="15"/>
      <c r="F88" s="15"/>
      <c r="G88" s="15"/>
      <c r="H88" s="15"/>
      <c r="I88" s="15"/>
      <c r="J88" s="15"/>
      <c r="K88" s="16"/>
    </row>
    <row r="89">
      <c r="A89" s="61"/>
      <c r="B89" s="15"/>
      <c r="C89" s="15"/>
      <c r="D89" s="15"/>
      <c r="E89" s="15"/>
      <c r="F89" s="15"/>
      <c r="G89" s="15"/>
      <c r="H89" s="15"/>
      <c r="I89" s="15"/>
      <c r="J89" s="15"/>
      <c r="K89" s="16"/>
    </row>
    <row r="90">
      <c r="A90" s="61"/>
      <c r="B90" s="15"/>
      <c r="C90" s="15"/>
      <c r="D90" s="15"/>
      <c r="E90" s="15"/>
      <c r="F90" s="15"/>
      <c r="G90" s="15"/>
      <c r="H90" s="15"/>
      <c r="I90" s="15"/>
      <c r="J90" s="15"/>
      <c r="K90" s="16"/>
    </row>
    <row r="91">
      <c r="A91" s="61"/>
      <c r="B91" s="15"/>
      <c r="C91" s="15"/>
      <c r="D91" s="15"/>
      <c r="E91" s="15"/>
      <c r="F91" s="15"/>
      <c r="G91" s="15"/>
      <c r="H91" s="15"/>
      <c r="I91" s="15"/>
      <c r="J91" s="15"/>
      <c r="K91" s="16"/>
    </row>
    <row r="92">
      <c r="A92" s="61"/>
      <c r="B92" s="15"/>
      <c r="C92" s="15"/>
      <c r="D92" s="15"/>
      <c r="E92" s="15"/>
      <c r="F92" s="15"/>
      <c r="G92" s="15"/>
      <c r="H92" s="15"/>
      <c r="I92" s="15"/>
      <c r="J92" s="15"/>
      <c r="K92" s="16"/>
    </row>
    <row r="93">
      <c r="A93" s="61"/>
      <c r="B93" s="15"/>
      <c r="C93" s="15"/>
      <c r="D93" s="15"/>
      <c r="E93" s="15"/>
      <c r="F93" s="15"/>
      <c r="G93" s="15"/>
      <c r="H93" s="15"/>
      <c r="I93" s="15"/>
      <c r="J93" s="15"/>
      <c r="K93" s="16"/>
    </row>
    <row r="94">
      <c r="A94" s="61"/>
      <c r="B94" s="15"/>
      <c r="C94" s="15"/>
      <c r="D94" s="15"/>
      <c r="E94" s="15"/>
      <c r="F94" s="15"/>
      <c r="G94" s="15"/>
      <c r="H94" s="15"/>
      <c r="I94" s="15"/>
      <c r="J94" s="15"/>
      <c r="K94" s="16"/>
    </row>
    <row r="95">
      <c r="A95" s="61"/>
      <c r="B95" s="15"/>
      <c r="C95" s="15"/>
      <c r="D95" s="15"/>
      <c r="E95" s="15"/>
      <c r="F95" s="15"/>
      <c r="G95" s="15"/>
      <c r="H95" s="15"/>
      <c r="I95" s="15"/>
      <c r="J95" s="15"/>
      <c r="K95" s="16"/>
    </row>
    <row r="96">
      <c r="A96" s="61"/>
      <c r="B96" s="15"/>
      <c r="C96" s="15"/>
      <c r="D96" s="15"/>
      <c r="E96" s="15"/>
      <c r="F96" s="15"/>
      <c r="G96" s="15"/>
      <c r="H96" s="15"/>
      <c r="I96" s="15"/>
      <c r="J96" s="15"/>
      <c r="K96" s="16"/>
    </row>
    <row r="97">
      <c r="A97" s="61"/>
      <c r="B97" s="15"/>
      <c r="C97" s="15"/>
      <c r="D97" s="15"/>
      <c r="E97" s="15"/>
      <c r="F97" s="15"/>
      <c r="G97" s="15"/>
      <c r="H97" s="15"/>
      <c r="I97" s="15"/>
      <c r="J97" s="15"/>
      <c r="K97" s="16"/>
    </row>
    <row r="98">
      <c r="A98" s="61"/>
      <c r="B98" s="15"/>
      <c r="C98" s="15"/>
      <c r="D98" s="15"/>
      <c r="E98" s="15"/>
      <c r="F98" s="15"/>
      <c r="G98" s="15"/>
      <c r="H98" s="15"/>
      <c r="I98" s="15"/>
      <c r="J98" s="15"/>
      <c r="K98" s="16"/>
    </row>
    <row r="99">
      <c r="A99" s="61"/>
      <c r="B99" s="15"/>
      <c r="C99" s="15"/>
      <c r="D99" s="15"/>
      <c r="E99" s="15"/>
      <c r="F99" s="15"/>
      <c r="G99" s="15"/>
      <c r="H99" s="15"/>
      <c r="I99" s="15"/>
      <c r="J99" s="15"/>
      <c r="K99" s="16"/>
    </row>
    <row r="100">
      <c r="A100" s="61"/>
      <c r="B100" s="15"/>
      <c r="C100" s="15"/>
      <c r="D100" s="15"/>
      <c r="E100" s="15"/>
      <c r="F100" s="15"/>
      <c r="G100" s="15"/>
      <c r="H100" s="15"/>
      <c r="I100" s="15"/>
      <c r="J100" s="15"/>
      <c r="K100" s="16"/>
    </row>
    <row r="101">
      <c r="A101" s="61"/>
      <c r="B101" s="15"/>
      <c r="C101" s="15"/>
      <c r="D101" s="15"/>
      <c r="E101" s="15"/>
      <c r="F101" s="15"/>
      <c r="G101" s="15"/>
      <c r="H101" s="15"/>
      <c r="I101" s="15"/>
      <c r="J101" s="15"/>
      <c r="K101" s="16"/>
    </row>
    <row r="102">
      <c r="A102" s="61"/>
      <c r="B102" s="15"/>
      <c r="C102" s="15"/>
      <c r="D102" s="15"/>
      <c r="E102" s="15"/>
      <c r="F102" s="15"/>
      <c r="G102" s="15"/>
      <c r="H102" s="15"/>
      <c r="I102" s="15"/>
      <c r="J102" s="15"/>
      <c r="K102" s="16"/>
    </row>
    <row r="103">
      <c r="A103" s="61"/>
      <c r="B103" s="15"/>
      <c r="C103" s="15"/>
      <c r="D103" s="15"/>
      <c r="E103" s="15"/>
      <c r="F103" s="15"/>
      <c r="G103" s="15"/>
      <c r="H103" s="15"/>
      <c r="I103" s="15"/>
      <c r="J103" s="15"/>
      <c r="K103" s="16"/>
    </row>
    <row r="104">
      <c r="A104" s="61"/>
      <c r="B104" s="15"/>
      <c r="C104" s="15"/>
      <c r="D104" s="15"/>
      <c r="E104" s="15"/>
      <c r="F104" s="15"/>
      <c r="G104" s="15"/>
      <c r="H104" s="15"/>
      <c r="I104" s="15"/>
      <c r="J104" s="15"/>
      <c r="K104" s="16"/>
    </row>
    <row r="105">
      <c r="A105" s="61"/>
      <c r="B105" s="15"/>
      <c r="C105" s="15"/>
      <c r="D105" s="15"/>
      <c r="E105" s="15"/>
      <c r="F105" s="15"/>
      <c r="G105" s="15"/>
      <c r="H105" s="15"/>
      <c r="I105" s="15"/>
      <c r="J105" s="15"/>
      <c r="K105" s="16"/>
    </row>
    <row r="106">
      <c r="A106" s="61"/>
      <c r="B106" s="15"/>
      <c r="C106" s="15"/>
      <c r="D106" s="15"/>
      <c r="E106" s="15"/>
      <c r="F106" s="15"/>
      <c r="G106" s="15"/>
      <c r="H106" s="15"/>
      <c r="I106" s="15"/>
      <c r="J106" s="15"/>
      <c r="K106" s="16"/>
    </row>
    <row r="107">
      <c r="A107" s="61"/>
      <c r="B107" s="15"/>
      <c r="C107" s="15"/>
      <c r="D107" s="15"/>
      <c r="E107" s="15"/>
      <c r="F107" s="15"/>
      <c r="G107" s="15"/>
      <c r="H107" s="15"/>
      <c r="I107" s="15"/>
      <c r="J107" s="15"/>
      <c r="K107" s="16"/>
    </row>
    <row r="108">
      <c r="A108" s="61"/>
      <c r="B108" s="15"/>
      <c r="C108" s="15"/>
      <c r="D108" s="15"/>
      <c r="E108" s="15"/>
      <c r="F108" s="15"/>
      <c r="G108" s="15"/>
      <c r="H108" s="15"/>
      <c r="I108" s="15"/>
      <c r="J108" s="15"/>
      <c r="K108" s="16"/>
    </row>
    <row r="109">
      <c r="A109" s="61"/>
      <c r="B109" s="15"/>
      <c r="C109" s="15"/>
      <c r="D109" s="15"/>
      <c r="E109" s="15"/>
      <c r="F109" s="15"/>
      <c r="G109" s="15"/>
      <c r="H109" s="15"/>
      <c r="I109" s="15"/>
      <c r="J109" s="15"/>
      <c r="K109" s="16"/>
    </row>
    <row r="110">
      <c r="A110" s="61"/>
      <c r="B110" s="15"/>
      <c r="C110" s="15"/>
      <c r="D110" s="15"/>
      <c r="E110" s="15"/>
      <c r="F110" s="15"/>
      <c r="G110" s="15"/>
      <c r="H110" s="15"/>
      <c r="I110" s="15"/>
      <c r="J110" s="15"/>
      <c r="K110" s="16"/>
    </row>
    <row r="111">
      <c r="A111" s="61"/>
      <c r="B111" s="15"/>
      <c r="C111" s="15"/>
      <c r="D111" s="15"/>
      <c r="E111" s="15"/>
      <c r="F111" s="15"/>
      <c r="G111" s="15"/>
      <c r="H111" s="15"/>
      <c r="I111" s="15"/>
      <c r="J111" s="15"/>
      <c r="K111" s="16"/>
    </row>
    <row r="112">
      <c r="A112" s="61"/>
      <c r="B112" s="15"/>
      <c r="C112" s="15"/>
      <c r="D112" s="15"/>
      <c r="E112" s="15"/>
      <c r="F112" s="15"/>
      <c r="G112" s="15"/>
      <c r="H112" s="15"/>
      <c r="I112" s="15"/>
      <c r="J112" s="15"/>
      <c r="K112" s="16"/>
    </row>
    <row r="113">
      <c r="A113" s="61"/>
      <c r="B113" s="15"/>
      <c r="C113" s="15"/>
      <c r="D113" s="15"/>
      <c r="E113" s="15"/>
      <c r="F113" s="15"/>
      <c r="G113" s="15"/>
      <c r="H113" s="15"/>
      <c r="I113" s="15"/>
      <c r="J113" s="15"/>
      <c r="K113" s="16"/>
    </row>
    <row r="114">
      <c r="A114" s="61"/>
      <c r="B114" s="15"/>
      <c r="C114" s="15"/>
      <c r="D114" s="15"/>
      <c r="E114" s="15"/>
      <c r="F114" s="15"/>
      <c r="G114" s="15"/>
      <c r="H114" s="15"/>
      <c r="I114" s="15"/>
      <c r="J114" s="15"/>
      <c r="K114" s="16"/>
    </row>
    <row r="115">
      <c r="A115" s="61"/>
      <c r="B115" s="15"/>
      <c r="C115" s="15"/>
      <c r="D115" s="15"/>
      <c r="E115" s="15"/>
      <c r="F115" s="15"/>
      <c r="G115" s="15"/>
      <c r="H115" s="15"/>
      <c r="I115" s="15"/>
      <c r="J115" s="15"/>
      <c r="K115" s="16"/>
    </row>
    <row r="116">
      <c r="A116" s="61"/>
      <c r="B116" s="15"/>
      <c r="C116" s="15"/>
      <c r="D116" s="15"/>
      <c r="E116" s="15"/>
      <c r="F116" s="15"/>
      <c r="G116" s="15"/>
      <c r="H116" s="15"/>
      <c r="I116" s="15"/>
      <c r="J116" s="15"/>
      <c r="K116" s="16"/>
    </row>
    <row r="117">
      <c r="A117" s="61"/>
      <c r="B117" s="15"/>
      <c r="C117" s="15"/>
      <c r="D117" s="15"/>
      <c r="E117" s="15"/>
      <c r="F117" s="15"/>
      <c r="G117" s="15"/>
      <c r="H117" s="15"/>
      <c r="I117" s="15"/>
      <c r="J117" s="15"/>
      <c r="K117" s="16"/>
    </row>
    <row r="118">
      <c r="A118" s="61"/>
      <c r="B118" s="15"/>
      <c r="C118" s="15"/>
      <c r="D118" s="15"/>
      <c r="E118" s="15"/>
      <c r="F118" s="15"/>
      <c r="G118" s="15"/>
      <c r="H118" s="15"/>
      <c r="I118" s="15"/>
      <c r="J118" s="15"/>
      <c r="K118" s="16"/>
    </row>
    <row r="119">
      <c r="A119" s="61"/>
      <c r="B119" s="15"/>
      <c r="C119" s="15"/>
      <c r="D119" s="15"/>
      <c r="E119" s="15"/>
      <c r="F119" s="15"/>
      <c r="G119" s="15"/>
      <c r="H119" s="15"/>
      <c r="I119" s="15"/>
      <c r="J119" s="15"/>
      <c r="K119" s="16"/>
    </row>
    <row r="120">
      <c r="A120" s="61"/>
      <c r="B120" s="15"/>
      <c r="C120" s="15"/>
      <c r="D120" s="15"/>
      <c r="E120" s="15"/>
      <c r="F120" s="15"/>
      <c r="G120" s="15"/>
      <c r="H120" s="15"/>
      <c r="I120" s="15"/>
      <c r="J120" s="15"/>
      <c r="K120" s="16"/>
    </row>
    <row r="121">
      <c r="A121" s="61"/>
      <c r="B121" s="15"/>
      <c r="C121" s="15"/>
      <c r="D121" s="15"/>
      <c r="E121" s="15"/>
      <c r="F121" s="15"/>
      <c r="G121" s="15"/>
      <c r="H121" s="15"/>
      <c r="I121" s="15"/>
      <c r="J121" s="15"/>
      <c r="K121" s="16"/>
    </row>
    <row r="122">
      <c r="A122" s="61"/>
      <c r="B122" s="15"/>
      <c r="C122" s="15"/>
      <c r="D122" s="15"/>
      <c r="E122" s="15"/>
      <c r="F122" s="15"/>
      <c r="G122" s="15"/>
      <c r="H122" s="15"/>
      <c r="I122" s="15"/>
      <c r="J122" s="15"/>
      <c r="K122" s="16"/>
    </row>
    <row r="123">
      <c r="A123" s="61"/>
      <c r="B123" s="15"/>
      <c r="C123" s="15"/>
      <c r="D123" s="15"/>
      <c r="E123" s="15"/>
      <c r="F123" s="15"/>
      <c r="G123" s="15"/>
      <c r="H123" s="15"/>
      <c r="I123" s="15"/>
      <c r="J123" s="15"/>
      <c r="K123" s="16"/>
    </row>
    <row r="124">
      <c r="A124" s="61"/>
      <c r="B124" s="15"/>
      <c r="C124" s="15"/>
      <c r="D124" s="15"/>
      <c r="E124" s="15"/>
      <c r="F124" s="15"/>
      <c r="G124" s="15"/>
      <c r="H124" s="15"/>
      <c r="I124" s="15"/>
      <c r="J124" s="15"/>
      <c r="K124" s="16"/>
    </row>
    <row r="125">
      <c r="A125" s="61"/>
      <c r="B125" s="15"/>
      <c r="C125" s="15"/>
      <c r="D125" s="15"/>
      <c r="E125" s="15"/>
      <c r="F125" s="15"/>
      <c r="G125" s="15"/>
      <c r="H125" s="15"/>
      <c r="I125" s="15"/>
      <c r="J125" s="15"/>
      <c r="K125" s="16"/>
    </row>
    <row r="126">
      <c r="A126" s="61"/>
      <c r="B126" s="15"/>
      <c r="C126" s="15"/>
      <c r="D126" s="15"/>
      <c r="E126" s="15"/>
      <c r="F126" s="15"/>
      <c r="G126" s="15"/>
      <c r="H126" s="15"/>
      <c r="I126" s="15"/>
      <c r="J126" s="15"/>
      <c r="K126" s="16"/>
    </row>
    <row r="127">
      <c r="A127" s="61"/>
      <c r="B127" s="15"/>
      <c r="C127" s="15"/>
      <c r="D127" s="15"/>
      <c r="E127" s="15"/>
      <c r="F127" s="15"/>
      <c r="G127" s="15"/>
      <c r="H127" s="15"/>
      <c r="I127" s="15"/>
      <c r="J127" s="15"/>
      <c r="K127" s="16"/>
    </row>
    <row r="128">
      <c r="A128" s="61"/>
      <c r="B128" s="15"/>
      <c r="C128" s="15"/>
      <c r="D128" s="15"/>
      <c r="E128" s="15"/>
      <c r="F128" s="15"/>
      <c r="G128" s="15"/>
      <c r="H128" s="15"/>
      <c r="I128" s="15"/>
      <c r="J128" s="15"/>
      <c r="K128" s="16"/>
    </row>
    <row r="129">
      <c r="A129" s="61"/>
      <c r="B129" s="15"/>
      <c r="C129" s="15"/>
      <c r="D129" s="15"/>
      <c r="E129" s="15"/>
      <c r="F129" s="15"/>
      <c r="G129" s="15"/>
      <c r="H129" s="15"/>
      <c r="I129" s="15"/>
      <c r="J129" s="15"/>
      <c r="K129" s="16"/>
    </row>
    <row r="130">
      <c r="A130" s="61"/>
      <c r="B130" s="15"/>
      <c r="C130" s="15"/>
      <c r="D130" s="15"/>
      <c r="E130" s="15"/>
      <c r="F130" s="15"/>
      <c r="G130" s="15"/>
      <c r="H130" s="15"/>
      <c r="I130" s="15"/>
      <c r="J130" s="15"/>
      <c r="K130" s="16"/>
    </row>
    <row r="131">
      <c r="A131" s="61"/>
      <c r="B131" s="15"/>
      <c r="C131" s="15"/>
      <c r="D131" s="15"/>
      <c r="E131" s="15"/>
      <c r="F131" s="15"/>
      <c r="G131" s="15"/>
      <c r="H131" s="15"/>
      <c r="I131" s="15"/>
      <c r="J131" s="15"/>
      <c r="K131" s="16"/>
    </row>
    <row r="132">
      <c r="A132" s="61"/>
      <c r="B132" s="15"/>
      <c r="C132" s="15"/>
      <c r="D132" s="15"/>
      <c r="E132" s="15"/>
      <c r="F132" s="15"/>
      <c r="G132" s="15"/>
      <c r="H132" s="15"/>
      <c r="I132" s="15"/>
      <c r="J132" s="15"/>
      <c r="K132" s="16"/>
    </row>
    <row r="133">
      <c r="A133" s="61"/>
      <c r="B133" s="15"/>
      <c r="C133" s="15"/>
      <c r="D133" s="15"/>
      <c r="E133" s="15"/>
      <c r="F133" s="15"/>
      <c r="G133" s="15"/>
      <c r="H133" s="15"/>
      <c r="I133" s="15"/>
      <c r="J133" s="15"/>
      <c r="K133" s="16"/>
    </row>
    <row r="134">
      <c r="A134" s="61"/>
      <c r="B134" s="15"/>
      <c r="C134" s="15"/>
      <c r="D134" s="15"/>
      <c r="E134" s="15"/>
      <c r="F134" s="15"/>
      <c r="G134" s="15"/>
      <c r="H134" s="15"/>
      <c r="I134" s="15"/>
      <c r="J134" s="15"/>
      <c r="K134" s="16"/>
    </row>
    <row r="135">
      <c r="A135" s="61"/>
      <c r="B135" s="15"/>
      <c r="C135" s="15"/>
      <c r="D135" s="15"/>
      <c r="E135" s="15"/>
      <c r="F135" s="15"/>
      <c r="G135" s="15"/>
      <c r="H135" s="15"/>
      <c r="I135" s="15"/>
      <c r="J135" s="15"/>
      <c r="K135" s="16"/>
    </row>
    <row r="136">
      <c r="A136" s="61"/>
      <c r="B136" s="15"/>
      <c r="C136" s="15"/>
      <c r="D136" s="15"/>
      <c r="E136" s="15"/>
      <c r="F136" s="15"/>
      <c r="G136" s="15"/>
      <c r="H136" s="15"/>
      <c r="I136" s="15"/>
      <c r="J136" s="15"/>
      <c r="K136" s="16"/>
    </row>
    <row r="137">
      <c r="A137" s="61"/>
      <c r="B137" s="15"/>
      <c r="C137" s="15"/>
      <c r="D137" s="15"/>
      <c r="E137" s="15"/>
      <c r="F137" s="15"/>
      <c r="G137" s="15"/>
      <c r="H137" s="15"/>
      <c r="I137" s="15"/>
      <c r="J137" s="15"/>
      <c r="K137" s="16"/>
    </row>
    <row r="138">
      <c r="A138" s="61"/>
      <c r="B138" s="15"/>
      <c r="C138" s="15"/>
      <c r="D138" s="15"/>
      <c r="E138" s="15"/>
      <c r="F138" s="15"/>
      <c r="G138" s="15"/>
      <c r="H138" s="15"/>
      <c r="I138" s="15"/>
      <c r="J138" s="15"/>
      <c r="K138" s="16"/>
    </row>
    <row r="139">
      <c r="A139" s="61"/>
      <c r="B139" s="15"/>
      <c r="C139" s="15"/>
      <c r="D139" s="15"/>
      <c r="E139" s="15"/>
      <c r="F139" s="15"/>
      <c r="G139" s="15"/>
      <c r="H139" s="15"/>
      <c r="I139" s="15"/>
      <c r="J139" s="15"/>
      <c r="K139" s="16"/>
    </row>
    <row r="140">
      <c r="A140" s="61"/>
      <c r="B140" s="15"/>
      <c r="C140" s="15"/>
      <c r="D140" s="15"/>
      <c r="E140" s="15"/>
      <c r="F140" s="15"/>
      <c r="G140" s="15"/>
      <c r="H140" s="15"/>
      <c r="I140" s="15"/>
      <c r="J140" s="15"/>
      <c r="K140" s="16"/>
    </row>
    <row r="141">
      <c r="A141" s="61"/>
      <c r="B141" s="15"/>
      <c r="C141" s="15"/>
      <c r="D141" s="15"/>
      <c r="E141" s="15"/>
      <c r="F141" s="15"/>
      <c r="G141" s="15"/>
      <c r="H141" s="15"/>
      <c r="I141" s="15"/>
      <c r="J141" s="15"/>
      <c r="K141" s="16"/>
    </row>
    <row r="142">
      <c r="A142" s="61"/>
      <c r="B142" s="15"/>
      <c r="C142" s="15"/>
      <c r="D142" s="15"/>
      <c r="E142" s="15"/>
      <c r="F142" s="15"/>
      <c r="G142" s="15"/>
      <c r="H142" s="15"/>
      <c r="I142" s="15"/>
      <c r="J142" s="15"/>
      <c r="K142" s="16"/>
    </row>
    <row r="143">
      <c r="A143" s="61"/>
      <c r="B143" s="15"/>
      <c r="C143" s="15"/>
      <c r="D143" s="15"/>
      <c r="E143" s="15"/>
      <c r="F143" s="15"/>
      <c r="G143" s="15"/>
      <c r="H143" s="15"/>
      <c r="I143" s="15"/>
      <c r="J143" s="15"/>
      <c r="K143" s="16"/>
    </row>
    <row r="144">
      <c r="A144" s="61"/>
      <c r="B144" s="15"/>
      <c r="C144" s="15"/>
      <c r="D144" s="15"/>
      <c r="E144" s="15"/>
      <c r="F144" s="15"/>
      <c r="G144" s="15"/>
      <c r="H144" s="15"/>
      <c r="I144" s="15"/>
      <c r="J144" s="15"/>
      <c r="K144" s="16"/>
    </row>
    <row r="145">
      <c r="A145" s="61"/>
      <c r="B145" s="15"/>
      <c r="C145" s="15"/>
      <c r="D145" s="15"/>
      <c r="E145" s="15"/>
      <c r="F145" s="15"/>
      <c r="G145" s="15"/>
      <c r="H145" s="15"/>
      <c r="I145" s="15"/>
      <c r="J145" s="15"/>
      <c r="K145" s="16"/>
    </row>
    <row r="146">
      <c r="A146" s="61"/>
      <c r="B146" s="15"/>
      <c r="C146" s="15"/>
      <c r="D146" s="15"/>
      <c r="E146" s="15"/>
      <c r="F146" s="15"/>
      <c r="G146" s="15"/>
      <c r="H146" s="15"/>
      <c r="I146" s="15"/>
      <c r="J146" s="15"/>
      <c r="K146" s="16"/>
    </row>
    <row r="147">
      <c r="A147" s="61"/>
      <c r="B147" s="15"/>
      <c r="C147" s="15"/>
      <c r="D147" s="15"/>
      <c r="E147" s="15"/>
      <c r="F147" s="15"/>
      <c r="G147" s="15"/>
      <c r="H147" s="15"/>
      <c r="I147" s="15"/>
      <c r="J147" s="15"/>
      <c r="K147" s="16"/>
    </row>
    <row r="148">
      <c r="A148" s="61"/>
      <c r="B148" s="15"/>
      <c r="C148" s="15"/>
      <c r="D148" s="15"/>
      <c r="E148" s="15"/>
      <c r="F148" s="15"/>
      <c r="G148" s="15"/>
      <c r="H148" s="15"/>
      <c r="I148" s="15"/>
      <c r="J148" s="15"/>
      <c r="K148" s="16"/>
    </row>
    <row r="149">
      <c r="A149" s="61"/>
      <c r="B149" s="15"/>
      <c r="C149" s="15"/>
      <c r="D149" s="15"/>
      <c r="E149" s="15"/>
      <c r="F149" s="15"/>
      <c r="G149" s="15"/>
      <c r="H149" s="15"/>
      <c r="I149" s="15"/>
      <c r="J149" s="15"/>
      <c r="K149" s="16"/>
    </row>
    <row r="150">
      <c r="A150" s="61"/>
      <c r="B150" s="15"/>
      <c r="C150" s="15"/>
      <c r="D150" s="15"/>
      <c r="E150" s="15"/>
      <c r="F150" s="15"/>
      <c r="G150" s="15"/>
      <c r="H150" s="15"/>
      <c r="I150" s="15"/>
      <c r="J150" s="15"/>
      <c r="K150" s="16"/>
    </row>
    <row r="151">
      <c r="A151" s="61"/>
      <c r="B151" s="15"/>
      <c r="C151" s="15"/>
      <c r="D151" s="15"/>
      <c r="E151" s="15"/>
      <c r="F151" s="15"/>
      <c r="G151" s="15"/>
      <c r="H151" s="15"/>
      <c r="I151" s="15"/>
      <c r="J151" s="15"/>
      <c r="K151" s="16"/>
    </row>
    <row r="152">
      <c r="A152" s="61"/>
      <c r="B152" s="15"/>
      <c r="C152" s="15"/>
      <c r="D152" s="15"/>
      <c r="E152" s="15"/>
      <c r="F152" s="15"/>
      <c r="G152" s="15"/>
      <c r="H152" s="15"/>
      <c r="I152" s="15"/>
      <c r="J152" s="15"/>
      <c r="K152" s="16"/>
    </row>
    <row r="153">
      <c r="A153" s="61"/>
      <c r="B153" s="15"/>
      <c r="C153" s="15"/>
      <c r="D153" s="15"/>
      <c r="E153" s="15"/>
      <c r="F153" s="15"/>
      <c r="G153" s="15"/>
      <c r="H153" s="15"/>
      <c r="I153" s="15"/>
      <c r="J153" s="15"/>
      <c r="K153" s="16"/>
    </row>
    <row r="154">
      <c r="A154" s="61"/>
      <c r="B154" s="15"/>
      <c r="C154" s="15"/>
      <c r="D154" s="15"/>
      <c r="E154" s="15"/>
      <c r="F154" s="15"/>
      <c r="G154" s="15"/>
      <c r="H154" s="15"/>
      <c r="I154" s="15"/>
      <c r="J154" s="15"/>
      <c r="K154" s="16"/>
    </row>
    <row r="155">
      <c r="A155" s="61"/>
      <c r="B155" s="15"/>
      <c r="C155" s="15"/>
      <c r="D155" s="15"/>
      <c r="E155" s="15"/>
      <c r="F155" s="15"/>
      <c r="G155" s="15"/>
      <c r="H155" s="15"/>
      <c r="I155" s="15"/>
      <c r="J155" s="15"/>
      <c r="K155" s="16"/>
    </row>
    <row r="156">
      <c r="A156" s="61"/>
      <c r="B156" s="15"/>
      <c r="C156" s="15"/>
      <c r="D156" s="15"/>
      <c r="E156" s="15"/>
      <c r="F156" s="15"/>
      <c r="G156" s="15"/>
      <c r="H156" s="15"/>
      <c r="I156" s="15"/>
      <c r="J156" s="15"/>
      <c r="K156" s="16"/>
    </row>
    <row r="157">
      <c r="A157" s="61"/>
      <c r="B157" s="15"/>
      <c r="C157" s="15"/>
      <c r="D157" s="15"/>
      <c r="E157" s="15"/>
      <c r="F157" s="15"/>
      <c r="G157" s="15"/>
      <c r="H157" s="15"/>
      <c r="I157" s="15"/>
      <c r="J157" s="15"/>
      <c r="K157" s="16"/>
    </row>
    <row r="158">
      <c r="A158" s="61"/>
      <c r="B158" s="15"/>
      <c r="C158" s="15"/>
      <c r="D158" s="15"/>
      <c r="E158" s="15"/>
      <c r="F158" s="15"/>
      <c r="G158" s="15"/>
      <c r="H158" s="15"/>
      <c r="I158" s="15"/>
      <c r="J158" s="15"/>
      <c r="K158" s="16"/>
    </row>
    <row r="159">
      <c r="A159" s="61"/>
      <c r="B159" s="15"/>
      <c r="C159" s="15"/>
      <c r="D159" s="15"/>
      <c r="E159" s="15"/>
      <c r="F159" s="15"/>
      <c r="G159" s="15"/>
      <c r="H159" s="15"/>
      <c r="I159" s="15"/>
      <c r="J159" s="15"/>
      <c r="K159" s="16"/>
    </row>
    <row r="160">
      <c r="A160" s="61"/>
      <c r="B160" s="15"/>
      <c r="C160" s="15"/>
      <c r="D160" s="15"/>
      <c r="E160" s="15"/>
      <c r="F160" s="15"/>
      <c r="G160" s="15"/>
      <c r="H160" s="15"/>
      <c r="I160" s="15"/>
      <c r="J160" s="15"/>
      <c r="K160" s="16"/>
    </row>
    <row r="161">
      <c r="A161" s="61"/>
      <c r="B161" s="15"/>
      <c r="C161" s="15"/>
      <c r="D161" s="15"/>
      <c r="E161" s="15"/>
      <c r="F161" s="15"/>
      <c r="G161" s="15"/>
      <c r="H161" s="15"/>
      <c r="I161" s="15"/>
      <c r="J161" s="15"/>
      <c r="K161" s="16"/>
    </row>
    <row r="162">
      <c r="A162" s="61"/>
      <c r="B162" s="15"/>
      <c r="C162" s="15"/>
      <c r="D162" s="15"/>
      <c r="E162" s="15"/>
      <c r="F162" s="15"/>
      <c r="G162" s="15"/>
      <c r="H162" s="15"/>
      <c r="I162" s="15"/>
      <c r="J162" s="15"/>
      <c r="K162" s="16"/>
    </row>
    <row r="163">
      <c r="A163" s="61"/>
      <c r="B163" s="15"/>
      <c r="C163" s="15"/>
      <c r="D163" s="15"/>
      <c r="E163" s="15"/>
      <c r="F163" s="15"/>
      <c r="G163" s="15"/>
      <c r="H163" s="15"/>
      <c r="I163" s="15"/>
      <c r="J163" s="15"/>
      <c r="K163" s="16"/>
    </row>
    <row r="164">
      <c r="A164" s="61"/>
      <c r="B164" s="15"/>
      <c r="C164" s="15"/>
      <c r="D164" s="15"/>
      <c r="E164" s="15"/>
      <c r="F164" s="15"/>
      <c r="G164" s="15"/>
      <c r="H164" s="15"/>
      <c r="I164" s="15"/>
      <c r="J164" s="15"/>
      <c r="K164" s="16"/>
    </row>
    <row r="165">
      <c r="A165" s="61"/>
      <c r="B165" s="15"/>
      <c r="C165" s="15"/>
      <c r="D165" s="15"/>
      <c r="E165" s="15"/>
      <c r="F165" s="15"/>
      <c r="G165" s="15"/>
      <c r="H165" s="15"/>
      <c r="I165" s="15"/>
      <c r="J165" s="15"/>
      <c r="K165" s="16"/>
    </row>
    <row r="166">
      <c r="A166" s="61"/>
      <c r="B166" s="15"/>
      <c r="C166" s="15"/>
      <c r="D166" s="15"/>
      <c r="E166" s="15"/>
      <c r="F166" s="15"/>
      <c r="G166" s="15"/>
      <c r="H166" s="15"/>
      <c r="I166" s="15"/>
      <c r="J166" s="15"/>
      <c r="K166" s="16"/>
    </row>
    <row r="167">
      <c r="A167" s="61"/>
      <c r="B167" s="15"/>
      <c r="C167" s="15"/>
      <c r="D167" s="15"/>
      <c r="E167" s="15"/>
      <c r="F167" s="15"/>
      <c r="G167" s="15"/>
      <c r="H167" s="15"/>
      <c r="I167" s="15"/>
      <c r="J167" s="15"/>
      <c r="K167" s="16"/>
    </row>
    <row r="168">
      <c r="A168" s="61"/>
      <c r="B168" s="15"/>
      <c r="C168" s="15"/>
      <c r="D168" s="15"/>
      <c r="E168" s="15"/>
      <c r="F168" s="15"/>
      <c r="G168" s="15"/>
      <c r="H168" s="15"/>
      <c r="I168" s="15"/>
      <c r="J168" s="15"/>
      <c r="K168" s="16"/>
    </row>
    <row r="169">
      <c r="A169" s="61"/>
      <c r="B169" s="15"/>
      <c r="C169" s="15"/>
      <c r="D169" s="15"/>
      <c r="E169" s="15"/>
      <c r="F169" s="15"/>
      <c r="G169" s="15"/>
      <c r="H169" s="15"/>
      <c r="I169" s="15"/>
      <c r="J169" s="15"/>
      <c r="K169" s="16"/>
    </row>
    <row r="170">
      <c r="A170" s="61"/>
      <c r="B170" s="15"/>
      <c r="C170" s="15"/>
      <c r="D170" s="15"/>
      <c r="E170" s="15"/>
      <c r="F170" s="15"/>
      <c r="G170" s="15"/>
      <c r="H170" s="15"/>
      <c r="I170" s="15"/>
      <c r="J170" s="15"/>
      <c r="K170" s="16"/>
    </row>
    <row r="171">
      <c r="A171" s="61"/>
      <c r="B171" s="15"/>
      <c r="C171" s="15"/>
      <c r="D171" s="15"/>
      <c r="E171" s="15"/>
      <c r="F171" s="15"/>
      <c r="G171" s="15"/>
      <c r="H171" s="15"/>
      <c r="I171" s="15"/>
      <c r="J171" s="15"/>
      <c r="K171" s="16"/>
    </row>
    <row r="172">
      <c r="A172" s="61"/>
      <c r="B172" s="15"/>
      <c r="C172" s="15"/>
      <c r="D172" s="15"/>
      <c r="E172" s="15"/>
      <c r="F172" s="15"/>
      <c r="G172" s="15"/>
      <c r="H172" s="15"/>
      <c r="I172" s="15"/>
      <c r="J172" s="15"/>
      <c r="K172" s="16"/>
    </row>
    <row r="173">
      <c r="A173" s="61"/>
      <c r="B173" s="15"/>
      <c r="C173" s="15"/>
      <c r="D173" s="15"/>
      <c r="E173" s="15"/>
      <c r="F173" s="15"/>
      <c r="G173" s="15"/>
      <c r="H173" s="15"/>
      <c r="I173" s="15"/>
      <c r="J173" s="15"/>
      <c r="K173" s="16"/>
    </row>
    <row r="174">
      <c r="A174" s="61"/>
      <c r="B174" s="15"/>
      <c r="C174" s="15"/>
      <c r="D174" s="15"/>
      <c r="E174" s="15"/>
      <c r="F174" s="15"/>
      <c r="G174" s="15"/>
      <c r="H174" s="15"/>
      <c r="I174" s="15"/>
      <c r="J174" s="15"/>
      <c r="K174" s="16"/>
    </row>
    <row r="175">
      <c r="A175" s="61"/>
      <c r="B175" s="15"/>
      <c r="C175" s="15"/>
      <c r="D175" s="15"/>
      <c r="E175" s="15"/>
      <c r="F175" s="15"/>
      <c r="G175" s="15"/>
      <c r="H175" s="15"/>
      <c r="I175" s="15"/>
      <c r="J175" s="15"/>
      <c r="K175" s="16"/>
    </row>
    <row r="176">
      <c r="A176" s="61"/>
      <c r="B176" s="15"/>
      <c r="C176" s="15"/>
      <c r="D176" s="15"/>
      <c r="E176" s="15"/>
      <c r="F176" s="15"/>
      <c r="G176" s="15"/>
      <c r="H176" s="15"/>
      <c r="I176" s="15"/>
      <c r="J176" s="15"/>
      <c r="K176" s="16"/>
    </row>
    <row r="177">
      <c r="A177" s="61"/>
      <c r="B177" s="15"/>
      <c r="C177" s="15"/>
      <c r="D177" s="15"/>
      <c r="E177" s="15"/>
      <c r="F177" s="15"/>
      <c r="G177" s="15"/>
      <c r="H177" s="15"/>
      <c r="I177" s="15"/>
      <c r="J177" s="15"/>
      <c r="K177" s="16"/>
    </row>
    <row r="178">
      <c r="A178" s="61"/>
      <c r="B178" s="15"/>
      <c r="C178" s="15"/>
      <c r="D178" s="15"/>
      <c r="E178" s="15"/>
      <c r="F178" s="15"/>
      <c r="G178" s="15"/>
      <c r="H178" s="15"/>
      <c r="I178" s="15"/>
      <c r="J178" s="15"/>
      <c r="K178" s="16"/>
    </row>
    <row r="179">
      <c r="A179" s="61"/>
      <c r="B179" s="15"/>
      <c r="C179" s="15"/>
      <c r="D179" s="15"/>
      <c r="E179" s="15"/>
      <c r="F179" s="15"/>
      <c r="G179" s="15"/>
      <c r="H179" s="15"/>
      <c r="I179" s="15"/>
      <c r="J179" s="15"/>
      <c r="K179" s="16"/>
    </row>
    <row r="180">
      <c r="A180" s="61"/>
      <c r="B180" s="15"/>
      <c r="C180" s="15"/>
      <c r="D180" s="15"/>
      <c r="E180" s="15"/>
      <c r="F180" s="15"/>
      <c r="G180" s="15"/>
      <c r="H180" s="15"/>
      <c r="I180" s="15"/>
      <c r="J180" s="15"/>
      <c r="K180" s="16"/>
    </row>
    <row r="181">
      <c r="A181" s="61"/>
      <c r="B181" s="15"/>
      <c r="C181" s="15"/>
      <c r="D181" s="15"/>
      <c r="E181" s="15"/>
      <c r="F181" s="15"/>
      <c r="G181" s="15"/>
      <c r="H181" s="15"/>
      <c r="I181" s="15"/>
      <c r="J181" s="15"/>
      <c r="K181" s="16"/>
    </row>
    <row r="182">
      <c r="A182" s="61"/>
      <c r="B182" s="15"/>
      <c r="C182" s="15"/>
      <c r="D182" s="15"/>
      <c r="E182" s="15"/>
      <c r="F182" s="15"/>
      <c r="G182" s="15"/>
      <c r="H182" s="15"/>
      <c r="I182" s="15"/>
      <c r="J182" s="15"/>
      <c r="K182" s="16"/>
    </row>
    <row r="183">
      <c r="A183" s="61"/>
      <c r="B183" s="15"/>
      <c r="C183" s="15"/>
      <c r="D183" s="15"/>
      <c r="E183" s="15"/>
      <c r="F183" s="15"/>
      <c r="G183" s="15"/>
      <c r="H183" s="15"/>
      <c r="I183" s="15"/>
      <c r="J183" s="15"/>
      <c r="K183" s="16"/>
    </row>
    <row r="184">
      <c r="A184" s="61"/>
      <c r="B184" s="15"/>
      <c r="C184" s="15"/>
      <c r="D184" s="15"/>
      <c r="E184" s="15"/>
      <c r="F184" s="15"/>
      <c r="G184" s="15"/>
      <c r="H184" s="15"/>
      <c r="I184" s="15"/>
      <c r="J184" s="15"/>
      <c r="K184" s="16"/>
    </row>
    <row r="185">
      <c r="A185" s="61"/>
      <c r="B185" s="15"/>
      <c r="C185" s="15"/>
      <c r="D185" s="15"/>
      <c r="E185" s="15"/>
      <c r="F185" s="15"/>
      <c r="G185" s="15"/>
      <c r="H185" s="15"/>
      <c r="I185" s="15"/>
      <c r="J185" s="15"/>
      <c r="K185" s="16"/>
    </row>
    <row r="186">
      <c r="A186" s="61"/>
      <c r="B186" s="15"/>
      <c r="C186" s="15"/>
      <c r="D186" s="15"/>
      <c r="E186" s="15"/>
      <c r="F186" s="15"/>
      <c r="G186" s="15"/>
      <c r="H186" s="15"/>
      <c r="I186" s="15"/>
      <c r="J186" s="15"/>
      <c r="K186" s="16"/>
    </row>
    <row r="187">
      <c r="A187" s="61"/>
      <c r="B187" s="15"/>
      <c r="C187" s="15"/>
      <c r="D187" s="15"/>
      <c r="E187" s="15"/>
      <c r="F187" s="15"/>
      <c r="G187" s="15"/>
      <c r="H187" s="15"/>
      <c r="I187" s="15"/>
      <c r="J187" s="15"/>
      <c r="K187" s="16"/>
    </row>
    <row r="188">
      <c r="A188" s="61"/>
      <c r="B188" s="15"/>
      <c r="C188" s="15"/>
      <c r="D188" s="15"/>
      <c r="E188" s="15"/>
      <c r="F188" s="15"/>
      <c r="G188" s="15"/>
      <c r="H188" s="15"/>
      <c r="I188" s="15"/>
      <c r="J188" s="15"/>
      <c r="K188" s="16"/>
    </row>
    <row r="189">
      <c r="A189" s="61"/>
      <c r="B189" s="15"/>
      <c r="C189" s="15"/>
      <c r="D189" s="15"/>
      <c r="E189" s="15"/>
      <c r="F189" s="15"/>
      <c r="G189" s="15"/>
      <c r="H189" s="15"/>
      <c r="I189" s="15"/>
      <c r="J189" s="15"/>
      <c r="K189" s="16"/>
    </row>
    <row r="190">
      <c r="A190" s="61"/>
      <c r="B190" s="15"/>
      <c r="C190" s="15"/>
      <c r="D190" s="15"/>
      <c r="E190" s="15"/>
      <c r="F190" s="15"/>
      <c r="G190" s="15"/>
      <c r="H190" s="15"/>
      <c r="I190" s="15"/>
      <c r="J190" s="15"/>
      <c r="K190" s="16"/>
    </row>
    <row r="191">
      <c r="A191" s="61"/>
      <c r="B191" s="15"/>
      <c r="C191" s="15"/>
      <c r="D191" s="15"/>
      <c r="E191" s="15"/>
      <c r="F191" s="15"/>
      <c r="G191" s="15"/>
      <c r="H191" s="15"/>
      <c r="I191" s="15"/>
      <c r="J191" s="15"/>
      <c r="K191" s="16"/>
    </row>
    <row r="192">
      <c r="A192" s="61"/>
      <c r="B192" s="15"/>
      <c r="C192" s="15"/>
      <c r="D192" s="15"/>
      <c r="E192" s="15"/>
      <c r="F192" s="15"/>
      <c r="G192" s="15"/>
      <c r="H192" s="15"/>
      <c r="I192" s="15"/>
      <c r="J192" s="15"/>
      <c r="K192" s="16"/>
    </row>
    <row r="193">
      <c r="A193" s="61"/>
      <c r="B193" s="15"/>
      <c r="C193" s="15"/>
      <c r="D193" s="15"/>
      <c r="E193" s="15"/>
      <c r="F193" s="15"/>
      <c r="G193" s="15"/>
      <c r="H193" s="15"/>
      <c r="I193" s="15"/>
      <c r="J193" s="15"/>
      <c r="K193" s="16"/>
    </row>
    <row r="194">
      <c r="A194" s="61"/>
      <c r="B194" s="15"/>
      <c r="C194" s="15"/>
      <c r="D194" s="15"/>
      <c r="E194" s="15"/>
      <c r="F194" s="15"/>
      <c r="G194" s="15"/>
      <c r="H194" s="15"/>
      <c r="I194" s="15"/>
      <c r="J194" s="15"/>
      <c r="K194" s="16"/>
    </row>
    <row r="195">
      <c r="A195" s="61"/>
      <c r="B195" s="15"/>
      <c r="C195" s="15"/>
      <c r="D195" s="15"/>
      <c r="E195" s="15"/>
      <c r="F195" s="15"/>
      <c r="G195" s="15"/>
      <c r="H195" s="15"/>
      <c r="I195" s="15"/>
      <c r="J195" s="15"/>
      <c r="K195" s="16"/>
    </row>
    <row r="196">
      <c r="A196" s="61"/>
      <c r="B196" s="15"/>
      <c r="C196" s="15"/>
      <c r="D196" s="15"/>
      <c r="E196" s="15"/>
      <c r="F196" s="15"/>
      <c r="G196" s="15"/>
      <c r="H196" s="15"/>
      <c r="I196" s="15"/>
      <c r="J196" s="15"/>
      <c r="K196" s="16"/>
    </row>
    <row r="197">
      <c r="A197" s="61"/>
      <c r="B197" s="15"/>
      <c r="C197" s="15"/>
      <c r="D197" s="15"/>
      <c r="E197" s="15"/>
      <c r="F197" s="15"/>
      <c r="G197" s="15"/>
      <c r="H197" s="15"/>
      <c r="I197" s="15"/>
      <c r="J197" s="15"/>
      <c r="K197" s="16"/>
    </row>
    <row r="198">
      <c r="A198" s="61"/>
      <c r="B198" s="15"/>
      <c r="C198" s="15"/>
      <c r="D198" s="15"/>
      <c r="E198" s="15"/>
      <c r="F198" s="15"/>
      <c r="G198" s="15"/>
      <c r="H198" s="15"/>
      <c r="I198" s="15"/>
      <c r="J198" s="15"/>
      <c r="K198" s="16"/>
    </row>
    <row r="199">
      <c r="A199" s="61"/>
      <c r="B199" s="15"/>
      <c r="C199" s="15"/>
      <c r="D199" s="15"/>
      <c r="E199" s="15"/>
      <c r="F199" s="15"/>
      <c r="G199" s="15"/>
      <c r="H199" s="15"/>
      <c r="I199" s="15"/>
      <c r="J199" s="15"/>
      <c r="K199" s="16"/>
    </row>
    <row r="200">
      <c r="A200" s="61"/>
      <c r="B200" s="15"/>
      <c r="C200" s="15"/>
      <c r="D200" s="15"/>
      <c r="E200" s="15"/>
      <c r="F200" s="15"/>
      <c r="G200" s="15"/>
      <c r="H200" s="15"/>
      <c r="I200" s="15"/>
      <c r="J200" s="15"/>
      <c r="K200" s="16"/>
    </row>
    <row r="201">
      <c r="A201" s="61"/>
      <c r="B201" s="15"/>
      <c r="C201" s="15"/>
      <c r="D201" s="15"/>
      <c r="E201" s="15"/>
      <c r="F201" s="15"/>
      <c r="G201" s="15"/>
      <c r="H201" s="15"/>
      <c r="I201" s="15"/>
      <c r="J201" s="15"/>
      <c r="K201" s="16"/>
    </row>
    <row r="202">
      <c r="A202" s="61"/>
      <c r="B202" s="15"/>
      <c r="C202" s="15"/>
      <c r="D202" s="15"/>
      <c r="E202" s="15"/>
      <c r="F202" s="15"/>
      <c r="G202" s="15"/>
      <c r="H202" s="15"/>
      <c r="I202" s="15"/>
      <c r="J202" s="15"/>
      <c r="K202" s="16"/>
    </row>
    <row r="203">
      <c r="A203" s="61"/>
      <c r="B203" s="15"/>
      <c r="C203" s="15"/>
      <c r="D203" s="15"/>
      <c r="E203" s="15"/>
      <c r="F203" s="15"/>
      <c r="G203" s="15"/>
      <c r="H203" s="15"/>
      <c r="I203" s="15"/>
      <c r="J203" s="15"/>
      <c r="K203" s="16"/>
    </row>
    <row r="204">
      <c r="A204" s="61"/>
      <c r="B204" s="15"/>
      <c r="C204" s="15"/>
      <c r="D204" s="15"/>
      <c r="E204" s="15"/>
      <c r="F204" s="15"/>
      <c r="G204" s="15"/>
      <c r="H204" s="15"/>
      <c r="I204" s="15"/>
      <c r="J204" s="15"/>
      <c r="K204" s="16"/>
    </row>
    <row r="205">
      <c r="A205" s="61"/>
      <c r="B205" s="15"/>
      <c r="C205" s="15"/>
      <c r="D205" s="15"/>
      <c r="E205" s="15"/>
      <c r="F205" s="15"/>
      <c r="G205" s="15"/>
      <c r="H205" s="15"/>
      <c r="I205" s="15"/>
      <c r="J205" s="15"/>
      <c r="K205" s="16"/>
    </row>
    <row r="206">
      <c r="A206" s="61"/>
      <c r="B206" s="15"/>
      <c r="C206" s="15"/>
      <c r="D206" s="15"/>
      <c r="E206" s="15"/>
      <c r="F206" s="15"/>
      <c r="G206" s="15"/>
      <c r="H206" s="15"/>
      <c r="I206" s="15"/>
      <c r="J206" s="15"/>
      <c r="K206" s="16"/>
    </row>
    <row r="207">
      <c r="A207" s="61"/>
      <c r="B207" s="15"/>
      <c r="C207" s="15"/>
      <c r="D207" s="15"/>
      <c r="E207" s="15"/>
      <c r="F207" s="15"/>
      <c r="G207" s="15"/>
      <c r="H207" s="15"/>
      <c r="I207" s="15"/>
      <c r="J207" s="15"/>
      <c r="K207" s="16"/>
    </row>
    <row r="208">
      <c r="A208" s="61"/>
      <c r="B208" s="15"/>
      <c r="C208" s="15"/>
      <c r="D208" s="15"/>
      <c r="E208" s="15"/>
      <c r="F208" s="15"/>
      <c r="G208" s="15"/>
      <c r="H208" s="15"/>
      <c r="I208" s="15"/>
      <c r="J208" s="15"/>
      <c r="K208" s="16"/>
    </row>
    <row r="209">
      <c r="A209" s="61"/>
      <c r="B209" s="15"/>
      <c r="C209" s="15"/>
      <c r="D209" s="15"/>
      <c r="E209" s="15"/>
      <c r="F209" s="15"/>
      <c r="G209" s="15"/>
      <c r="H209" s="15"/>
      <c r="I209" s="15"/>
      <c r="J209" s="15"/>
      <c r="K209" s="16"/>
    </row>
    <row r="210">
      <c r="A210" s="61"/>
      <c r="B210" s="15"/>
      <c r="C210" s="15"/>
      <c r="D210" s="15"/>
      <c r="E210" s="15"/>
      <c r="F210" s="15"/>
      <c r="G210" s="15"/>
      <c r="H210" s="15"/>
      <c r="I210" s="15"/>
      <c r="J210" s="15"/>
      <c r="K210" s="16"/>
    </row>
    <row r="211">
      <c r="A211" s="61"/>
      <c r="B211" s="15"/>
      <c r="C211" s="15"/>
      <c r="D211" s="15"/>
      <c r="E211" s="15"/>
      <c r="F211" s="15"/>
      <c r="G211" s="15"/>
      <c r="H211" s="15"/>
      <c r="I211" s="15"/>
      <c r="J211" s="15"/>
      <c r="K211" s="16"/>
    </row>
    <row r="212">
      <c r="A212" s="61"/>
      <c r="B212" s="15"/>
      <c r="C212" s="15"/>
      <c r="D212" s="15"/>
      <c r="E212" s="15"/>
      <c r="F212" s="15"/>
      <c r="G212" s="15"/>
      <c r="H212" s="15"/>
      <c r="I212" s="15"/>
      <c r="J212" s="15"/>
      <c r="K212" s="16"/>
    </row>
    <row r="213">
      <c r="A213" s="61"/>
      <c r="B213" s="15"/>
      <c r="C213" s="15"/>
      <c r="D213" s="15"/>
      <c r="E213" s="15"/>
      <c r="F213" s="15"/>
      <c r="G213" s="15"/>
      <c r="H213" s="15"/>
      <c r="I213" s="15"/>
      <c r="J213" s="15"/>
      <c r="K213" s="16"/>
    </row>
    <row r="214">
      <c r="A214" s="61"/>
      <c r="B214" s="15"/>
      <c r="C214" s="15"/>
      <c r="D214" s="15"/>
      <c r="E214" s="15"/>
      <c r="F214" s="15"/>
      <c r="G214" s="15"/>
      <c r="H214" s="15"/>
      <c r="I214" s="15"/>
      <c r="J214" s="15"/>
      <c r="K214" s="16"/>
    </row>
    <row r="215">
      <c r="A215" s="61"/>
      <c r="B215" s="15"/>
      <c r="C215" s="15"/>
      <c r="D215" s="15"/>
      <c r="E215" s="15"/>
      <c r="F215" s="15"/>
      <c r="G215" s="15"/>
      <c r="H215" s="15"/>
      <c r="I215" s="15"/>
      <c r="J215" s="15"/>
      <c r="K215" s="16"/>
    </row>
    <row r="216">
      <c r="A216" s="61"/>
      <c r="B216" s="15"/>
      <c r="C216" s="15"/>
      <c r="D216" s="15"/>
      <c r="E216" s="15"/>
      <c r="F216" s="15"/>
      <c r="G216" s="15"/>
      <c r="H216" s="15"/>
      <c r="I216" s="15"/>
      <c r="J216" s="15"/>
      <c r="K216" s="16"/>
    </row>
    <row r="217">
      <c r="A217" s="61"/>
      <c r="B217" s="15"/>
      <c r="C217" s="15"/>
      <c r="D217" s="15"/>
      <c r="E217" s="15"/>
      <c r="F217" s="15"/>
      <c r="G217" s="15"/>
      <c r="H217" s="15"/>
      <c r="I217" s="15"/>
      <c r="J217" s="15"/>
      <c r="K217" s="16"/>
    </row>
    <row r="218">
      <c r="A218" s="61"/>
      <c r="B218" s="15"/>
      <c r="C218" s="15"/>
      <c r="D218" s="15"/>
      <c r="E218" s="15"/>
      <c r="F218" s="15"/>
      <c r="G218" s="15"/>
      <c r="H218" s="15"/>
      <c r="I218" s="15"/>
      <c r="J218" s="15"/>
      <c r="K218" s="16"/>
    </row>
    <row r="219">
      <c r="A219" s="61"/>
      <c r="B219" s="15"/>
      <c r="C219" s="15"/>
      <c r="D219" s="15"/>
      <c r="E219" s="15"/>
      <c r="F219" s="15"/>
      <c r="G219" s="15"/>
      <c r="H219" s="15"/>
      <c r="I219" s="15"/>
      <c r="J219" s="15"/>
      <c r="K219" s="16"/>
    </row>
    <row r="220">
      <c r="A220" s="61"/>
      <c r="B220" s="15"/>
      <c r="C220" s="15"/>
      <c r="D220" s="15"/>
      <c r="E220" s="15"/>
      <c r="F220" s="15"/>
      <c r="G220" s="15"/>
      <c r="H220" s="15"/>
      <c r="I220" s="15"/>
      <c r="J220" s="15"/>
      <c r="K220" s="16"/>
    </row>
    <row r="221">
      <c r="A221" s="61"/>
      <c r="B221" s="15"/>
      <c r="C221" s="15"/>
      <c r="D221" s="15"/>
      <c r="E221" s="15"/>
      <c r="F221" s="15"/>
      <c r="G221" s="15"/>
      <c r="H221" s="15"/>
      <c r="I221" s="15"/>
      <c r="J221" s="15"/>
      <c r="K221" s="16"/>
    </row>
    <row r="222">
      <c r="A222" s="61"/>
      <c r="B222" s="15"/>
      <c r="C222" s="15"/>
      <c r="D222" s="15"/>
      <c r="E222" s="15"/>
      <c r="F222" s="15"/>
      <c r="G222" s="15"/>
      <c r="H222" s="15"/>
      <c r="I222" s="15"/>
      <c r="J222" s="15"/>
      <c r="K222" s="16"/>
    </row>
    <row r="223">
      <c r="A223" s="61"/>
      <c r="B223" s="15"/>
      <c r="C223" s="15"/>
      <c r="D223" s="15"/>
      <c r="E223" s="15"/>
      <c r="F223" s="15"/>
      <c r="G223" s="15"/>
      <c r="H223" s="15"/>
      <c r="I223" s="15"/>
      <c r="J223" s="15"/>
      <c r="K223" s="16"/>
    </row>
    <row r="224">
      <c r="A224" s="61"/>
      <c r="B224" s="15"/>
      <c r="C224" s="15"/>
      <c r="D224" s="15"/>
      <c r="E224" s="15"/>
      <c r="F224" s="15"/>
      <c r="G224" s="15"/>
      <c r="H224" s="15"/>
      <c r="I224" s="15"/>
      <c r="J224" s="15"/>
      <c r="K224" s="16"/>
    </row>
    <row r="225">
      <c r="A225" s="61"/>
      <c r="B225" s="15"/>
      <c r="C225" s="15"/>
      <c r="D225" s="15"/>
      <c r="E225" s="15"/>
      <c r="F225" s="15"/>
      <c r="G225" s="15"/>
      <c r="H225" s="15"/>
      <c r="I225" s="15"/>
      <c r="J225" s="15"/>
      <c r="K225" s="16"/>
    </row>
    <row r="226">
      <c r="A226" s="61"/>
      <c r="B226" s="15"/>
      <c r="C226" s="15"/>
      <c r="D226" s="15"/>
      <c r="E226" s="15"/>
      <c r="F226" s="15"/>
      <c r="G226" s="15"/>
      <c r="H226" s="15"/>
      <c r="I226" s="15"/>
      <c r="J226" s="15"/>
      <c r="K226" s="16"/>
    </row>
    <row r="227">
      <c r="A227" s="61"/>
      <c r="B227" s="15"/>
      <c r="C227" s="15"/>
      <c r="D227" s="15"/>
      <c r="E227" s="15"/>
      <c r="F227" s="15"/>
      <c r="G227" s="15"/>
      <c r="H227" s="15"/>
      <c r="I227" s="15"/>
      <c r="J227" s="15"/>
      <c r="K227" s="16"/>
    </row>
    <row r="228">
      <c r="A228" s="61"/>
      <c r="B228" s="15"/>
      <c r="C228" s="15"/>
      <c r="D228" s="15"/>
      <c r="E228" s="15"/>
      <c r="F228" s="15"/>
      <c r="G228" s="15"/>
      <c r="H228" s="15"/>
      <c r="I228" s="15"/>
      <c r="J228" s="15"/>
      <c r="K228" s="16"/>
    </row>
    <row r="229">
      <c r="A229" s="61"/>
      <c r="B229" s="15"/>
      <c r="C229" s="15"/>
      <c r="D229" s="15"/>
      <c r="E229" s="15"/>
      <c r="F229" s="15"/>
      <c r="G229" s="15"/>
      <c r="H229" s="15"/>
      <c r="I229" s="15"/>
      <c r="J229" s="15"/>
      <c r="K229" s="16"/>
    </row>
    <row r="230">
      <c r="A230" s="61"/>
      <c r="B230" s="15"/>
      <c r="C230" s="15"/>
      <c r="D230" s="15"/>
      <c r="E230" s="15"/>
      <c r="F230" s="15"/>
      <c r="G230" s="15"/>
      <c r="H230" s="15"/>
      <c r="I230" s="15"/>
      <c r="J230" s="15"/>
      <c r="K230" s="16"/>
    </row>
    <row r="231">
      <c r="A231" s="61"/>
      <c r="B231" s="15"/>
      <c r="C231" s="15"/>
      <c r="D231" s="15"/>
      <c r="E231" s="15"/>
      <c r="F231" s="15"/>
      <c r="G231" s="15"/>
      <c r="H231" s="15"/>
      <c r="I231" s="15"/>
      <c r="J231" s="15"/>
      <c r="K231" s="16"/>
    </row>
    <row r="232">
      <c r="A232" s="61"/>
      <c r="B232" s="15"/>
      <c r="C232" s="15"/>
      <c r="D232" s="15"/>
      <c r="E232" s="15"/>
      <c r="F232" s="15"/>
      <c r="G232" s="15"/>
      <c r="H232" s="15"/>
      <c r="I232" s="15"/>
      <c r="J232" s="15"/>
      <c r="K232" s="16"/>
    </row>
    <row r="233">
      <c r="A233" s="61"/>
      <c r="B233" s="15"/>
      <c r="C233" s="15"/>
      <c r="D233" s="15"/>
      <c r="E233" s="15"/>
      <c r="F233" s="15"/>
      <c r="G233" s="15"/>
      <c r="H233" s="15"/>
      <c r="I233" s="15"/>
      <c r="J233" s="15"/>
      <c r="K233" s="16"/>
    </row>
    <row r="234">
      <c r="A234" s="61"/>
      <c r="B234" s="15"/>
      <c r="C234" s="15"/>
      <c r="D234" s="15"/>
      <c r="E234" s="15"/>
      <c r="F234" s="15"/>
      <c r="G234" s="15"/>
      <c r="H234" s="15"/>
      <c r="I234" s="15"/>
      <c r="J234" s="15"/>
      <c r="K234" s="16"/>
    </row>
    <row r="235">
      <c r="A235" s="61"/>
      <c r="B235" s="15"/>
      <c r="C235" s="15"/>
      <c r="D235" s="15"/>
      <c r="E235" s="15"/>
      <c r="F235" s="15"/>
      <c r="G235" s="15"/>
      <c r="H235" s="15"/>
      <c r="I235" s="15"/>
      <c r="J235" s="15"/>
      <c r="K235" s="16"/>
    </row>
    <row r="236">
      <c r="A236" s="61"/>
      <c r="B236" s="15"/>
      <c r="C236" s="15"/>
      <c r="D236" s="15"/>
      <c r="E236" s="15"/>
      <c r="F236" s="15"/>
      <c r="G236" s="15"/>
      <c r="H236" s="15"/>
      <c r="I236" s="15"/>
      <c r="J236" s="15"/>
      <c r="K236" s="16"/>
    </row>
    <row r="237">
      <c r="A237" s="61"/>
      <c r="B237" s="15"/>
      <c r="C237" s="15"/>
      <c r="D237" s="15"/>
      <c r="E237" s="15"/>
      <c r="F237" s="15"/>
      <c r="G237" s="15"/>
      <c r="H237" s="15"/>
      <c r="I237" s="15"/>
      <c r="J237" s="15"/>
      <c r="K237" s="16"/>
    </row>
    <row r="238">
      <c r="A238" s="61"/>
      <c r="B238" s="15"/>
      <c r="C238" s="15"/>
      <c r="D238" s="15"/>
      <c r="E238" s="15"/>
      <c r="F238" s="15"/>
      <c r="G238" s="15"/>
      <c r="H238" s="15"/>
      <c r="I238" s="15"/>
      <c r="J238" s="15"/>
      <c r="K238" s="16"/>
    </row>
    <row r="239">
      <c r="A239" s="61"/>
      <c r="B239" s="15"/>
      <c r="C239" s="15"/>
      <c r="D239" s="15"/>
      <c r="E239" s="15"/>
      <c r="F239" s="15"/>
      <c r="G239" s="15"/>
      <c r="H239" s="15"/>
      <c r="I239" s="15"/>
      <c r="J239" s="15"/>
      <c r="K239" s="16"/>
    </row>
    <row r="240">
      <c r="A240" s="61"/>
      <c r="B240" s="15"/>
      <c r="C240" s="15"/>
      <c r="D240" s="15"/>
      <c r="E240" s="15"/>
      <c r="F240" s="15"/>
      <c r="G240" s="15"/>
      <c r="H240" s="15"/>
      <c r="I240" s="15"/>
      <c r="J240" s="15"/>
      <c r="K240" s="16"/>
    </row>
    <row r="241">
      <c r="A241" s="61"/>
      <c r="B241" s="15"/>
      <c r="C241" s="15"/>
      <c r="D241" s="15"/>
      <c r="E241" s="15"/>
      <c r="F241" s="15"/>
      <c r="G241" s="15"/>
      <c r="H241" s="15"/>
      <c r="I241" s="15"/>
      <c r="J241" s="15"/>
      <c r="K241" s="16"/>
    </row>
    <row r="242">
      <c r="A242" s="61"/>
      <c r="B242" s="15"/>
      <c r="C242" s="15"/>
      <c r="D242" s="15"/>
      <c r="E242" s="15"/>
      <c r="F242" s="15"/>
      <c r="G242" s="15"/>
      <c r="H242" s="15"/>
      <c r="I242" s="15"/>
      <c r="J242" s="15"/>
      <c r="K242" s="16"/>
    </row>
    <row r="243">
      <c r="A243" s="61"/>
      <c r="B243" s="15"/>
      <c r="C243" s="15"/>
      <c r="D243" s="15"/>
      <c r="E243" s="15"/>
      <c r="F243" s="15"/>
      <c r="G243" s="15"/>
      <c r="H243" s="15"/>
      <c r="I243" s="15"/>
      <c r="J243" s="15"/>
      <c r="K243" s="16"/>
    </row>
    <row r="244">
      <c r="A244" s="61"/>
      <c r="B244" s="15"/>
      <c r="C244" s="15"/>
      <c r="D244" s="15"/>
      <c r="E244" s="15"/>
      <c r="F244" s="15"/>
      <c r="G244" s="15"/>
      <c r="H244" s="15"/>
      <c r="I244" s="15"/>
      <c r="J244" s="15"/>
      <c r="K244" s="16"/>
    </row>
    <row r="245">
      <c r="A245" s="61"/>
      <c r="B245" s="15"/>
      <c r="C245" s="15"/>
      <c r="D245" s="15"/>
      <c r="E245" s="15"/>
      <c r="F245" s="15"/>
      <c r="G245" s="15"/>
      <c r="H245" s="15"/>
      <c r="I245" s="15"/>
      <c r="J245" s="15"/>
      <c r="K245" s="16"/>
    </row>
    <row r="246">
      <c r="A246" s="61"/>
      <c r="B246" s="15"/>
      <c r="C246" s="15"/>
      <c r="D246" s="15"/>
      <c r="E246" s="15"/>
      <c r="F246" s="15"/>
      <c r="G246" s="15"/>
      <c r="H246" s="15"/>
      <c r="I246" s="15"/>
      <c r="J246" s="15"/>
      <c r="K246" s="16"/>
    </row>
    <row r="247">
      <c r="A247" s="61"/>
      <c r="B247" s="15"/>
      <c r="C247" s="15"/>
      <c r="D247" s="15"/>
      <c r="E247" s="15"/>
      <c r="F247" s="15"/>
      <c r="G247" s="15"/>
      <c r="H247" s="15"/>
      <c r="I247" s="15"/>
      <c r="J247" s="15"/>
      <c r="K247" s="16"/>
    </row>
    <row r="248">
      <c r="A248" s="61"/>
      <c r="B248" s="15"/>
      <c r="C248" s="15"/>
      <c r="D248" s="15"/>
      <c r="E248" s="15"/>
      <c r="F248" s="15"/>
      <c r="G248" s="15"/>
      <c r="H248" s="15"/>
      <c r="I248" s="15"/>
      <c r="J248" s="15"/>
      <c r="K248" s="16"/>
    </row>
    <row r="249">
      <c r="A249" s="61"/>
      <c r="B249" s="15"/>
      <c r="C249" s="15"/>
      <c r="D249" s="15"/>
      <c r="E249" s="15"/>
      <c r="F249" s="15"/>
      <c r="G249" s="15"/>
      <c r="H249" s="15"/>
      <c r="I249" s="15"/>
      <c r="J249" s="15"/>
      <c r="K249" s="16"/>
    </row>
    <row r="250">
      <c r="A250" s="61"/>
      <c r="B250" s="15"/>
      <c r="C250" s="15"/>
      <c r="D250" s="15"/>
      <c r="E250" s="15"/>
      <c r="F250" s="15"/>
      <c r="G250" s="15"/>
      <c r="H250" s="15"/>
      <c r="I250" s="15"/>
      <c r="J250" s="15"/>
      <c r="K250" s="16"/>
    </row>
    <row r="251">
      <c r="A251" s="61"/>
      <c r="B251" s="15"/>
      <c r="C251" s="15"/>
      <c r="D251" s="15"/>
      <c r="E251" s="15"/>
      <c r="F251" s="15"/>
      <c r="G251" s="15"/>
      <c r="H251" s="15"/>
      <c r="I251" s="15"/>
      <c r="J251" s="15"/>
      <c r="K251" s="16"/>
    </row>
    <row r="252">
      <c r="A252" s="61"/>
      <c r="B252" s="15"/>
      <c r="C252" s="15"/>
      <c r="D252" s="15"/>
      <c r="E252" s="15"/>
      <c r="F252" s="15"/>
      <c r="G252" s="15"/>
      <c r="H252" s="15"/>
      <c r="I252" s="15"/>
      <c r="J252" s="15"/>
      <c r="K252" s="16"/>
    </row>
    <row r="253">
      <c r="A253" s="61"/>
      <c r="B253" s="15"/>
      <c r="C253" s="15"/>
      <c r="D253" s="15"/>
      <c r="E253" s="15"/>
      <c r="F253" s="15"/>
      <c r="G253" s="15"/>
      <c r="H253" s="15"/>
      <c r="I253" s="15"/>
      <c r="J253" s="15"/>
      <c r="K253" s="16"/>
    </row>
    <row r="254">
      <c r="A254" s="61"/>
      <c r="B254" s="15"/>
      <c r="C254" s="15"/>
      <c r="D254" s="15"/>
      <c r="E254" s="15"/>
      <c r="F254" s="15"/>
      <c r="G254" s="15"/>
      <c r="H254" s="15"/>
      <c r="I254" s="15"/>
      <c r="J254" s="15"/>
      <c r="K254" s="16"/>
    </row>
    <row r="255">
      <c r="A255" s="61"/>
      <c r="B255" s="15"/>
      <c r="C255" s="15"/>
      <c r="D255" s="15"/>
      <c r="E255" s="15"/>
      <c r="F255" s="15"/>
      <c r="G255" s="15"/>
      <c r="H255" s="15"/>
      <c r="I255" s="15"/>
      <c r="J255" s="15"/>
      <c r="K255" s="16"/>
    </row>
    <row r="256">
      <c r="A256" s="61"/>
      <c r="B256" s="15"/>
      <c r="C256" s="15"/>
      <c r="D256" s="15"/>
      <c r="E256" s="15"/>
      <c r="F256" s="15"/>
      <c r="G256" s="15"/>
      <c r="H256" s="15"/>
      <c r="I256" s="15"/>
      <c r="J256" s="15"/>
      <c r="K256" s="16"/>
    </row>
    <row r="257">
      <c r="A257" s="61"/>
      <c r="B257" s="15"/>
      <c r="C257" s="15"/>
      <c r="D257" s="15"/>
      <c r="E257" s="15"/>
      <c r="F257" s="15"/>
      <c r="G257" s="15"/>
      <c r="H257" s="15"/>
      <c r="I257" s="15"/>
      <c r="J257" s="15"/>
      <c r="K257" s="16"/>
    </row>
    <row r="258">
      <c r="A258" s="61"/>
      <c r="B258" s="15"/>
      <c r="C258" s="15"/>
      <c r="D258" s="15"/>
      <c r="E258" s="15"/>
      <c r="F258" s="15"/>
      <c r="G258" s="15"/>
      <c r="H258" s="15"/>
      <c r="I258" s="15"/>
      <c r="J258" s="15"/>
      <c r="K258" s="16"/>
    </row>
    <row r="259">
      <c r="A259" s="61"/>
      <c r="B259" s="15"/>
      <c r="C259" s="15"/>
      <c r="D259" s="15"/>
      <c r="E259" s="15"/>
      <c r="F259" s="15"/>
      <c r="G259" s="15"/>
      <c r="H259" s="15"/>
      <c r="I259" s="15"/>
      <c r="J259" s="15"/>
      <c r="K259" s="16"/>
    </row>
    <row r="260">
      <c r="A260" s="61"/>
      <c r="B260" s="15"/>
      <c r="C260" s="15"/>
      <c r="D260" s="15"/>
      <c r="E260" s="15"/>
      <c r="F260" s="15"/>
      <c r="G260" s="15"/>
      <c r="H260" s="15"/>
      <c r="I260" s="15"/>
      <c r="J260" s="15"/>
      <c r="K260" s="16"/>
    </row>
    <row r="261">
      <c r="A261" s="61"/>
      <c r="B261" s="15"/>
      <c r="C261" s="15"/>
      <c r="D261" s="15"/>
      <c r="E261" s="15"/>
      <c r="F261" s="15"/>
      <c r="G261" s="15"/>
      <c r="H261" s="15"/>
      <c r="I261" s="15"/>
      <c r="J261" s="15"/>
      <c r="K261" s="16"/>
    </row>
    <row r="262">
      <c r="A262" s="61"/>
      <c r="B262" s="15"/>
      <c r="C262" s="15"/>
      <c r="D262" s="15"/>
      <c r="E262" s="15"/>
      <c r="F262" s="15"/>
      <c r="G262" s="15"/>
      <c r="H262" s="15"/>
      <c r="I262" s="15"/>
      <c r="J262" s="15"/>
      <c r="K262" s="16"/>
    </row>
    <row r="263">
      <c r="A263" s="61"/>
      <c r="B263" s="15"/>
      <c r="C263" s="15"/>
      <c r="D263" s="15"/>
      <c r="E263" s="15"/>
      <c r="F263" s="15"/>
      <c r="G263" s="15"/>
      <c r="H263" s="15"/>
      <c r="I263" s="15"/>
      <c r="J263" s="15"/>
      <c r="K263" s="16"/>
    </row>
    <row r="264">
      <c r="A264" s="61"/>
      <c r="B264" s="15"/>
      <c r="C264" s="15"/>
      <c r="D264" s="15"/>
      <c r="E264" s="15"/>
      <c r="F264" s="15"/>
      <c r="G264" s="15"/>
      <c r="H264" s="15"/>
      <c r="I264" s="15"/>
      <c r="J264" s="15"/>
      <c r="K264" s="16"/>
    </row>
    <row r="265">
      <c r="A265" s="61"/>
      <c r="B265" s="15"/>
      <c r="C265" s="15"/>
      <c r="D265" s="15"/>
      <c r="E265" s="15"/>
      <c r="F265" s="15"/>
      <c r="G265" s="15"/>
      <c r="H265" s="15"/>
      <c r="I265" s="15"/>
      <c r="J265" s="15"/>
      <c r="K265" s="16"/>
    </row>
    <row r="266">
      <c r="A266" s="61"/>
      <c r="B266" s="15"/>
      <c r="C266" s="15"/>
      <c r="D266" s="15"/>
      <c r="E266" s="15"/>
      <c r="F266" s="15"/>
      <c r="G266" s="15"/>
      <c r="H266" s="15"/>
      <c r="I266" s="15"/>
      <c r="J266" s="15"/>
      <c r="K266" s="16"/>
    </row>
    <row r="267">
      <c r="A267" s="61"/>
      <c r="B267" s="15"/>
      <c r="C267" s="15"/>
      <c r="D267" s="15"/>
      <c r="E267" s="15"/>
      <c r="F267" s="15"/>
      <c r="G267" s="15"/>
      <c r="H267" s="15"/>
      <c r="I267" s="15"/>
      <c r="J267" s="15"/>
      <c r="K267" s="16"/>
    </row>
    <row r="268">
      <c r="A268" s="61"/>
      <c r="B268" s="15"/>
      <c r="C268" s="15"/>
      <c r="D268" s="15"/>
      <c r="E268" s="15"/>
      <c r="F268" s="15"/>
      <c r="G268" s="15"/>
      <c r="H268" s="15"/>
      <c r="I268" s="15"/>
      <c r="J268" s="15"/>
      <c r="K268" s="16"/>
    </row>
    <row r="269">
      <c r="A269" s="61"/>
      <c r="B269" s="15"/>
      <c r="C269" s="15"/>
      <c r="D269" s="15"/>
      <c r="E269" s="15"/>
      <c r="F269" s="15"/>
      <c r="G269" s="15"/>
      <c r="H269" s="15"/>
      <c r="I269" s="15"/>
      <c r="J269" s="15"/>
      <c r="K269" s="16"/>
    </row>
    <row r="270">
      <c r="A270" s="61"/>
      <c r="B270" s="15"/>
      <c r="C270" s="15"/>
      <c r="D270" s="15"/>
      <c r="E270" s="15"/>
      <c r="F270" s="15"/>
      <c r="G270" s="15"/>
      <c r="H270" s="15"/>
      <c r="I270" s="15"/>
      <c r="J270" s="15"/>
      <c r="K270" s="16"/>
    </row>
    <row r="271">
      <c r="A271" s="61"/>
      <c r="B271" s="15"/>
      <c r="C271" s="15"/>
      <c r="D271" s="15"/>
      <c r="E271" s="15"/>
      <c r="F271" s="15"/>
      <c r="G271" s="15"/>
      <c r="H271" s="15"/>
      <c r="I271" s="15"/>
      <c r="J271" s="15"/>
      <c r="K271" s="16"/>
    </row>
    <row r="272">
      <c r="A272" s="61"/>
      <c r="B272" s="15"/>
      <c r="C272" s="15"/>
      <c r="D272" s="15"/>
      <c r="E272" s="15"/>
      <c r="F272" s="15"/>
      <c r="G272" s="15"/>
      <c r="H272" s="15"/>
      <c r="I272" s="15"/>
      <c r="J272" s="15"/>
      <c r="K272" s="16"/>
    </row>
    <row r="273">
      <c r="A273" s="61"/>
      <c r="B273" s="15"/>
      <c r="C273" s="15"/>
      <c r="D273" s="15"/>
      <c r="E273" s="15"/>
      <c r="F273" s="15"/>
      <c r="G273" s="15"/>
      <c r="H273" s="15"/>
      <c r="I273" s="15"/>
      <c r="J273" s="15"/>
      <c r="K273" s="16"/>
    </row>
    <row r="274">
      <c r="A274" s="61"/>
      <c r="B274" s="15"/>
      <c r="C274" s="15"/>
      <c r="D274" s="15"/>
      <c r="E274" s="15"/>
      <c r="F274" s="15"/>
      <c r="G274" s="15"/>
      <c r="H274" s="15"/>
      <c r="I274" s="15"/>
      <c r="J274" s="15"/>
      <c r="K274" s="16"/>
    </row>
    <row r="275">
      <c r="A275" s="61"/>
      <c r="B275" s="15"/>
      <c r="C275" s="15"/>
      <c r="D275" s="15"/>
      <c r="E275" s="15"/>
      <c r="F275" s="15"/>
      <c r="G275" s="15"/>
      <c r="H275" s="15"/>
      <c r="I275" s="15"/>
      <c r="J275" s="15"/>
      <c r="K275" s="16"/>
    </row>
    <row r="276">
      <c r="A276" s="61"/>
      <c r="B276" s="15"/>
      <c r="C276" s="15"/>
      <c r="D276" s="15"/>
      <c r="E276" s="15"/>
      <c r="F276" s="15"/>
      <c r="G276" s="15"/>
      <c r="H276" s="15"/>
      <c r="I276" s="15"/>
      <c r="J276" s="15"/>
      <c r="K276" s="16"/>
    </row>
    <row r="277">
      <c r="A277" s="61"/>
      <c r="B277" s="15"/>
      <c r="C277" s="15"/>
      <c r="D277" s="15"/>
      <c r="E277" s="15"/>
      <c r="F277" s="15"/>
      <c r="G277" s="15"/>
      <c r="H277" s="15"/>
      <c r="I277" s="15"/>
      <c r="J277" s="15"/>
      <c r="K277" s="16"/>
    </row>
    <row r="278">
      <c r="A278" s="61"/>
      <c r="B278" s="15"/>
      <c r="C278" s="15"/>
      <c r="D278" s="15"/>
      <c r="E278" s="15"/>
      <c r="F278" s="15"/>
      <c r="G278" s="15"/>
      <c r="H278" s="15"/>
      <c r="I278" s="15"/>
      <c r="J278" s="15"/>
      <c r="K278" s="16"/>
    </row>
    <row r="279">
      <c r="A279" s="61"/>
      <c r="B279" s="15"/>
      <c r="C279" s="15"/>
      <c r="D279" s="15"/>
      <c r="E279" s="15"/>
      <c r="F279" s="15"/>
      <c r="G279" s="15"/>
      <c r="H279" s="15"/>
      <c r="I279" s="15"/>
      <c r="J279" s="15"/>
      <c r="K279" s="16"/>
    </row>
    <row r="280">
      <c r="A280" s="61"/>
      <c r="B280" s="15"/>
      <c r="C280" s="15"/>
      <c r="D280" s="15"/>
      <c r="E280" s="15"/>
      <c r="F280" s="15"/>
      <c r="G280" s="15"/>
      <c r="H280" s="15"/>
      <c r="I280" s="15"/>
      <c r="J280" s="15"/>
      <c r="K280" s="16"/>
    </row>
    <row r="281">
      <c r="A281" s="61"/>
      <c r="B281" s="15"/>
      <c r="C281" s="15"/>
      <c r="D281" s="15"/>
      <c r="E281" s="15"/>
      <c r="F281" s="15"/>
      <c r="G281" s="15"/>
      <c r="H281" s="15"/>
      <c r="I281" s="15"/>
      <c r="J281" s="15"/>
      <c r="K281" s="16"/>
    </row>
    <row r="282">
      <c r="A282" s="61"/>
      <c r="B282" s="15"/>
      <c r="C282" s="15"/>
      <c r="D282" s="15"/>
      <c r="E282" s="15"/>
      <c r="F282" s="15"/>
      <c r="G282" s="15"/>
      <c r="H282" s="15"/>
      <c r="I282" s="15"/>
      <c r="J282" s="15"/>
      <c r="K282" s="16"/>
    </row>
    <row r="283">
      <c r="A283" s="61"/>
      <c r="B283" s="15"/>
      <c r="C283" s="15"/>
      <c r="D283" s="15"/>
      <c r="E283" s="15"/>
      <c r="F283" s="15"/>
      <c r="G283" s="15"/>
      <c r="H283" s="15"/>
      <c r="I283" s="15"/>
      <c r="J283" s="15"/>
      <c r="K283" s="16"/>
    </row>
    <row r="284">
      <c r="A284" s="61"/>
      <c r="B284" s="15"/>
      <c r="C284" s="15"/>
      <c r="D284" s="15"/>
      <c r="E284" s="15"/>
      <c r="F284" s="15"/>
      <c r="G284" s="15"/>
      <c r="H284" s="15"/>
      <c r="I284" s="15"/>
      <c r="J284" s="15"/>
      <c r="K284" s="16"/>
    </row>
    <row r="285">
      <c r="A285" s="61"/>
      <c r="B285" s="15"/>
      <c r="C285" s="15"/>
      <c r="D285" s="15"/>
      <c r="E285" s="15"/>
      <c r="F285" s="15"/>
      <c r="G285" s="15"/>
      <c r="H285" s="15"/>
      <c r="I285" s="15"/>
      <c r="J285" s="15"/>
      <c r="K285" s="16"/>
    </row>
    <row r="286">
      <c r="A286" s="61"/>
      <c r="B286" s="15"/>
      <c r="C286" s="15"/>
      <c r="D286" s="15"/>
      <c r="E286" s="15"/>
      <c r="F286" s="15"/>
      <c r="G286" s="15"/>
      <c r="H286" s="15"/>
      <c r="I286" s="15"/>
      <c r="J286" s="15"/>
      <c r="K286" s="16"/>
    </row>
    <row r="287">
      <c r="A287" s="61"/>
      <c r="B287" s="15"/>
      <c r="C287" s="15"/>
      <c r="D287" s="15"/>
      <c r="E287" s="15"/>
      <c r="F287" s="15"/>
      <c r="G287" s="15"/>
      <c r="H287" s="15"/>
      <c r="I287" s="15"/>
      <c r="J287" s="15"/>
      <c r="K287" s="16"/>
    </row>
    <row r="288">
      <c r="A288" s="61"/>
      <c r="B288" s="15"/>
      <c r="C288" s="15"/>
      <c r="D288" s="15"/>
      <c r="E288" s="15"/>
      <c r="F288" s="15"/>
      <c r="G288" s="15"/>
      <c r="H288" s="15"/>
      <c r="I288" s="15"/>
      <c r="J288" s="15"/>
      <c r="K288" s="16"/>
    </row>
    <row r="289">
      <c r="A289" s="61"/>
      <c r="B289" s="15"/>
      <c r="C289" s="15"/>
      <c r="D289" s="15"/>
      <c r="E289" s="15"/>
      <c r="F289" s="15"/>
      <c r="G289" s="15"/>
      <c r="H289" s="15"/>
      <c r="I289" s="15"/>
      <c r="J289" s="15"/>
      <c r="K289" s="16"/>
    </row>
    <row r="290">
      <c r="A290" s="61"/>
      <c r="B290" s="15"/>
      <c r="C290" s="15"/>
      <c r="D290" s="15"/>
      <c r="E290" s="15"/>
      <c r="F290" s="15"/>
      <c r="G290" s="15"/>
      <c r="H290" s="15"/>
      <c r="I290" s="15"/>
      <c r="J290" s="15"/>
      <c r="K290" s="16"/>
    </row>
    <row r="291">
      <c r="A291" s="61"/>
      <c r="B291" s="15"/>
      <c r="C291" s="15"/>
      <c r="D291" s="15"/>
      <c r="E291" s="15"/>
      <c r="F291" s="15"/>
      <c r="G291" s="15"/>
      <c r="H291" s="15"/>
      <c r="I291" s="15"/>
      <c r="J291" s="15"/>
      <c r="K291" s="16"/>
    </row>
    <row r="292">
      <c r="A292" s="61"/>
      <c r="B292" s="15"/>
      <c r="C292" s="15"/>
      <c r="D292" s="15"/>
      <c r="E292" s="15"/>
      <c r="F292" s="15"/>
      <c r="G292" s="15"/>
      <c r="H292" s="15"/>
      <c r="I292" s="15"/>
      <c r="J292" s="15"/>
      <c r="K292" s="16"/>
    </row>
    <row r="293">
      <c r="A293" s="61"/>
      <c r="B293" s="15"/>
      <c r="C293" s="15"/>
      <c r="D293" s="15"/>
      <c r="E293" s="15"/>
      <c r="F293" s="15"/>
      <c r="G293" s="15"/>
      <c r="H293" s="15"/>
      <c r="I293" s="15"/>
      <c r="J293" s="15"/>
      <c r="K293" s="16"/>
    </row>
    <row r="294">
      <c r="A294" s="61"/>
      <c r="B294" s="15"/>
      <c r="C294" s="15"/>
      <c r="D294" s="15"/>
      <c r="E294" s="15"/>
      <c r="F294" s="15"/>
      <c r="G294" s="15"/>
      <c r="H294" s="15"/>
      <c r="I294" s="15"/>
      <c r="J294" s="15"/>
      <c r="K294" s="16"/>
    </row>
    <row r="295">
      <c r="A295" s="61"/>
      <c r="B295" s="15"/>
      <c r="C295" s="15"/>
      <c r="D295" s="15"/>
      <c r="E295" s="15"/>
      <c r="F295" s="15"/>
      <c r="G295" s="15"/>
      <c r="H295" s="15"/>
      <c r="I295" s="15"/>
      <c r="J295" s="15"/>
      <c r="K295" s="16"/>
    </row>
    <row r="296">
      <c r="A296" s="61"/>
      <c r="B296" s="15"/>
      <c r="C296" s="15"/>
      <c r="D296" s="15"/>
      <c r="E296" s="15"/>
      <c r="F296" s="15"/>
      <c r="G296" s="15"/>
      <c r="H296" s="15"/>
      <c r="I296" s="15"/>
      <c r="J296" s="15"/>
      <c r="K296" s="16"/>
    </row>
    <row r="297">
      <c r="A297" s="61"/>
      <c r="B297" s="15"/>
      <c r="C297" s="15"/>
      <c r="D297" s="15"/>
      <c r="E297" s="15"/>
      <c r="F297" s="15"/>
      <c r="G297" s="15"/>
      <c r="H297" s="15"/>
      <c r="I297" s="15"/>
      <c r="J297" s="15"/>
      <c r="K297" s="16"/>
    </row>
    <row r="298">
      <c r="A298" s="61"/>
      <c r="B298" s="15"/>
      <c r="C298" s="15"/>
      <c r="D298" s="15"/>
      <c r="E298" s="15"/>
      <c r="F298" s="15"/>
      <c r="G298" s="15"/>
      <c r="H298" s="15"/>
      <c r="I298" s="15"/>
      <c r="J298" s="15"/>
      <c r="K298" s="16"/>
    </row>
    <row r="299">
      <c r="A299" s="61"/>
      <c r="B299" s="15"/>
      <c r="C299" s="15"/>
      <c r="D299" s="15"/>
      <c r="E299" s="15"/>
      <c r="F299" s="15"/>
      <c r="G299" s="15"/>
      <c r="H299" s="15"/>
      <c r="I299" s="15"/>
      <c r="J299" s="15"/>
      <c r="K299" s="16"/>
    </row>
    <row r="300">
      <c r="A300" s="61"/>
      <c r="B300" s="15"/>
      <c r="C300" s="15"/>
      <c r="D300" s="15"/>
      <c r="E300" s="15"/>
      <c r="F300" s="15"/>
      <c r="G300" s="15"/>
      <c r="H300" s="15"/>
      <c r="I300" s="15"/>
      <c r="J300" s="15"/>
      <c r="K300" s="16"/>
    </row>
    <row r="301">
      <c r="A301" s="61"/>
      <c r="B301" s="15"/>
      <c r="C301" s="15"/>
      <c r="D301" s="15"/>
      <c r="E301" s="15"/>
      <c r="F301" s="15"/>
      <c r="G301" s="15"/>
      <c r="H301" s="15"/>
      <c r="I301" s="15"/>
      <c r="J301" s="15"/>
      <c r="K301" s="16"/>
    </row>
    <row r="302">
      <c r="A302" s="61"/>
      <c r="B302" s="15"/>
      <c r="C302" s="15"/>
      <c r="D302" s="15"/>
      <c r="E302" s="15"/>
      <c r="F302" s="15"/>
      <c r="G302" s="15"/>
      <c r="H302" s="15"/>
      <c r="I302" s="15"/>
      <c r="J302" s="15"/>
      <c r="K302" s="16"/>
    </row>
    <row r="303">
      <c r="A303" s="61"/>
      <c r="B303" s="15"/>
      <c r="C303" s="15"/>
      <c r="D303" s="15"/>
      <c r="E303" s="15"/>
      <c r="F303" s="15"/>
      <c r="G303" s="15"/>
      <c r="H303" s="15"/>
      <c r="I303" s="15"/>
      <c r="J303" s="15"/>
      <c r="K303" s="16"/>
    </row>
    <row r="304">
      <c r="A304" s="61"/>
      <c r="B304" s="15"/>
      <c r="C304" s="15"/>
      <c r="D304" s="15"/>
      <c r="E304" s="15"/>
      <c r="F304" s="15"/>
      <c r="G304" s="15"/>
      <c r="H304" s="15"/>
      <c r="I304" s="15"/>
      <c r="J304" s="15"/>
      <c r="K304" s="16"/>
    </row>
    <row r="305">
      <c r="A305" s="61"/>
      <c r="B305" s="15"/>
      <c r="C305" s="15"/>
      <c r="D305" s="15"/>
      <c r="E305" s="15"/>
      <c r="F305" s="15"/>
      <c r="G305" s="15"/>
      <c r="H305" s="15"/>
      <c r="I305" s="15"/>
      <c r="J305" s="15"/>
      <c r="K305" s="16"/>
    </row>
    <row r="306">
      <c r="A306" s="61"/>
      <c r="B306" s="15"/>
      <c r="C306" s="15"/>
      <c r="D306" s="15"/>
      <c r="E306" s="15"/>
      <c r="F306" s="15"/>
      <c r="G306" s="15"/>
      <c r="H306" s="15"/>
      <c r="I306" s="15"/>
      <c r="J306" s="15"/>
      <c r="K306" s="16"/>
    </row>
    <row r="307">
      <c r="A307" s="61"/>
      <c r="B307" s="15"/>
      <c r="C307" s="15"/>
      <c r="D307" s="15"/>
      <c r="E307" s="15"/>
      <c r="F307" s="15"/>
      <c r="G307" s="15"/>
      <c r="H307" s="15"/>
      <c r="I307" s="15"/>
      <c r="J307" s="15"/>
      <c r="K307" s="16"/>
    </row>
    <row r="308">
      <c r="A308" s="61"/>
      <c r="B308" s="15"/>
      <c r="C308" s="15"/>
      <c r="D308" s="15"/>
      <c r="E308" s="15"/>
      <c r="F308" s="15"/>
      <c r="G308" s="15"/>
      <c r="H308" s="15"/>
      <c r="I308" s="15"/>
      <c r="J308" s="15"/>
      <c r="K308" s="16"/>
    </row>
    <row r="309">
      <c r="A309" s="61"/>
      <c r="B309" s="15"/>
      <c r="C309" s="15"/>
      <c r="D309" s="15"/>
      <c r="E309" s="15"/>
      <c r="F309" s="15"/>
      <c r="G309" s="15"/>
      <c r="H309" s="15"/>
      <c r="I309" s="15"/>
      <c r="J309" s="15"/>
      <c r="K309" s="16"/>
    </row>
    <row r="310">
      <c r="A310" s="61"/>
      <c r="B310" s="15"/>
      <c r="C310" s="15"/>
      <c r="D310" s="15"/>
      <c r="E310" s="15"/>
      <c r="F310" s="15"/>
      <c r="G310" s="15"/>
      <c r="H310" s="15"/>
      <c r="I310" s="15"/>
      <c r="J310" s="15"/>
      <c r="K310" s="16"/>
    </row>
    <row r="311">
      <c r="A311" s="61"/>
      <c r="B311" s="15"/>
      <c r="C311" s="15"/>
      <c r="D311" s="15"/>
      <c r="E311" s="15"/>
      <c r="F311" s="15"/>
      <c r="G311" s="15"/>
      <c r="H311" s="15"/>
      <c r="I311" s="15"/>
      <c r="J311" s="15"/>
      <c r="K311" s="16"/>
    </row>
    <row r="312">
      <c r="A312" s="61"/>
      <c r="B312" s="15"/>
      <c r="C312" s="15"/>
      <c r="D312" s="15"/>
      <c r="E312" s="15"/>
      <c r="F312" s="15"/>
      <c r="G312" s="15"/>
      <c r="H312" s="15"/>
      <c r="I312" s="15"/>
      <c r="J312" s="15"/>
      <c r="K312" s="16"/>
    </row>
    <row r="313">
      <c r="A313" s="61"/>
      <c r="B313" s="15"/>
      <c r="C313" s="15"/>
      <c r="D313" s="15"/>
      <c r="E313" s="15"/>
      <c r="F313" s="15"/>
      <c r="G313" s="15"/>
      <c r="H313" s="15"/>
      <c r="I313" s="15"/>
      <c r="J313" s="15"/>
      <c r="K313" s="16"/>
    </row>
    <row r="314">
      <c r="A314" s="61"/>
      <c r="B314" s="15"/>
      <c r="C314" s="15"/>
      <c r="D314" s="15"/>
      <c r="E314" s="15"/>
      <c r="F314" s="15"/>
      <c r="G314" s="15"/>
      <c r="H314" s="15"/>
      <c r="I314" s="15"/>
      <c r="J314" s="15"/>
      <c r="K314" s="16"/>
    </row>
    <row r="315">
      <c r="A315" s="61"/>
      <c r="B315" s="15"/>
      <c r="C315" s="15"/>
      <c r="D315" s="15"/>
      <c r="E315" s="15"/>
      <c r="F315" s="15"/>
      <c r="G315" s="15"/>
      <c r="H315" s="15"/>
      <c r="I315" s="15"/>
      <c r="J315" s="15"/>
      <c r="K315" s="16"/>
    </row>
    <row r="316">
      <c r="A316" s="61"/>
      <c r="B316" s="15"/>
      <c r="C316" s="15"/>
      <c r="D316" s="15"/>
      <c r="E316" s="15"/>
      <c r="F316" s="15"/>
      <c r="G316" s="15"/>
      <c r="H316" s="15"/>
      <c r="I316" s="15"/>
      <c r="J316" s="15"/>
      <c r="K316" s="16"/>
    </row>
    <row r="317">
      <c r="A317" s="61"/>
      <c r="B317" s="15"/>
      <c r="C317" s="15"/>
      <c r="D317" s="15"/>
      <c r="E317" s="15"/>
      <c r="F317" s="15"/>
      <c r="G317" s="15"/>
      <c r="H317" s="15"/>
      <c r="I317" s="15"/>
      <c r="J317" s="15"/>
      <c r="K317" s="16"/>
    </row>
    <row r="318">
      <c r="A318" s="61"/>
      <c r="B318" s="15"/>
      <c r="C318" s="15"/>
      <c r="D318" s="15"/>
      <c r="E318" s="15"/>
      <c r="F318" s="15"/>
      <c r="G318" s="15"/>
      <c r="H318" s="15"/>
      <c r="I318" s="15"/>
      <c r="J318" s="15"/>
      <c r="K318" s="16"/>
    </row>
    <row r="319">
      <c r="A319" s="61"/>
      <c r="B319" s="15"/>
      <c r="C319" s="15"/>
      <c r="D319" s="15"/>
      <c r="E319" s="15"/>
      <c r="F319" s="15"/>
      <c r="G319" s="15"/>
      <c r="H319" s="15"/>
      <c r="I319" s="15"/>
      <c r="J319" s="15"/>
      <c r="K319" s="16"/>
    </row>
    <row r="320">
      <c r="A320" s="61"/>
      <c r="B320" s="15"/>
      <c r="C320" s="15"/>
      <c r="D320" s="15"/>
      <c r="E320" s="15"/>
      <c r="F320" s="15"/>
      <c r="G320" s="15"/>
      <c r="H320" s="15"/>
      <c r="I320" s="15"/>
      <c r="J320" s="15"/>
      <c r="K320" s="16"/>
    </row>
    <row r="321">
      <c r="A321" s="61"/>
      <c r="B321" s="15"/>
      <c r="C321" s="15"/>
      <c r="D321" s="15"/>
      <c r="E321" s="15"/>
      <c r="F321" s="15"/>
      <c r="G321" s="15"/>
      <c r="H321" s="15"/>
      <c r="I321" s="15"/>
      <c r="J321" s="15"/>
      <c r="K321" s="16"/>
    </row>
    <row r="322">
      <c r="A322" s="61"/>
      <c r="B322" s="15"/>
      <c r="C322" s="15"/>
      <c r="D322" s="15"/>
      <c r="E322" s="15"/>
      <c r="F322" s="15"/>
      <c r="G322" s="15"/>
      <c r="H322" s="15"/>
      <c r="I322" s="15"/>
      <c r="J322" s="15"/>
      <c r="K322" s="16"/>
    </row>
    <row r="323">
      <c r="A323" s="61"/>
      <c r="B323" s="15"/>
      <c r="C323" s="15"/>
      <c r="D323" s="15"/>
      <c r="E323" s="15"/>
      <c r="F323" s="15"/>
      <c r="G323" s="15"/>
      <c r="H323" s="15"/>
      <c r="I323" s="15"/>
      <c r="J323" s="15"/>
      <c r="K323" s="16"/>
    </row>
    <row r="324">
      <c r="A324" s="61"/>
      <c r="B324" s="15"/>
      <c r="C324" s="15"/>
      <c r="D324" s="15"/>
      <c r="E324" s="15"/>
      <c r="F324" s="15"/>
      <c r="G324" s="15"/>
      <c r="H324" s="15"/>
      <c r="I324" s="15"/>
      <c r="J324" s="15"/>
      <c r="K324" s="16"/>
    </row>
    <row r="325">
      <c r="A325" s="61"/>
      <c r="B325" s="15"/>
      <c r="C325" s="15"/>
      <c r="D325" s="15"/>
      <c r="E325" s="15"/>
      <c r="F325" s="15"/>
      <c r="G325" s="15"/>
      <c r="H325" s="15"/>
      <c r="I325" s="15"/>
      <c r="J325" s="15"/>
      <c r="K325" s="16"/>
    </row>
    <row r="326">
      <c r="A326" s="61"/>
      <c r="B326" s="15"/>
      <c r="C326" s="15"/>
      <c r="D326" s="15"/>
      <c r="E326" s="15"/>
      <c r="F326" s="15"/>
      <c r="G326" s="15"/>
      <c r="H326" s="15"/>
      <c r="I326" s="15"/>
      <c r="J326" s="15"/>
      <c r="K326" s="16"/>
    </row>
    <row r="327">
      <c r="A327" s="61"/>
      <c r="B327" s="15"/>
      <c r="C327" s="15"/>
      <c r="D327" s="15"/>
      <c r="E327" s="15"/>
      <c r="F327" s="15"/>
      <c r="G327" s="15"/>
      <c r="H327" s="15"/>
      <c r="I327" s="15"/>
      <c r="J327" s="15"/>
      <c r="K327" s="16"/>
    </row>
    <row r="328">
      <c r="A328" s="61"/>
      <c r="B328" s="15"/>
      <c r="C328" s="15"/>
      <c r="D328" s="15"/>
      <c r="E328" s="15"/>
      <c r="F328" s="15"/>
      <c r="G328" s="15"/>
      <c r="H328" s="15"/>
      <c r="I328" s="15"/>
      <c r="J328" s="15"/>
      <c r="K328" s="16"/>
    </row>
    <row r="329">
      <c r="A329" s="61"/>
      <c r="B329" s="15"/>
      <c r="C329" s="15"/>
      <c r="D329" s="15"/>
      <c r="E329" s="15"/>
      <c r="F329" s="15"/>
      <c r="G329" s="15"/>
      <c r="H329" s="15"/>
      <c r="I329" s="15"/>
      <c r="J329" s="15"/>
      <c r="K329" s="16"/>
    </row>
    <row r="330">
      <c r="A330" s="61"/>
      <c r="B330" s="15"/>
      <c r="C330" s="15"/>
      <c r="D330" s="15"/>
      <c r="E330" s="15"/>
      <c r="F330" s="15"/>
      <c r="G330" s="15"/>
      <c r="H330" s="15"/>
      <c r="I330" s="15"/>
      <c r="J330" s="15"/>
      <c r="K330" s="16"/>
    </row>
    <row r="331">
      <c r="A331" s="61"/>
      <c r="B331" s="15"/>
      <c r="C331" s="15"/>
      <c r="D331" s="15"/>
      <c r="E331" s="15"/>
      <c r="F331" s="15"/>
      <c r="G331" s="15"/>
      <c r="H331" s="15"/>
      <c r="I331" s="15"/>
      <c r="J331" s="15"/>
      <c r="K331" s="16"/>
    </row>
    <row r="332">
      <c r="A332" s="61"/>
      <c r="B332" s="15"/>
      <c r="C332" s="15"/>
      <c r="D332" s="15"/>
      <c r="E332" s="15"/>
      <c r="F332" s="15"/>
      <c r="G332" s="15"/>
      <c r="H332" s="15"/>
      <c r="I332" s="15"/>
      <c r="J332" s="15"/>
      <c r="K332" s="16"/>
    </row>
    <row r="333">
      <c r="A333" s="61"/>
      <c r="B333" s="15"/>
      <c r="C333" s="15"/>
      <c r="D333" s="15"/>
      <c r="E333" s="15"/>
      <c r="F333" s="15"/>
      <c r="G333" s="15"/>
      <c r="H333" s="15"/>
      <c r="I333" s="15"/>
      <c r="J333" s="15"/>
      <c r="K333" s="16"/>
    </row>
    <row r="334">
      <c r="A334" s="61"/>
      <c r="B334" s="15"/>
      <c r="C334" s="15"/>
      <c r="D334" s="15"/>
      <c r="E334" s="15"/>
      <c r="F334" s="15"/>
      <c r="G334" s="15"/>
      <c r="H334" s="15"/>
      <c r="I334" s="15"/>
      <c r="J334" s="15"/>
      <c r="K334" s="16"/>
    </row>
    <row r="335">
      <c r="A335" s="61"/>
      <c r="B335" s="15"/>
      <c r="C335" s="15"/>
      <c r="D335" s="15"/>
      <c r="E335" s="15"/>
      <c r="F335" s="15"/>
      <c r="G335" s="15"/>
      <c r="H335" s="15"/>
      <c r="I335" s="15"/>
      <c r="J335" s="15"/>
      <c r="K335" s="16"/>
    </row>
    <row r="336">
      <c r="A336" s="61"/>
      <c r="B336" s="15"/>
      <c r="C336" s="15"/>
      <c r="D336" s="15"/>
      <c r="E336" s="15"/>
      <c r="F336" s="15"/>
      <c r="G336" s="15"/>
      <c r="H336" s="15"/>
      <c r="I336" s="15"/>
      <c r="J336" s="15"/>
      <c r="K336" s="16"/>
    </row>
    <row r="337">
      <c r="A337" s="61"/>
      <c r="B337" s="15"/>
      <c r="C337" s="15"/>
      <c r="D337" s="15"/>
      <c r="E337" s="15"/>
      <c r="F337" s="15"/>
      <c r="G337" s="15"/>
      <c r="H337" s="15"/>
      <c r="I337" s="15"/>
      <c r="J337" s="15"/>
      <c r="K337" s="16"/>
    </row>
    <row r="338">
      <c r="A338" s="61"/>
      <c r="B338" s="15"/>
      <c r="C338" s="15"/>
      <c r="D338" s="15"/>
      <c r="E338" s="15"/>
      <c r="F338" s="15"/>
      <c r="G338" s="15"/>
      <c r="H338" s="15"/>
      <c r="I338" s="15"/>
      <c r="J338" s="15"/>
      <c r="K338" s="16"/>
    </row>
    <row r="339">
      <c r="A339" s="61"/>
      <c r="B339" s="15"/>
      <c r="C339" s="15"/>
      <c r="D339" s="15"/>
      <c r="E339" s="15"/>
      <c r="F339" s="15"/>
      <c r="G339" s="15"/>
      <c r="H339" s="15"/>
      <c r="I339" s="15"/>
      <c r="J339" s="15"/>
      <c r="K339" s="16"/>
    </row>
    <row r="340">
      <c r="A340" s="61"/>
      <c r="B340" s="15"/>
      <c r="C340" s="15"/>
      <c r="D340" s="15"/>
      <c r="E340" s="15"/>
      <c r="F340" s="15"/>
      <c r="G340" s="15"/>
      <c r="H340" s="15"/>
      <c r="I340" s="15"/>
      <c r="J340" s="15"/>
      <c r="K340" s="16"/>
    </row>
    <row r="341">
      <c r="A341" s="61"/>
      <c r="B341" s="15"/>
      <c r="C341" s="15"/>
      <c r="D341" s="15"/>
      <c r="E341" s="15"/>
      <c r="F341" s="15"/>
      <c r="G341" s="15"/>
      <c r="H341" s="15"/>
      <c r="I341" s="15"/>
      <c r="J341" s="15"/>
      <c r="K341" s="16"/>
    </row>
    <row r="342">
      <c r="A342" s="61"/>
      <c r="B342" s="15"/>
      <c r="C342" s="15"/>
      <c r="D342" s="15"/>
      <c r="E342" s="15"/>
      <c r="F342" s="15"/>
      <c r="G342" s="15"/>
      <c r="H342" s="15"/>
      <c r="I342" s="15"/>
      <c r="J342" s="15"/>
      <c r="K342" s="16"/>
    </row>
    <row r="343">
      <c r="A343" s="61"/>
      <c r="B343" s="15"/>
      <c r="C343" s="15"/>
      <c r="D343" s="15"/>
      <c r="E343" s="15"/>
      <c r="F343" s="15"/>
      <c r="G343" s="15"/>
      <c r="H343" s="15"/>
      <c r="I343" s="15"/>
      <c r="J343" s="15"/>
      <c r="K343" s="16"/>
    </row>
    <row r="344">
      <c r="A344" s="61"/>
      <c r="B344" s="15"/>
      <c r="C344" s="15"/>
      <c r="D344" s="15"/>
      <c r="E344" s="15"/>
      <c r="F344" s="15"/>
      <c r="G344" s="15"/>
      <c r="H344" s="15"/>
      <c r="I344" s="15"/>
      <c r="J344" s="15"/>
      <c r="K344" s="16"/>
    </row>
    <row r="345">
      <c r="A345" s="61"/>
      <c r="B345" s="15"/>
      <c r="C345" s="15"/>
      <c r="D345" s="15"/>
      <c r="E345" s="15"/>
      <c r="F345" s="15"/>
      <c r="G345" s="15"/>
      <c r="H345" s="15"/>
      <c r="I345" s="15"/>
      <c r="J345" s="15"/>
      <c r="K345" s="16"/>
    </row>
    <row r="346">
      <c r="A346" s="61"/>
      <c r="B346" s="15"/>
      <c r="C346" s="15"/>
      <c r="D346" s="15"/>
      <c r="E346" s="15"/>
      <c r="F346" s="15"/>
      <c r="G346" s="15"/>
      <c r="H346" s="15"/>
      <c r="I346" s="15"/>
      <c r="J346" s="15"/>
      <c r="K346" s="16"/>
    </row>
    <row r="347">
      <c r="A347" s="61"/>
      <c r="B347" s="15"/>
      <c r="C347" s="15"/>
      <c r="D347" s="15"/>
      <c r="E347" s="15"/>
      <c r="F347" s="15"/>
      <c r="G347" s="15"/>
      <c r="H347" s="15"/>
      <c r="I347" s="15"/>
      <c r="J347" s="15"/>
      <c r="K347" s="16"/>
    </row>
    <row r="348">
      <c r="A348" s="61"/>
      <c r="B348" s="15"/>
      <c r="C348" s="15"/>
      <c r="D348" s="15"/>
      <c r="E348" s="15"/>
      <c r="F348" s="15"/>
      <c r="G348" s="15"/>
      <c r="H348" s="15"/>
      <c r="I348" s="15"/>
      <c r="J348" s="15"/>
      <c r="K348" s="16"/>
    </row>
    <row r="349">
      <c r="A349" s="61"/>
      <c r="B349" s="15"/>
      <c r="C349" s="15"/>
      <c r="D349" s="15"/>
      <c r="E349" s="15"/>
      <c r="F349" s="15"/>
      <c r="G349" s="15"/>
      <c r="H349" s="15"/>
      <c r="I349" s="15"/>
      <c r="J349" s="15"/>
      <c r="K349" s="16"/>
    </row>
    <row r="350">
      <c r="A350" s="61"/>
      <c r="B350" s="15"/>
      <c r="C350" s="15"/>
      <c r="D350" s="15"/>
      <c r="E350" s="15"/>
      <c r="F350" s="15"/>
      <c r="G350" s="15"/>
      <c r="H350" s="15"/>
      <c r="I350" s="15"/>
      <c r="J350" s="15"/>
      <c r="K350" s="16"/>
    </row>
    <row r="351">
      <c r="A351" s="61"/>
      <c r="B351" s="15"/>
      <c r="C351" s="15"/>
      <c r="D351" s="15"/>
      <c r="E351" s="15"/>
      <c r="F351" s="15"/>
      <c r="G351" s="15"/>
      <c r="H351" s="15"/>
      <c r="I351" s="15"/>
      <c r="J351" s="15"/>
      <c r="K351" s="16"/>
    </row>
    <row r="352">
      <c r="A352" s="61"/>
      <c r="B352" s="15"/>
      <c r="C352" s="15"/>
      <c r="D352" s="15"/>
      <c r="E352" s="15"/>
      <c r="F352" s="15"/>
      <c r="G352" s="15"/>
      <c r="H352" s="15"/>
      <c r="I352" s="15"/>
      <c r="J352" s="15"/>
      <c r="K352" s="16"/>
    </row>
    <row r="353">
      <c r="A353" s="61"/>
      <c r="B353" s="15"/>
      <c r="C353" s="15"/>
      <c r="D353" s="15"/>
      <c r="E353" s="15"/>
      <c r="F353" s="15"/>
      <c r="G353" s="15"/>
      <c r="H353" s="15"/>
      <c r="I353" s="15"/>
      <c r="J353" s="15"/>
      <c r="K353" s="16"/>
    </row>
    <row r="354">
      <c r="A354" s="61"/>
      <c r="B354" s="15"/>
      <c r="C354" s="15"/>
      <c r="D354" s="15"/>
      <c r="E354" s="15"/>
      <c r="F354" s="15"/>
      <c r="G354" s="15"/>
      <c r="H354" s="15"/>
      <c r="I354" s="15"/>
      <c r="J354" s="15"/>
      <c r="K354" s="16"/>
    </row>
    <row r="355">
      <c r="A355" s="61"/>
      <c r="B355" s="15"/>
      <c r="C355" s="15"/>
      <c r="D355" s="15"/>
      <c r="E355" s="15"/>
      <c r="F355" s="15"/>
      <c r="G355" s="15"/>
      <c r="H355" s="15"/>
      <c r="I355" s="15"/>
      <c r="J355" s="15"/>
      <c r="K355" s="16"/>
    </row>
    <row r="356">
      <c r="A356" s="61"/>
      <c r="B356" s="15"/>
      <c r="C356" s="15"/>
      <c r="D356" s="15"/>
      <c r="E356" s="15"/>
      <c r="F356" s="15"/>
      <c r="G356" s="15"/>
      <c r="H356" s="15"/>
      <c r="I356" s="15"/>
      <c r="J356" s="15"/>
      <c r="K356" s="16"/>
    </row>
    <row r="357">
      <c r="A357" s="61"/>
      <c r="B357" s="15"/>
      <c r="C357" s="15"/>
      <c r="D357" s="15"/>
      <c r="E357" s="15"/>
      <c r="F357" s="15"/>
      <c r="G357" s="15"/>
      <c r="H357" s="15"/>
      <c r="I357" s="15"/>
      <c r="J357" s="15"/>
      <c r="K357" s="16"/>
    </row>
    <row r="358">
      <c r="A358" s="61"/>
      <c r="B358" s="15"/>
      <c r="C358" s="15"/>
      <c r="D358" s="15"/>
      <c r="E358" s="15"/>
      <c r="F358" s="15"/>
      <c r="G358" s="15"/>
      <c r="H358" s="15"/>
      <c r="I358" s="15"/>
      <c r="J358" s="15"/>
      <c r="K358" s="16"/>
    </row>
    <row r="359">
      <c r="A359" s="61"/>
      <c r="B359" s="15"/>
      <c r="C359" s="15"/>
      <c r="D359" s="15"/>
      <c r="E359" s="15"/>
      <c r="F359" s="15"/>
      <c r="G359" s="15"/>
      <c r="H359" s="15"/>
      <c r="I359" s="15"/>
      <c r="J359" s="15"/>
      <c r="K359" s="16"/>
    </row>
    <row r="360">
      <c r="A360" s="61"/>
      <c r="B360" s="15"/>
      <c r="C360" s="15"/>
      <c r="D360" s="15"/>
      <c r="E360" s="15"/>
      <c r="F360" s="15"/>
      <c r="G360" s="15"/>
      <c r="H360" s="15"/>
      <c r="I360" s="15"/>
      <c r="J360" s="15"/>
      <c r="K360" s="16"/>
    </row>
    <row r="361">
      <c r="A361" s="61"/>
      <c r="B361" s="15"/>
      <c r="C361" s="15"/>
      <c r="D361" s="15"/>
      <c r="E361" s="15"/>
      <c r="F361" s="15"/>
      <c r="G361" s="15"/>
      <c r="H361" s="15"/>
      <c r="I361" s="15"/>
      <c r="J361" s="15"/>
      <c r="K361" s="16"/>
    </row>
    <row r="362">
      <c r="A362" s="61"/>
      <c r="B362" s="15"/>
      <c r="C362" s="15"/>
      <c r="D362" s="15"/>
      <c r="E362" s="15"/>
      <c r="F362" s="15"/>
      <c r="G362" s="15"/>
      <c r="H362" s="15"/>
      <c r="I362" s="15"/>
      <c r="J362" s="15"/>
      <c r="K362" s="16"/>
    </row>
    <row r="363">
      <c r="A363" s="61"/>
      <c r="B363" s="15"/>
      <c r="C363" s="15"/>
      <c r="D363" s="15"/>
      <c r="E363" s="15"/>
      <c r="F363" s="15"/>
      <c r="G363" s="15"/>
      <c r="H363" s="15"/>
      <c r="I363" s="15"/>
      <c r="J363" s="15"/>
      <c r="K363" s="16"/>
    </row>
    <row r="364">
      <c r="A364" s="61"/>
      <c r="B364" s="15"/>
      <c r="C364" s="15"/>
      <c r="D364" s="15"/>
      <c r="E364" s="15"/>
      <c r="F364" s="15"/>
      <c r="G364" s="15"/>
      <c r="H364" s="15"/>
      <c r="I364" s="15"/>
      <c r="J364" s="15"/>
      <c r="K364" s="16"/>
    </row>
    <row r="365">
      <c r="A365" s="61"/>
      <c r="B365" s="15"/>
      <c r="C365" s="15"/>
      <c r="D365" s="15"/>
      <c r="E365" s="15"/>
      <c r="F365" s="15"/>
      <c r="G365" s="15"/>
      <c r="H365" s="15"/>
      <c r="I365" s="15"/>
      <c r="J365" s="15"/>
      <c r="K365" s="16"/>
    </row>
    <row r="366">
      <c r="A366" s="61"/>
      <c r="B366" s="15"/>
      <c r="C366" s="15"/>
      <c r="D366" s="15"/>
      <c r="E366" s="15"/>
      <c r="F366" s="15"/>
      <c r="G366" s="15"/>
      <c r="H366" s="15"/>
      <c r="I366" s="15"/>
      <c r="J366" s="15"/>
      <c r="K366" s="16"/>
    </row>
    <row r="367">
      <c r="A367" s="61"/>
      <c r="B367" s="15"/>
      <c r="C367" s="15"/>
      <c r="D367" s="15"/>
      <c r="E367" s="15"/>
      <c r="F367" s="15"/>
      <c r="G367" s="15"/>
      <c r="H367" s="15"/>
      <c r="I367" s="15"/>
      <c r="J367" s="15"/>
      <c r="K367" s="16"/>
    </row>
    <row r="368">
      <c r="A368" s="61"/>
      <c r="B368" s="15"/>
      <c r="C368" s="15"/>
      <c r="D368" s="15"/>
      <c r="E368" s="15"/>
      <c r="F368" s="15"/>
      <c r="G368" s="15"/>
      <c r="H368" s="15"/>
      <c r="I368" s="15"/>
      <c r="J368" s="15"/>
      <c r="K368" s="16"/>
    </row>
    <row r="369">
      <c r="A369" s="61"/>
      <c r="B369" s="15"/>
      <c r="C369" s="15"/>
      <c r="D369" s="15"/>
      <c r="E369" s="15"/>
      <c r="F369" s="15"/>
      <c r="G369" s="15"/>
      <c r="H369" s="15"/>
      <c r="I369" s="15"/>
      <c r="J369" s="15"/>
      <c r="K369" s="16"/>
    </row>
    <row r="370">
      <c r="A370" s="61"/>
      <c r="B370" s="15"/>
      <c r="C370" s="15"/>
      <c r="D370" s="15"/>
      <c r="E370" s="15"/>
      <c r="F370" s="15"/>
      <c r="G370" s="15"/>
      <c r="H370" s="15"/>
      <c r="I370" s="15"/>
      <c r="J370" s="15"/>
      <c r="K370" s="16"/>
    </row>
    <row r="371">
      <c r="A371" s="61"/>
      <c r="B371" s="15"/>
      <c r="C371" s="15"/>
      <c r="D371" s="15"/>
      <c r="E371" s="15"/>
      <c r="F371" s="15"/>
      <c r="G371" s="15"/>
      <c r="H371" s="15"/>
      <c r="I371" s="15"/>
      <c r="J371" s="15"/>
      <c r="K371" s="16"/>
    </row>
    <row r="372">
      <c r="A372" s="61"/>
      <c r="B372" s="15"/>
      <c r="C372" s="15"/>
      <c r="D372" s="15"/>
      <c r="E372" s="15"/>
      <c r="F372" s="15"/>
      <c r="G372" s="15"/>
      <c r="H372" s="15"/>
      <c r="I372" s="15"/>
      <c r="J372" s="15"/>
      <c r="K372" s="16"/>
    </row>
    <row r="373">
      <c r="A373" s="61"/>
      <c r="B373" s="15"/>
      <c r="C373" s="15"/>
      <c r="D373" s="15"/>
      <c r="E373" s="15"/>
      <c r="F373" s="15"/>
      <c r="G373" s="15"/>
      <c r="H373" s="15"/>
      <c r="I373" s="15"/>
      <c r="J373" s="15"/>
      <c r="K373" s="16"/>
    </row>
    <row r="374">
      <c r="A374" s="61"/>
      <c r="B374" s="15"/>
      <c r="C374" s="15"/>
      <c r="D374" s="15"/>
      <c r="E374" s="15"/>
      <c r="F374" s="15"/>
      <c r="G374" s="15"/>
      <c r="H374" s="15"/>
      <c r="I374" s="15"/>
      <c r="J374" s="15"/>
      <c r="K374" s="16"/>
    </row>
    <row r="375">
      <c r="A375" s="61"/>
      <c r="B375" s="15"/>
      <c r="C375" s="15"/>
      <c r="D375" s="15"/>
      <c r="E375" s="15"/>
      <c r="F375" s="15"/>
      <c r="G375" s="15"/>
      <c r="H375" s="15"/>
      <c r="I375" s="15"/>
      <c r="J375" s="15"/>
      <c r="K375" s="16"/>
    </row>
    <row r="376">
      <c r="A376" s="61"/>
      <c r="B376" s="15"/>
      <c r="C376" s="15"/>
      <c r="D376" s="15"/>
      <c r="E376" s="15"/>
      <c r="F376" s="15"/>
      <c r="G376" s="15"/>
      <c r="H376" s="15"/>
      <c r="I376" s="15"/>
      <c r="J376" s="15"/>
      <c r="K376" s="16"/>
    </row>
    <row r="377">
      <c r="A377" s="61"/>
      <c r="B377" s="15"/>
      <c r="C377" s="15"/>
      <c r="D377" s="15"/>
      <c r="E377" s="15"/>
      <c r="F377" s="15"/>
      <c r="G377" s="15"/>
      <c r="H377" s="15"/>
      <c r="I377" s="15"/>
      <c r="J377" s="15"/>
      <c r="K377" s="16"/>
    </row>
    <row r="378">
      <c r="A378" s="61"/>
      <c r="B378" s="15"/>
      <c r="C378" s="15"/>
      <c r="D378" s="15"/>
      <c r="E378" s="15"/>
      <c r="F378" s="15"/>
      <c r="G378" s="15"/>
      <c r="H378" s="15"/>
      <c r="I378" s="15"/>
      <c r="J378" s="15"/>
      <c r="K378" s="16"/>
    </row>
    <row r="379">
      <c r="A379" s="61"/>
      <c r="B379" s="15"/>
      <c r="C379" s="15"/>
      <c r="D379" s="15"/>
      <c r="E379" s="15"/>
      <c r="F379" s="15"/>
      <c r="G379" s="15"/>
      <c r="H379" s="15"/>
      <c r="I379" s="15"/>
      <c r="J379" s="15"/>
      <c r="K379" s="16"/>
    </row>
    <row r="380">
      <c r="A380" s="61"/>
      <c r="B380" s="15"/>
      <c r="C380" s="15"/>
      <c r="D380" s="15"/>
      <c r="E380" s="15"/>
      <c r="F380" s="15"/>
      <c r="G380" s="15"/>
      <c r="H380" s="15"/>
      <c r="I380" s="15"/>
      <c r="J380" s="15"/>
      <c r="K380" s="16"/>
    </row>
    <row r="381">
      <c r="A381" s="61"/>
      <c r="B381" s="15"/>
      <c r="C381" s="15"/>
      <c r="D381" s="15"/>
      <c r="E381" s="15"/>
      <c r="F381" s="15"/>
      <c r="G381" s="15"/>
      <c r="H381" s="15"/>
      <c r="I381" s="15"/>
      <c r="J381" s="15"/>
      <c r="K381" s="16"/>
    </row>
    <row r="382">
      <c r="A382" s="61"/>
      <c r="B382" s="15"/>
      <c r="C382" s="15"/>
      <c r="D382" s="15"/>
      <c r="E382" s="15"/>
      <c r="F382" s="15"/>
      <c r="G382" s="15"/>
      <c r="H382" s="15"/>
      <c r="I382" s="15"/>
      <c r="J382" s="15"/>
      <c r="K382" s="16"/>
    </row>
    <row r="383">
      <c r="A383" s="61"/>
      <c r="B383" s="15"/>
      <c r="C383" s="15"/>
      <c r="D383" s="15"/>
      <c r="E383" s="15"/>
      <c r="F383" s="15"/>
      <c r="G383" s="15"/>
      <c r="H383" s="15"/>
      <c r="I383" s="15"/>
      <c r="J383" s="15"/>
      <c r="K383" s="16"/>
    </row>
    <row r="384">
      <c r="A384" s="61"/>
      <c r="B384" s="15"/>
      <c r="C384" s="15"/>
      <c r="D384" s="15"/>
      <c r="E384" s="15"/>
      <c r="F384" s="15"/>
      <c r="G384" s="15"/>
      <c r="H384" s="15"/>
      <c r="I384" s="15"/>
      <c r="J384" s="15"/>
      <c r="K384" s="16"/>
    </row>
    <row r="385">
      <c r="A385" s="61"/>
      <c r="B385" s="15"/>
      <c r="C385" s="15"/>
      <c r="D385" s="15"/>
      <c r="E385" s="15"/>
      <c r="F385" s="15"/>
      <c r="G385" s="15"/>
      <c r="H385" s="15"/>
      <c r="I385" s="15"/>
      <c r="J385" s="15"/>
      <c r="K385" s="16"/>
    </row>
    <row r="386">
      <c r="A386" s="61"/>
      <c r="B386" s="15"/>
      <c r="C386" s="15"/>
      <c r="D386" s="15"/>
      <c r="E386" s="15"/>
      <c r="F386" s="15"/>
      <c r="G386" s="15"/>
      <c r="H386" s="15"/>
      <c r="I386" s="15"/>
      <c r="J386" s="15"/>
      <c r="K386" s="16"/>
    </row>
    <row r="387">
      <c r="A387" s="61"/>
      <c r="B387" s="15"/>
      <c r="C387" s="15"/>
      <c r="D387" s="15"/>
      <c r="E387" s="15"/>
      <c r="F387" s="15"/>
      <c r="G387" s="15"/>
      <c r="H387" s="15"/>
      <c r="I387" s="15"/>
      <c r="J387" s="15"/>
      <c r="K387" s="16"/>
    </row>
    <row r="388">
      <c r="A388" s="61"/>
      <c r="B388" s="15"/>
      <c r="C388" s="15"/>
      <c r="D388" s="15"/>
      <c r="E388" s="15"/>
      <c r="F388" s="15"/>
      <c r="G388" s="15"/>
      <c r="H388" s="15"/>
      <c r="I388" s="15"/>
      <c r="J388" s="15"/>
      <c r="K388" s="16"/>
    </row>
    <row r="389">
      <c r="A389" s="61"/>
      <c r="B389" s="15"/>
      <c r="C389" s="15"/>
      <c r="D389" s="15"/>
      <c r="E389" s="15"/>
      <c r="F389" s="15"/>
      <c r="G389" s="15"/>
      <c r="H389" s="15"/>
      <c r="I389" s="15"/>
      <c r="J389" s="15"/>
      <c r="K389" s="16"/>
    </row>
    <row r="390">
      <c r="A390" s="61"/>
      <c r="B390" s="15"/>
      <c r="C390" s="15"/>
      <c r="D390" s="15"/>
      <c r="E390" s="15"/>
      <c r="F390" s="15"/>
      <c r="G390" s="15"/>
      <c r="H390" s="15"/>
      <c r="I390" s="15"/>
      <c r="J390" s="15"/>
      <c r="K390" s="16"/>
    </row>
    <row r="391">
      <c r="A391" s="61"/>
      <c r="B391" s="15"/>
      <c r="C391" s="15"/>
      <c r="D391" s="15"/>
      <c r="E391" s="15"/>
      <c r="F391" s="15"/>
      <c r="G391" s="15"/>
      <c r="H391" s="15"/>
      <c r="I391" s="15"/>
      <c r="J391" s="15"/>
      <c r="K391" s="16"/>
    </row>
    <row r="392">
      <c r="A392" s="61"/>
      <c r="B392" s="15"/>
      <c r="C392" s="15"/>
      <c r="D392" s="15"/>
      <c r="E392" s="15"/>
      <c r="F392" s="15"/>
      <c r="G392" s="15"/>
      <c r="H392" s="15"/>
      <c r="I392" s="15"/>
      <c r="J392" s="15"/>
      <c r="K392" s="16"/>
    </row>
    <row r="393">
      <c r="A393" s="61"/>
      <c r="B393" s="15"/>
      <c r="C393" s="15"/>
      <c r="D393" s="15"/>
      <c r="E393" s="15"/>
      <c r="F393" s="15"/>
      <c r="G393" s="15"/>
      <c r="H393" s="15"/>
      <c r="I393" s="15"/>
      <c r="J393" s="15"/>
      <c r="K393" s="16"/>
    </row>
    <row r="394">
      <c r="A394" s="61"/>
      <c r="B394" s="15"/>
      <c r="C394" s="15"/>
      <c r="D394" s="15"/>
      <c r="E394" s="15"/>
      <c r="F394" s="15"/>
      <c r="G394" s="15"/>
      <c r="H394" s="15"/>
      <c r="I394" s="15"/>
      <c r="J394" s="15"/>
      <c r="K394" s="16"/>
    </row>
    <row r="395">
      <c r="A395" s="61"/>
      <c r="B395" s="15"/>
      <c r="C395" s="15"/>
      <c r="D395" s="15"/>
      <c r="E395" s="15"/>
      <c r="F395" s="15"/>
      <c r="G395" s="15"/>
      <c r="H395" s="15"/>
      <c r="I395" s="15"/>
      <c r="J395" s="15"/>
      <c r="K395" s="16"/>
    </row>
    <row r="396">
      <c r="A396" s="61"/>
      <c r="B396" s="15"/>
      <c r="C396" s="15"/>
      <c r="D396" s="15"/>
      <c r="E396" s="15"/>
      <c r="F396" s="15"/>
      <c r="G396" s="15"/>
      <c r="H396" s="15"/>
      <c r="I396" s="15"/>
      <c r="J396" s="15"/>
      <c r="K396" s="16"/>
    </row>
    <row r="397">
      <c r="A397" s="61"/>
      <c r="B397" s="15"/>
      <c r="C397" s="15"/>
      <c r="D397" s="15"/>
      <c r="E397" s="15"/>
      <c r="F397" s="15"/>
      <c r="G397" s="15"/>
      <c r="H397" s="15"/>
      <c r="I397" s="15"/>
      <c r="J397" s="15"/>
      <c r="K397" s="16"/>
    </row>
    <row r="398">
      <c r="A398" s="61"/>
      <c r="B398" s="15"/>
      <c r="C398" s="15"/>
      <c r="D398" s="15"/>
      <c r="E398" s="15"/>
      <c r="F398" s="15"/>
      <c r="G398" s="15"/>
      <c r="H398" s="15"/>
      <c r="I398" s="15"/>
      <c r="J398" s="15"/>
      <c r="K398" s="16"/>
    </row>
    <row r="399">
      <c r="A399" s="61"/>
      <c r="B399" s="15"/>
      <c r="C399" s="15"/>
      <c r="D399" s="15"/>
      <c r="E399" s="15"/>
      <c r="F399" s="15"/>
      <c r="G399" s="15"/>
      <c r="H399" s="15"/>
      <c r="I399" s="15"/>
      <c r="J399" s="15"/>
      <c r="K399" s="16"/>
    </row>
    <row r="400">
      <c r="A400" s="61"/>
      <c r="B400" s="15"/>
      <c r="C400" s="15"/>
      <c r="D400" s="15"/>
      <c r="E400" s="15"/>
      <c r="F400" s="15"/>
      <c r="G400" s="15"/>
      <c r="H400" s="15"/>
      <c r="I400" s="15"/>
      <c r="J400" s="15"/>
      <c r="K400" s="16"/>
    </row>
    <row r="401">
      <c r="A401" s="61"/>
      <c r="B401" s="15"/>
      <c r="C401" s="15"/>
      <c r="D401" s="15"/>
      <c r="E401" s="15"/>
      <c r="F401" s="15"/>
      <c r="G401" s="15"/>
      <c r="H401" s="15"/>
      <c r="I401" s="15"/>
      <c r="J401" s="15"/>
      <c r="K401" s="16"/>
    </row>
    <row r="402">
      <c r="A402" s="61"/>
      <c r="B402" s="15"/>
      <c r="C402" s="15"/>
      <c r="D402" s="15"/>
      <c r="E402" s="15"/>
      <c r="F402" s="15"/>
      <c r="G402" s="15"/>
      <c r="H402" s="15"/>
      <c r="I402" s="15"/>
      <c r="J402" s="15"/>
      <c r="K402" s="16"/>
    </row>
    <row r="403">
      <c r="A403" s="61"/>
      <c r="B403" s="15"/>
      <c r="C403" s="15"/>
      <c r="D403" s="15"/>
      <c r="E403" s="15"/>
      <c r="F403" s="15"/>
      <c r="G403" s="15"/>
      <c r="H403" s="15"/>
      <c r="I403" s="15"/>
      <c r="J403" s="15"/>
      <c r="K403" s="16"/>
    </row>
    <row r="404">
      <c r="A404" s="61"/>
      <c r="B404" s="15"/>
      <c r="C404" s="15"/>
      <c r="D404" s="15"/>
      <c r="E404" s="15"/>
      <c r="F404" s="15"/>
      <c r="G404" s="15"/>
      <c r="H404" s="15"/>
      <c r="I404" s="15"/>
      <c r="J404" s="15"/>
      <c r="K404" s="16"/>
    </row>
    <row r="405">
      <c r="A405" s="61"/>
      <c r="B405" s="15"/>
      <c r="C405" s="15"/>
      <c r="D405" s="15"/>
      <c r="E405" s="15"/>
      <c r="F405" s="15"/>
      <c r="G405" s="15"/>
      <c r="H405" s="15"/>
      <c r="I405" s="15"/>
      <c r="J405" s="15"/>
      <c r="K405" s="16"/>
    </row>
    <row r="406">
      <c r="A406" s="61"/>
      <c r="B406" s="15"/>
      <c r="C406" s="15"/>
      <c r="D406" s="15"/>
      <c r="E406" s="15"/>
      <c r="F406" s="15"/>
      <c r="G406" s="15"/>
      <c r="H406" s="15"/>
      <c r="I406" s="15"/>
      <c r="J406" s="15"/>
      <c r="K406" s="16"/>
    </row>
    <row r="407">
      <c r="A407" s="61"/>
      <c r="B407" s="15"/>
      <c r="C407" s="15"/>
      <c r="D407" s="15"/>
      <c r="E407" s="15"/>
      <c r="F407" s="15"/>
      <c r="G407" s="15"/>
      <c r="H407" s="15"/>
      <c r="I407" s="15"/>
      <c r="J407" s="15"/>
      <c r="K407" s="16"/>
    </row>
    <row r="408">
      <c r="A408" s="61"/>
      <c r="B408" s="15"/>
      <c r="C408" s="15"/>
      <c r="D408" s="15"/>
      <c r="E408" s="15"/>
      <c r="F408" s="15"/>
      <c r="G408" s="15"/>
      <c r="H408" s="15"/>
      <c r="I408" s="15"/>
      <c r="J408" s="15"/>
      <c r="K408" s="16"/>
    </row>
    <row r="409">
      <c r="A409" s="61"/>
      <c r="B409" s="15"/>
      <c r="C409" s="15"/>
      <c r="D409" s="15"/>
      <c r="E409" s="15"/>
      <c r="F409" s="15"/>
      <c r="G409" s="15"/>
      <c r="H409" s="15"/>
      <c r="I409" s="15"/>
      <c r="J409" s="15"/>
      <c r="K409" s="16"/>
    </row>
    <row r="410">
      <c r="A410" s="61"/>
      <c r="B410" s="15"/>
      <c r="C410" s="15"/>
      <c r="D410" s="15"/>
      <c r="E410" s="15"/>
      <c r="F410" s="15"/>
      <c r="G410" s="15"/>
      <c r="H410" s="15"/>
      <c r="I410" s="15"/>
      <c r="J410" s="15"/>
      <c r="K410" s="16"/>
    </row>
    <row r="411">
      <c r="A411" s="61"/>
      <c r="B411" s="15"/>
      <c r="C411" s="15"/>
      <c r="D411" s="15"/>
      <c r="E411" s="15"/>
      <c r="F411" s="15"/>
      <c r="G411" s="15"/>
      <c r="H411" s="15"/>
      <c r="I411" s="15"/>
      <c r="J411" s="15"/>
      <c r="K411" s="16"/>
    </row>
    <row r="412">
      <c r="A412" s="61"/>
      <c r="B412" s="15"/>
      <c r="C412" s="15"/>
      <c r="D412" s="15"/>
      <c r="E412" s="15"/>
      <c r="F412" s="15"/>
      <c r="G412" s="15"/>
      <c r="H412" s="15"/>
      <c r="I412" s="15"/>
      <c r="J412" s="15"/>
      <c r="K412" s="16"/>
    </row>
    <row r="413">
      <c r="A413" s="61"/>
      <c r="B413" s="15"/>
      <c r="C413" s="15"/>
      <c r="D413" s="15"/>
      <c r="E413" s="15"/>
      <c r="F413" s="15"/>
      <c r="G413" s="15"/>
      <c r="H413" s="15"/>
      <c r="I413" s="15"/>
      <c r="J413" s="15"/>
      <c r="K413" s="16"/>
    </row>
    <row r="414">
      <c r="A414" s="61"/>
      <c r="B414" s="15"/>
      <c r="C414" s="15"/>
      <c r="D414" s="15"/>
      <c r="E414" s="15"/>
      <c r="F414" s="15"/>
      <c r="G414" s="15"/>
      <c r="H414" s="15"/>
      <c r="I414" s="15"/>
      <c r="J414" s="15"/>
      <c r="K414" s="16"/>
    </row>
    <row r="415">
      <c r="A415" s="61"/>
      <c r="B415" s="15"/>
      <c r="C415" s="15"/>
      <c r="D415" s="15"/>
      <c r="E415" s="15"/>
      <c r="F415" s="15"/>
      <c r="G415" s="15"/>
      <c r="H415" s="15"/>
      <c r="I415" s="15"/>
      <c r="J415" s="15"/>
      <c r="K415" s="16"/>
    </row>
    <row r="416">
      <c r="A416" s="61"/>
      <c r="B416" s="15"/>
      <c r="C416" s="15"/>
      <c r="D416" s="15"/>
      <c r="E416" s="15"/>
      <c r="F416" s="15"/>
      <c r="G416" s="15"/>
      <c r="H416" s="15"/>
      <c r="I416" s="15"/>
      <c r="J416" s="15"/>
      <c r="K416" s="16"/>
    </row>
    <row r="417">
      <c r="A417" s="61"/>
      <c r="B417" s="15"/>
      <c r="C417" s="15"/>
      <c r="D417" s="15"/>
      <c r="E417" s="15"/>
      <c r="F417" s="15"/>
      <c r="G417" s="15"/>
      <c r="H417" s="15"/>
      <c r="I417" s="15"/>
      <c r="J417" s="15"/>
      <c r="K417" s="16"/>
    </row>
    <row r="418">
      <c r="A418" s="61"/>
      <c r="B418" s="15"/>
      <c r="C418" s="15"/>
      <c r="D418" s="15"/>
      <c r="E418" s="15"/>
      <c r="F418" s="15"/>
      <c r="G418" s="15"/>
      <c r="H418" s="15"/>
      <c r="I418" s="15"/>
      <c r="J418" s="15"/>
      <c r="K418" s="16"/>
    </row>
    <row r="419">
      <c r="A419" s="61"/>
      <c r="B419" s="15"/>
      <c r="C419" s="15"/>
      <c r="D419" s="15"/>
      <c r="E419" s="15"/>
      <c r="F419" s="15"/>
      <c r="G419" s="15"/>
      <c r="H419" s="15"/>
      <c r="I419" s="15"/>
      <c r="J419" s="15"/>
      <c r="K419" s="16"/>
    </row>
    <row r="420">
      <c r="A420" s="61"/>
      <c r="B420" s="15"/>
      <c r="C420" s="15"/>
      <c r="D420" s="15"/>
      <c r="E420" s="15"/>
      <c r="F420" s="15"/>
      <c r="G420" s="15"/>
      <c r="H420" s="15"/>
      <c r="I420" s="15"/>
      <c r="J420" s="15"/>
      <c r="K420" s="16"/>
    </row>
    <row r="421">
      <c r="A421" s="61"/>
      <c r="B421" s="15"/>
      <c r="C421" s="15"/>
      <c r="D421" s="15"/>
      <c r="E421" s="15"/>
      <c r="F421" s="15"/>
      <c r="G421" s="15"/>
      <c r="H421" s="15"/>
      <c r="I421" s="15"/>
      <c r="J421" s="15"/>
      <c r="K421" s="16"/>
    </row>
    <row r="422">
      <c r="A422" s="61"/>
      <c r="B422" s="15"/>
      <c r="C422" s="15"/>
      <c r="D422" s="15"/>
      <c r="E422" s="15"/>
      <c r="F422" s="15"/>
      <c r="G422" s="15"/>
      <c r="H422" s="15"/>
      <c r="I422" s="15"/>
      <c r="J422" s="15"/>
      <c r="K422" s="16"/>
    </row>
    <row r="423">
      <c r="A423" s="61"/>
      <c r="B423" s="15"/>
      <c r="C423" s="15"/>
      <c r="D423" s="15"/>
      <c r="E423" s="15"/>
      <c r="F423" s="15"/>
      <c r="G423" s="15"/>
      <c r="H423" s="15"/>
      <c r="I423" s="15"/>
      <c r="J423" s="15"/>
      <c r="K423" s="16"/>
    </row>
    <row r="424">
      <c r="A424" s="61"/>
      <c r="B424" s="15"/>
      <c r="C424" s="15"/>
      <c r="D424" s="15"/>
      <c r="E424" s="15"/>
      <c r="F424" s="15"/>
      <c r="G424" s="15"/>
      <c r="H424" s="15"/>
      <c r="I424" s="15"/>
      <c r="J424" s="15"/>
      <c r="K424" s="16"/>
    </row>
    <row r="425">
      <c r="A425" s="61"/>
      <c r="B425" s="15"/>
      <c r="C425" s="15"/>
      <c r="D425" s="15"/>
      <c r="E425" s="15"/>
      <c r="F425" s="15"/>
      <c r="G425" s="15"/>
      <c r="H425" s="15"/>
      <c r="I425" s="15"/>
      <c r="J425" s="15"/>
      <c r="K425" s="16"/>
    </row>
    <row r="426">
      <c r="A426" s="61"/>
      <c r="B426" s="15"/>
      <c r="C426" s="15"/>
      <c r="D426" s="15"/>
      <c r="E426" s="15"/>
      <c r="F426" s="15"/>
      <c r="G426" s="15"/>
      <c r="H426" s="15"/>
      <c r="I426" s="15"/>
      <c r="J426" s="15"/>
      <c r="K426" s="16"/>
    </row>
    <row r="427">
      <c r="A427" s="61"/>
      <c r="B427" s="15"/>
      <c r="C427" s="15"/>
      <c r="D427" s="15"/>
      <c r="E427" s="15"/>
      <c r="F427" s="15"/>
      <c r="G427" s="15"/>
      <c r="H427" s="15"/>
      <c r="I427" s="15"/>
      <c r="J427" s="15"/>
      <c r="K427" s="16"/>
    </row>
    <row r="428">
      <c r="A428" s="61"/>
      <c r="B428" s="15"/>
      <c r="C428" s="15"/>
      <c r="D428" s="15"/>
      <c r="E428" s="15"/>
      <c r="F428" s="15"/>
      <c r="G428" s="15"/>
      <c r="H428" s="15"/>
      <c r="I428" s="15"/>
      <c r="J428" s="15"/>
      <c r="K428" s="16"/>
    </row>
    <row r="429">
      <c r="A429" s="61"/>
      <c r="B429" s="15"/>
      <c r="C429" s="15"/>
      <c r="D429" s="15"/>
      <c r="E429" s="15"/>
      <c r="F429" s="15"/>
      <c r="G429" s="15"/>
      <c r="H429" s="15"/>
      <c r="I429" s="15"/>
      <c r="J429" s="15"/>
      <c r="K429" s="16"/>
    </row>
    <row r="430">
      <c r="A430" s="61"/>
      <c r="B430" s="15"/>
      <c r="C430" s="15"/>
      <c r="D430" s="15"/>
      <c r="E430" s="15"/>
      <c r="F430" s="15"/>
      <c r="G430" s="15"/>
      <c r="H430" s="15"/>
      <c r="I430" s="15"/>
      <c r="J430" s="15"/>
      <c r="K430" s="16"/>
    </row>
    <row r="431">
      <c r="A431" s="61"/>
      <c r="B431" s="15"/>
      <c r="C431" s="15"/>
      <c r="D431" s="15"/>
      <c r="E431" s="15"/>
      <c r="F431" s="15"/>
      <c r="G431" s="15"/>
      <c r="H431" s="15"/>
      <c r="I431" s="15"/>
      <c r="J431" s="15"/>
      <c r="K431" s="16"/>
    </row>
    <row r="432">
      <c r="A432" s="61"/>
      <c r="B432" s="15"/>
      <c r="C432" s="15"/>
      <c r="D432" s="15"/>
      <c r="E432" s="15"/>
      <c r="F432" s="15"/>
      <c r="G432" s="15"/>
      <c r="H432" s="15"/>
      <c r="I432" s="15"/>
      <c r="J432" s="15"/>
      <c r="K432" s="16"/>
    </row>
    <row r="433">
      <c r="A433" s="61"/>
      <c r="B433" s="15"/>
      <c r="C433" s="15"/>
      <c r="D433" s="15"/>
      <c r="E433" s="15"/>
      <c r="F433" s="15"/>
      <c r="G433" s="15"/>
      <c r="H433" s="15"/>
      <c r="I433" s="15"/>
      <c r="J433" s="15"/>
      <c r="K433" s="16"/>
    </row>
    <row r="434">
      <c r="A434" s="61"/>
      <c r="B434" s="15"/>
      <c r="C434" s="15"/>
      <c r="D434" s="15"/>
      <c r="E434" s="15"/>
      <c r="F434" s="15"/>
      <c r="G434" s="15"/>
      <c r="H434" s="15"/>
      <c r="I434" s="15"/>
      <c r="J434" s="15"/>
      <c r="K434" s="16"/>
    </row>
    <row r="435">
      <c r="A435" s="61"/>
      <c r="B435" s="15"/>
      <c r="C435" s="15"/>
      <c r="D435" s="15"/>
      <c r="E435" s="15"/>
      <c r="F435" s="15"/>
      <c r="G435" s="15"/>
      <c r="H435" s="15"/>
      <c r="I435" s="15"/>
      <c r="J435" s="15"/>
      <c r="K435" s="16"/>
    </row>
    <row r="436">
      <c r="A436" s="61"/>
      <c r="B436" s="15"/>
      <c r="C436" s="15"/>
      <c r="D436" s="15"/>
      <c r="E436" s="15"/>
      <c r="F436" s="15"/>
      <c r="G436" s="15"/>
      <c r="H436" s="15"/>
      <c r="I436" s="15"/>
      <c r="J436" s="15"/>
      <c r="K436" s="16"/>
    </row>
    <row r="437">
      <c r="A437" s="61"/>
      <c r="B437" s="15"/>
      <c r="C437" s="15"/>
      <c r="D437" s="15"/>
      <c r="E437" s="15"/>
      <c r="F437" s="15"/>
      <c r="G437" s="15"/>
      <c r="H437" s="15"/>
      <c r="I437" s="15"/>
      <c r="J437" s="15"/>
      <c r="K437" s="16"/>
    </row>
    <row r="438">
      <c r="A438" s="61"/>
      <c r="B438" s="15"/>
      <c r="C438" s="15"/>
      <c r="D438" s="15"/>
      <c r="E438" s="15"/>
      <c r="F438" s="15"/>
      <c r="G438" s="15"/>
      <c r="H438" s="15"/>
      <c r="I438" s="15"/>
      <c r="J438" s="15"/>
      <c r="K438" s="16"/>
    </row>
    <row r="439">
      <c r="A439" s="61"/>
      <c r="B439" s="15"/>
      <c r="C439" s="15"/>
      <c r="D439" s="15"/>
      <c r="E439" s="15"/>
      <c r="F439" s="15"/>
      <c r="G439" s="15"/>
      <c r="H439" s="15"/>
      <c r="I439" s="15"/>
      <c r="J439" s="15"/>
      <c r="K439" s="16"/>
    </row>
    <row r="440">
      <c r="A440" s="61"/>
      <c r="B440" s="15"/>
      <c r="C440" s="15"/>
      <c r="D440" s="15"/>
      <c r="E440" s="15"/>
      <c r="F440" s="15"/>
      <c r="G440" s="15"/>
      <c r="H440" s="15"/>
      <c r="I440" s="15"/>
      <c r="J440" s="15"/>
      <c r="K440" s="16"/>
    </row>
    <row r="441">
      <c r="A441" s="61"/>
      <c r="B441" s="15"/>
      <c r="C441" s="15"/>
      <c r="D441" s="15"/>
      <c r="E441" s="15"/>
      <c r="F441" s="15"/>
      <c r="G441" s="15"/>
      <c r="H441" s="15"/>
      <c r="I441" s="15"/>
      <c r="J441" s="15"/>
      <c r="K441" s="16"/>
    </row>
    <row r="442">
      <c r="A442" s="61"/>
      <c r="B442" s="15"/>
      <c r="C442" s="15"/>
      <c r="D442" s="15"/>
      <c r="E442" s="15"/>
      <c r="F442" s="15"/>
      <c r="G442" s="15"/>
      <c r="H442" s="15"/>
      <c r="I442" s="15"/>
      <c r="J442" s="15"/>
      <c r="K442" s="16"/>
    </row>
    <row r="443">
      <c r="A443" s="61"/>
      <c r="B443" s="15"/>
      <c r="C443" s="15"/>
      <c r="D443" s="15"/>
      <c r="E443" s="15"/>
      <c r="F443" s="15"/>
      <c r="G443" s="15"/>
      <c r="H443" s="15"/>
      <c r="I443" s="15"/>
      <c r="J443" s="15"/>
      <c r="K443" s="16"/>
    </row>
    <row r="444">
      <c r="A444" s="61"/>
      <c r="B444" s="15"/>
      <c r="C444" s="15"/>
      <c r="D444" s="15"/>
      <c r="E444" s="15"/>
      <c r="F444" s="15"/>
      <c r="G444" s="15"/>
      <c r="H444" s="15"/>
      <c r="I444" s="15"/>
      <c r="J444" s="15"/>
      <c r="K444" s="16"/>
    </row>
    <row r="445">
      <c r="A445" s="61"/>
      <c r="B445" s="15"/>
      <c r="C445" s="15"/>
      <c r="D445" s="15"/>
      <c r="E445" s="15"/>
      <c r="F445" s="15"/>
      <c r="G445" s="15"/>
      <c r="H445" s="15"/>
      <c r="I445" s="15"/>
      <c r="J445" s="15"/>
      <c r="K445" s="16"/>
    </row>
    <row r="446">
      <c r="A446" s="61"/>
      <c r="B446" s="15"/>
      <c r="C446" s="15"/>
      <c r="D446" s="15"/>
      <c r="E446" s="15"/>
      <c r="F446" s="15"/>
      <c r="G446" s="15"/>
      <c r="H446" s="15"/>
      <c r="I446" s="15"/>
      <c r="J446" s="15"/>
      <c r="K446" s="16"/>
    </row>
    <row r="447">
      <c r="A447" s="61"/>
      <c r="B447" s="15"/>
      <c r="C447" s="15"/>
      <c r="D447" s="15"/>
      <c r="E447" s="15"/>
      <c r="F447" s="15"/>
      <c r="G447" s="15"/>
      <c r="H447" s="15"/>
      <c r="I447" s="15"/>
      <c r="J447" s="15"/>
      <c r="K447" s="16"/>
    </row>
    <row r="448">
      <c r="A448" s="61"/>
      <c r="B448" s="15"/>
      <c r="C448" s="15"/>
      <c r="D448" s="15"/>
      <c r="E448" s="15"/>
      <c r="F448" s="15"/>
      <c r="G448" s="15"/>
      <c r="H448" s="15"/>
      <c r="I448" s="15"/>
      <c r="J448" s="15"/>
      <c r="K448" s="16"/>
    </row>
    <row r="449">
      <c r="A449" s="61"/>
      <c r="B449" s="15"/>
      <c r="C449" s="15"/>
      <c r="D449" s="15"/>
      <c r="E449" s="15"/>
      <c r="F449" s="15"/>
      <c r="G449" s="15"/>
      <c r="H449" s="15"/>
      <c r="I449" s="15"/>
      <c r="J449" s="15"/>
      <c r="K449" s="16"/>
    </row>
    <row r="450">
      <c r="A450" s="61"/>
      <c r="B450" s="15"/>
      <c r="C450" s="15"/>
      <c r="D450" s="15"/>
      <c r="E450" s="15"/>
      <c r="F450" s="15"/>
      <c r="G450" s="15"/>
      <c r="H450" s="15"/>
      <c r="I450" s="15"/>
      <c r="J450" s="15"/>
      <c r="K450" s="16"/>
    </row>
    <row r="451">
      <c r="A451" s="61"/>
      <c r="B451" s="15"/>
      <c r="C451" s="15"/>
      <c r="D451" s="15"/>
      <c r="E451" s="15"/>
      <c r="F451" s="15"/>
      <c r="G451" s="15"/>
      <c r="H451" s="15"/>
      <c r="I451" s="15"/>
      <c r="J451" s="15"/>
      <c r="K451" s="16"/>
    </row>
    <row r="452">
      <c r="A452" s="61"/>
      <c r="B452" s="15"/>
      <c r="C452" s="15"/>
      <c r="D452" s="15"/>
      <c r="E452" s="15"/>
      <c r="F452" s="15"/>
      <c r="G452" s="15"/>
      <c r="H452" s="15"/>
      <c r="I452" s="15"/>
      <c r="J452" s="15"/>
      <c r="K452" s="16"/>
    </row>
    <row r="453">
      <c r="A453" s="61"/>
      <c r="B453" s="15"/>
      <c r="C453" s="15"/>
      <c r="D453" s="15"/>
      <c r="E453" s="15"/>
      <c r="F453" s="15"/>
      <c r="G453" s="15"/>
      <c r="H453" s="15"/>
      <c r="I453" s="15"/>
      <c r="J453" s="15"/>
      <c r="K453" s="16"/>
    </row>
    <row r="454">
      <c r="A454" s="61"/>
      <c r="B454" s="15"/>
      <c r="C454" s="15"/>
      <c r="D454" s="15"/>
      <c r="E454" s="15"/>
      <c r="F454" s="15"/>
      <c r="G454" s="15"/>
      <c r="H454" s="15"/>
      <c r="I454" s="15"/>
      <c r="J454" s="15"/>
      <c r="K454" s="16"/>
    </row>
    <row r="455">
      <c r="A455" s="61"/>
      <c r="B455" s="15"/>
      <c r="C455" s="15"/>
      <c r="D455" s="15"/>
      <c r="E455" s="15"/>
      <c r="F455" s="15"/>
      <c r="G455" s="15"/>
      <c r="H455" s="15"/>
      <c r="I455" s="15"/>
      <c r="J455" s="15"/>
      <c r="K455" s="16"/>
    </row>
    <row r="456">
      <c r="A456" s="61"/>
      <c r="B456" s="15"/>
      <c r="C456" s="15"/>
      <c r="D456" s="15"/>
      <c r="E456" s="15"/>
      <c r="F456" s="15"/>
      <c r="G456" s="15"/>
      <c r="H456" s="15"/>
      <c r="I456" s="15"/>
      <c r="J456" s="15"/>
      <c r="K456" s="16"/>
    </row>
    <row r="457">
      <c r="A457" s="61"/>
      <c r="B457" s="15"/>
      <c r="C457" s="15"/>
      <c r="D457" s="15"/>
      <c r="E457" s="15"/>
      <c r="F457" s="15"/>
      <c r="G457" s="15"/>
      <c r="H457" s="15"/>
      <c r="I457" s="15"/>
      <c r="J457" s="15"/>
      <c r="K457" s="16"/>
    </row>
    <row r="458">
      <c r="A458" s="61"/>
      <c r="B458" s="15"/>
      <c r="C458" s="15"/>
      <c r="D458" s="15"/>
      <c r="E458" s="15"/>
      <c r="F458" s="15"/>
      <c r="G458" s="15"/>
      <c r="H458" s="15"/>
      <c r="I458" s="15"/>
      <c r="J458" s="15"/>
      <c r="K458" s="16"/>
    </row>
    <row r="459">
      <c r="A459" s="61"/>
      <c r="B459" s="15"/>
      <c r="C459" s="15"/>
      <c r="D459" s="15"/>
      <c r="E459" s="15"/>
      <c r="F459" s="15"/>
      <c r="G459" s="15"/>
      <c r="H459" s="15"/>
      <c r="I459" s="15"/>
      <c r="J459" s="15"/>
      <c r="K459" s="16"/>
    </row>
    <row r="460">
      <c r="A460" s="61"/>
      <c r="B460" s="15"/>
      <c r="C460" s="15"/>
      <c r="D460" s="15"/>
      <c r="E460" s="15"/>
      <c r="F460" s="15"/>
      <c r="G460" s="15"/>
      <c r="H460" s="15"/>
      <c r="I460" s="15"/>
      <c r="J460" s="15"/>
      <c r="K460" s="16"/>
    </row>
    <row r="461">
      <c r="A461" s="61"/>
      <c r="B461" s="15"/>
      <c r="C461" s="15"/>
      <c r="D461" s="15"/>
      <c r="E461" s="15"/>
      <c r="F461" s="15"/>
      <c r="G461" s="15"/>
      <c r="H461" s="15"/>
      <c r="I461" s="15"/>
      <c r="J461" s="15"/>
      <c r="K461" s="16"/>
    </row>
    <row r="462">
      <c r="A462" s="61"/>
      <c r="B462" s="15"/>
      <c r="C462" s="15"/>
      <c r="D462" s="15"/>
      <c r="E462" s="15"/>
      <c r="F462" s="15"/>
      <c r="G462" s="15"/>
      <c r="H462" s="15"/>
      <c r="I462" s="15"/>
      <c r="J462" s="15"/>
      <c r="K462" s="16"/>
    </row>
    <row r="463">
      <c r="A463" s="61"/>
      <c r="B463" s="15"/>
      <c r="C463" s="15"/>
      <c r="D463" s="15"/>
      <c r="E463" s="15"/>
      <c r="F463" s="15"/>
      <c r="G463" s="15"/>
      <c r="H463" s="15"/>
      <c r="I463" s="15"/>
      <c r="J463" s="15"/>
      <c r="K463" s="16"/>
    </row>
    <row r="464">
      <c r="A464" s="61"/>
      <c r="B464" s="15"/>
      <c r="C464" s="15"/>
      <c r="D464" s="15"/>
      <c r="E464" s="15"/>
      <c r="F464" s="15"/>
      <c r="G464" s="15"/>
      <c r="H464" s="15"/>
      <c r="I464" s="15"/>
      <c r="J464" s="15"/>
      <c r="K464" s="16"/>
    </row>
    <row r="465">
      <c r="A465" s="61"/>
      <c r="B465" s="15"/>
      <c r="C465" s="15"/>
      <c r="D465" s="15"/>
      <c r="E465" s="15"/>
      <c r="F465" s="15"/>
      <c r="G465" s="15"/>
      <c r="H465" s="15"/>
      <c r="I465" s="15"/>
      <c r="J465" s="15"/>
      <c r="K465" s="16"/>
    </row>
    <row r="466">
      <c r="A466" s="61"/>
      <c r="B466" s="15"/>
      <c r="C466" s="15"/>
      <c r="D466" s="15"/>
      <c r="E466" s="15"/>
      <c r="F466" s="15"/>
      <c r="G466" s="15"/>
      <c r="H466" s="15"/>
      <c r="I466" s="15"/>
      <c r="J466" s="15"/>
      <c r="K466" s="16"/>
    </row>
    <row r="467">
      <c r="A467" s="61"/>
      <c r="B467" s="15"/>
      <c r="C467" s="15"/>
      <c r="D467" s="15"/>
      <c r="E467" s="15"/>
      <c r="F467" s="15"/>
      <c r="G467" s="15"/>
      <c r="H467" s="15"/>
      <c r="I467" s="15"/>
      <c r="J467" s="15"/>
      <c r="K467" s="16"/>
    </row>
    <row r="468">
      <c r="A468" s="61"/>
      <c r="B468" s="15"/>
      <c r="C468" s="15"/>
      <c r="D468" s="15"/>
      <c r="E468" s="15"/>
      <c r="F468" s="15"/>
      <c r="G468" s="15"/>
      <c r="H468" s="15"/>
      <c r="I468" s="15"/>
      <c r="J468" s="15"/>
      <c r="K468" s="16"/>
    </row>
    <row r="469">
      <c r="A469" s="61"/>
      <c r="B469" s="15"/>
      <c r="C469" s="15"/>
      <c r="D469" s="15"/>
      <c r="E469" s="15"/>
      <c r="F469" s="15"/>
      <c r="G469" s="15"/>
      <c r="H469" s="15"/>
      <c r="I469" s="15"/>
      <c r="J469" s="15"/>
      <c r="K469" s="16"/>
    </row>
    <row r="470">
      <c r="A470" s="61"/>
      <c r="B470" s="15"/>
      <c r="C470" s="15"/>
      <c r="D470" s="15"/>
      <c r="E470" s="15"/>
      <c r="F470" s="15"/>
      <c r="G470" s="15"/>
      <c r="H470" s="15"/>
      <c r="I470" s="15"/>
      <c r="J470" s="15"/>
      <c r="K470" s="16"/>
    </row>
    <row r="471">
      <c r="A471" s="61"/>
      <c r="B471" s="15"/>
      <c r="C471" s="15"/>
      <c r="D471" s="15"/>
      <c r="E471" s="15"/>
      <c r="F471" s="15"/>
      <c r="G471" s="15"/>
      <c r="H471" s="15"/>
      <c r="I471" s="15"/>
      <c r="J471" s="15"/>
      <c r="K471" s="16"/>
    </row>
    <row r="472">
      <c r="A472" s="61"/>
      <c r="B472" s="15"/>
      <c r="C472" s="15"/>
      <c r="D472" s="15"/>
      <c r="E472" s="15"/>
      <c r="F472" s="15"/>
      <c r="G472" s="15"/>
      <c r="H472" s="15"/>
      <c r="I472" s="15"/>
      <c r="J472" s="15"/>
      <c r="K472" s="16"/>
    </row>
    <row r="473">
      <c r="A473" s="61"/>
      <c r="B473" s="15"/>
      <c r="C473" s="15"/>
      <c r="D473" s="15"/>
      <c r="E473" s="15"/>
      <c r="F473" s="15"/>
      <c r="G473" s="15"/>
      <c r="H473" s="15"/>
      <c r="I473" s="15"/>
      <c r="J473" s="15"/>
      <c r="K473" s="16"/>
    </row>
    <row r="474">
      <c r="A474" s="61"/>
      <c r="B474" s="15"/>
      <c r="C474" s="15"/>
      <c r="D474" s="15"/>
      <c r="E474" s="15"/>
      <c r="F474" s="15"/>
      <c r="G474" s="15"/>
      <c r="H474" s="15"/>
      <c r="I474" s="15"/>
      <c r="J474" s="15"/>
      <c r="K474" s="16"/>
    </row>
    <row r="475">
      <c r="A475" s="61"/>
      <c r="B475" s="15"/>
      <c r="C475" s="15"/>
      <c r="D475" s="15"/>
      <c r="E475" s="15"/>
      <c r="F475" s="15"/>
      <c r="G475" s="15"/>
      <c r="H475" s="15"/>
      <c r="I475" s="15"/>
      <c r="J475" s="15"/>
      <c r="K475" s="16"/>
    </row>
    <row r="476">
      <c r="A476" s="61"/>
      <c r="B476" s="15"/>
      <c r="C476" s="15"/>
      <c r="D476" s="15"/>
      <c r="E476" s="15"/>
      <c r="F476" s="15"/>
      <c r="G476" s="15"/>
      <c r="H476" s="15"/>
      <c r="I476" s="15"/>
      <c r="J476" s="15"/>
      <c r="K476" s="16"/>
    </row>
    <row r="477">
      <c r="A477" s="61"/>
      <c r="B477" s="15"/>
      <c r="C477" s="15"/>
      <c r="D477" s="15"/>
      <c r="E477" s="15"/>
      <c r="F477" s="15"/>
      <c r="G477" s="15"/>
      <c r="H477" s="15"/>
      <c r="I477" s="15"/>
      <c r="J477" s="15"/>
      <c r="K477" s="16"/>
    </row>
    <row r="478">
      <c r="A478" s="61"/>
      <c r="B478" s="15"/>
      <c r="C478" s="15"/>
      <c r="D478" s="15"/>
      <c r="E478" s="15"/>
      <c r="F478" s="15"/>
      <c r="G478" s="15"/>
      <c r="H478" s="15"/>
      <c r="I478" s="15"/>
      <c r="J478" s="15"/>
      <c r="K478" s="16"/>
    </row>
    <row r="479">
      <c r="A479" s="61"/>
      <c r="B479" s="15"/>
      <c r="C479" s="15"/>
      <c r="D479" s="15"/>
      <c r="E479" s="15"/>
      <c r="F479" s="15"/>
      <c r="G479" s="15"/>
      <c r="H479" s="15"/>
      <c r="I479" s="15"/>
      <c r="J479" s="15"/>
      <c r="K479" s="16"/>
    </row>
    <row r="480">
      <c r="A480" s="61"/>
      <c r="B480" s="15"/>
      <c r="C480" s="15"/>
      <c r="D480" s="15"/>
      <c r="E480" s="15"/>
      <c r="F480" s="15"/>
      <c r="G480" s="15"/>
      <c r="H480" s="15"/>
      <c r="I480" s="15"/>
      <c r="J480" s="15"/>
      <c r="K480" s="16"/>
    </row>
    <row r="481">
      <c r="A481" s="62"/>
      <c r="B481" s="20"/>
      <c r="C481" s="20"/>
      <c r="D481" s="20"/>
      <c r="E481" s="20"/>
      <c r="F481" s="20"/>
      <c r="G481" s="20"/>
      <c r="H481" s="20"/>
      <c r="I481" s="20"/>
      <c r="J481" s="20"/>
      <c r="K481" s="21"/>
    </row>
    <row r="482">
      <c r="A482" s="63"/>
    </row>
    <row r="483">
      <c r="A483" s="63"/>
    </row>
    <row r="484">
      <c r="A484" s="63"/>
    </row>
    <row r="485">
      <c r="A485" s="63"/>
    </row>
    <row r="486">
      <c r="A486" s="63"/>
    </row>
    <row r="487">
      <c r="A487" s="63"/>
    </row>
    <row r="488">
      <c r="A488" s="63"/>
    </row>
    <row r="489">
      <c r="A489" s="63"/>
    </row>
    <row r="490">
      <c r="A490" s="63"/>
    </row>
    <row r="491">
      <c r="A491" s="63"/>
    </row>
    <row r="492">
      <c r="A492" s="63"/>
    </row>
    <row r="493">
      <c r="A493" s="63"/>
    </row>
    <row r="494">
      <c r="A494" s="63"/>
    </row>
    <row r="495">
      <c r="A495" s="63"/>
    </row>
    <row r="496">
      <c r="A496" s="63"/>
    </row>
    <row r="497">
      <c r="A497" s="63"/>
    </row>
    <row r="498">
      <c r="A498" s="63"/>
    </row>
    <row r="499">
      <c r="A499" s="63"/>
    </row>
    <row r="500">
      <c r="A500" s="63"/>
    </row>
    <row r="501">
      <c r="A501" s="63"/>
    </row>
    <row r="502">
      <c r="A502" s="63"/>
    </row>
    <row r="503">
      <c r="A503" s="63"/>
    </row>
    <row r="504">
      <c r="A504" s="63"/>
    </row>
    <row r="505">
      <c r="A505" s="63"/>
    </row>
    <row r="506">
      <c r="A506" s="63"/>
    </row>
    <row r="507">
      <c r="A507" s="63"/>
    </row>
    <row r="508">
      <c r="A508" s="63"/>
    </row>
    <row r="509">
      <c r="A509" s="63"/>
    </row>
    <row r="510">
      <c r="A510" s="63"/>
    </row>
    <row r="511">
      <c r="A511" s="63"/>
    </row>
    <row r="512">
      <c r="A512" s="63"/>
    </row>
    <row r="513">
      <c r="A513" s="63"/>
    </row>
    <row r="514">
      <c r="A514" s="63"/>
    </row>
    <row r="515">
      <c r="A515" s="63"/>
    </row>
    <row r="516">
      <c r="A516" s="63"/>
    </row>
    <row r="517">
      <c r="A517" s="63"/>
    </row>
    <row r="518">
      <c r="A518" s="63"/>
    </row>
    <row r="519">
      <c r="A519" s="63"/>
    </row>
    <row r="520">
      <c r="A520" s="63"/>
    </row>
    <row r="521">
      <c r="A521" s="63"/>
    </row>
    <row r="522">
      <c r="A522" s="63"/>
    </row>
    <row r="523">
      <c r="A523" s="63"/>
    </row>
    <row r="524">
      <c r="A524" s="63"/>
    </row>
    <row r="525">
      <c r="A525" s="63"/>
    </row>
    <row r="526">
      <c r="A526" s="63"/>
    </row>
    <row r="527">
      <c r="A527" s="63"/>
    </row>
    <row r="528">
      <c r="A528" s="63"/>
    </row>
    <row r="529">
      <c r="A529" s="63"/>
    </row>
    <row r="530">
      <c r="A530" s="63"/>
    </row>
    <row r="531">
      <c r="A531" s="63"/>
    </row>
    <row r="532">
      <c r="A532" s="63"/>
    </row>
    <row r="533">
      <c r="A533" s="63"/>
    </row>
    <row r="534">
      <c r="A534" s="63"/>
    </row>
    <row r="535">
      <c r="A535" s="63"/>
    </row>
    <row r="536">
      <c r="A536" s="63"/>
    </row>
    <row r="537">
      <c r="A537" s="63"/>
    </row>
    <row r="538">
      <c r="A538" s="63"/>
    </row>
    <row r="539">
      <c r="A539" s="63"/>
    </row>
    <row r="540">
      <c r="A540" s="63"/>
    </row>
    <row r="541">
      <c r="A541" s="63"/>
    </row>
    <row r="542">
      <c r="A542" s="63"/>
    </row>
    <row r="543">
      <c r="A543" s="63"/>
    </row>
    <row r="544">
      <c r="A544" s="63"/>
    </row>
    <row r="545">
      <c r="A545" s="63"/>
    </row>
    <row r="546">
      <c r="A546" s="63"/>
    </row>
    <row r="547">
      <c r="A547" s="63"/>
    </row>
    <row r="548">
      <c r="A548" s="63"/>
    </row>
    <row r="549">
      <c r="A549" s="63"/>
    </row>
    <row r="550">
      <c r="A550" s="63"/>
    </row>
    <row r="551">
      <c r="A551" s="63"/>
    </row>
    <row r="552">
      <c r="A552" s="63"/>
    </row>
    <row r="553">
      <c r="A553" s="63"/>
    </row>
    <row r="554">
      <c r="A554" s="63"/>
    </row>
    <row r="555">
      <c r="A555" s="63"/>
    </row>
    <row r="556">
      <c r="A556" s="63"/>
    </row>
    <row r="557">
      <c r="A557" s="63"/>
    </row>
    <row r="558">
      <c r="A558" s="63"/>
    </row>
    <row r="559">
      <c r="A559" s="63"/>
    </row>
    <row r="560">
      <c r="A560" s="63"/>
    </row>
    <row r="561">
      <c r="A561" s="63"/>
    </row>
    <row r="562">
      <c r="A562" s="63"/>
    </row>
    <row r="563">
      <c r="A563" s="63"/>
    </row>
    <row r="564">
      <c r="A564" s="63"/>
    </row>
    <row r="565">
      <c r="A565" s="63"/>
    </row>
    <row r="566">
      <c r="A566" s="63"/>
    </row>
    <row r="567">
      <c r="A567" s="63"/>
    </row>
    <row r="568">
      <c r="A568" s="63"/>
    </row>
    <row r="569">
      <c r="A569" s="63"/>
    </row>
    <row r="570">
      <c r="A570" s="63"/>
    </row>
    <row r="571">
      <c r="A571" s="63"/>
    </row>
    <row r="572">
      <c r="A572" s="63"/>
    </row>
    <row r="573">
      <c r="A573" s="63"/>
    </row>
    <row r="574">
      <c r="A574" s="63"/>
    </row>
    <row r="575">
      <c r="A575" s="63"/>
    </row>
    <row r="576">
      <c r="A576" s="63"/>
    </row>
    <row r="577">
      <c r="A577" s="63"/>
    </row>
    <row r="578">
      <c r="A578" s="63"/>
    </row>
    <row r="579">
      <c r="A579" s="63"/>
    </row>
    <row r="580">
      <c r="A580" s="63"/>
    </row>
    <row r="581">
      <c r="A581" s="63"/>
    </row>
    <row r="582">
      <c r="A582" s="63"/>
    </row>
    <row r="583">
      <c r="A583" s="63"/>
    </row>
    <row r="584">
      <c r="A584" s="63"/>
    </row>
    <row r="585">
      <c r="A585" s="63"/>
    </row>
    <row r="586">
      <c r="A586" s="63"/>
    </row>
    <row r="587">
      <c r="A587" s="63"/>
    </row>
    <row r="588">
      <c r="A588" s="63"/>
    </row>
    <row r="589">
      <c r="A589" s="63"/>
    </row>
    <row r="590">
      <c r="A590" s="63"/>
    </row>
    <row r="591">
      <c r="A591" s="63"/>
    </row>
    <row r="592">
      <c r="A592" s="63"/>
    </row>
    <row r="593">
      <c r="A593" s="63"/>
    </row>
    <row r="594">
      <c r="A594" s="63"/>
    </row>
    <row r="595">
      <c r="A595" s="63"/>
    </row>
    <row r="596">
      <c r="A596" s="63"/>
    </row>
    <row r="597">
      <c r="A597" s="63"/>
    </row>
    <row r="598">
      <c r="A598" s="63"/>
    </row>
    <row r="599">
      <c r="A599" s="63"/>
    </row>
    <row r="600">
      <c r="A600" s="63"/>
    </row>
    <row r="601">
      <c r="A601" s="63"/>
    </row>
    <row r="602">
      <c r="A602" s="63"/>
    </row>
    <row r="603">
      <c r="A603" s="63"/>
    </row>
    <row r="604">
      <c r="A604" s="63"/>
    </row>
    <row r="605">
      <c r="A605" s="63"/>
    </row>
    <row r="606">
      <c r="A606" s="63"/>
    </row>
    <row r="607">
      <c r="A607" s="63"/>
    </row>
    <row r="608">
      <c r="A608" s="63"/>
    </row>
    <row r="609">
      <c r="A609" s="63"/>
    </row>
    <row r="610">
      <c r="A610" s="63"/>
    </row>
    <row r="611">
      <c r="A611" s="63"/>
    </row>
    <row r="612">
      <c r="A612" s="63"/>
    </row>
    <row r="613">
      <c r="A613" s="63"/>
    </row>
    <row r="614">
      <c r="A614" s="63"/>
    </row>
    <row r="615">
      <c r="A615" s="63"/>
    </row>
    <row r="616">
      <c r="A616" s="63"/>
    </row>
    <row r="617">
      <c r="A617" s="63"/>
    </row>
    <row r="618">
      <c r="A618" s="63"/>
    </row>
    <row r="619">
      <c r="A619" s="63"/>
    </row>
    <row r="620">
      <c r="A620" s="63"/>
    </row>
    <row r="621">
      <c r="A621" s="63"/>
    </row>
    <row r="622">
      <c r="A622" s="63"/>
    </row>
    <row r="623">
      <c r="A623" s="63"/>
    </row>
    <row r="624">
      <c r="A624" s="63"/>
    </row>
    <row r="625">
      <c r="A625" s="63"/>
    </row>
    <row r="626">
      <c r="A626" s="63"/>
    </row>
    <row r="627">
      <c r="A627" s="63"/>
    </row>
    <row r="628">
      <c r="A628" s="63"/>
    </row>
    <row r="629">
      <c r="A629" s="63"/>
    </row>
    <row r="630">
      <c r="A630" s="63"/>
    </row>
    <row r="631">
      <c r="A631" s="63"/>
    </row>
    <row r="632">
      <c r="A632" s="63"/>
    </row>
    <row r="633">
      <c r="A633" s="63"/>
    </row>
    <row r="634">
      <c r="A634" s="63"/>
    </row>
    <row r="635">
      <c r="A635" s="63"/>
    </row>
    <row r="636">
      <c r="A636" s="63"/>
    </row>
    <row r="637">
      <c r="A637" s="63"/>
    </row>
    <row r="638">
      <c r="A638" s="63"/>
    </row>
    <row r="639">
      <c r="A639" s="63"/>
    </row>
    <row r="640">
      <c r="A640" s="63"/>
    </row>
    <row r="641">
      <c r="A641" s="63"/>
    </row>
    <row r="642">
      <c r="A642" s="63"/>
    </row>
    <row r="643">
      <c r="A643" s="63"/>
    </row>
    <row r="644">
      <c r="A644" s="63"/>
    </row>
    <row r="645">
      <c r="A645" s="63"/>
    </row>
    <row r="646">
      <c r="A646" s="63"/>
    </row>
    <row r="647">
      <c r="A647" s="63"/>
    </row>
    <row r="648">
      <c r="A648" s="63"/>
    </row>
    <row r="649">
      <c r="A649" s="63"/>
    </row>
    <row r="650">
      <c r="A650" s="63"/>
    </row>
    <row r="651">
      <c r="A651" s="63"/>
    </row>
    <row r="652">
      <c r="A652" s="63"/>
    </row>
    <row r="653">
      <c r="A653" s="63"/>
    </row>
    <row r="654">
      <c r="A654" s="63"/>
    </row>
    <row r="655">
      <c r="A655" s="63"/>
    </row>
    <row r="656">
      <c r="A656" s="63"/>
    </row>
    <row r="657">
      <c r="A657" s="63"/>
    </row>
    <row r="658">
      <c r="A658" s="63"/>
    </row>
    <row r="659">
      <c r="A659" s="63"/>
    </row>
    <row r="660">
      <c r="A660" s="63"/>
    </row>
    <row r="661">
      <c r="A661" s="63"/>
    </row>
    <row r="662">
      <c r="A662" s="63"/>
    </row>
    <row r="663">
      <c r="A663" s="63"/>
    </row>
    <row r="664">
      <c r="A664" s="63"/>
    </row>
    <row r="665">
      <c r="A665" s="63"/>
    </row>
    <row r="666">
      <c r="A666" s="63"/>
    </row>
    <row r="667">
      <c r="A667" s="63"/>
    </row>
    <row r="668">
      <c r="A668" s="63"/>
    </row>
    <row r="669">
      <c r="A669" s="63"/>
    </row>
    <row r="670">
      <c r="A670" s="63"/>
    </row>
    <row r="671">
      <c r="A671" s="63"/>
    </row>
    <row r="672">
      <c r="A672" s="63"/>
    </row>
    <row r="673">
      <c r="A673" s="63"/>
    </row>
    <row r="674">
      <c r="A674" s="63"/>
    </row>
    <row r="675">
      <c r="A675" s="63"/>
    </row>
    <row r="676">
      <c r="A676" s="63"/>
    </row>
    <row r="677">
      <c r="A677" s="63"/>
    </row>
    <row r="678">
      <c r="A678" s="63"/>
    </row>
    <row r="679">
      <c r="A679" s="63"/>
    </row>
    <row r="680">
      <c r="A680" s="63"/>
    </row>
    <row r="681">
      <c r="A681" s="63"/>
    </row>
    <row r="682">
      <c r="A682" s="63"/>
    </row>
    <row r="683">
      <c r="A683" s="63"/>
    </row>
    <row r="684">
      <c r="A684" s="63"/>
    </row>
    <row r="685">
      <c r="A685" s="63"/>
    </row>
    <row r="686">
      <c r="A686" s="63"/>
    </row>
    <row r="687">
      <c r="A687" s="63"/>
    </row>
    <row r="688">
      <c r="A688" s="63"/>
    </row>
    <row r="689">
      <c r="A689" s="63"/>
    </row>
    <row r="690">
      <c r="A690" s="63"/>
    </row>
    <row r="691">
      <c r="A691" s="63"/>
    </row>
    <row r="692">
      <c r="A692" s="63"/>
    </row>
    <row r="693">
      <c r="A693" s="63"/>
    </row>
    <row r="694">
      <c r="A694" s="63"/>
    </row>
    <row r="695">
      <c r="A695" s="63"/>
    </row>
    <row r="696">
      <c r="A696" s="63"/>
    </row>
    <row r="697">
      <c r="A697" s="63"/>
    </row>
    <row r="698">
      <c r="A698" s="63"/>
    </row>
    <row r="699">
      <c r="A699" s="63"/>
    </row>
    <row r="700">
      <c r="A700" s="63"/>
    </row>
    <row r="701">
      <c r="A701" s="63"/>
    </row>
    <row r="702">
      <c r="A702" s="63"/>
    </row>
    <row r="703">
      <c r="A703" s="63"/>
    </row>
    <row r="704">
      <c r="A704" s="63"/>
    </row>
    <row r="705">
      <c r="A705" s="63"/>
    </row>
    <row r="706">
      <c r="A706" s="63"/>
    </row>
    <row r="707">
      <c r="A707" s="63"/>
    </row>
    <row r="708">
      <c r="A708" s="63"/>
    </row>
    <row r="709">
      <c r="A709" s="63"/>
    </row>
    <row r="710">
      <c r="A710" s="63"/>
    </row>
    <row r="711">
      <c r="A711" s="63"/>
    </row>
    <row r="712">
      <c r="A712" s="63"/>
    </row>
    <row r="713">
      <c r="A713" s="63"/>
    </row>
    <row r="714">
      <c r="A714" s="63"/>
    </row>
    <row r="715">
      <c r="A715" s="63"/>
    </row>
    <row r="716">
      <c r="A716" s="63"/>
    </row>
    <row r="717">
      <c r="A717" s="63"/>
    </row>
    <row r="718">
      <c r="A718" s="63"/>
    </row>
    <row r="719">
      <c r="A719" s="63"/>
    </row>
    <row r="720">
      <c r="A720" s="63"/>
    </row>
    <row r="721">
      <c r="A721" s="63"/>
    </row>
    <row r="722">
      <c r="A722" s="63"/>
    </row>
    <row r="723">
      <c r="A723" s="63"/>
    </row>
    <row r="724">
      <c r="A724" s="63"/>
    </row>
    <row r="725">
      <c r="A725" s="63"/>
    </row>
    <row r="726">
      <c r="A726" s="63"/>
    </row>
    <row r="727">
      <c r="A727" s="63"/>
    </row>
    <row r="728">
      <c r="A728" s="63"/>
    </row>
    <row r="729">
      <c r="A729" s="63"/>
    </row>
    <row r="730">
      <c r="A730" s="63"/>
    </row>
    <row r="731">
      <c r="A731" s="63"/>
    </row>
    <row r="732">
      <c r="A732" s="63"/>
    </row>
    <row r="733">
      <c r="A733" s="63"/>
    </row>
    <row r="734">
      <c r="A734" s="63"/>
    </row>
    <row r="735">
      <c r="A735" s="63"/>
    </row>
    <row r="736">
      <c r="A736" s="63"/>
    </row>
    <row r="737">
      <c r="A737" s="63"/>
    </row>
    <row r="738">
      <c r="A738" s="63"/>
    </row>
    <row r="739">
      <c r="A739" s="63"/>
    </row>
    <row r="740">
      <c r="A740" s="63"/>
    </row>
    <row r="741">
      <c r="A741" s="63"/>
    </row>
    <row r="742">
      <c r="A742" s="63"/>
    </row>
    <row r="743">
      <c r="A743" s="63"/>
    </row>
    <row r="744">
      <c r="A744" s="63"/>
    </row>
    <row r="745">
      <c r="A745" s="63"/>
    </row>
    <row r="746">
      <c r="A746" s="63"/>
    </row>
    <row r="747">
      <c r="A747" s="63"/>
    </row>
    <row r="748">
      <c r="A748" s="63"/>
    </row>
    <row r="749">
      <c r="A749" s="63"/>
    </row>
    <row r="750">
      <c r="A750" s="63"/>
    </row>
    <row r="751">
      <c r="A751" s="63"/>
    </row>
    <row r="752">
      <c r="A752" s="63"/>
    </row>
    <row r="753">
      <c r="A753" s="63"/>
    </row>
    <row r="754">
      <c r="A754" s="63"/>
    </row>
    <row r="755">
      <c r="A755" s="63"/>
    </row>
    <row r="756">
      <c r="A756" s="63"/>
    </row>
    <row r="757">
      <c r="A757" s="63"/>
    </row>
    <row r="758">
      <c r="A758" s="63"/>
    </row>
    <row r="759">
      <c r="A759" s="63"/>
    </row>
    <row r="760">
      <c r="A760" s="63"/>
    </row>
    <row r="761">
      <c r="A761" s="63"/>
    </row>
    <row r="762">
      <c r="A762" s="63"/>
    </row>
    <row r="763">
      <c r="A763" s="63"/>
    </row>
    <row r="764">
      <c r="A764" s="63"/>
    </row>
    <row r="765">
      <c r="A765" s="63"/>
    </row>
    <row r="766">
      <c r="A766" s="63"/>
    </row>
    <row r="767">
      <c r="A767" s="63"/>
    </row>
    <row r="768">
      <c r="A768" s="63"/>
    </row>
    <row r="769">
      <c r="A769" s="63"/>
    </row>
    <row r="770">
      <c r="A770" s="63"/>
    </row>
    <row r="771">
      <c r="A771" s="63"/>
    </row>
    <row r="772">
      <c r="A772" s="63"/>
    </row>
    <row r="773">
      <c r="A773" s="63"/>
    </row>
    <row r="774">
      <c r="A774" s="63"/>
    </row>
    <row r="775">
      <c r="A775" s="63"/>
    </row>
    <row r="776">
      <c r="A776" s="63"/>
    </row>
    <row r="777">
      <c r="A777" s="63"/>
    </row>
    <row r="778">
      <c r="A778" s="63"/>
    </row>
    <row r="779">
      <c r="A779" s="63"/>
    </row>
    <row r="780">
      <c r="A780" s="63"/>
    </row>
    <row r="781">
      <c r="A781" s="63"/>
    </row>
    <row r="782">
      <c r="A782" s="63"/>
    </row>
    <row r="783">
      <c r="A783" s="63"/>
    </row>
    <row r="784">
      <c r="A784" s="63"/>
    </row>
    <row r="785">
      <c r="A785" s="63"/>
    </row>
    <row r="786">
      <c r="A786" s="63"/>
    </row>
    <row r="787">
      <c r="A787" s="63"/>
    </row>
    <row r="788">
      <c r="A788" s="63"/>
    </row>
    <row r="789">
      <c r="A789" s="63"/>
    </row>
    <row r="790">
      <c r="A790" s="63"/>
    </row>
    <row r="791">
      <c r="A791" s="63"/>
    </row>
    <row r="792">
      <c r="A792" s="63"/>
    </row>
    <row r="793">
      <c r="A793" s="63"/>
    </row>
    <row r="794">
      <c r="A794" s="63"/>
    </row>
    <row r="795">
      <c r="A795" s="63"/>
    </row>
    <row r="796">
      <c r="A796" s="63"/>
    </row>
    <row r="797">
      <c r="A797" s="63"/>
    </row>
    <row r="798">
      <c r="A798" s="63"/>
    </row>
    <row r="799">
      <c r="A799" s="63"/>
    </row>
    <row r="800">
      <c r="A800" s="63"/>
    </row>
    <row r="801">
      <c r="A801" s="63"/>
    </row>
    <row r="802">
      <c r="A802" s="63"/>
    </row>
    <row r="803">
      <c r="A803" s="63"/>
    </row>
    <row r="804">
      <c r="A804" s="63"/>
    </row>
    <row r="805">
      <c r="A805" s="63"/>
    </row>
    <row r="806">
      <c r="A806" s="63"/>
    </row>
    <row r="807">
      <c r="A807" s="63"/>
    </row>
    <row r="808">
      <c r="A808" s="63"/>
    </row>
    <row r="809">
      <c r="A809" s="63"/>
    </row>
    <row r="810">
      <c r="A810" s="63"/>
    </row>
    <row r="811">
      <c r="A811" s="63"/>
    </row>
    <row r="812">
      <c r="A812" s="63"/>
    </row>
    <row r="813">
      <c r="A813" s="63"/>
    </row>
    <row r="814">
      <c r="A814" s="63"/>
    </row>
    <row r="815">
      <c r="A815" s="63"/>
    </row>
    <row r="816">
      <c r="A816" s="63"/>
    </row>
    <row r="817">
      <c r="A817" s="63"/>
    </row>
    <row r="818">
      <c r="A818" s="63"/>
    </row>
    <row r="819">
      <c r="A819" s="63"/>
    </row>
    <row r="820">
      <c r="A820" s="63"/>
    </row>
    <row r="821">
      <c r="A821" s="63"/>
    </row>
    <row r="822">
      <c r="A822" s="63"/>
    </row>
    <row r="823">
      <c r="A823" s="63"/>
    </row>
    <row r="824">
      <c r="A824" s="63"/>
    </row>
    <row r="825">
      <c r="A825" s="63"/>
    </row>
    <row r="826">
      <c r="A826" s="63"/>
    </row>
    <row r="827">
      <c r="A827" s="63"/>
    </row>
    <row r="828">
      <c r="A828" s="63"/>
    </row>
    <row r="829">
      <c r="A829" s="63"/>
    </row>
    <row r="830">
      <c r="A830" s="63"/>
    </row>
    <row r="831">
      <c r="A831" s="63"/>
    </row>
    <row r="832">
      <c r="A832" s="63"/>
    </row>
    <row r="833">
      <c r="A833" s="63"/>
    </row>
    <row r="834">
      <c r="A834" s="63"/>
    </row>
    <row r="835">
      <c r="A835" s="63"/>
    </row>
    <row r="836">
      <c r="A836" s="63"/>
    </row>
    <row r="837">
      <c r="A837" s="63"/>
    </row>
    <row r="838">
      <c r="A838" s="63"/>
    </row>
    <row r="839">
      <c r="A839" s="63"/>
    </row>
    <row r="840">
      <c r="A840" s="63"/>
    </row>
    <row r="841">
      <c r="A841" s="63"/>
    </row>
    <row r="842">
      <c r="A842" s="63"/>
    </row>
    <row r="843">
      <c r="A843" s="63"/>
    </row>
    <row r="844">
      <c r="A844" s="63"/>
    </row>
    <row r="845">
      <c r="A845" s="63"/>
    </row>
    <row r="846">
      <c r="A846" s="63"/>
    </row>
    <row r="847">
      <c r="A847" s="63"/>
    </row>
    <row r="848">
      <c r="A848" s="63"/>
    </row>
    <row r="849">
      <c r="A849" s="63"/>
    </row>
    <row r="850">
      <c r="A850" s="63"/>
    </row>
    <row r="851">
      <c r="A851" s="63"/>
    </row>
    <row r="852">
      <c r="A852" s="63"/>
    </row>
    <row r="853">
      <c r="A853" s="63"/>
    </row>
    <row r="854">
      <c r="A854" s="63"/>
    </row>
    <row r="855">
      <c r="A855" s="63"/>
    </row>
    <row r="856">
      <c r="A856" s="63"/>
    </row>
    <row r="857">
      <c r="A857" s="63"/>
    </row>
    <row r="858">
      <c r="A858" s="63"/>
    </row>
    <row r="859">
      <c r="A859" s="63"/>
    </row>
    <row r="860">
      <c r="A860" s="63"/>
    </row>
    <row r="861">
      <c r="A861" s="63"/>
    </row>
    <row r="862">
      <c r="A862" s="63"/>
    </row>
    <row r="863">
      <c r="A863" s="63"/>
    </row>
    <row r="864">
      <c r="A864" s="63"/>
    </row>
    <row r="865">
      <c r="A865" s="63"/>
    </row>
    <row r="866">
      <c r="A866" s="63"/>
    </row>
    <row r="867">
      <c r="A867" s="63"/>
    </row>
    <row r="868">
      <c r="A868" s="63"/>
    </row>
    <row r="869">
      <c r="A869" s="63"/>
    </row>
    <row r="870">
      <c r="A870" s="63"/>
    </row>
    <row r="871">
      <c r="A871" s="63"/>
    </row>
    <row r="872">
      <c r="A872" s="63"/>
    </row>
    <row r="873">
      <c r="A873" s="63"/>
    </row>
    <row r="874">
      <c r="A874" s="63"/>
    </row>
    <row r="875">
      <c r="A875" s="63"/>
    </row>
    <row r="876">
      <c r="A876" s="63"/>
    </row>
    <row r="877">
      <c r="A877" s="63"/>
    </row>
    <row r="878">
      <c r="A878" s="63"/>
    </row>
    <row r="879">
      <c r="A879" s="63"/>
    </row>
    <row r="880">
      <c r="A880" s="63"/>
    </row>
    <row r="881">
      <c r="A881" s="63"/>
    </row>
    <row r="882">
      <c r="A882" s="63"/>
    </row>
    <row r="883">
      <c r="A883" s="63"/>
    </row>
    <row r="884">
      <c r="A884" s="63"/>
    </row>
    <row r="885">
      <c r="A885" s="63"/>
    </row>
    <row r="886">
      <c r="A886" s="63"/>
    </row>
    <row r="887">
      <c r="A887" s="63"/>
    </row>
    <row r="888">
      <c r="A888" s="63"/>
    </row>
    <row r="889">
      <c r="A889" s="63"/>
    </row>
    <row r="890">
      <c r="A890" s="63"/>
    </row>
    <row r="891">
      <c r="A891" s="63"/>
    </row>
    <row r="892">
      <c r="A892" s="63"/>
    </row>
    <row r="893">
      <c r="A893" s="63"/>
    </row>
    <row r="894">
      <c r="A894" s="63"/>
    </row>
    <row r="895">
      <c r="A895" s="63"/>
    </row>
    <row r="896">
      <c r="A896" s="63"/>
    </row>
    <row r="897">
      <c r="A897" s="63"/>
    </row>
    <row r="898">
      <c r="A898" s="63"/>
    </row>
    <row r="899">
      <c r="A899" s="63"/>
    </row>
    <row r="900">
      <c r="A900" s="63"/>
    </row>
    <row r="901">
      <c r="A901" s="63"/>
    </row>
    <row r="902">
      <c r="A902" s="63"/>
    </row>
    <row r="903">
      <c r="A903" s="63"/>
    </row>
    <row r="904">
      <c r="A904" s="63"/>
    </row>
    <row r="905">
      <c r="A905" s="63"/>
    </row>
    <row r="906">
      <c r="A906" s="63"/>
    </row>
    <row r="907">
      <c r="A907" s="63"/>
    </row>
    <row r="908">
      <c r="A908" s="63"/>
    </row>
    <row r="909">
      <c r="A909" s="63"/>
    </row>
    <row r="910">
      <c r="A910" s="63"/>
    </row>
    <row r="911">
      <c r="A911" s="63"/>
    </row>
    <row r="912">
      <c r="A912" s="63"/>
    </row>
    <row r="913">
      <c r="A913" s="63"/>
    </row>
    <row r="914">
      <c r="A914" s="63"/>
    </row>
    <row r="915">
      <c r="A915" s="63"/>
    </row>
    <row r="916">
      <c r="A916" s="63"/>
    </row>
    <row r="917">
      <c r="A917" s="63"/>
    </row>
    <row r="918">
      <c r="A918" s="63"/>
    </row>
    <row r="919">
      <c r="A919" s="63"/>
    </row>
    <row r="920">
      <c r="A920" s="63"/>
    </row>
    <row r="921">
      <c r="A921" s="63"/>
    </row>
    <row r="922">
      <c r="A922" s="63"/>
    </row>
    <row r="923">
      <c r="A923" s="63"/>
    </row>
    <row r="924">
      <c r="A924" s="63"/>
    </row>
    <row r="925">
      <c r="A925" s="63"/>
    </row>
    <row r="926">
      <c r="A926" s="63"/>
    </row>
    <row r="927">
      <c r="A927" s="63"/>
    </row>
    <row r="928">
      <c r="A928" s="63"/>
    </row>
    <row r="929">
      <c r="A929" s="63"/>
    </row>
    <row r="930">
      <c r="A930" s="63"/>
    </row>
    <row r="931">
      <c r="A931" s="63"/>
    </row>
    <row r="932">
      <c r="A932" s="63"/>
    </row>
    <row r="933">
      <c r="A933" s="63"/>
    </row>
    <row r="934">
      <c r="A934" s="63"/>
    </row>
    <row r="935">
      <c r="A935" s="63"/>
    </row>
    <row r="936">
      <c r="A936" s="63"/>
    </row>
    <row r="937">
      <c r="A937" s="63"/>
    </row>
    <row r="938">
      <c r="A938" s="63"/>
    </row>
    <row r="939">
      <c r="A939" s="63"/>
    </row>
    <row r="940">
      <c r="A940" s="63"/>
    </row>
    <row r="941">
      <c r="A941" s="63"/>
    </row>
    <row r="942">
      <c r="A942" s="63"/>
    </row>
    <row r="943">
      <c r="A943" s="63"/>
    </row>
    <row r="944">
      <c r="A944" s="63"/>
    </row>
    <row r="945">
      <c r="A945" s="63"/>
    </row>
    <row r="946">
      <c r="A946" s="63"/>
    </row>
    <row r="947">
      <c r="A947" s="63"/>
    </row>
    <row r="948">
      <c r="A948" s="63"/>
    </row>
    <row r="949">
      <c r="A949" s="63"/>
    </row>
    <row r="950">
      <c r="A950" s="63"/>
    </row>
    <row r="951">
      <c r="A951" s="63"/>
    </row>
    <row r="952">
      <c r="A952" s="63"/>
    </row>
    <row r="953">
      <c r="A953" s="63"/>
    </row>
    <row r="954">
      <c r="A954" s="63"/>
    </row>
    <row r="955">
      <c r="A955" s="63"/>
    </row>
    <row r="956">
      <c r="A956" s="63"/>
    </row>
    <row r="957">
      <c r="A957" s="63"/>
    </row>
    <row r="958">
      <c r="A958" s="63"/>
    </row>
    <row r="959">
      <c r="A959" s="63"/>
    </row>
    <row r="960">
      <c r="A960" s="63"/>
    </row>
    <row r="961">
      <c r="A961" s="63"/>
    </row>
    <row r="962">
      <c r="A962" s="63"/>
    </row>
    <row r="963">
      <c r="A963" s="63"/>
    </row>
    <row r="964">
      <c r="A964" s="63"/>
    </row>
    <row r="965">
      <c r="A965" s="63"/>
    </row>
    <row r="966">
      <c r="A966" s="63"/>
    </row>
    <row r="967">
      <c r="A967" s="63"/>
    </row>
    <row r="968">
      <c r="A968" s="63"/>
    </row>
    <row r="969">
      <c r="A969" s="63"/>
    </row>
    <row r="970">
      <c r="A970" s="63"/>
    </row>
    <row r="971">
      <c r="A971" s="63"/>
    </row>
    <row r="972">
      <c r="A972" s="63"/>
    </row>
    <row r="973">
      <c r="A973" s="63"/>
    </row>
    <row r="974">
      <c r="A974" s="63"/>
    </row>
    <row r="975">
      <c r="A975" s="63"/>
    </row>
    <row r="976">
      <c r="A976" s="63"/>
    </row>
    <row r="977">
      <c r="A977" s="63"/>
    </row>
    <row r="978">
      <c r="A978" s="63"/>
    </row>
    <row r="979">
      <c r="A979" s="63"/>
    </row>
    <row r="980">
      <c r="A980" s="63"/>
    </row>
    <row r="981">
      <c r="A981" s="63"/>
    </row>
    <row r="982">
      <c r="A982" s="63"/>
    </row>
    <row r="983">
      <c r="A983" s="63"/>
    </row>
    <row r="984">
      <c r="A984" s="63"/>
    </row>
    <row r="985">
      <c r="A985" s="63"/>
    </row>
    <row r="986">
      <c r="A986" s="63"/>
    </row>
    <row r="987">
      <c r="A987" s="63"/>
    </row>
    <row r="988">
      <c r="A988" s="63"/>
    </row>
    <row r="989">
      <c r="A989" s="63"/>
    </row>
    <row r="990">
      <c r="A990" s="63"/>
    </row>
    <row r="991">
      <c r="A991" s="63"/>
    </row>
    <row r="992">
      <c r="A992" s="63"/>
    </row>
    <row r="993">
      <c r="A993" s="63"/>
    </row>
    <row r="994">
      <c r="A994" s="63"/>
    </row>
    <row r="995">
      <c r="A995" s="63"/>
    </row>
    <row r="996">
      <c r="A996" s="63"/>
    </row>
    <row r="997">
      <c r="A997" s="63"/>
    </row>
    <row r="998">
      <c r="A998" s="63"/>
    </row>
    <row r="999">
      <c r="A999" s="63"/>
    </row>
    <row r="1000">
      <c r="A1000" s="63"/>
    </row>
    <row r="1001">
      <c r="A1001" s="63"/>
    </row>
    <row r="1002">
      <c r="A1002" s="63"/>
    </row>
    <row r="1003">
      <c r="A1003" s="63"/>
    </row>
    <row r="1004">
      <c r="A1004" s="63"/>
    </row>
    <row r="1005">
      <c r="A1005" s="63"/>
    </row>
    <row r="1006">
      <c r="A1006" s="63"/>
    </row>
    <row r="1007">
      <c r="A1007" s="63"/>
    </row>
    <row r="1008">
      <c r="A1008" s="63"/>
    </row>
    <row r="1009">
      <c r="A1009" s="63"/>
    </row>
    <row r="1010">
      <c r="A1010" s="63"/>
    </row>
    <row r="1011">
      <c r="A1011" s="63"/>
    </row>
    <row r="1012">
      <c r="A1012" s="63"/>
    </row>
    <row r="1013">
      <c r="A1013" s="63"/>
    </row>
    <row r="1014">
      <c r="A1014" s="63"/>
    </row>
    <row r="1015">
      <c r="A1015" s="63"/>
    </row>
    <row r="1016">
      <c r="A1016" s="63"/>
    </row>
    <row r="1017">
      <c r="A1017" s="63"/>
    </row>
    <row r="1018">
      <c r="A1018" s="63"/>
    </row>
    <row r="1019">
      <c r="A1019" s="63"/>
    </row>
    <row r="1020">
      <c r="A1020" s="63"/>
    </row>
    <row r="1021">
      <c r="A1021" s="63"/>
    </row>
    <row r="1022">
      <c r="A1022" s="63"/>
    </row>
    <row r="1023">
      <c r="A1023" s="63"/>
    </row>
    <row r="1024">
      <c r="A1024" s="63"/>
    </row>
    <row r="1025">
      <c r="A1025" s="63"/>
    </row>
    <row r="1026">
      <c r="A1026" s="63"/>
    </row>
    <row r="1027">
      <c r="A1027" s="63"/>
    </row>
    <row r="1028">
      <c r="A1028" s="63"/>
    </row>
    <row r="1029">
      <c r="A1029" s="63"/>
    </row>
    <row r="1030">
      <c r="A1030" s="63"/>
    </row>
    <row r="1031">
      <c r="A1031" s="63"/>
    </row>
    <row r="1032">
      <c r="A1032" s="63"/>
    </row>
    <row r="1033">
      <c r="A1033" s="63"/>
    </row>
    <row r="1034">
      <c r="A1034" s="63"/>
    </row>
    <row r="1035">
      <c r="A1035" s="63"/>
    </row>
    <row r="1036">
      <c r="A1036" s="63"/>
    </row>
    <row r="1037">
      <c r="A1037" s="63"/>
    </row>
    <row r="1038">
      <c r="A1038" s="63"/>
    </row>
    <row r="1039">
      <c r="A1039" s="63"/>
    </row>
    <row r="1040">
      <c r="A1040" s="63"/>
    </row>
    <row r="1041">
      <c r="A1041" s="63"/>
    </row>
    <row r="1042">
      <c r="A1042" s="63"/>
    </row>
    <row r="1043">
      <c r="A1043" s="63"/>
    </row>
    <row r="1044">
      <c r="A1044" s="63"/>
    </row>
    <row r="1045">
      <c r="A1045" s="63"/>
    </row>
    <row r="1046">
      <c r="A1046" s="63"/>
    </row>
    <row r="1047">
      <c r="A1047" s="63"/>
    </row>
    <row r="1048">
      <c r="A1048" s="63"/>
    </row>
    <row r="1049">
      <c r="A1049" s="63"/>
    </row>
    <row r="1050">
      <c r="A1050" s="63"/>
    </row>
    <row r="1051">
      <c r="A1051" s="63"/>
    </row>
    <row r="1052">
      <c r="A1052" s="63"/>
    </row>
    <row r="1053">
      <c r="A1053" s="63"/>
    </row>
    <row r="1054">
      <c r="A1054" s="63"/>
    </row>
    <row r="1055">
      <c r="A1055" s="63"/>
    </row>
    <row r="1056">
      <c r="A1056" s="63"/>
    </row>
    <row r="1057">
      <c r="A1057" s="63"/>
    </row>
    <row r="1058">
      <c r="A1058" s="63"/>
    </row>
    <row r="1059">
      <c r="A1059" s="63"/>
    </row>
    <row r="1060">
      <c r="A1060" s="63"/>
    </row>
    <row r="1061">
      <c r="A1061" s="63"/>
    </row>
    <row r="1062">
      <c r="A1062" s="63"/>
    </row>
    <row r="1063">
      <c r="A1063" s="63"/>
    </row>
    <row r="1064">
      <c r="A1064" s="63"/>
    </row>
    <row r="1065">
      <c r="A1065" s="63"/>
    </row>
    <row r="1066">
      <c r="A1066" s="63"/>
    </row>
    <row r="1067">
      <c r="A1067" s="63"/>
    </row>
    <row r="1068">
      <c r="A1068" s="63"/>
    </row>
    <row r="1069">
      <c r="A1069" s="63"/>
    </row>
    <row r="1070">
      <c r="A1070" s="63"/>
    </row>
    <row r="1071">
      <c r="A1071" s="63"/>
    </row>
    <row r="1072">
      <c r="A1072" s="63"/>
    </row>
    <row r="1073">
      <c r="A1073" s="63"/>
    </row>
    <row r="1074">
      <c r="A1074" s="63"/>
    </row>
    <row r="1075">
      <c r="A1075" s="63"/>
    </row>
    <row r="1076">
      <c r="A1076" s="63"/>
    </row>
    <row r="1077">
      <c r="A1077" s="63"/>
    </row>
    <row r="1078">
      <c r="A1078" s="63"/>
    </row>
    <row r="1079">
      <c r="A1079" s="63"/>
    </row>
    <row r="1080">
      <c r="A1080" s="63"/>
    </row>
    <row r="1081">
      <c r="A1081" s="63"/>
    </row>
    <row r="1082">
      <c r="A1082" s="63"/>
    </row>
    <row r="1083">
      <c r="A1083" s="63"/>
    </row>
    <row r="1084">
      <c r="A1084" s="63"/>
    </row>
    <row r="1085">
      <c r="A1085" s="63"/>
    </row>
    <row r="1086">
      <c r="A1086" s="63"/>
    </row>
    <row r="1087">
      <c r="A1087" s="63"/>
    </row>
    <row r="1088">
      <c r="A1088" s="63"/>
    </row>
    <row r="1089">
      <c r="A1089" s="63"/>
    </row>
    <row r="1090">
      <c r="A1090" s="63"/>
    </row>
    <row r="1091">
      <c r="A1091" s="63"/>
    </row>
    <row r="1092">
      <c r="A1092" s="63"/>
    </row>
    <row r="1093">
      <c r="A1093" s="63"/>
    </row>
    <row r="1094">
      <c r="A1094" s="63"/>
    </row>
    <row r="1095">
      <c r="A1095" s="63"/>
    </row>
    <row r="1096">
      <c r="A1096" s="63"/>
    </row>
    <row r="1097">
      <c r="A1097" s="63"/>
    </row>
    <row r="1098">
      <c r="A1098" s="63"/>
    </row>
    <row r="1099">
      <c r="A1099" s="63"/>
    </row>
    <row r="1100">
      <c r="A1100" s="63"/>
    </row>
    <row r="1101">
      <c r="A1101" s="63"/>
    </row>
    <row r="1102">
      <c r="A1102" s="63"/>
    </row>
    <row r="1103">
      <c r="A1103" s="63"/>
    </row>
    <row r="1104">
      <c r="A1104" s="63"/>
    </row>
    <row r="1105">
      <c r="A1105" s="63"/>
    </row>
    <row r="1106">
      <c r="A1106" s="63"/>
    </row>
    <row r="1107">
      <c r="A1107" s="63"/>
    </row>
    <row r="1108">
      <c r="A1108" s="63"/>
    </row>
    <row r="1109">
      <c r="A1109" s="63"/>
    </row>
    <row r="1110">
      <c r="A1110" s="63"/>
    </row>
    <row r="1111">
      <c r="A1111" s="63"/>
    </row>
    <row r="1112">
      <c r="A1112" s="63"/>
    </row>
    <row r="1113">
      <c r="A1113" s="63"/>
    </row>
    <row r="1114">
      <c r="A1114" s="63"/>
    </row>
    <row r="1115">
      <c r="A1115" s="63"/>
    </row>
    <row r="1116">
      <c r="A1116" s="63"/>
    </row>
    <row r="1117">
      <c r="A1117" s="63"/>
    </row>
    <row r="1118">
      <c r="A1118" s="63"/>
    </row>
    <row r="1119">
      <c r="A1119" s="63"/>
    </row>
    <row r="1120">
      <c r="A1120" s="63"/>
    </row>
    <row r="1121">
      <c r="A1121" s="63"/>
    </row>
    <row r="1122">
      <c r="A1122" s="63"/>
    </row>
    <row r="1123">
      <c r="A1123" s="63"/>
    </row>
    <row r="1124">
      <c r="A1124" s="63"/>
    </row>
    <row r="1125">
      <c r="A1125" s="63"/>
    </row>
    <row r="1126">
      <c r="A1126" s="63"/>
    </row>
    <row r="1127">
      <c r="A1127" s="63"/>
    </row>
    <row r="1128">
      <c r="A1128" s="63"/>
    </row>
    <row r="1129">
      <c r="A1129" s="63"/>
    </row>
    <row r="1130">
      <c r="A1130" s="63"/>
    </row>
    <row r="1131">
      <c r="A1131" s="63"/>
    </row>
    <row r="1132">
      <c r="A1132" s="63"/>
    </row>
    <row r="1133">
      <c r="A1133" s="63"/>
    </row>
    <row r="1134">
      <c r="A1134" s="63"/>
    </row>
    <row r="1135">
      <c r="A1135" s="63"/>
    </row>
    <row r="1136">
      <c r="A1136" s="63"/>
    </row>
    <row r="1137">
      <c r="A1137" s="63"/>
    </row>
    <row r="1138">
      <c r="A1138" s="63"/>
    </row>
    <row r="1139">
      <c r="A1139" s="63"/>
    </row>
    <row r="1140">
      <c r="A1140" s="63"/>
    </row>
    <row r="1141">
      <c r="A1141" s="63"/>
    </row>
    <row r="1142">
      <c r="A1142" s="63"/>
    </row>
    <row r="1143">
      <c r="A1143" s="63"/>
    </row>
    <row r="1144">
      <c r="A1144" s="63"/>
    </row>
    <row r="1145">
      <c r="A1145" s="63"/>
    </row>
    <row r="1146">
      <c r="A1146" s="63"/>
    </row>
    <row r="1147">
      <c r="A1147" s="63"/>
    </row>
    <row r="1148">
      <c r="A1148" s="63"/>
    </row>
    <row r="1149">
      <c r="A1149" s="63"/>
    </row>
    <row r="1150">
      <c r="A1150" s="63"/>
    </row>
    <row r="1151">
      <c r="A1151" s="63"/>
    </row>
    <row r="1152">
      <c r="A1152" s="63"/>
    </row>
    <row r="1153">
      <c r="A1153" s="63"/>
    </row>
    <row r="1154">
      <c r="A1154" s="63"/>
    </row>
    <row r="1155">
      <c r="A1155" s="63"/>
    </row>
    <row r="1156">
      <c r="A1156" s="63"/>
    </row>
    <row r="1157">
      <c r="A1157" s="63"/>
    </row>
    <row r="1158">
      <c r="A1158" s="63"/>
    </row>
    <row r="1159">
      <c r="A1159" s="63"/>
    </row>
    <row r="1160">
      <c r="A1160" s="63"/>
    </row>
    <row r="1161">
      <c r="A1161" s="63"/>
    </row>
    <row r="1162">
      <c r="A1162" s="63"/>
    </row>
    <row r="1163">
      <c r="A1163" s="63"/>
    </row>
    <row r="1164">
      <c r="A1164" s="63"/>
    </row>
    <row r="1165">
      <c r="A1165" s="63"/>
    </row>
    <row r="1166">
      <c r="A1166" s="63"/>
    </row>
    <row r="1167">
      <c r="A1167" s="63"/>
    </row>
    <row r="1168">
      <c r="A1168" s="63"/>
    </row>
    <row r="1169">
      <c r="A1169" s="63"/>
    </row>
    <row r="1170">
      <c r="A1170" s="63"/>
    </row>
    <row r="1171">
      <c r="A1171" s="63"/>
    </row>
    <row r="1172">
      <c r="A1172" s="63"/>
    </row>
    <row r="1173">
      <c r="A1173" s="63"/>
    </row>
    <row r="1174">
      <c r="A1174" s="63"/>
    </row>
    <row r="1175">
      <c r="A1175" s="63"/>
    </row>
    <row r="1176">
      <c r="A1176" s="63"/>
    </row>
    <row r="1177">
      <c r="A1177" s="63"/>
    </row>
    <row r="1178">
      <c r="A1178" s="63"/>
    </row>
    <row r="1179">
      <c r="A1179" s="63"/>
    </row>
    <row r="1180">
      <c r="A1180" s="63"/>
    </row>
    <row r="1181">
      <c r="A1181" s="63"/>
    </row>
    <row r="1182">
      <c r="A1182" s="63"/>
    </row>
    <row r="1183">
      <c r="A1183" s="63"/>
    </row>
    <row r="1184">
      <c r="A1184" s="63"/>
    </row>
    <row r="1185">
      <c r="A1185" s="63"/>
    </row>
    <row r="1186">
      <c r="A1186" s="63"/>
    </row>
    <row r="1187">
      <c r="A1187" s="63"/>
    </row>
    <row r="1188">
      <c r="A1188" s="63"/>
    </row>
    <row r="1189">
      <c r="A1189" s="63"/>
    </row>
    <row r="1190">
      <c r="A1190" s="63"/>
    </row>
    <row r="1191">
      <c r="A1191" s="63"/>
    </row>
    <row r="1192">
      <c r="A1192" s="63"/>
    </row>
    <row r="1193">
      <c r="A1193" s="63"/>
    </row>
    <row r="1194">
      <c r="A1194" s="63"/>
    </row>
    <row r="1195">
      <c r="A1195" s="63"/>
    </row>
    <row r="1196">
      <c r="A1196" s="63"/>
    </row>
    <row r="1197">
      <c r="A1197" s="63"/>
    </row>
    <row r="1198">
      <c r="A1198" s="63"/>
    </row>
    <row r="1199">
      <c r="A1199" s="63"/>
    </row>
    <row r="1200">
      <c r="A1200" s="63"/>
    </row>
    <row r="1201">
      <c r="A1201" s="63"/>
    </row>
    <row r="1202">
      <c r="A1202" s="63"/>
    </row>
    <row r="1203">
      <c r="A1203" s="63"/>
    </row>
    <row r="1204">
      <c r="A1204" s="63"/>
    </row>
    <row r="1205">
      <c r="A1205" s="63"/>
    </row>
    <row r="1206">
      <c r="A1206" s="63"/>
    </row>
    <row r="1207">
      <c r="A1207" s="63"/>
    </row>
    <row r="1208">
      <c r="A1208" s="63"/>
    </row>
    <row r="1209">
      <c r="A1209" s="63"/>
    </row>
    <row r="1210">
      <c r="A1210" s="63"/>
    </row>
    <row r="1211">
      <c r="A1211" s="63"/>
    </row>
    <row r="1212">
      <c r="A1212" s="63"/>
    </row>
    <row r="1213">
      <c r="A1213" s="63"/>
    </row>
    <row r="1214">
      <c r="A1214" s="63"/>
    </row>
    <row r="1215">
      <c r="A1215" s="63"/>
    </row>
    <row r="1216">
      <c r="A1216" s="63"/>
    </row>
    <row r="1217">
      <c r="A1217" s="63"/>
    </row>
    <row r="1218">
      <c r="A1218" s="63"/>
    </row>
    <row r="1219">
      <c r="A1219" s="63"/>
    </row>
    <row r="1220">
      <c r="A1220" s="63"/>
    </row>
    <row r="1221">
      <c r="A1221" s="63"/>
    </row>
    <row r="1222">
      <c r="A1222" s="63"/>
    </row>
    <row r="1223">
      <c r="A1223" s="63"/>
    </row>
    <row r="1224">
      <c r="A1224" s="63"/>
    </row>
    <row r="1225">
      <c r="A1225" s="63"/>
    </row>
    <row r="1226">
      <c r="A1226" s="63"/>
    </row>
    <row r="1227">
      <c r="A1227" s="63"/>
    </row>
    <row r="1228">
      <c r="A1228" s="63"/>
    </row>
    <row r="1229">
      <c r="A1229" s="63"/>
    </row>
    <row r="1230">
      <c r="A1230" s="63"/>
    </row>
    <row r="1231">
      <c r="A1231" s="63"/>
    </row>
    <row r="1232">
      <c r="A1232" s="63"/>
    </row>
    <row r="1233">
      <c r="A1233" s="63"/>
    </row>
    <row r="1234">
      <c r="A1234" s="63"/>
    </row>
    <row r="1235">
      <c r="A1235" s="63"/>
    </row>
    <row r="1236">
      <c r="A1236" s="63"/>
    </row>
    <row r="1237">
      <c r="A1237" s="63"/>
    </row>
    <row r="1238">
      <c r="A1238" s="63"/>
    </row>
    <row r="1239">
      <c r="A1239" s="63"/>
    </row>
    <row r="1240">
      <c r="A1240" s="63"/>
    </row>
    <row r="1241">
      <c r="A1241" s="63"/>
    </row>
    <row r="1242">
      <c r="A1242" s="63"/>
    </row>
    <row r="1243">
      <c r="A1243" s="63"/>
    </row>
    <row r="1244">
      <c r="A1244" s="63"/>
    </row>
    <row r="1245">
      <c r="A1245" s="63"/>
    </row>
    <row r="1246">
      <c r="A1246" s="63"/>
    </row>
    <row r="1247">
      <c r="A1247" s="63"/>
    </row>
    <row r="1248">
      <c r="A1248" s="63"/>
    </row>
    <row r="1249">
      <c r="A1249" s="63"/>
    </row>
    <row r="1250">
      <c r="A1250" s="63"/>
    </row>
    <row r="1251">
      <c r="A1251" s="63"/>
    </row>
    <row r="1252">
      <c r="A1252" s="63"/>
    </row>
    <row r="1253">
      <c r="A1253" s="63"/>
    </row>
    <row r="1254">
      <c r="A1254" s="63"/>
    </row>
    <row r="1255">
      <c r="A1255" s="63"/>
    </row>
    <row r="1256">
      <c r="A1256" s="63"/>
    </row>
    <row r="1257">
      <c r="A1257" s="63"/>
    </row>
    <row r="1258">
      <c r="A1258" s="63"/>
    </row>
    <row r="1259">
      <c r="A1259" s="63"/>
    </row>
    <row r="1260">
      <c r="A1260" s="63"/>
    </row>
    <row r="1261">
      <c r="A1261" s="63"/>
    </row>
    <row r="1262">
      <c r="A1262" s="63"/>
    </row>
    <row r="1263">
      <c r="A1263" s="63"/>
    </row>
    <row r="1264">
      <c r="A1264" s="63"/>
    </row>
    <row r="1265">
      <c r="A1265" s="63"/>
    </row>
    <row r="1266">
      <c r="A1266" s="63"/>
    </row>
    <row r="1267">
      <c r="A1267" s="63"/>
    </row>
    <row r="1268">
      <c r="A1268" s="63"/>
    </row>
    <row r="1269">
      <c r="A1269" s="63"/>
    </row>
    <row r="1270">
      <c r="A1270" s="63"/>
    </row>
    <row r="1271">
      <c r="A1271" s="63"/>
    </row>
    <row r="1272">
      <c r="A1272" s="63"/>
    </row>
    <row r="1273">
      <c r="A1273" s="63"/>
    </row>
    <row r="1274">
      <c r="A1274" s="63"/>
    </row>
    <row r="1275">
      <c r="A1275" s="63"/>
    </row>
    <row r="1276">
      <c r="A1276" s="63"/>
    </row>
    <row r="1277">
      <c r="A1277" s="63"/>
    </row>
    <row r="1278">
      <c r="A1278" s="63"/>
    </row>
    <row r="1279">
      <c r="A1279" s="63"/>
    </row>
    <row r="1280">
      <c r="A1280" s="63"/>
    </row>
    <row r="1281">
      <c r="A1281" s="63"/>
    </row>
    <row r="1282">
      <c r="A1282" s="63"/>
    </row>
    <row r="1283">
      <c r="A1283" s="63"/>
    </row>
    <row r="1284">
      <c r="A1284" s="63"/>
    </row>
    <row r="1285">
      <c r="A1285" s="63"/>
    </row>
    <row r="1286">
      <c r="A1286" s="63"/>
    </row>
    <row r="1287">
      <c r="A1287" s="63"/>
    </row>
    <row r="1288">
      <c r="A1288" s="63"/>
    </row>
    <row r="1289">
      <c r="A1289" s="63"/>
    </row>
    <row r="1290">
      <c r="A1290" s="63"/>
    </row>
    <row r="1291">
      <c r="A1291" s="63"/>
    </row>
    <row r="1292">
      <c r="A1292" s="63"/>
    </row>
    <row r="1293">
      <c r="A1293" s="63"/>
    </row>
    <row r="1294">
      <c r="A1294" s="63"/>
    </row>
    <row r="1295">
      <c r="A1295" s="63"/>
    </row>
    <row r="1296">
      <c r="A1296" s="63"/>
    </row>
    <row r="1297">
      <c r="A1297" s="63"/>
    </row>
    <row r="1298">
      <c r="A1298" s="63"/>
    </row>
    <row r="1299">
      <c r="A1299" s="63"/>
    </row>
    <row r="1300">
      <c r="A1300" s="63"/>
    </row>
    <row r="1301">
      <c r="A1301" s="63"/>
    </row>
    <row r="1302">
      <c r="A1302" s="63"/>
    </row>
    <row r="1303">
      <c r="A1303" s="63"/>
    </row>
    <row r="1304">
      <c r="A1304" s="63"/>
    </row>
    <row r="1305">
      <c r="A1305" s="63"/>
    </row>
    <row r="1306">
      <c r="A1306" s="63"/>
    </row>
    <row r="1307">
      <c r="A1307" s="63"/>
    </row>
    <row r="1308">
      <c r="A1308" s="63"/>
    </row>
    <row r="1309">
      <c r="A1309" s="63"/>
    </row>
    <row r="1310">
      <c r="A1310" s="63"/>
    </row>
    <row r="1311">
      <c r="A1311" s="63"/>
    </row>
    <row r="1312">
      <c r="A1312" s="63"/>
    </row>
    <row r="1313">
      <c r="A1313" s="63"/>
    </row>
    <row r="1314">
      <c r="A1314" s="63"/>
    </row>
    <row r="1315">
      <c r="A1315" s="63"/>
    </row>
    <row r="1316">
      <c r="A1316" s="63"/>
    </row>
    <row r="1317">
      <c r="A1317" s="63"/>
    </row>
    <row r="1318">
      <c r="A1318" s="63"/>
    </row>
    <row r="1319">
      <c r="A1319" s="63"/>
    </row>
    <row r="1320">
      <c r="A1320" s="63"/>
    </row>
    <row r="1321">
      <c r="A1321" s="63"/>
    </row>
    <row r="1322">
      <c r="A1322" s="63"/>
    </row>
    <row r="1323">
      <c r="A1323" s="63"/>
    </row>
    <row r="1324">
      <c r="A1324" s="63"/>
    </row>
    <row r="1325">
      <c r="A1325" s="63"/>
    </row>
    <row r="1326">
      <c r="A1326" s="63"/>
    </row>
    <row r="1327">
      <c r="A1327" s="63"/>
    </row>
    <row r="1328">
      <c r="A1328" s="63"/>
    </row>
    <row r="1329">
      <c r="A1329" s="63"/>
    </row>
    <row r="1330">
      <c r="A1330" s="63"/>
    </row>
    <row r="1331">
      <c r="A1331" s="63"/>
    </row>
    <row r="1332">
      <c r="A1332" s="63"/>
    </row>
    <row r="1333">
      <c r="A1333" s="63"/>
    </row>
    <row r="1334">
      <c r="A1334" s="63"/>
    </row>
    <row r="1335">
      <c r="A1335" s="63"/>
    </row>
    <row r="1336">
      <c r="A1336" s="63"/>
    </row>
    <row r="1337">
      <c r="A1337" s="63"/>
    </row>
    <row r="1338">
      <c r="A1338" s="63"/>
    </row>
    <row r="1339">
      <c r="A1339" s="63"/>
    </row>
    <row r="1340">
      <c r="A1340" s="63"/>
    </row>
    <row r="1341">
      <c r="A1341" s="63"/>
    </row>
    <row r="1342">
      <c r="A1342" s="63"/>
    </row>
    <row r="1343">
      <c r="A1343" s="63"/>
    </row>
    <row r="1344">
      <c r="A1344" s="63"/>
    </row>
    <row r="1345">
      <c r="A1345" s="63"/>
    </row>
    <row r="1346">
      <c r="A1346" s="63"/>
    </row>
    <row r="1347">
      <c r="A1347" s="63"/>
    </row>
    <row r="1348">
      <c r="A1348" s="63"/>
    </row>
    <row r="1349">
      <c r="A1349" s="63"/>
    </row>
    <row r="1350">
      <c r="A1350" s="63"/>
    </row>
    <row r="1351">
      <c r="A1351" s="63"/>
    </row>
    <row r="1352">
      <c r="A1352" s="63"/>
    </row>
    <row r="1353">
      <c r="A1353" s="63"/>
    </row>
    <row r="1354">
      <c r="A1354" s="63"/>
    </row>
    <row r="1355">
      <c r="A1355" s="63"/>
    </row>
    <row r="1356">
      <c r="A1356" s="63"/>
    </row>
    <row r="1357">
      <c r="A1357" s="63"/>
    </row>
    <row r="1358">
      <c r="A1358" s="63"/>
    </row>
    <row r="1359">
      <c r="A1359" s="63"/>
    </row>
    <row r="1360">
      <c r="A1360" s="63"/>
    </row>
    <row r="1361">
      <c r="A1361" s="63"/>
    </row>
    <row r="1362">
      <c r="A1362" s="63"/>
    </row>
    <row r="1363">
      <c r="A1363" s="63"/>
    </row>
    <row r="1364">
      <c r="A1364" s="63"/>
    </row>
    <row r="1365">
      <c r="A1365" s="63"/>
    </row>
    <row r="1366">
      <c r="A1366" s="63"/>
    </row>
    <row r="1367">
      <c r="A1367" s="63"/>
    </row>
    <row r="1368">
      <c r="A1368" s="63"/>
    </row>
    <row r="1369">
      <c r="A1369" s="63"/>
    </row>
    <row r="1370">
      <c r="A1370" s="63"/>
    </row>
    <row r="1371">
      <c r="A1371" s="63"/>
    </row>
    <row r="1372">
      <c r="A1372" s="63"/>
    </row>
    <row r="1373">
      <c r="A1373" s="63"/>
    </row>
    <row r="1374">
      <c r="A1374" s="63"/>
    </row>
    <row r="1375">
      <c r="A1375" s="63"/>
    </row>
    <row r="1376">
      <c r="A1376" s="63"/>
    </row>
    <row r="1377">
      <c r="A1377" s="63"/>
    </row>
    <row r="1378">
      <c r="A1378" s="63"/>
    </row>
    <row r="1379">
      <c r="A1379" s="63"/>
    </row>
    <row r="1380">
      <c r="A1380" s="63"/>
    </row>
    <row r="1381">
      <c r="A1381" s="63"/>
    </row>
    <row r="1382">
      <c r="A1382" s="63"/>
    </row>
    <row r="1383">
      <c r="A1383" s="63"/>
    </row>
    <row r="1384">
      <c r="A1384" s="63"/>
    </row>
    <row r="1385">
      <c r="A1385" s="63"/>
    </row>
    <row r="1386">
      <c r="A1386" s="63"/>
    </row>
    <row r="1387">
      <c r="A1387" s="63"/>
    </row>
    <row r="1388">
      <c r="A1388" s="63"/>
    </row>
    <row r="1389">
      <c r="A1389" s="63"/>
    </row>
    <row r="1390">
      <c r="A1390" s="63"/>
    </row>
    <row r="1391">
      <c r="A1391" s="63"/>
    </row>
    <row r="1392">
      <c r="A1392" s="63"/>
    </row>
    <row r="1393">
      <c r="A1393" s="63"/>
    </row>
    <row r="1394">
      <c r="A1394" s="63"/>
    </row>
    <row r="1395">
      <c r="A1395" s="63"/>
    </row>
    <row r="1396">
      <c r="A1396" s="63"/>
    </row>
    <row r="1397">
      <c r="A1397" s="63"/>
    </row>
    <row r="1398">
      <c r="A1398" s="63"/>
    </row>
    <row r="1399">
      <c r="A1399" s="63"/>
    </row>
    <row r="1400">
      <c r="A1400" s="63"/>
    </row>
    <row r="1401">
      <c r="A1401" s="63"/>
    </row>
    <row r="1402">
      <c r="A1402" s="63"/>
    </row>
    <row r="1403">
      <c r="A1403" s="63"/>
    </row>
    <row r="1404">
      <c r="A1404" s="63"/>
    </row>
    <row r="1405">
      <c r="A1405" s="63"/>
    </row>
    <row r="1406">
      <c r="A1406" s="63"/>
    </row>
    <row r="1407">
      <c r="A1407" s="63"/>
    </row>
    <row r="1408">
      <c r="A1408" s="63"/>
    </row>
    <row r="1409">
      <c r="A1409" s="63"/>
    </row>
    <row r="1410">
      <c r="A1410" s="63"/>
    </row>
    <row r="1411">
      <c r="A1411" s="63"/>
    </row>
    <row r="1412">
      <c r="A1412" s="63"/>
    </row>
    <row r="1413">
      <c r="A1413" s="63"/>
    </row>
    <row r="1414">
      <c r="A1414" s="63"/>
    </row>
    <row r="1415">
      <c r="A1415" s="63"/>
    </row>
    <row r="1416">
      <c r="A1416" s="63"/>
    </row>
    <row r="1417">
      <c r="A1417" s="63"/>
    </row>
    <row r="1418">
      <c r="A1418" s="63"/>
    </row>
    <row r="1419">
      <c r="A1419" s="63"/>
    </row>
    <row r="1420">
      <c r="A1420" s="63"/>
    </row>
    <row r="1421">
      <c r="A1421" s="63"/>
    </row>
    <row r="1422">
      <c r="A1422" s="63"/>
    </row>
    <row r="1423">
      <c r="A1423" s="63"/>
    </row>
    <row r="1424">
      <c r="A1424" s="63"/>
    </row>
    <row r="1425">
      <c r="A1425" s="63"/>
    </row>
    <row r="1426">
      <c r="A1426" s="63"/>
    </row>
    <row r="1427">
      <c r="A1427" s="63"/>
    </row>
    <row r="1428">
      <c r="A1428" s="63"/>
    </row>
    <row r="1429">
      <c r="A1429" s="63"/>
    </row>
    <row r="1430">
      <c r="A1430" s="63"/>
    </row>
    <row r="1431">
      <c r="A1431" s="63"/>
    </row>
    <row r="1432">
      <c r="A1432" s="63"/>
    </row>
    <row r="1433">
      <c r="A1433" s="63"/>
    </row>
    <row r="1434">
      <c r="A1434" s="63"/>
    </row>
    <row r="1435">
      <c r="A1435" s="63"/>
    </row>
    <row r="1436">
      <c r="A1436" s="63"/>
    </row>
    <row r="1437">
      <c r="A1437" s="63"/>
    </row>
    <row r="1438">
      <c r="A1438" s="63"/>
    </row>
    <row r="1439">
      <c r="A1439" s="63"/>
    </row>
    <row r="1440">
      <c r="A1440" s="63"/>
    </row>
    <row r="1441">
      <c r="A1441" s="63"/>
    </row>
    <row r="1442">
      <c r="A1442" s="63"/>
    </row>
    <row r="1443">
      <c r="A1443" s="63"/>
    </row>
    <row r="1444">
      <c r="A1444" s="63"/>
    </row>
    <row r="1445">
      <c r="A1445" s="63"/>
    </row>
    <row r="1446">
      <c r="A1446" s="63"/>
    </row>
    <row r="1447">
      <c r="A1447" s="63"/>
    </row>
    <row r="1448">
      <c r="A1448" s="63"/>
    </row>
    <row r="1449">
      <c r="A1449" s="63"/>
    </row>
    <row r="1450">
      <c r="A1450" s="63"/>
    </row>
    <row r="1451">
      <c r="A1451" s="63"/>
    </row>
    <row r="1452">
      <c r="A1452" s="63"/>
    </row>
    <row r="1453">
      <c r="A1453" s="63"/>
    </row>
    <row r="1454">
      <c r="A1454" s="63"/>
    </row>
    <row r="1455">
      <c r="A1455" s="63"/>
    </row>
    <row r="1456">
      <c r="A1456" s="63"/>
    </row>
    <row r="1457">
      <c r="A1457" s="63"/>
    </row>
    <row r="1458">
      <c r="A1458" s="63"/>
    </row>
    <row r="1459">
      <c r="A1459" s="63"/>
    </row>
    <row r="1460">
      <c r="A1460" s="63"/>
    </row>
    <row r="1461">
      <c r="A1461" s="63"/>
    </row>
    <row r="1462">
      <c r="A1462" s="63"/>
    </row>
    <row r="1463">
      <c r="A1463" s="63"/>
    </row>
    <row r="1464">
      <c r="A1464" s="63"/>
    </row>
    <row r="1465">
      <c r="A1465" s="63"/>
    </row>
    <row r="1466">
      <c r="A1466" s="63"/>
    </row>
    <row r="1467">
      <c r="A1467" s="63"/>
    </row>
    <row r="1468">
      <c r="A1468" s="63"/>
    </row>
    <row r="1469">
      <c r="A1469" s="63"/>
    </row>
    <row r="1470">
      <c r="A1470" s="63"/>
    </row>
    <row r="1471">
      <c r="A1471" s="63"/>
    </row>
    <row r="1472">
      <c r="A1472" s="63"/>
    </row>
    <row r="1473">
      <c r="A1473" s="63"/>
    </row>
    <row r="1474">
      <c r="A1474" s="63"/>
    </row>
    <row r="1475">
      <c r="A1475" s="63"/>
    </row>
    <row r="1476">
      <c r="A1476" s="63"/>
    </row>
    <row r="1477">
      <c r="A1477" s="63"/>
    </row>
    <row r="1478">
      <c r="A1478" s="63"/>
    </row>
    <row r="1479">
      <c r="A1479" s="63"/>
    </row>
    <row r="1480">
      <c r="A1480" s="63"/>
    </row>
    <row r="1481">
      <c r="A1481" s="63"/>
    </row>
    <row r="1482">
      <c r="A1482" s="63"/>
    </row>
    <row r="1483">
      <c r="A1483" s="63"/>
    </row>
    <row r="1484">
      <c r="A1484" s="63"/>
    </row>
    <row r="1485">
      <c r="A1485" s="63"/>
    </row>
    <row r="1486">
      <c r="A1486" s="63"/>
    </row>
    <row r="1487">
      <c r="A1487" s="63"/>
    </row>
    <row r="1488">
      <c r="A1488" s="63"/>
    </row>
    <row r="1489">
      <c r="A1489" s="63"/>
    </row>
    <row r="1490">
      <c r="A1490" s="63"/>
    </row>
    <row r="1491">
      <c r="A1491" s="63"/>
    </row>
    <row r="1492">
      <c r="A1492" s="63"/>
    </row>
    <row r="1493">
      <c r="A1493" s="63"/>
    </row>
    <row r="1494">
      <c r="A1494" s="63"/>
    </row>
    <row r="1495">
      <c r="A1495" s="63"/>
    </row>
    <row r="1496">
      <c r="A1496" s="63"/>
    </row>
    <row r="1497">
      <c r="A1497" s="63"/>
    </row>
    <row r="1498">
      <c r="A1498" s="63"/>
    </row>
    <row r="1499">
      <c r="A1499" s="63"/>
    </row>
    <row r="1500">
      <c r="A1500" s="63"/>
    </row>
    <row r="1501">
      <c r="A1501" s="63"/>
    </row>
    <row r="1502">
      <c r="A1502" s="63"/>
    </row>
    <row r="1503">
      <c r="A1503" s="63"/>
    </row>
    <row r="1504">
      <c r="A1504" s="63"/>
    </row>
    <row r="1505">
      <c r="A1505" s="63"/>
    </row>
    <row r="1506">
      <c r="A1506" s="63"/>
    </row>
    <row r="1507">
      <c r="A1507" s="63"/>
    </row>
    <row r="1508">
      <c r="A1508" s="63"/>
    </row>
    <row r="1509">
      <c r="A1509" s="63"/>
    </row>
    <row r="1510">
      <c r="A1510" s="63"/>
    </row>
    <row r="1511">
      <c r="A1511" s="63"/>
    </row>
    <row r="1512">
      <c r="A1512" s="63"/>
    </row>
    <row r="1513">
      <c r="A1513" s="63"/>
    </row>
    <row r="1514">
      <c r="A1514" s="63"/>
    </row>
    <row r="1515">
      <c r="A1515" s="63"/>
    </row>
    <row r="1516">
      <c r="A1516" s="63"/>
    </row>
    <row r="1517">
      <c r="A1517" s="63"/>
    </row>
    <row r="1518">
      <c r="A1518" s="63"/>
    </row>
    <row r="1519">
      <c r="A1519" s="63"/>
    </row>
    <row r="1520">
      <c r="A1520" s="63"/>
    </row>
    <row r="1521">
      <c r="A1521" s="63"/>
    </row>
    <row r="1522">
      <c r="A1522" s="63"/>
    </row>
    <row r="1523">
      <c r="A1523" s="63"/>
    </row>
    <row r="1524">
      <c r="A1524" s="63"/>
    </row>
    <row r="1525">
      <c r="A1525" s="63"/>
    </row>
    <row r="1526">
      <c r="A1526" s="63"/>
    </row>
    <row r="1527">
      <c r="A1527" s="63"/>
    </row>
    <row r="1528">
      <c r="A1528" s="63"/>
    </row>
    <row r="1529">
      <c r="A1529" s="63"/>
    </row>
  </sheetData>
  <drawing r:id="rId1"/>
</worksheet>
</file>