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2005-2010 (Parte 3)" sheetId="2" r:id="rId5"/>
    <sheet state="visible" name="1999-2004 (Parte 4)" sheetId="3" r:id="rId6"/>
  </sheets>
  <definedNames/>
  <calcPr/>
</workbook>
</file>

<file path=xl/sharedStrings.xml><?xml version="1.0" encoding="utf-8"?>
<sst xmlns="http://schemas.openxmlformats.org/spreadsheetml/2006/main" count="249" uniqueCount="192">
  <si>
    <t>Data</t>
  </si>
  <si>
    <t>Qtd Ações Total</t>
  </si>
  <si>
    <t>Valor da Ação</t>
  </si>
  <si>
    <t>Patrimônio</t>
  </si>
  <si>
    <t>Tempo</t>
  </si>
  <si>
    <t>a.a</t>
  </si>
  <si>
    <t>a.m</t>
  </si>
  <si>
    <t>Fluxo de Caixa para cálculo da TIR</t>
  </si>
  <si>
    <t>TIR</t>
  </si>
  <si>
    <t>VPL</t>
  </si>
  <si>
    <t>*Escolhida</t>
  </si>
  <si>
    <t>TMA</t>
  </si>
  <si>
    <t>*Nota: todos os valores são atualizados a cada parte, pois a quantia total das ações influencia na compra de mais ações em outra etapa.</t>
  </si>
  <si>
    <t>Fluxos de Caixa</t>
  </si>
  <si>
    <t>Parte 4</t>
  </si>
  <si>
    <t>Parte 3</t>
  </si>
  <si>
    <t>Ações - CMIG4</t>
  </si>
  <si>
    <t>O valor resultante de JCP e dividendos é utilizado na compra de ações no próximo mês, com exceção do último, que é somado ao patrimônio</t>
  </si>
  <si>
    <t>Dividendos</t>
  </si>
  <si>
    <t>Data (dd/mm/aa)</t>
  </si>
  <si>
    <t>Preço</t>
  </si>
  <si>
    <t>Abertura</t>
  </si>
  <si>
    <t>Alta</t>
  </si>
  <si>
    <t>Baixa</t>
  </si>
  <si>
    <t>Volume</t>
  </si>
  <si>
    <t>Variação %</t>
  </si>
  <si>
    <t>Aporte</t>
  </si>
  <si>
    <t>Compra</t>
  </si>
  <si>
    <t>Total</t>
  </si>
  <si>
    <t>Mês</t>
  </si>
  <si>
    <t>Pagamento</t>
  </si>
  <si>
    <t>Tipo</t>
  </si>
  <si>
    <t>Por Quantas Ações</t>
  </si>
  <si>
    <t>96,22M</t>
  </si>
  <si>
    <t>JRS CAP PRÓPRIO</t>
  </si>
  <si>
    <t>121,32M</t>
  </si>
  <si>
    <t>DIVIDENDO</t>
  </si>
  <si>
    <t>120,99M</t>
  </si>
  <si>
    <t>158,22M</t>
  </si>
  <si>
    <t>83,98M</t>
  </si>
  <si>
    <t>102,51M</t>
  </si>
  <si>
    <t>107,92M</t>
  </si>
  <si>
    <t>95,60M</t>
  </si>
  <si>
    <t>75,50M</t>
  </si>
  <si>
    <t>94,92M</t>
  </si>
  <si>
    <t>99,73M</t>
  </si>
  <si>
    <t>79,41M</t>
  </si>
  <si>
    <t>90,07M</t>
  </si>
  <si>
    <t>79,99M</t>
  </si>
  <si>
    <t>132,44M</t>
  </si>
  <si>
    <t>70,74M</t>
  </si>
  <si>
    <t>Análise</t>
  </si>
  <si>
    <t>168,69M</t>
  </si>
  <si>
    <t>112,26M</t>
  </si>
  <si>
    <t>85,39M</t>
  </si>
  <si>
    <t>121,82M</t>
  </si>
  <si>
    <t>97,25M</t>
  </si>
  <si>
    <t>*O valor é liquidado na última avaliação, em 01/01/2011</t>
  </si>
  <si>
    <t>109,82M</t>
  </si>
  <si>
    <t>84,43M</t>
  </si>
  <si>
    <t>Preço da primeira compra:</t>
  </si>
  <si>
    <t>75,44M</t>
  </si>
  <si>
    <t>Preço da última compra:</t>
  </si>
  <si>
    <t>90,05M</t>
  </si>
  <si>
    <t>Preço de liquidação:</t>
  </si>
  <si>
    <t>85,47M</t>
  </si>
  <si>
    <t>Razão Primeira/Liquidação:</t>
  </si>
  <si>
    <t>99,41M</t>
  </si>
  <si>
    <t>104,69M</t>
  </si>
  <si>
    <t>141,16M</t>
  </si>
  <si>
    <t>177,68M</t>
  </si>
  <si>
    <t>127,35M</t>
  </si>
  <si>
    <t>152,97M</t>
  </si>
  <si>
    <t>125,73M</t>
  </si>
  <si>
    <t>141,29M</t>
  </si>
  <si>
    <t>133,81M</t>
  </si>
  <si>
    <t>149,91M</t>
  </si>
  <si>
    <t>175,43M</t>
  </si>
  <si>
    <t>152,99M</t>
  </si>
  <si>
    <t>151,57M</t>
  </si>
  <si>
    <t>130,88M</t>
  </si>
  <si>
    <t>131,32M</t>
  </si>
  <si>
    <t>134,57M</t>
  </si>
  <si>
    <t>151,83M</t>
  </si>
  <si>
    <t>134,95M</t>
  </si>
  <si>
    <t>173,32M</t>
  </si>
  <si>
    <t>183,75M</t>
  </si>
  <si>
    <t>117,33M</t>
  </si>
  <si>
    <t>162,20M</t>
  </si>
  <si>
    <t>100,47M</t>
  </si>
  <si>
    <t>86,58M</t>
  </si>
  <si>
    <t>105,04M</t>
  </si>
  <si>
    <t>143,50M</t>
  </si>
  <si>
    <t>151,23M</t>
  </si>
  <si>
    <t>142,31M</t>
  </si>
  <si>
    <t>132,17M</t>
  </si>
  <si>
    <t>96,26M</t>
  </si>
  <si>
    <t>110,29M</t>
  </si>
  <si>
    <t>115,12M</t>
  </si>
  <si>
    <t>88,45M</t>
  </si>
  <si>
    <t>105,69M</t>
  </si>
  <si>
    <t>100,60M</t>
  </si>
  <si>
    <t>78,14M</t>
  </si>
  <si>
    <t>86,87M</t>
  </si>
  <si>
    <t>93,99M</t>
  </si>
  <si>
    <t>94,00M</t>
  </si>
  <si>
    <t>96,31M</t>
  </si>
  <si>
    <t>78,23M</t>
  </si>
  <si>
    <t>117,24M</t>
  </si>
  <si>
    <t>94,64M</t>
  </si>
  <si>
    <t>102,43M</t>
  </si>
  <si>
    <t>65,13M</t>
  </si>
  <si>
    <t>80,38M</t>
  </si>
  <si>
    <t>75,89M</t>
  </si>
  <si>
    <t>Proventos</t>
  </si>
  <si>
    <t>Valor</t>
  </si>
  <si>
    <t>125,09M</t>
  </si>
  <si>
    <t>DIVIDENDOS</t>
  </si>
  <si>
    <t>56,58M</t>
  </si>
  <si>
    <t>JUROS</t>
  </si>
  <si>
    <t>71,05M</t>
  </si>
  <si>
    <t>63,36M</t>
  </si>
  <si>
    <t>70,00M</t>
  </si>
  <si>
    <t>65,34M</t>
  </si>
  <si>
    <t>BONIFICAÇÃO</t>
  </si>
  <si>
    <t>1,98%.</t>
  </si>
  <si>
    <t>58,96M</t>
  </si>
  <si>
    <t>66,36M</t>
  </si>
  <si>
    <t>82,76M</t>
  </si>
  <si>
    <t>119,12M</t>
  </si>
  <si>
    <t>98,78M</t>
  </si>
  <si>
    <t>97,62M</t>
  </si>
  <si>
    <t>107,00M</t>
  </si>
  <si>
    <t>259,47M</t>
  </si>
  <si>
    <t>184,54M</t>
  </si>
  <si>
    <t>110,80M</t>
  </si>
  <si>
    <t>85,41M</t>
  </si>
  <si>
    <t>149,08M</t>
  </si>
  <si>
    <t>116,68M</t>
  </si>
  <si>
    <t>121,21M</t>
  </si>
  <si>
    <t>60,71M</t>
  </si>
  <si>
    <t>*O valor é liquidado na última avaliação, em 01/01/2005</t>
  </si>
  <si>
    <t>82,17M</t>
  </si>
  <si>
    <t>83,26M</t>
  </si>
  <si>
    <t>67,13M</t>
  </si>
  <si>
    <t>124,54M</t>
  </si>
  <si>
    <t>75,81M</t>
  </si>
  <si>
    <t>100,08M</t>
  </si>
  <si>
    <t>113,97M</t>
  </si>
  <si>
    <t>148,32M</t>
  </si>
  <si>
    <t>94,93M</t>
  </si>
  <si>
    <t>94,65M</t>
  </si>
  <si>
    <t>72,76M</t>
  </si>
  <si>
    <t>86,31M</t>
  </si>
  <si>
    <t>99,23M</t>
  </si>
  <si>
    <t>104,96M</t>
  </si>
  <si>
    <t>134,49M</t>
  </si>
  <si>
    <t>104,88M</t>
  </si>
  <si>
    <t>103,10M</t>
  </si>
  <si>
    <t>127,36M</t>
  </si>
  <si>
    <t>96,75M</t>
  </si>
  <si>
    <t>98,36M</t>
  </si>
  <si>
    <t>94,36M</t>
  </si>
  <si>
    <t>136,12M</t>
  </si>
  <si>
    <t>103,81M</t>
  </si>
  <si>
    <t>127,85M</t>
  </si>
  <si>
    <t>79,04M</t>
  </si>
  <si>
    <t>116,69M</t>
  </si>
  <si>
    <t>116,24M</t>
  </si>
  <si>
    <t>97,61M</t>
  </si>
  <si>
    <t>106,42M</t>
  </si>
  <si>
    <t>170,35M</t>
  </si>
  <si>
    <t>144,87M</t>
  </si>
  <si>
    <t>138,80M</t>
  </si>
  <si>
    <t>140,04M</t>
  </si>
  <si>
    <t>156,80M</t>
  </si>
  <si>
    <t>230,53M</t>
  </si>
  <si>
    <t>220,53M</t>
  </si>
  <si>
    <t>145,59M</t>
  </si>
  <si>
    <t>123,35M</t>
  </si>
  <si>
    <t>146,91M</t>
  </si>
  <si>
    <t>146,95M</t>
  </si>
  <si>
    <t>133,01M</t>
  </si>
  <si>
    <t>144,95M</t>
  </si>
  <si>
    <t>142,88M</t>
  </si>
  <si>
    <t>108,94M</t>
  </si>
  <si>
    <t>108,56M</t>
  </si>
  <si>
    <t>113,52M</t>
  </si>
  <si>
    <t>141,01M</t>
  </si>
  <si>
    <t>124,51M</t>
  </si>
  <si>
    <t>99,37M</t>
  </si>
  <si>
    <t>108,52M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</si>
</sst>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yy"/>
    <numFmt numFmtId="165" formatCode="[$R$ -416]#,##0.00"/>
    <numFmt numFmtId="166" formatCode="0.0000%"/>
    <numFmt numFmtId="167" formatCode="&quot;R$&quot;\ #,##0.00"/>
    <numFmt numFmtId="168" formatCode="0.00000000%"/>
    <numFmt numFmtId="169" formatCode="dd/MM/yyyy"/>
    <numFmt numFmtId="170" formatCode="d/m/yyyy"/>
    <numFmt numFmtId="171" formatCode="0.0000000000%"/>
  </numFmts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Font="1"/>
    <xf borderId="3" fillId="3" fontId="2" numFmtId="164" xfId="0" applyAlignment="1" applyBorder="1" applyFill="1" applyFont="1" applyNumberFormat="1">
      <alignment horizontal="right" vertical="bottom"/>
    </xf>
    <xf borderId="4" fillId="3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4" fillId="3" fontId="1" numFmtId="165" xfId="0" applyAlignment="1" applyBorder="1" applyFont="1" applyNumberFormat="1">
      <alignment horizontal="right" vertical="bottom"/>
    </xf>
    <xf borderId="3" fillId="3" fontId="2" numFmtId="0" xfId="0" applyAlignment="1" applyBorder="1" applyFont="1">
      <alignment vertical="bottom"/>
    </xf>
    <xf borderId="4" fillId="3" fontId="1" numFmtId="166" xfId="0" applyAlignment="1" applyBorder="1" applyFont="1" applyNumberFormat="1">
      <alignment horizontal="right" vertical="bottom"/>
    </xf>
    <xf borderId="1" fillId="3" fontId="1" numFmtId="166" xfId="0" applyAlignment="1" applyBorder="1" applyFont="1" applyNumberFormat="1">
      <alignment horizontal="right" vertical="bottom"/>
    </xf>
    <xf borderId="1" fillId="3" fontId="1" numFmtId="165" xfId="0" applyAlignment="1" applyBorder="1" applyFont="1" applyNumberFormat="1">
      <alignment horizontal="right" vertical="bottom"/>
    </xf>
    <xf borderId="3" fillId="4" fontId="2" numFmtId="164" xfId="0" applyAlignment="1" applyBorder="1" applyFill="1" applyFont="1" applyNumberFormat="1">
      <alignment horizontal="right" vertical="bottom"/>
    </xf>
    <xf borderId="4" fillId="4" fontId="1" numFmtId="0" xfId="0" applyAlignment="1" applyBorder="1" applyFont="1">
      <alignment horizontal="right" vertical="bottom"/>
    </xf>
    <xf borderId="4" fillId="4" fontId="1" numFmtId="167" xfId="0" applyAlignment="1" applyBorder="1" applyFont="1" applyNumberFormat="1">
      <alignment horizontal="right" vertical="bottom"/>
    </xf>
    <xf borderId="4" fillId="4" fontId="1" numFmtId="165" xfId="0" applyAlignment="1" applyBorder="1" applyFont="1" applyNumberFormat="1">
      <alignment horizontal="right" vertical="bottom"/>
    </xf>
    <xf borderId="3" fillId="4" fontId="2" numFmtId="0" xfId="0" applyAlignment="1" applyBorder="1" applyFont="1">
      <alignment vertical="bottom"/>
    </xf>
    <xf borderId="4" fillId="4" fontId="1" numFmtId="168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3" fillId="4" fontId="1" numFmtId="165" xfId="0" applyAlignment="1" applyBorder="1" applyFont="1" applyNumberFormat="1">
      <alignment horizontal="right" vertical="bottom"/>
    </xf>
    <xf borderId="0" fillId="0" fontId="1" numFmtId="169" xfId="0" applyFont="1" applyNumberFormat="1"/>
    <xf borderId="0" fillId="0" fontId="1" numFmtId="165" xfId="0" applyFont="1" applyNumberFormat="1"/>
    <xf borderId="0" fillId="0" fontId="1" numFmtId="167" xfId="0" applyFont="1" applyNumberFormat="1"/>
    <xf borderId="4" fillId="3" fontId="1" numFmtId="9" xfId="0" applyAlignment="1" applyBorder="1" applyFont="1" applyNumberFormat="1">
      <alignment horizontal="right" vertical="bottom"/>
    </xf>
    <xf borderId="4" fillId="3" fontId="1" numFmtId="168" xfId="0" applyAlignment="1" applyBorder="1" applyFont="1" applyNumberFormat="1">
      <alignment horizontal="right" vertical="bottom"/>
    </xf>
    <xf borderId="3" fillId="3" fontId="1" numFmtId="165" xfId="0" applyAlignment="1" applyBorder="1" applyFont="1" applyNumberFormat="1">
      <alignment horizontal="right" vertical="bottom"/>
    </xf>
    <xf borderId="0" fillId="0" fontId="1" numFmtId="0" xfId="0" applyFont="1"/>
    <xf borderId="4" fillId="3" fontId="2" numFmtId="165" xfId="0" applyAlignment="1" applyBorder="1" applyFont="1" applyNumberFormat="1">
      <alignment horizontal="right" vertical="bottom"/>
    </xf>
    <xf borderId="1" fillId="2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1" fillId="0" fontId="2" numFmtId="0" xfId="0" applyBorder="1" applyFont="1"/>
    <xf borderId="1" fillId="0" fontId="5" numFmtId="169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10" xfId="0" applyAlignment="1" applyBorder="1" applyFont="1" applyNumberFormat="1">
      <alignment shrinkToFit="0" vertical="bottom" wrapText="0"/>
    </xf>
    <xf borderId="1" fillId="0" fontId="1" numFmtId="164" xfId="0" applyBorder="1" applyFont="1" applyNumberFormat="1"/>
    <xf borderId="1" fillId="0" fontId="1" numFmtId="0" xfId="0" applyBorder="1" applyFont="1"/>
    <xf borderId="1" fillId="4" fontId="1" numFmtId="165" xfId="0" applyAlignment="1" applyBorder="1" applyFont="1" applyNumberFormat="1">
      <alignment horizontal="right" vertical="bottom"/>
    </xf>
    <xf borderId="1" fillId="0" fontId="1" numFmtId="170" xfId="0" applyBorder="1" applyFont="1" applyNumberFormat="1"/>
    <xf borderId="1" fillId="0" fontId="1" numFmtId="9" xfId="0" applyBorder="1" applyFont="1" applyNumberFormat="1"/>
    <xf borderId="1" fillId="0" fontId="1" numFmtId="10" xfId="0" applyBorder="1" applyFont="1" applyNumberFormat="1"/>
    <xf borderId="1" fillId="0" fontId="1" numFmtId="166" xfId="0" applyBorder="1" applyFont="1" applyNumberFormat="1"/>
    <xf borderId="1" fillId="0" fontId="1" numFmtId="165" xfId="0" applyBorder="1" applyFont="1" applyNumberFormat="1"/>
    <xf borderId="0" fillId="0" fontId="4" numFmtId="0" xfId="0" applyAlignment="1" applyFont="1">
      <alignment shrinkToFit="0" vertical="bottom" wrapText="0"/>
    </xf>
    <xf borderId="5" fillId="0" fontId="1" numFmtId="0" xfId="0" applyAlignment="1" applyBorder="1" applyFont="1">
      <alignment vertical="bottom"/>
    </xf>
    <xf borderId="6" fillId="3" fontId="4" numFmtId="0" xfId="0" applyAlignment="1" applyBorder="1" applyFont="1">
      <alignment shrinkToFit="0" vertical="bottom" wrapText="0"/>
    </xf>
    <xf borderId="4" fillId="3" fontId="1" numFmtId="0" xfId="0" applyAlignment="1" applyBorder="1" applyFont="1">
      <alignment vertical="bottom"/>
    </xf>
    <xf borderId="4" fillId="3" fontId="6" numFmtId="167" xfId="0" applyAlignment="1" applyBorder="1" applyFont="1" applyNumberFormat="1">
      <alignment horizontal="right" vertical="bottom"/>
    </xf>
    <xf borderId="6" fillId="4" fontId="4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vertical="bottom"/>
    </xf>
    <xf borderId="4" fillId="4" fontId="6" numFmtId="167" xfId="0" applyAlignment="1" applyBorder="1" applyFont="1" applyNumberFormat="1">
      <alignment horizontal="right" vertical="bottom"/>
    </xf>
    <xf borderId="4" fillId="3" fontId="1" numFmtId="171" xfId="0" applyAlignment="1" applyBorder="1" applyFont="1" applyNumberFormat="1">
      <alignment vertical="bottom"/>
    </xf>
    <xf borderId="4" fillId="4" fontId="6" numFmtId="0" xfId="0" applyAlignment="1" applyBorder="1" applyFont="1">
      <alignment horizontal="right" vertical="bottom"/>
    </xf>
    <xf borderId="0" fillId="0" fontId="7" numFmtId="0" xfId="0" applyFont="1"/>
    <xf borderId="1" fillId="4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0" fontId="7" numFmtId="164" xfId="0" applyBorder="1" applyFont="1" applyNumberFormat="1"/>
    <xf borderId="1" fillId="0" fontId="7" numFmtId="0" xfId="0" applyBorder="1" applyFont="1"/>
    <xf borderId="1" fillId="3" fontId="7" numFmtId="0" xfId="0" applyAlignment="1" applyBorder="1" applyFont="1">
      <alignment horizontal="left"/>
    </xf>
    <xf borderId="1" fillId="4" fontId="1" numFmtId="0" xfId="0" applyAlignment="1" applyBorder="1" applyFont="1">
      <alignment horizontal="right" vertical="bottom"/>
    </xf>
    <xf borderId="1" fillId="0" fontId="7" numFmtId="170" xfId="0" applyBorder="1" applyFont="1" applyNumberFormat="1"/>
    <xf borderId="0" fillId="0" fontId="7" numFmtId="0" xfId="0" applyFont="1"/>
    <xf borderId="1" fillId="3" fontId="1" numFmtId="0" xfId="0" applyAlignment="1" applyBorder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8">
    <tableStyle count="3" pivot="0" name="2005-2010 (Parte 3)-style">
      <tableStyleElement dxfId="1" type="headerRow"/>
      <tableStyleElement dxfId="2" type="firstRowStripe"/>
      <tableStyleElement dxfId="3" type="secondRowStripe"/>
    </tableStyle>
    <tableStyle count="2" pivot="0" name="2005-2010 (Parte 3)-style 2">
      <tableStyleElement dxfId="2" type="firstRowStripe"/>
      <tableStyleElement dxfId="3" type="secondRowStripe"/>
    </tableStyle>
    <tableStyle count="2" pivot="0" name="2005-2010 (Parte 3)-style 3">
      <tableStyleElement dxfId="2" type="firstRowStripe"/>
      <tableStyleElement dxfId="3" type="secondRowStripe"/>
    </tableStyle>
    <tableStyle count="3" pivot="0" name="2005-2010 (Parte 3)-style 4">
      <tableStyleElement dxfId="1" type="headerRow"/>
      <tableStyleElement dxfId="2" type="firstRowStripe"/>
      <tableStyleElement dxfId="3" type="secondRowStripe"/>
    </tableStyle>
    <tableStyle count="3" pivot="0" name="1999-2004 (Parte 4)-style">
      <tableStyleElement dxfId="1" type="headerRow"/>
      <tableStyleElement dxfId="2" type="firstRowStripe"/>
      <tableStyleElement dxfId="3" type="secondRowStripe"/>
    </tableStyle>
    <tableStyle count="2" pivot="0" name="1999-2004 (Parte 4)-style 2">
      <tableStyleElement dxfId="2" type="firstRowStripe"/>
      <tableStyleElement dxfId="3" type="secondRowStripe"/>
    </tableStyle>
    <tableStyle count="2" pivot="0" name="1999-2004 (Parte 4)-style 3">
      <tableStyleElement dxfId="2" type="firstRowStripe"/>
      <tableStyleElement dxfId="3" type="secondRowStripe"/>
    </tableStyle>
    <tableStyle count="3" pivot="0" name="1999-2004 (Parte 4)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O2:R2" displayName="Table_1" id="1">
  <tableColumns count="4">
    <tableColumn name="Column1" id="1"/>
    <tableColumn name="Column2" id="2"/>
    <tableColumn name="Column3" id="3"/>
    <tableColumn name="Column4" id="4"/>
  </tableColumns>
  <tableStyleInfo name="2005-2010 (Parte 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3:H75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2005-2010 (Parte 3)-style 2" showColumnStripes="0" showFirstColumn="1" showLastColumn="1" showRowStripes="1"/>
</table>
</file>

<file path=xl/tables/table3.xml><?xml version="1.0" encoding="utf-8"?>
<table xmlns="http://schemas.openxmlformats.org/spreadsheetml/2006/main" headerRowCount="0" ref="O3:R16" displayName="Table_3" id="3">
  <tableColumns count="4">
    <tableColumn name="Column1" id="1"/>
    <tableColumn name="Column2" id="2"/>
    <tableColumn name="Column3" id="3"/>
    <tableColumn name="Column4" id="4"/>
  </tableColumns>
  <tableStyleInfo name="2005-2010 (Parte 3)-style 3" showColumnStripes="0" showFirstColumn="1" showLastColumn="1" showRowStripes="1"/>
</table>
</file>

<file path=xl/tables/table4.xml><?xml version="1.0" encoding="utf-8"?>
<table xmlns="http://schemas.openxmlformats.org/spreadsheetml/2006/main" ref="O18:Q21" displayName="Table_4" id="4">
  <tableColumns count="3">
    <tableColumn name="Análise" id="1"/>
    <tableColumn name="a.a" id="2"/>
    <tableColumn name="a.m" id="3"/>
  </tableColumns>
  <tableStyleInfo name="2005-2010 (Parte 3)-style 4" showColumnStripes="0" showFirstColumn="1" showLastColumn="1" showRowStripes="1"/>
</table>
</file>

<file path=xl/tables/table5.xml><?xml version="1.0" encoding="utf-8"?>
<table xmlns="http://schemas.openxmlformats.org/spreadsheetml/2006/main" ref="O2:Q15" displayName="Table_5" id="5">
  <tableColumns count="3">
    <tableColumn name="Data" id="1"/>
    <tableColumn name="Tipo" id="2"/>
    <tableColumn name="Valor" id="3"/>
  </tableColumns>
  <tableStyleInfo name="1999-2004 (Parte 4)-style" showColumnStripes="0" showFirstColumn="1" showLastColumn="1" showRowStripes="1"/>
</table>
</file>

<file path=xl/tables/table6.xml><?xml version="1.0" encoding="utf-8"?>
<table xmlns="http://schemas.openxmlformats.org/spreadsheetml/2006/main" headerRowCount="0" ref="B3:H75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1999-2004 (Parte 4)-style 2" showColumnStripes="0" showFirstColumn="1" showLastColumn="1" showRowStripes="1"/>
</table>
</file>

<file path=xl/tables/table7.xml><?xml version="1.0" encoding="utf-8"?>
<table xmlns="http://schemas.openxmlformats.org/spreadsheetml/2006/main" headerRowCount="0" ref="J3:J75" displayName="Table_7" id="7">
  <tableColumns count="1">
    <tableColumn name="Column1" id="1"/>
  </tableColumns>
  <tableStyleInfo name="1999-2004 (Parte 4)-style 3" showColumnStripes="0" showFirstColumn="1" showLastColumn="1" showRowStripes="1"/>
</table>
</file>

<file path=xl/tables/table8.xml><?xml version="1.0" encoding="utf-8"?>
<table xmlns="http://schemas.openxmlformats.org/spreadsheetml/2006/main" headerRowCount="0" ref="O18:Q21" displayName="Table_8" id="8">
  <tableColumns count="3">
    <tableColumn name="Column1" id="1"/>
    <tableColumn name="Column2" id="2"/>
    <tableColumn name="Column3" id="3"/>
  </tableColumns>
  <tableStyleInfo name="1999-2004 (Parte 4)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8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13"/>
    <col customWidth="1" min="3" max="3" width="12.63"/>
    <col customWidth="1" min="4" max="4" width="16.13"/>
    <col customWidth="1" min="5" max="6" width="12.63"/>
  </cols>
  <sheetData>
    <row r="1" ht="15.75" customHeight="1">
      <c r="J1" s="1"/>
    </row>
    <row r="2" ht="15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/>
      <c r="H2" s="3" t="s">
        <v>5</v>
      </c>
      <c r="I2" s="3" t="s">
        <v>6</v>
      </c>
      <c r="J2" s="1"/>
      <c r="M2" s="5" t="s">
        <v>7</v>
      </c>
    </row>
    <row r="3" ht="15.75" customHeight="1">
      <c r="A3" s="6">
        <v>38353.0</v>
      </c>
      <c r="B3" s="7">
        <f>'1999-2004 (Parte 4)'!K75</f>
        <v>70785</v>
      </c>
      <c r="C3" s="8">
        <v>1.4</v>
      </c>
      <c r="D3" s="9">
        <f>'1999-2004 (Parte 4)'!L75</f>
        <v>99099</v>
      </c>
      <c r="E3" s="7">
        <f>72 + 1</f>
        <v>73</v>
      </c>
      <c r="G3" s="10" t="s">
        <v>8</v>
      </c>
      <c r="H3" s="11">
        <f>(1+I3)^(12)-1</f>
        <v>0.3263668883</v>
      </c>
      <c r="I3" s="12">
        <f>IRR(M3:M147,0.02)</f>
        <v>0.02381614213</v>
      </c>
      <c r="J3" s="1"/>
      <c r="M3" s="13">
        <v>-750.0</v>
      </c>
    </row>
    <row r="4" ht="15.75" customHeight="1">
      <c r="A4" s="14">
        <v>40544.0</v>
      </c>
      <c r="B4" s="15">
        <f>'2005-2010 (Parte 3)'!K75</f>
        <v>203011</v>
      </c>
      <c r="C4" s="16">
        <v>3.23</v>
      </c>
      <c r="D4" s="17">
        <f>'2005-2010 (Parte 3)'!L75</f>
        <v>923578.2434</v>
      </c>
      <c r="E4" s="15">
        <f>E3+72</f>
        <v>145</v>
      </c>
      <c r="G4" s="18" t="s">
        <v>9</v>
      </c>
      <c r="H4" s="16">
        <f t="array" ref="H4">NPV(I5,B9:B80,C9:C81,)</f>
        <v>430614.9668</v>
      </c>
      <c r="I4" s="19"/>
      <c r="J4" s="20" t="s">
        <v>10</v>
      </c>
      <c r="M4" s="21">
        <f t="shared" ref="M4:M74" si="1">M3</f>
        <v>-750</v>
      </c>
    </row>
    <row r="5" ht="15.75" customHeight="1">
      <c r="A5" s="22"/>
      <c r="C5" s="23"/>
      <c r="D5" s="24"/>
      <c r="G5" s="10" t="s">
        <v>11</v>
      </c>
      <c r="H5" s="25">
        <v>0.05</v>
      </c>
      <c r="I5" s="26">
        <f>(1+H5)^(1/12)-1</f>
        <v>0.004074123784</v>
      </c>
      <c r="M5" s="27">
        <f t="shared" si="1"/>
        <v>-750</v>
      </c>
    </row>
    <row r="6" ht="15.75" customHeight="1">
      <c r="A6" s="22"/>
      <c r="B6" s="5"/>
      <c r="C6" s="23"/>
      <c r="D6" s="24"/>
      <c r="M6" s="21">
        <f t="shared" si="1"/>
        <v>-750</v>
      </c>
    </row>
    <row r="7" ht="15.75" customHeight="1">
      <c r="B7" s="5" t="s">
        <v>12</v>
      </c>
      <c r="M7" s="27">
        <f t="shared" si="1"/>
        <v>-750</v>
      </c>
    </row>
    <row r="8" ht="15.75" customHeight="1">
      <c r="A8" s="5" t="s">
        <v>13</v>
      </c>
      <c r="B8" s="2" t="s">
        <v>14</v>
      </c>
      <c r="C8" s="3" t="s">
        <v>15</v>
      </c>
      <c r="M8" s="21">
        <f t="shared" si="1"/>
        <v>-750</v>
      </c>
    </row>
    <row r="9" ht="15.75" customHeight="1">
      <c r="B9" s="27">
        <v>-750.0</v>
      </c>
      <c r="C9" s="9">
        <v>-750.0</v>
      </c>
      <c r="M9" s="27">
        <f t="shared" si="1"/>
        <v>-750</v>
      </c>
    </row>
    <row r="10" ht="15.75" customHeight="1">
      <c r="B10" s="21">
        <v>-750.0</v>
      </c>
      <c r="C10" s="17">
        <f t="shared" ref="C10:C80" si="2">C9</f>
        <v>-750</v>
      </c>
      <c r="M10" s="21">
        <f t="shared" si="1"/>
        <v>-750</v>
      </c>
    </row>
    <row r="11" ht="15.75" customHeight="1">
      <c r="B11" s="27">
        <v>-750.0</v>
      </c>
      <c r="C11" s="9">
        <f t="shared" si="2"/>
        <v>-750</v>
      </c>
      <c r="M11" s="27">
        <f t="shared" si="1"/>
        <v>-750</v>
      </c>
    </row>
    <row r="12" ht="15.75" customHeight="1">
      <c r="B12" s="21">
        <v>-750.0</v>
      </c>
      <c r="C12" s="17">
        <f t="shared" si="2"/>
        <v>-750</v>
      </c>
      <c r="M12" s="21">
        <f t="shared" si="1"/>
        <v>-750</v>
      </c>
    </row>
    <row r="13" ht="15.75" customHeight="1">
      <c r="B13" s="27">
        <v>-750.0</v>
      </c>
      <c r="C13" s="9">
        <f t="shared" si="2"/>
        <v>-750</v>
      </c>
      <c r="M13" s="27">
        <f t="shared" si="1"/>
        <v>-750</v>
      </c>
    </row>
    <row r="14" ht="15.75" customHeight="1">
      <c r="B14" s="21">
        <v>-750.0</v>
      </c>
      <c r="C14" s="17">
        <f t="shared" si="2"/>
        <v>-750</v>
      </c>
      <c r="M14" s="21">
        <f t="shared" si="1"/>
        <v>-750</v>
      </c>
    </row>
    <row r="15" ht="15.75" customHeight="1">
      <c r="B15" s="27">
        <v>-750.0</v>
      </c>
      <c r="C15" s="9">
        <f t="shared" si="2"/>
        <v>-750</v>
      </c>
      <c r="M15" s="27">
        <f t="shared" si="1"/>
        <v>-750</v>
      </c>
    </row>
    <row r="16" ht="15.75" customHeight="1">
      <c r="B16" s="21">
        <v>-750.0</v>
      </c>
      <c r="C16" s="17">
        <f t="shared" si="2"/>
        <v>-750</v>
      </c>
      <c r="M16" s="21">
        <f t="shared" si="1"/>
        <v>-750</v>
      </c>
    </row>
    <row r="17" ht="15.75" customHeight="1">
      <c r="B17" s="27">
        <v>-750.0</v>
      </c>
      <c r="C17" s="9">
        <f t="shared" si="2"/>
        <v>-750</v>
      </c>
      <c r="M17" s="27">
        <f t="shared" si="1"/>
        <v>-750</v>
      </c>
    </row>
    <row r="18" ht="15.75" customHeight="1">
      <c r="B18" s="21">
        <v>-750.0</v>
      </c>
      <c r="C18" s="17">
        <f t="shared" si="2"/>
        <v>-750</v>
      </c>
      <c r="M18" s="21">
        <f t="shared" si="1"/>
        <v>-750</v>
      </c>
    </row>
    <row r="19" ht="15.75" customHeight="1">
      <c r="B19" s="27">
        <v>-750.0</v>
      </c>
      <c r="C19" s="9">
        <f t="shared" si="2"/>
        <v>-750</v>
      </c>
      <c r="M19" s="27">
        <f t="shared" si="1"/>
        <v>-750</v>
      </c>
    </row>
    <row r="20" ht="15.75" customHeight="1">
      <c r="B20" s="21">
        <v>-750.0</v>
      </c>
      <c r="C20" s="17">
        <f t="shared" si="2"/>
        <v>-750</v>
      </c>
      <c r="M20" s="21">
        <f t="shared" si="1"/>
        <v>-750</v>
      </c>
    </row>
    <row r="21" ht="15.75" customHeight="1">
      <c r="B21" s="27">
        <v>-750.0</v>
      </c>
      <c r="C21" s="9">
        <f t="shared" si="2"/>
        <v>-750</v>
      </c>
      <c r="M21" s="27">
        <f t="shared" si="1"/>
        <v>-750</v>
      </c>
    </row>
    <row r="22" ht="15.75" customHeight="1">
      <c r="B22" s="21">
        <v>-750.0</v>
      </c>
      <c r="C22" s="17">
        <f t="shared" si="2"/>
        <v>-750</v>
      </c>
      <c r="M22" s="21">
        <f t="shared" si="1"/>
        <v>-750</v>
      </c>
    </row>
    <row r="23" ht="15.75" customHeight="1">
      <c r="B23" s="27">
        <v>-750.0</v>
      </c>
      <c r="C23" s="9">
        <f t="shared" si="2"/>
        <v>-750</v>
      </c>
      <c r="M23" s="27">
        <f t="shared" si="1"/>
        <v>-750</v>
      </c>
    </row>
    <row r="24" ht="15.75" customHeight="1">
      <c r="B24" s="21">
        <v>-750.0</v>
      </c>
      <c r="C24" s="17">
        <f t="shared" si="2"/>
        <v>-750</v>
      </c>
      <c r="M24" s="21">
        <f t="shared" si="1"/>
        <v>-750</v>
      </c>
    </row>
    <row r="25" ht="15.75" customHeight="1">
      <c r="B25" s="27">
        <v>-750.0</v>
      </c>
      <c r="C25" s="9">
        <f t="shared" si="2"/>
        <v>-750</v>
      </c>
      <c r="M25" s="27">
        <f t="shared" si="1"/>
        <v>-750</v>
      </c>
    </row>
    <row r="26" ht="15.75" customHeight="1">
      <c r="B26" s="21">
        <v>-750.0</v>
      </c>
      <c r="C26" s="17">
        <f t="shared" si="2"/>
        <v>-750</v>
      </c>
      <c r="M26" s="21">
        <f t="shared" si="1"/>
        <v>-750</v>
      </c>
    </row>
    <row r="27" ht="15.75" customHeight="1">
      <c r="B27" s="27">
        <v>-750.0</v>
      </c>
      <c r="C27" s="9">
        <f t="shared" si="2"/>
        <v>-750</v>
      </c>
      <c r="M27" s="27">
        <f t="shared" si="1"/>
        <v>-750</v>
      </c>
    </row>
    <row r="28" ht="15.75" customHeight="1">
      <c r="B28" s="21">
        <v>-750.0</v>
      </c>
      <c r="C28" s="17">
        <f t="shared" si="2"/>
        <v>-750</v>
      </c>
      <c r="M28" s="21">
        <f t="shared" si="1"/>
        <v>-750</v>
      </c>
    </row>
    <row r="29" ht="15.75" customHeight="1">
      <c r="B29" s="27">
        <v>-750.0</v>
      </c>
      <c r="C29" s="9">
        <f t="shared" si="2"/>
        <v>-750</v>
      </c>
      <c r="M29" s="27">
        <f t="shared" si="1"/>
        <v>-750</v>
      </c>
    </row>
    <row r="30" ht="15.75" customHeight="1">
      <c r="B30" s="21">
        <v>-750.0</v>
      </c>
      <c r="C30" s="17">
        <f t="shared" si="2"/>
        <v>-750</v>
      </c>
      <c r="M30" s="21">
        <f t="shared" si="1"/>
        <v>-750</v>
      </c>
    </row>
    <row r="31" ht="15.75" customHeight="1">
      <c r="B31" s="27">
        <v>-750.0</v>
      </c>
      <c r="C31" s="9">
        <f t="shared" si="2"/>
        <v>-750</v>
      </c>
      <c r="M31" s="27">
        <f t="shared" si="1"/>
        <v>-750</v>
      </c>
    </row>
    <row r="32" ht="15.75" customHeight="1">
      <c r="B32" s="21">
        <v>-750.0</v>
      </c>
      <c r="C32" s="17">
        <f t="shared" si="2"/>
        <v>-750</v>
      </c>
      <c r="M32" s="21">
        <f t="shared" si="1"/>
        <v>-750</v>
      </c>
    </row>
    <row r="33" ht="15.75" customHeight="1">
      <c r="B33" s="27">
        <v>-750.0</v>
      </c>
      <c r="C33" s="9">
        <f t="shared" si="2"/>
        <v>-750</v>
      </c>
      <c r="M33" s="27">
        <f t="shared" si="1"/>
        <v>-750</v>
      </c>
    </row>
    <row r="34" ht="15.75" customHeight="1">
      <c r="B34" s="21">
        <v>-750.0</v>
      </c>
      <c r="C34" s="17">
        <f t="shared" si="2"/>
        <v>-750</v>
      </c>
      <c r="M34" s="21">
        <f t="shared" si="1"/>
        <v>-750</v>
      </c>
    </row>
    <row r="35" ht="15.75" customHeight="1">
      <c r="B35" s="27">
        <v>-750.0</v>
      </c>
      <c r="C35" s="9">
        <f t="shared" si="2"/>
        <v>-750</v>
      </c>
      <c r="M35" s="27">
        <f t="shared" si="1"/>
        <v>-750</v>
      </c>
    </row>
    <row r="36" ht="15.75" customHeight="1">
      <c r="B36" s="21">
        <v>-750.0</v>
      </c>
      <c r="C36" s="17">
        <f t="shared" si="2"/>
        <v>-750</v>
      </c>
      <c r="M36" s="21">
        <f t="shared" si="1"/>
        <v>-750</v>
      </c>
    </row>
    <row r="37" ht="15.75" customHeight="1">
      <c r="B37" s="27">
        <v>-750.0</v>
      </c>
      <c r="C37" s="9">
        <f t="shared" si="2"/>
        <v>-750</v>
      </c>
      <c r="M37" s="27">
        <f t="shared" si="1"/>
        <v>-750</v>
      </c>
    </row>
    <row r="38" ht="15.75" customHeight="1">
      <c r="B38" s="21">
        <v>-750.0</v>
      </c>
      <c r="C38" s="17">
        <f t="shared" si="2"/>
        <v>-750</v>
      </c>
      <c r="M38" s="21">
        <f t="shared" si="1"/>
        <v>-750</v>
      </c>
    </row>
    <row r="39" ht="15.75" customHeight="1">
      <c r="B39" s="27">
        <v>-750.0</v>
      </c>
      <c r="C39" s="9">
        <f t="shared" si="2"/>
        <v>-750</v>
      </c>
      <c r="M39" s="27">
        <f t="shared" si="1"/>
        <v>-750</v>
      </c>
    </row>
    <row r="40" ht="15.75" customHeight="1">
      <c r="B40" s="21">
        <v>-750.0</v>
      </c>
      <c r="C40" s="17">
        <f t="shared" si="2"/>
        <v>-750</v>
      </c>
      <c r="M40" s="21">
        <f t="shared" si="1"/>
        <v>-750</v>
      </c>
    </row>
    <row r="41" ht="15.75" customHeight="1">
      <c r="B41" s="27">
        <v>-750.0</v>
      </c>
      <c r="C41" s="9">
        <f t="shared" si="2"/>
        <v>-750</v>
      </c>
      <c r="M41" s="27">
        <f t="shared" si="1"/>
        <v>-750</v>
      </c>
    </row>
    <row r="42" ht="15.75" customHeight="1">
      <c r="B42" s="21">
        <v>-750.0</v>
      </c>
      <c r="C42" s="17">
        <f t="shared" si="2"/>
        <v>-750</v>
      </c>
      <c r="M42" s="21">
        <f t="shared" si="1"/>
        <v>-750</v>
      </c>
    </row>
    <row r="43" ht="15.75" customHeight="1">
      <c r="B43" s="27">
        <v>-750.0</v>
      </c>
      <c r="C43" s="9">
        <f t="shared" si="2"/>
        <v>-750</v>
      </c>
      <c r="M43" s="27">
        <f t="shared" si="1"/>
        <v>-750</v>
      </c>
    </row>
    <row r="44" ht="15.75" customHeight="1">
      <c r="B44" s="21">
        <v>-750.0</v>
      </c>
      <c r="C44" s="17">
        <f t="shared" si="2"/>
        <v>-750</v>
      </c>
      <c r="M44" s="21">
        <f t="shared" si="1"/>
        <v>-750</v>
      </c>
    </row>
    <row r="45" ht="15.75" customHeight="1">
      <c r="B45" s="27">
        <v>-750.0</v>
      </c>
      <c r="C45" s="9">
        <f t="shared" si="2"/>
        <v>-750</v>
      </c>
      <c r="M45" s="27">
        <f t="shared" si="1"/>
        <v>-750</v>
      </c>
    </row>
    <row r="46" ht="15.75" customHeight="1">
      <c r="B46" s="21">
        <v>-750.0</v>
      </c>
      <c r="C46" s="17">
        <f t="shared" si="2"/>
        <v>-750</v>
      </c>
      <c r="M46" s="21">
        <f t="shared" si="1"/>
        <v>-750</v>
      </c>
    </row>
    <row r="47" ht="15.75" customHeight="1">
      <c r="B47" s="27">
        <v>-750.0</v>
      </c>
      <c r="C47" s="9">
        <f t="shared" si="2"/>
        <v>-750</v>
      </c>
      <c r="M47" s="27">
        <f t="shared" si="1"/>
        <v>-750</v>
      </c>
    </row>
    <row r="48" ht="15.75" customHeight="1">
      <c r="B48" s="21">
        <v>-750.0</v>
      </c>
      <c r="C48" s="17">
        <f t="shared" si="2"/>
        <v>-750</v>
      </c>
      <c r="M48" s="21">
        <f t="shared" si="1"/>
        <v>-750</v>
      </c>
    </row>
    <row r="49" ht="15.75" customHeight="1">
      <c r="B49" s="27">
        <v>-750.0</v>
      </c>
      <c r="C49" s="9">
        <f t="shared" si="2"/>
        <v>-750</v>
      </c>
      <c r="M49" s="27">
        <f t="shared" si="1"/>
        <v>-750</v>
      </c>
    </row>
    <row r="50" ht="15.75" customHeight="1">
      <c r="B50" s="21">
        <v>-750.0</v>
      </c>
      <c r="C50" s="17">
        <f t="shared" si="2"/>
        <v>-750</v>
      </c>
      <c r="M50" s="21">
        <f t="shared" si="1"/>
        <v>-750</v>
      </c>
    </row>
    <row r="51" ht="15.75" customHeight="1">
      <c r="B51" s="27">
        <v>-750.0</v>
      </c>
      <c r="C51" s="9">
        <f t="shared" si="2"/>
        <v>-750</v>
      </c>
      <c r="M51" s="27">
        <f t="shared" si="1"/>
        <v>-750</v>
      </c>
    </row>
    <row r="52" ht="15.75" customHeight="1">
      <c r="B52" s="21">
        <v>-750.0</v>
      </c>
      <c r="C52" s="17">
        <f t="shared" si="2"/>
        <v>-750</v>
      </c>
      <c r="M52" s="21">
        <f t="shared" si="1"/>
        <v>-750</v>
      </c>
    </row>
    <row r="53" ht="15.75" customHeight="1">
      <c r="B53" s="27">
        <v>-750.0</v>
      </c>
      <c r="C53" s="9">
        <f t="shared" si="2"/>
        <v>-750</v>
      </c>
      <c r="M53" s="27">
        <f t="shared" si="1"/>
        <v>-750</v>
      </c>
    </row>
    <row r="54" ht="15.75" customHeight="1">
      <c r="B54" s="21">
        <v>-750.0</v>
      </c>
      <c r="C54" s="17">
        <f t="shared" si="2"/>
        <v>-750</v>
      </c>
      <c r="M54" s="21">
        <f t="shared" si="1"/>
        <v>-750</v>
      </c>
    </row>
    <row r="55" ht="15.75" customHeight="1">
      <c r="B55" s="27">
        <v>-750.0</v>
      </c>
      <c r="C55" s="9">
        <f t="shared" si="2"/>
        <v>-750</v>
      </c>
      <c r="M55" s="27">
        <f t="shared" si="1"/>
        <v>-750</v>
      </c>
    </row>
    <row r="56" ht="15.75" customHeight="1">
      <c r="B56" s="21">
        <v>-750.0</v>
      </c>
      <c r="C56" s="17">
        <f t="shared" si="2"/>
        <v>-750</v>
      </c>
      <c r="M56" s="21">
        <f t="shared" si="1"/>
        <v>-750</v>
      </c>
    </row>
    <row r="57" ht="15.75" customHeight="1">
      <c r="B57" s="27">
        <v>-750.0</v>
      </c>
      <c r="C57" s="9">
        <f t="shared" si="2"/>
        <v>-750</v>
      </c>
      <c r="M57" s="27">
        <f t="shared" si="1"/>
        <v>-750</v>
      </c>
    </row>
    <row r="58" ht="15.75" customHeight="1">
      <c r="B58" s="21">
        <v>-750.0</v>
      </c>
      <c r="C58" s="17">
        <f t="shared" si="2"/>
        <v>-750</v>
      </c>
      <c r="M58" s="21">
        <f t="shared" si="1"/>
        <v>-750</v>
      </c>
    </row>
    <row r="59" ht="15.75" customHeight="1">
      <c r="B59" s="27">
        <v>-750.0</v>
      </c>
      <c r="C59" s="9">
        <f t="shared" si="2"/>
        <v>-750</v>
      </c>
      <c r="M59" s="27">
        <f t="shared" si="1"/>
        <v>-750</v>
      </c>
    </row>
    <row r="60" ht="15.75" customHeight="1">
      <c r="B60" s="21">
        <v>-750.0</v>
      </c>
      <c r="C60" s="17">
        <f t="shared" si="2"/>
        <v>-750</v>
      </c>
      <c r="M60" s="21">
        <f t="shared" si="1"/>
        <v>-750</v>
      </c>
    </row>
    <row r="61" ht="15.75" customHeight="1">
      <c r="B61" s="27">
        <v>-750.0</v>
      </c>
      <c r="C61" s="9">
        <f t="shared" si="2"/>
        <v>-750</v>
      </c>
      <c r="M61" s="27">
        <f t="shared" si="1"/>
        <v>-750</v>
      </c>
    </row>
    <row r="62" ht="15.75" customHeight="1">
      <c r="B62" s="21">
        <v>-750.0</v>
      </c>
      <c r="C62" s="17">
        <f t="shared" si="2"/>
        <v>-750</v>
      </c>
      <c r="M62" s="21">
        <f t="shared" si="1"/>
        <v>-750</v>
      </c>
    </row>
    <row r="63" ht="15.75" customHeight="1">
      <c r="B63" s="27">
        <v>-750.0</v>
      </c>
      <c r="C63" s="9">
        <f t="shared" si="2"/>
        <v>-750</v>
      </c>
      <c r="M63" s="27">
        <f t="shared" si="1"/>
        <v>-750</v>
      </c>
    </row>
    <row r="64" ht="15.75" customHeight="1">
      <c r="B64" s="21">
        <v>-750.0</v>
      </c>
      <c r="C64" s="17">
        <f t="shared" si="2"/>
        <v>-750</v>
      </c>
      <c r="M64" s="21">
        <f t="shared" si="1"/>
        <v>-750</v>
      </c>
    </row>
    <row r="65" ht="15.75" customHeight="1">
      <c r="B65" s="27">
        <v>-750.0</v>
      </c>
      <c r="C65" s="9">
        <f t="shared" si="2"/>
        <v>-750</v>
      </c>
      <c r="M65" s="27">
        <f t="shared" si="1"/>
        <v>-750</v>
      </c>
    </row>
    <row r="66" ht="15.75" customHeight="1">
      <c r="B66" s="21">
        <v>-750.0</v>
      </c>
      <c r="C66" s="17">
        <f t="shared" si="2"/>
        <v>-750</v>
      </c>
      <c r="M66" s="21">
        <f t="shared" si="1"/>
        <v>-750</v>
      </c>
    </row>
    <row r="67" ht="15.75" customHeight="1">
      <c r="B67" s="27">
        <v>-750.0</v>
      </c>
      <c r="C67" s="9">
        <f t="shared" si="2"/>
        <v>-750</v>
      </c>
      <c r="M67" s="27">
        <f t="shared" si="1"/>
        <v>-750</v>
      </c>
    </row>
    <row r="68" ht="15.75" customHeight="1">
      <c r="B68" s="21">
        <v>-750.0</v>
      </c>
      <c r="C68" s="17">
        <f t="shared" si="2"/>
        <v>-750</v>
      </c>
      <c r="M68" s="21">
        <f t="shared" si="1"/>
        <v>-750</v>
      </c>
    </row>
    <row r="69" ht="15.75" customHeight="1">
      <c r="B69" s="27">
        <v>-750.0</v>
      </c>
      <c r="C69" s="9">
        <f t="shared" si="2"/>
        <v>-750</v>
      </c>
      <c r="M69" s="27">
        <f t="shared" si="1"/>
        <v>-750</v>
      </c>
    </row>
    <row r="70" ht="15.75" customHeight="1">
      <c r="B70" s="21">
        <v>-750.0</v>
      </c>
      <c r="C70" s="17">
        <f t="shared" si="2"/>
        <v>-750</v>
      </c>
      <c r="M70" s="21">
        <f t="shared" si="1"/>
        <v>-750</v>
      </c>
    </row>
    <row r="71" ht="15.75" customHeight="1">
      <c r="B71" s="27">
        <v>-750.0</v>
      </c>
      <c r="C71" s="9">
        <f t="shared" si="2"/>
        <v>-750</v>
      </c>
      <c r="M71" s="27">
        <f t="shared" si="1"/>
        <v>-750</v>
      </c>
    </row>
    <row r="72" ht="15.75" customHeight="1">
      <c r="B72" s="21">
        <v>-750.0</v>
      </c>
      <c r="C72" s="17">
        <f t="shared" si="2"/>
        <v>-750</v>
      </c>
      <c r="M72" s="21">
        <f t="shared" si="1"/>
        <v>-750</v>
      </c>
    </row>
    <row r="73" ht="15.75" customHeight="1">
      <c r="B73" s="27">
        <v>-750.0</v>
      </c>
      <c r="C73" s="9">
        <f t="shared" si="2"/>
        <v>-750</v>
      </c>
      <c r="M73" s="27">
        <f t="shared" si="1"/>
        <v>-750</v>
      </c>
    </row>
    <row r="74" ht="15.75" customHeight="1">
      <c r="B74" s="21">
        <v>-750.0</v>
      </c>
      <c r="C74" s="17">
        <f t="shared" si="2"/>
        <v>-750</v>
      </c>
      <c r="M74" s="21">
        <f t="shared" si="1"/>
        <v>-750</v>
      </c>
    </row>
    <row r="75" ht="15.75" customHeight="1">
      <c r="B75" s="27">
        <v>-750.0</v>
      </c>
      <c r="C75" s="9">
        <f t="shared" si="2"/>
        <v>-750</v>
      </c>
      <c r="M75" s="27">
        <v>-750.0</v>
      </c>
    </row>
    <row r="76" ht="15.75" customHeight="1">
      <c r="B76" s="21">
        <v>-750.0</v>
      </c>
      <c r="C76" s="17">
        <f t="shared" si="2"/>
        <v>-750</v>
      </c>
      <c r="M76" s="21">
        <f t="shared" ref="M76:M146" si="3">M75</f>
        <v>-750</v>
      </c>
    </row>
    <row r="77" ht="15.75" customHeight="1">
      <c r="B77" s="27">
        <v>-750.0</v>
      </c>
      <c r="C77" s="9">
        <f t="shared" si="2"/>
        <v>-750</v>
      </c>
      <c r="M77" s="27">
        <f t="shared" si="3"/>
        <v>-750</v>
      </c>
    </row>
    <row r="78" ht="15.75" customHeight="1">
      <c r="B78" s="21">
        <v>-750.0</v>
      </c>
      <c r="C78" s="17">
        <f t="shared" si="2"/>
        <v>-750</v>
      </c>
      <c r="M78" s="21">
        <f t="shared" si="3"/>
        <v>-750</v>
      </c>
    </row>
    <row r="79" ht="15.75" customHeight="1">
      <c r="B79" s="27">
        <v>-750.0</v>
      </c>
      <c r="C79" s="9">
        <f t="shared" si="2"/>
        <v>-750</v>
      </c>
      <c r="M79" s="27">
        <f t="shared" si="3"/>
        <v>-750</v>
      </c>
    </row>
    <row r="80" ht="15.75" customHeight="1">
      <c r="B80" s="21">
        <v>-750.0</v>
      </c>
      <c r="C80" s="17">
        <f t="shared" si="2"/>
        <v>-750</v>
      </c>
      <c r="M80" s="21">
        <f t="shared" si="3"/>
        <v>-750</v>
      </c>
    </row>
    <row r="81" ht="15.75" customHeight="1">
      <c r="C81" s="13">
        <v>923578.2434</v>
      </c>
      <c r="M81" s="27">
        <f t="shared" si="3"/>
        <v>-750</v>
      </c>
    </row>
    <row r="82" ht="15.75" customHeight="1">
      <c r="M82" s="21">
        <f t="shared" si="3"/>
        <v>-750</v>
      </c>
    </row>
    <row r="83" ht="15.75" customHeight="1">
      <c r="M83" s="27">
        <f t="shared" si="3"/>
        <v>-750</v>
      </c>
    </row>
    <row r="84" ht="15.75" customHeight="1">
      <c r="M84" s="21">
        <f t="shared" si="3"/>
        <v>-750</v>
      </c>
    </row>
    <row r="85" ht="15.75" customHeight="1">
      <c r="M85" s="27">
        <f t="shared" si="3"/>
        <v>-750</v>
      </c>
    </row>
    <row r="86" ht="15.75" customHeight="1">
      <c r="M86" s="21">
        <f t="shared" si="3"/>
        <v>-750</v>
      </c>
    </row>
    <row r="87" ht="15.75" customHeight="1">
      <c r="M87" s="27">
        <f t="shared" si="3"/>
        <v>-750</v>
      </c>
    </row>
    <row r="88" ht="15.75" customHeight="1">
      <c r="M88" s="21">
        <f t="shared" si="3"/>
        <v>-750</v>
      </c>
    </row>
    <row r="89" ht="15.75" customHeight="1">
      <c r="M89" s="27">
        <f t="shared" si="3"/>
        <v>-750</v>
      </c>
    </row>
    <row r="90" ht="15.75" customHeight="1">
      <c r="M90" s="21">
        <f t="shared" si="3"/>
        <v>-750</v>
      </c>
    </row>
    <row r="91" ht="15.75" customHeight="1">
      <c r="M91" s="27">
        <f t="shared" si="3"/>
        <v>-750</v>
      </c>
    </row>
    <row r="92" ht="15.75" customHeight="1">
      <c r="M92" s="21">
        <f t="shared" si="3"/>
        <v>-750</v>
      </c>
    </row>
    <row r="93" ht="15.75" customHeight="1">
      <c r="M93" s="27">
        <f t="shared" si="3"/>
        <v>-750</v>
      </c>
    </row>
    <row r="94" ht="15.75" customHeight="1">
      <c r="M94" s="21">
        <f t="shared" si="3"/>
        <v>-750</v>
      </c>
    </row>
    <row r="95" ht="15.75" customHeight="1">
      <c r="M95" s="27">
        <f t="shared" si="3"/>
        <v>-750</v>
      </c>
    </row>
    <row r="96" ht="15.75" customHeight="1">
      <c r="M96" s="21">
        <f t="shared" si="3"/>
        <v>-750</v>
      </c>
    </row>
    <row r="97" ht="15.75" customHeight="1">
      <c r="M97" s="27">
        <f t="shared" si="3"/>
        <v>-750</v>
      </c>
    </row>
    <row r="98" ht="15.75" customHeight="1">
      <c r="M98" s="21">
        <f t="shared" si="3"/>
        <v>-750</v>
      </c>
    </row>
    <row r="99" ht="15.75" customHeight="1">
      <c r="M99" s="27">
        <f t="shared" si="3"/>
        <v>-750</v>
      </c>
    </row>
    <row r="100" ht="15.75" customHeight="1">
      <c r="M100" s="21">
        <f t="shared" si="3"/>
        <v>-750</v>
      </c>
    </row>
    <row r="101" ht="15.75" customHeight="1">
      <c r="M101" s="27">
        <f t="shared" si="3"/>
        <v>-750</v>
      </c>
    </row>
    <row r="102" ht="15.75" customHeight="1">
      <c r="M102" s="21">
        <f t="shared" si="3"/>
        <v>-750</v>
      </c>
    </row>
    <row r="103" ht="15.75" customHeight="1">
      <c r="M103" s="27">
        <f t="shared" si="3"/>
        <v>-750</v>
      </c>
    </row>
    <row r="104" ht="15.75" customHeight="1">
      <c r="M104" s="21">
        <f t="shared" si="3"/>
        <v>-750</v>
      </c>
    </row>
    <row r="105" ht="15.75" customHeight="1">
      <c r="M105" s="27">
        <f t="shared" si="3"/>
        <v>-750</v>
      </c>
    </row>
    <row r="106" ht="15.75" customHeight="1">
      <c r="M106" s="21">
        <f t="shared" si="3"/>
        <v>-750</v>
      </c>
    </row>
    <row r="107" ht="15.75" customHeight="1">
      <c r="M107" s="27">
        <f t="shared" si="3"/>
        <v>-750</v>
      </c>
    </row>
    <row r="108" ht="15.75" customHeight="1">
      <c r="M108" s="21">
        <f t="shared" si="3"/>
        <v>-750</v>
      </c>
    </row>
    <row r="109" ht="15.75" customHeight="1">
      <c r="M109" s="27">
        <f t="shared" si="3"/>
        <v>-750</v>
      </c>
    </row>
    <row r="110" ht="15.75" customHeight="1">
      <c r="M110" s="21">
        <f t="shared" si="3"/>
        <v>-750</v>
      </c>
    </row>
    <row r="111" ht="15.75" customHeight="1">
      <c r="M111" s="27">
        <f t="shared" si="3"/>
        <v>-750</v>
      </c>
    </row>
    <row r="112" ht="15.75" customHeight="1">
      <c r="M112" s="21">
        <f t="shared" si="3"/>
        <v>-750</v>
      </c>
    </row>
    <row r="113" ht="15.75" customHeight="1">
      <c r="M113" s="27">
        <f t="shared" si="3"/>
        <v>-750</v>
      </c>
    </row>
    <row r="114" ht="15.75" customHeight="1">
      <c r="M114" s="21">
        <f t="shared" si="3"/>
        <v>-750</v>
      </c>
    </row>
    <row r="115" ht="15.75" customHeight="1">
      <c r="M115" s="27">
        <f t="shared" si="3"/>
        <v>-750</v>
      </c>
    </row>
    <row r="116" ht="15.75" customHeight="1">
      <c r="M116" s="21">
        <f t="shared" si="3"/>
        <v>-750</v>
      </c>
    </row>
    <row r="117" ht="15.75" customHeight="1">
      <c r="M117" s="27">
        <f t="shared" si="3"/>
        <v>-750</v>
      </c>
    </row>
    <row r="118" ht="15.75" customHeight="1">
      <c r="M118" s="21">
        <f t="shared" si="3"/>
        <v>-750</v>
      </c>
    </row>
    <row r="119" ht="15.75" customHeight="1">
      <c r="M119" s="27">
        <f t="shared" si="3"/>
        <v>-750</v>
      </c>
    </row>
    <row r="120" ht="15.75" customHeight="1">
      <c r="M120" s="21">
        <f t="shared" si="3"/>
        <v>-750</v>
      </c>
    </row>
    <row r="121" ht="15.75" customHeight="1">
      <c r="M121" s="27">
        <f t="shared" si="3"/>
        <v>-750</v>
      </c>
    </row>
    <row r="122" ht="15.75" customHeight="1">
      <c r="M122" s="21">
        <f t="shared" si="3"/>
        <v>-750</v>
      </c>
    </row>
    <row r="123" ht="15.75" customHeight="1">
      <c r="M123" s="27">
        <f t="shared" si="3"/>
        <v>-750</v>
      </c>
    </row>
    <row r="124" ht="15.75" customHeight="1">
      <c r="M124" s="21">
        <f t="shared" si="3"/>
        <v>-750</v>
      </c>
    </row>
    <row r="125" ht="15.75" customHeight="1">
      <c r="M125" s="27">
        <f t="shared" si="3"/>
        <v>-750</v>
      </c>
    </row>
    <row r="126" ht="15.75" customHeight="1">
      <c r="M126" s="21">
        <f t="shared" si="3"/>
        <v>-750</v>
      </c>
    </row>
    <row r="127" ht="15.75" customHeight="1">
      <c r="M127" s="27">
        <f t="shared" si="3"/>
        <v>-750</v>
      </c>
    </row>
    <row r="128" ht="15.75" customHeight="1">
      <c r="M128" s="21">
        <f t="shared" si="3"/>
        <v>-750</v>
      </c>
    </row>
    <row r="129" ht="15.75" customHeight="1">
      <c r="M129" s="27">
        <f t="shared" si="3"/>
        <v>-750</v>
      </c>
    </row>
    <row r="130" ht="15.75" customHeight="1">
      <c r="M130" s="21">
        <f t="shared" si="3"/>
        <v>-750</v>
      </c>
    </row>
    <row r="131" ht="15.75" customHeight="1">
      <c r="M131" s="27">
        <f t="shared" si="3"/>
        <v>-750</v>
      </c>
    </row>
    <row r="132" ht="15.75" customHeight="1">
      <c r="M132" s="21">
        <f t="shared" si="3"/>
        <v>-750</v>
      </c>
    </row>
    <row r="133" ht="15.75" customHeight="1">
      <c r="M133" s="27">
        <f t="shared" si="3"/>
        <v>-750</v>
      </c>
    </row>
    <row r="134" ht="15.75" customHeight="1">
      <c r="M134" s="21">
        <f t="shared" si="3"/>
        <v>-750</v>
      </c>
    </row>
    <row r="135" ht="15.75" customHeight="1">
      <c r="M135" s="27">
        <f t="shared" si="3"/>
        <v>-750</v>
      </c>
    </row>
    <row r="136" ht="15.75" customHeight="1">
      <c r="M136" s="21">
        <f t="shared" si="3"/>
        <v>-750</v>
      </c>
    </row>
    <row r="137" ht="15.75" customHeight="1">
      <c r="M137" s="27">
        <f t="shared" si="3"/>
        <v>-750</v>
      </c>
    </row>
    <row r="138" ht="15.75" customHeight="1">
      <c r="M138" s="21">
        <f t="shared" si="3"/>
        <v>-750</v>
      </c>
    </row>
    <row r="139" ht="15.75" customHeight="1">
      <c r="M139" s="27">
        <f t="shared" si="3"/>
        <v>-750</v>
      </c>
    </row>
    <row r="140" ht="15.75" customHeight="1">
      <c r="M140" s="21">
        <f t="shared" si="3"/>
        <v>-750</v>
      </c>
    </row>
    <row r="141" ht="15.75" customHeight="1">
      <c r="M141" s="27">
        <f t="shared" si="3"/>
        <v>-750</v>
      </c>
    </row>
    <row r="142" ht="15.75" customHeight="1">
      <c r="M142" s="21">
        <f t="shared" si="3"/>
        <v>-750</v>
      </c>
    </row>
    <row r="143" ht="15.75" customHeight="1">
      <c r="M143" s="27">
        <f t="shared" si="3"/>
        <v>-750</v>
      </c>
    </row>
    <row r="144" ht="15.75" customHeight="1">
      <c r="M144" s="21">
        <f t="shared" si="3"/>
        <v>-750</v>
      </c>
    </row>
    <row r="145" ht="15.75" customHeight="1">
      <c r="M145" s="27">
        <f t="shared" si="3"/>
        <v>-750</v>
      </c>
    </row>
    <row r="146" ht="15.75" customHeight="1">
      <c r="M146" s="21">
        <f t="shared" si="3"/>
        <v>-750</v>
      </c>
    </row>
    <row r="147" ht="15.75" customHeight="1">
      <c r="M147" s="23">
        <v>923578.2434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38"/>
    <col customWidth="1" min="3" max="6" width="12.63"/>
    <col customWidth="1" min="17" max="17" width="18.5"/>
    <col customWidth="1" min="18" max="18" width="16.75"/>
  </cols>
  <sheetData>
    <row r="1" ht="15.75" customHeight="1">
      <c r="B1" s="5" t="s">
        <v>16</v>
      </c>
      <c r="D1" s="28" t="s">
        <v>17</v>
      </c>
      <c r="O1" s="5" t="s">
        <v>18</v>
      </c>
      <c r="X1" s="29" t="s">
        <v>7</v>
      </c>
    </row>
    <row r="2" ht="15.75" customHeight="1">
      <c r="B2" s="30" t="s">
        <v>19</v>
      </c>
      <c r="C2" s="31" t="s">
        <v>20</v>
      </c>
      <c r="D2" s="31" t="s">
        <v>21</v>
      </c>
      <c r="E2" s="31" t="s">
        <v>22</v>
      </c>
      <c r="F2" s="31" t="s">
        <v>23</v>
      </c>
      <c r="G2" s="31" t="s">
        <v>24</v>
      </c>
      <c r="H2" s="31" t="s">
        <v>25</v>
      </c>
      <c r="I2" s="3" t="s">
        <v>26</v>
      </c>
      <c r="J2" s="3" t="s">
        <v>27</v>
      </c>
      <c r="K2" s="3" t="s">
        <v>28</v>
      </c>
      <c r="L2" s="3" t="s">
        <v>3</v>
      </c>
      <c r="M2" s="3" t="s">
        <v>29</v>
      </c>
      <c r="O2" s="32" t="s">
        <v>0</v>
      </c>
      <c r="P2" s="32" t="s">
        <v>30</v>
      </c>
      <c r="Q2" s="32" t="s">
        <v>31</v>
      </c>
      <c r="R2" s="32" t="s">
        <v>32</v>
      </c>
      <c r="X2" s="13">
        <f>-750 - 99775.2</f>
        <v>-100525.2</v>
      </c>
    </row>
    <row r="3" ht="15.75" customHeight="1">
      <c r="B3" s="33">
        <v>38353.0</v>
      </c>
      <c r="C3" s="34">
        <v>1.4</v>
      </c>
      <c r="D3" s="34">
        <v>1.56</v>
      </c>
      <c r="E3" s="34">
        <v>1.59</v>
      </c>
      <c r="F3" s="34">
        <v>1.28</v>
      </c>
      <c r="G3" s="34" t="s">
        <v>33</v>
      </c>
      <c r="H3" s="35">
        <v>0.0254</v>
      </c>
      <c r="I3" s="9">
        <v>-750.0</v>
      </c>
      <c r="J3" s="7">
        <f>-ROUNDDOWN(I3/C3)</f>
        <v>535</v>
      </c>
      <c r="K3" s="7">
        <f>J3 + '1999-2004 (Parte 4)'!K75</f>
        <v>71320</v>
      </c>
      <c r="L3" s="9">
        <f t="shared" ref="L3:L74" si="1">K3*C3</f>
        <v>99848</v>
      </c>
      <c r="M3" s="7">
        <v>1.0</v>
      </c>
      <c r="O3" s="36">
        <v>38362.0</v>
      </c>
      <c r="P3" s="37">
        <v>0.2468</v>
      </c>
      <c r="Q3" s="37" t="s">
        <v>34</v>
      </c>
      <c r="R3" s="37">
        <v>1000.0</v>
      </c>
      <c r="X3" s="38">
        <f>-750</f>
        <v>-750</v>
      </c>
    </row>
    <row r="4" ht="15.75" customHeight="1">
      <c r="B4" s="33">
        <v>38384.0</v>
      </c>
      <c r="C4" s="34">
        <v>1.62</v>
      </c>
      <c r="D4" s="34">
        <v>1.4</v>
      </c>
      <c r="E4" s="34">
        <v>1.64</v>
      </c>
      <c r="F4" s="34">
        <v>1.33</v>
      </c>
      <c r="G4" s="34" t="s">
        <v>35</v>
      </c>
      <c r="H4" s="35">
        <v>-0.0187</v>
      </c>
      <c r="I4" s="17">
        <f t="shared" ref="I4:I74" si="2">I3</f>
        <v>-750</v>
      </c>
      <c r="J4" s="15">
        <f>ROUNDDOWN((-I4 + P3*K3/R3)/C4)</f>
        <v>473</v>
      </c>
      <c r="K4" s="15">
        <f t="shared" ref="K4:K75" si="3">J4+K3</f>
        <v>71793</v>
      </c>
      <c r="L4" s="17">
        <f t="shared" si="1"/>
        <v>116304.66</v>
      </c>
      <c r="M4" s="15">
        <f t="shared" ref="M4:M75" si="4">M3+1</f>
        <v>2</v>
      </c>
      <c r="O4" s="36">
        <v>38471.0</v>
      </c>
      <c r="P4" s="37">
        <v>1.1253</v>
      </c>
      <c r="Q4" s="37" t="s">
        <v>36</v>
      </c>
      <c r="R4" s="37">
        <v>1000.0</v>
      </c>
      <c r="X4" s="13">
        <f t="shared" ref="X4:X73" si="5">X3</f>
        <v>-750</v>
      </c>
    </row>
    <row r="5" ht="15.75" customHeight="1">
      <c r="B5" s="33">
        <v>38412.0</v>
      </c>
      <c r="C5" s="34">
        <v>1.48</v>
      </c>
      <c r="D5" s="34">
        <v>1.59</v>
      </c>
      <c r="E5" s="34">
        <v>1.62</v>
      </c>
      <c r="F5" s="34">
        <v>1.38</v>
      </c>
      <c r="G5" s="34" t="s">
        <v>37</v>
      </c>
      <c r="H5" s="35">
        <v>-0.0475</v>
      </c>
      <c r="I5" s="9">
        <f t="shared" si="2"/>
        <v>-750</v>
      </c>
      <c r="J5" s="7">
        <f t="shared" ref="J5:J6" si="6">-ROUNDDOWN(I5/C5)</f>
        <v>506</v>
      </c>
      <c r="K5" s="7">
        <f t="shared" si="3"/>
        <v>72299</v>
      </c>
      <c r="L5" s="9">
        <f t="shared" si="1"/>
        <v>107002.52</v>
      </c>
      <c r="M5" s="7">
        <f t="shared" si="4"/>
        <v>3</v>
      </c>
      <c r="O5" s="36">
        <v>38541.0</v>
      </c>
      <c r="P5" s="37">
        <v>0.873</v>
      </c>
      <c r="Q5" s="37" t="s">
        <v>34</v>
      </c>
      <c r="R5" s="37">
        <v>1000.0</v>
      </c>
      <c r="X5" s="38">
        <f t="shared" si="5"/>
        <v>-750</v>
      </c>
    </row>
    <row r="6" ht="15.75" customHeight="1">
      <c r="B6" s="33">
        <v>38443.0</v>
      </c>
      <c r="C6" s="34">
        <v>1.76</v>
      </c>
      <c r="D6" s="34">
        <v>1.5</v>
      </c>
      <c r="E6" s="34">
        <v>1.82</v>
      </c>
      <c r="F6" s="34">
        <v>1.46</v>
      </c>
      <c r="G6" s="34" t="s">
        <v>38</v>
      </c>
      <c r="H6" s="35">
        <v>0.0906</v>
      </c>
      <c r="I6" s="17">
        <f t="shared" si="2"/>
        <v>-750</v>
      </c>
      <c r="J6" s="15">
        <f t="shared" si="6"/>
        <v>426</v>
      </c>
      <c r="K6" s="15">
        <f t="shared" si="3"/>
        <v>72725</v>
      </c>
      <c r="L6" s="17">
        <f t="shared" si="1"/>
        <v>127996</v>
      </c>
      <c r="M6" s="15">
        <f t="shared" si="4"/>
        <v>4</v>
      </c>
      <c r="O6" s="36">
        <v>38664.0</v>
      </c>
      <c r="P6" s="37">
        <v>0.6015</v>
      </c>
      <c r="Q6" s="37" t="s">
        <v>34</v>
      </c>
      <c r="R6" s="37">
        <v>1000.0</v>
      </c>
      <c r="X6" s="13">
        <f t="shared" si="5"/>
        <v>-750</v>
      </c>
    </row>
    <row r="7" ht="15.75" customHeight="1">
      <c r="B7" s="33">
        <v>38473.0</v>
      </c>
      <c r="C7" s="34">
        <v>1.76</v>
      </c>
      <c r="D7" s="34">
        <v>1.71</v>
      </c>
      <c r="E7" s="34">
        <v>1.82</v>
      </c>
      <c r="F7" s="34">
        <v>1.58</v>
      </c>
      <c r="G7" s="34" t="s">
        <v>39</v>
      </c>
      <c r="H7" s="35">
        <v>-0.019</v>
      </c>
      <c r="I7" s="9">
        <f t="shared" si="2"/>
        <v>-750</v>
      </c>
      <c r="J7" s="7">
        <f>ROUNDDOWN((-I7 + P4*K6/R4)/C7)</f>
        <v>472</v>
      </c>
      <c r="K7" s="7">
        <f t="shared" si="3"/>
        <v>73197</v>
      </c>
      <c r="L7" s="9">
        <f t="shared" si="1"/>
        <v>128826.72</v>
      </c>
      <c r="M7" s="7">
        <f t="shared" si="4"/>
        <v>5</v>
      </c>
      <c r="O7" s="36">
        <v>38719.0</v>
      </c>
      <c r="P7" s="37">
        <v>0.4843</v>
      </c>
      <c r="Q7" s="37" t="s">
        <v>34</v>
      </c>
      <c r="R7" s="37">
        <v>1000.0</v>
      </c>
      <c r="X7" s="38">
        <f t="shared" si="5"/>
        <v>-750</v>
      </c>
    </row>
    <row r="8" ht="15.75" customHeight="1">
      <c r="B8" s="33">
        <v>38504.0</v>
      </c>
      <c r="C8" s="34">
        <v>1.79</v>
      </c>
      <c r="D8" s="34">
        <v>1.77</v>
      </c>
      <c r="E8" s="34">
        <v>1.87</v>
      </c>
      <c r="F8" s="34">
        <v>1.63</v>
      </c>
      <c r="G8" s="34" t="s">
        <v>40</v>
      </c>
      <c r="H8" s="35">
        <v>0.0642</v>
      </c>
      <c r="I8" s="17">
        <f t="shared" si="2"/>
        <v>-750</v>
      </c>
      <c r="J8" s="15">
        <f t="shared" ref="J8:J9" si="7">-ROUNDDOWN(I8/C8)</f>
        <v>418</v>
      </c>
      <c r="K8" s="15">
        <f t="shared" si="3"/>
        <v>73615</v>
      </c>
      <c r="L8" s="17">
        <f t="shared" si="1"/>
        <v>131770.85</v>
      </c>
      <c r="M8" s="15">
        <f t="shared" si="4"/>
        <v>6</v>
      </c>
      <c r="O8" s="36">
        <v>38733.0</v>
      </c>
      <c r="P8" s="37">
        <v>5.5341</v>
      </c>
      <c r="Q8" s="37" t="s">
        <v>36</v>
      </c>
      <c r="R8" s="37">
        <v>1000.0</v>
      </c>
      <c r="X8" s="13">
        <f t="shared" si="5"/>
        <v>-750</v>
      </c>
    </row>
    <row r="9" ht="15.75" customHeight="1">
      <c r="B9" s="33">
        <v>38534.0</v>
      </c>
      <c r="C9" s="34">
        <v>1.86</v>
      </c>
      <c r="D9" s="34">
        <v>1.79</v>
      </c>
      <c r="E9" s="34">
        <v>1.88</v>
      </c>
      <c r="F9" s="34">
        <v>1.67</v>
      </c>
      <c r="G9" s="34" t="s">
        <v>41</v>
      </c>
      <c r="H9" s="35">
        <v>0.0034</v>
      </c>
      <c r="I9" s="9">
        <f t="shared" si="2"/>
        <v>-750</v>
      </c>
      <c r="J9" s="7">
        <f t="shared" si="7"/>
        <v>403</v>
      </c>
      <c r="K9" s="7">
        <f t="shared" si="3"/>
        <v>74018</v>
      </c>
      <c r="L9" s="9">
        <f t="shared" si="1"/>
        <v>137673.48</v>
      </c>
      <c r="M9" s="7">
        <f t="shared" si="4"/>
        <v>7</v>
      </c>
      <c r="O9" s="36">
        <v>38835.0</v>
      </c>
      <c r="P9" s="37">
        <v>1.425</v>
      </c>
      <c r="Q9" s="37" t="s">
        <v>36</v>
      </c>
      <c r="R9" s="37">
        <v>1000.0</v>
      </c>
      <c r="X9" s="38">
        <f t="shared" si="5"/>
        <v>-750</v>
      </c>
    </row>
    <row r="10" ht="15.75" customHeight="1">
      <c r="B10" s="33">
        <v>38565.0</v>
      </c>
      <c r="C10" s="34">
        <v>1.98</v>
      </c>
      <c r="D10" s="34">
        <v>1.85</v>
      </c>
      <c r="E10" s="34">
        <v>2.07</v>
      </c>
      <c r="F10" s="34">
        <v>1.83</v>
      </c>
      <c r="G10" s="34" t="s">
        <v>42</v>
      </c>
      <c r="H10" s="35">
        <v>0.0068</v>
      </c>
      <c r="I10" s="17">
        <f t="shared" si="2"/>
        <v>-750</v>
      </c>
      <c r="J10" s="15">
        <f>ROUNDDOWN((-I10 + P5*K9/R5)/C10)</f>
        <v>411</v>
      </c>
      <c r="K10" s="15">
        <f t="shared" si="3"/>
        <v>74429</v>
      </c>
      <c r="L10" s="17">
        <f t="shared" si="1"/>
        <v>147369.42</v>
      </c>
      <c r="M10" s="15">
        <f t="shared" si="4"/>
        <v>8</v>
      </c>
      <c r="O10" s="36">
        <v>38848.0</v>
      </c>
      <c r="P10" s="37">
        <v>0.5215</v>
      </c>
      <c r="Q10" s="37" t="s">
        <v>34</v>
      </c>
      <c r="R10" s="37">
        <v>1000.0</v>
      </c>
      <c r="X10" s="13">
        <f t="shared" si="5"/>
        <v>-750</v>
      </c>
    </row>
    <row r="11" ht="15.75" customHeight="1">
      <c r="B11" s="33">
        <v>38596.0</v>
      </c>
      <c r="C11" s="34">
        <v>2.05</v>
      </c>
      <c r="D11" s="34">
        <v>1.98</v>
      </c>
      <c r="E11" s="34">
        <v>2.17</v>
      </c>
      <c r="F11" s="34">
        <v>1.95</v>
      </c>
      <c r="G11" s="34" t="s">
        <v>43</v>
      </c>
      <c r="H11" s="35">
        <v>-0.0548</v>
      </c>
      <c r="I11" s="9">
        <f t="shared" si="2"/>
        <v>-750</v>
      </c>
      <c r="J11" s="7">
        <f t="shared" ref="J11:J13" si="8">-ROUNDDOWN(I11/C11)</f>
        <v>365</v>
      </c>
      <c r="K11" s="7">
        <f t="shared" si="3"/>
        <v>74794</v>
      </c>
      <c r="L11" s="9">
        <f t="shared" si="1"/>
        <v>153327.7</v>
      </c>
      <c r="M11" s="7">
        <f t="shared" si="4"/>
        <v>9</v>
      </c>
      <c r="O11" s="36">
        <v>38909.0</v>
      </c>
      <c r="P11" s="37">
        <v>0.472</v>
      </c>
      <c r="Q11" s="37" t="s">
        <v>36</v>
      </c>
      <c r="R11" s="37">
        <v>1000.0</v>
      </c>
      <c r="X11" s="38">
        <f t="shared" si="5"/>
        <v>-750</v>
      </c>
    </row>
    <row r="12" ht="15.75" customHeight="1">
      <c r="B12" s="33">
        <v>38626.0</v>
      </c>
      <c r="C12" s="34">
        <v>1.97</v>
      </c>
      <c r="D12" s="34">
        <v>2.08</v>
      </c>
      <c r="E12" s="34">
        <v>2.14</v>
      </c>
      <c r="F12" s="34">
        <v>1.83</v>
      </c>
      <c r="G12" s="34" t="s">
        <v>44</v>
      </c>
      <c r="H12" s="35">
        <v>0.0839</v>
      </c>
      <c r="I12" s="17">
        <f t="shared" si="2"/>
        <v>-750</v>
      </c>
      <c r="J12" s="15">
        <f t="shared" si="8"/>
        <v>380</v>
      </c>
      <c r="K12" s="15">
        <f t="shared" si="3"/>
        <v>75174</v>
      </c>
      <c r="L12" s="17">
        <f t="shared" si="1"/>
        <v>148092.78</v>
      </c>
      <c r="M12" s="15">
        <f t="shared" si="4"/>
        <v>10</v>
      </c>
      <c r="O12" s="36">
        <v>39198.0</v>
      </c>
      <c r="P12" s="37">
        <f>1.4719+1.0221</f>
        <v>2.494</v>
      </c>
      <c r="Q12" s="37" t="s">
        <v>36</v>
      </c>
      <c r="R12" s="37">
        <v>1000.0</v>
      </c>
      <c r="X12" s="13">
        <f t="shared" si="5"/>
        <v>-750</v>
      </c>
    </row>
    <row r="13" ht="15.75" customHeight="1">
      <c r="B13" s="33">
        <v>38657.0</v>
      </c>
      <c r="C13" s="34">
        <v>2.15</v>
      </c>
      <c r="D13" s="34">
        <v>1.95</v>
      </c>
      <c r="E13" s="34">
        <v>2.16</v>
      </c>
      <c r="F13" s="34">
        <v>1.88</v>
      </c>
      <c r="G13" s="34" t="s">
        <v>45</v>
      </c>
      <c r="H13" s="35">
        <v>-0.0069</v>
      </c>
      <c r="I13" s="9">
        <f t="shared" si="2"/>
        <v>-750</v>
      </c>
      <c r="J13" s="7">
        <f t="shared" si="8"/>
        <v>348</v>
      </c>
      <c r="K13" s="7">
        <f t="shared" si="3"/>
        <v>75522</v>
      </c>
      <c r="L13" s="9">
        <f t="shared" si="1"/>
        <v>162372.3</v>
      </c>
      <c r="M13" s="7">
        <f t="shared" si="4"/>
        <v>11</v>
      </c>
      <c r="O13" s="36">
        <v>39563.0</v>
      </c>
      <c r="P13" s="37">
        <v>0.89</v>
      </c>
      <c r="Q13" s="37" t="s">
        <v>36</v>
      </c>
      <c r="R13" s="37">
        <v>1.0</v>
      </c>
      <c r="X13" s="38">
        <f t="shared" si="5"/>
        <v>-750</v>
      </c>
    </row>
    <row r="14" ht="15.75" customHeight="1">
      <c r="B14" s="33">
        <v>38687.0</v>
      </c>
      <c r="C14" s="34">
        <v>2.29</v>
      </c>
      <c r="D14" s="34">
        <v>2.16</v>
      </c>
      <c r="E14" s="34">
        <v>2.31</v>
      </c>
      <c r="F14" s="34">
        <v>2.07</v>
      </c>
      <c r="G14" s="34" t="s">
        <v>46</v>
      </c>
      <c r="H14" s="35">
        <v>-0.0526</v>
      </c>
      <c r="I14" s="17">
        <f t="shared" si="2"/>
        <v>-750</v>
      </c>
      <c r="J14" s="15">
        <f>ROUNDDOWN((-I14 + P6*K13/R6)/C14)</f>
        <v>347</v>
      </c>
      <c r="K14" s="15">
        <f t="shared" si="3"/>
        <v>75869</v>
      </c>
      <c r="L14" s="17">
        <f t="shared" si="1"/>
        <v>173740.01</v>
      </c>
      <c r="M14" s="15">
        <f t="shared" si="4"/>
        <v>12</v>
      </c>
      <c r="O14" s="36">
        <v>39932.0</v>
      </c>
      <c r="P14" s="37">
        <v>0.951</v>
      </c>
      <c r="Q14" s="37" t="s">
        <v>36</v>
      </c>
      <c r="R14" s="37">
        <v>1.0</v>
      </c>
      <c r="X14" s="13">
        <f t="shared" si="5"/>
        <v>-750</v>
      </c>
    </row>
    <row r="15" ht="15.75" customHeight="1">
      <c r="B15" s="33">
        <v>38718.0</v>
      </c>
      <c r="C15" s="34">
        <v>2.57</v>
      </c>
      <c r="D15" s="34">
        <v>2.22</v>
      </c>
      <c r="E15" s="34">
        <v>2.74</v>
      </c>
      <c r="F15" s="34">
        <v>2.2</v>
      </c>
      <c r="G15" s="34" t="s">
        <v>47</v>
      </c>
      <c r="H15" s="35">
        <v>-0.0098</v>
      </c>
      <c r="I15" s="9">
        <f t="shared" si="2"/>
        <v>-750</v>
      </c>
      <c r="J15" s="7">
        <f>-ROUNDDOWN(I15/C15)</f>
        <v>291</v>
      </c>
      <c r="K15" s="7">
        <f t="shared" si="3"/>
        <v>76160</v>
      </c>
      <c r="L15" s="9">
        <f t="shared" si="1"/>
        <v>195731.2</v>
      </c>
      <c r="M15" s="7">
        <f t="shared" si="4"/>
        <v>13</v>
      </c>
      <c r="O15" s="36">
        <v>40297.0</v>
      </c>
      <c r="P15" s="37">
        <v>0.7504</v>
      </c>
      <c r="Q15" s="37" t="s">
        <v>36</v>
      </c>
      <c r="R15" s="37">
        <v>1.0</v>
      </c>
      <c r="X15" s="38">
        <f t="shared" si="5"/>
        <v>-750</v>
      </c>
    </row>
    <row r="16" ht="15.75" customHeight="1">
      <c r="B16" s="33">
        <v>38749.0</v>
      </c>
      <c r="C16" s="34">
        <v>2.62</v>
      </c>
      <c r="D16" s="34">
        <v>2.51</v>
      </c>
      <c r="E16" s="34">
        <v>2.74</v>
      </c>
      <c r="F16" s="34">
        <v>2.41</v>
      </c>
      <c r="G16" s="34" t="s">
        <v>48</v>
      </c>
      <c r="H16" s="35">
        <v>0.0514</v>
      </c>
      <c r="I16" s="17">
        <f t="shared" si="2"/>
        <v>-750</v>
      </c>
      <c r="J16" s="15">
        <f>ROUNDDOWN((-I16 + P7*K15/R7 + P8*K15/R8)/C16)</f>
        <v>461</v>
      </c>
      <c r="K16" s="15">
        <f t="shared" si="3"/>
        <v>76621</v>
      </c>
      <c r="L16" s="17">
        <f t="shared" si="1"/>
        <v>200747.02</v>
      </c>
      <c r="M16" s="15">
        <f t="shared" si="4"/>
        <v>14</v>
      </c>
      <c r="O16" s="39">
        <v>40528.0</v>
      </c>
      <c r="P16" s="37">
        <v>1.3194</v>
      </c>
      <c r="Q16" s="37" t="s">
        <v>36</v>
      </c>
      <c r="R16" s="37">
        <v>1.0</v>
      </c>
      <c r="X16" s="13">
        <f t="shared" si="5"/>
        <v>-750</v>
      </c>
    </row>
    <row r="17" ht="15.75" customHeight="1">
      <c r="B17" s="33">
        <v>38777.0</v>
      </c>
      <c r="C17" s="34">
        <v>2.38</v>
      </c>
      <c r="D17" s="34">
        <v>2.64</v>
      </c>
      <c r="E17" s="34">
        <v>2.69</v>
      </c>
      <c r="F17" s="34">
        <v>2.21</v>
      </c>
      <c r="G17" s="34" t="s">
        <v>49</v>
      </c>
      <c r="H17" s="35">
        <v>0.0936</v>
      </c>
      <c r="I17" s="9">
        <f t="shared" si="2"/>
        <v>-750</v>
      </c>
      <c r="J17" s="7">
        <f t="shared" ref="J17:J18" si="9">-ROUNDDOWN(I17/C17)</f>
        <v>315</v>
      </c>
      <c r="K17" s="7">
        <f t="shared" si="3"/>
        <v>76936</v>
      </c>
      <c r="L17" s="9">
        <f t="shared" si="1"/>
        <v>183107.68</v>
      </c>
      <c r="M17" s="7">
        <f t="shared" si="4"/>
        <v>15</v>
      </c>
      <c r="X17" s="38">
        <f t="shared" si="5"/>
        <v>-750</v>
      </c>
    </row>
    <row r="18" ht="15.75" customHeight="1">
      <c r="B18" s="33">
        <v>38808.0</v>
      </c>
      <c r="C18" s="34">
        <v>2.42</v>
      </c>
      <c r="D18" s="34">
        <v>2.39</v>
      </c>
      <c r="E18" s="34">
        <v>2.6</v>
      </c>
      <c r="F18" s="34">
        <v>2.29</v>
      </c>
      <c r="G18" s="34" t="s">
        <v>50</v>
      </c>
      <c r="H18" s="35">
        <v>0.0191</v>
      </c>
      <c r="I18" s="17">
        <f t="shared" si="2"/>
        <v>-750</v>
      </c>
      <c r="J18" s="15">
        <f t="shared" si="9"/>
        <v>309</v>
      </c>
      <c r="K18" s="15">
        <f t="shared" si="3"/>
        <v>77245</v>
      </c>
      <c r="L18" s="17">
        <f t="shared" si="1"/>
        <v>186932.9</v>
      </c>
      <c r="M18" s="15">
        <f t="shared" si="4"/>
        <v>16</v>
      </c>
      <c r="O18" s="32" t="s">
        <v>51</v>
      </c>
      <c r="P18" s="32" t="s">
        <v>5</v>
      </c>
      <c r="Q18" s="32" t="s">
        <v>6</v>
      </c>
      <c r="X18" s="13">
        <f t="shared" si="5"/>
        <v>-750</v>
      </c>
    </row>
    <row r="19" ht="15.75" customHeight="1">
      <c r="B19" s="33">
        <v>38838.0</v>
      </c>
      <c r="C19" s="34">
        <v>2.1</v>
      </c>
      <c r="D19" s="34">
        <v>2.35</v>
      </c>
      <c r="E19" s="34">
        <v>2.56</v>
      </c>
      <c r="F19" s="34">
        <v>2.04</v>
      </c>
      <c r="G19" s="34" t="s">
        <v>52</v>
      </c>
      <c r="H19" s="35">
        <v>-0.026</v>
      </c>
      <c r="I19" s="9">
        <f t="shared" si="2"/>
        <v>-750</v>
      </c>
      <c r="J19" s="7">
        <f>ROUNDDOWN((-I19 + P10*K18/R10)/C19)</f>
        <v>376</v>
      </c>
      <c r="K19" s="7">
        <f t="shared" si="3"/>
        <v>77621</v>
      </c>
      <c r="L19" s="9">
        <f t="shared" si="1"/>
        <v>163004.1</v>
      </c>
      <c r="M19" s="7">
        <f t="shared" si="4"/>
        <v>17</v>
      </c>
      <c r="O19" s="32" t="s">
        <v>11</v>
      </c>
      <c r="P19" s="40">
        <v>0.05</v>
      </c>
      <c r="Q19" s="41">
        <f>(1+P19)^(1/12)-1</f>
        <v>0.004074123784</v>
      </c>
      <c r="X19" s="38">
        <f t="shared" si="5"/>
        <v>-750</v>
      </c>
    </row>
    <row r="20" ht="15.75" customHeight="1">
      <c r="B20" s="33">
        <v>38869.0</v>
      </c>
      <c r="C20" s="34">
        <v>2.21</v>
      </c>
      <c r="D20" s="34">
        <v>2.12</v>
      </c>
      <c r="E20" s="34">
        <v>2.36</v>
      </c>
      <c r="F20" s="34">
        <v>1.85</v>
      </c>
      <c r="G20" s="34" t="s">
        <v>53</v>
      </c>
      <c r="H20" s="35">
        <v>0.0267</v>
      </c>
      <c r="I20" s="17">
        <f t="shared" si="2"/>
        <v>-750</v>
      </c>
      <c r="J20" s="15">
        <f>ROUNDDOWN((-I20 + P10*K19/R10)/C20)</f>
        <v>357</v>
      </c>
      <c r="K20" s="15">
        <f t="shared" si="3"/>
        <v>77978</v>
      </c>
      <c r="L20" s="17">
        <f t="shared" si="1"/>
        <v>172331.38</v>
      </c>
      <c r="M20" s="15">
        <f t="shared" si="4"/>
        <v>18</v>
      </c>
      <c r="O20" s="32" t="s">
        <v>8</v>
      </c>
      <c r="P20" s="41">
        <f>(1+Q20)^(12)-1</f>
        <v>0.3985646654</v>
      </c>
      <c r="Q20" s="42">
        <f>IRR(X2:X74, 0.02)</f>
        <v>0.02834824834</v>
      </c>
      <c r="X20" s="13">
        <f t="shared" si="5"/>
        <v>-750</v>
      </c>
    </row>
    <row r="21" ht="15.75" customHeight="1">
      <c r="B21" s="33">
        <v>38899.0</v>
      </c>
      <c r="C21" s="34">
        <v>2.26</v>
      </c>
      <c r="D21" s="34">
        <v>2.24</v>
      </c>
      <c r="E21" s="34">
        <v>2.34</v>
      </c>
      <c r="F21" s="34">
        <v>2.12</v>
      </c>
      <c r="G21" s="34" t="s">
        <v>54</v>
      </c>
      <c r="H21" s="35">
        <v>0.0234</v>
      </c>
      <c r="I21" s="9">
        <f t="shared" si="2"/>
        <v>-750</v>
      </c>
      <c r="J21" s="7">
        <f>-ROUNDDOWN(I21/C21)</f>
        <v>331</v>
      </c>
      <c r="K21" s="7">
        <f t="shared" si="3"/>
        <v>78309</v>
      </c>
      <c r="L21" s="9">
        <f t="shared" si="1"/>
        <v>176978.34</v>
      </c>
      <c r="M21" s="7">
        <f t="shared" si="4"/>
        <v>19</v>
      </c>
      <c r="O21" s="32" t="s">
        <v>9</v>
      </c>
      <c r="P21" s="43">
        <f t="array" ref="P21">NPV(Q19,-L3+I3,I4:I75)</f>
        <v>540230.134</v>
      </c>
      <c r="Q21" s="37"/>
      <c r="X21" s="38">
        <f t="shared" si="5"/>
        <v>-750</v>
      </c>
    </row>
    <row r="22" ht="15.75" customHeight="1">
      <c r="B22" s="33">
        <v>38930.0</v>
      </c>
      <c r="C22" s="34">
        <v>2.13</v>
      </c>
      <c r="D22" s="34">
        <v>2.25</v>
      </c>
      <c r="E22" s="34">
        <v>2.38</v>
      </c>
      <c r="F22" s="34">
        <v>2.02</v>
      </c>
      <c r="G22" s="34" t="s">
        <v>55</v>
      </c>
      <c r="H22" s="35">
        <v>-0.0039</v>
      </c>
      <c r="I22" s="17">
        <f t="shared" si="2"/>
        <v>-750</v>
      </c>
      <c r="J22" s="15">
        <f>ROUNDDOWN((-I22 + P11*K21/R11)/C22)</f>
        <v>369</v>
      </c>
      <c r="K22" s="15">
        <f t="shared" si="3"/>
        <v>78678</v>
      </c>
      <c r="L22" s="17">
        <f t="shared" si="1"/>
        <v>167584.14</v>
      </c>
      <c r="M22" s="15">
        <f t="shared" si="4"/>
        <v>20</v>
      </c>
      <c r="X22" s="13">
        <f t="shared" si="5"/>
        <v>-750</v>
      </c>
    </row>
    <row r="23" ht="15.75" customHeight="1">
      <c r="B23" s="33">
        <v>38961.0</v>
      </c>
      <c r="C23" s="34">
        <v>2.05</v>
      </c>
      <c r="D23" s="34">
        <v>2.14</v>
      </c>
      <c r="E23" s="34">
        <v>2.28</v>
      </c>
      <c r="F23" s="34">
        <v>1.96</v>
      </c>
      <c r="G23" s="34" t="s">
        <v>56</v>
      </c>
      <c r="H23" s="35">
        <v>-0.0077</v>
      </c>
      <c r="I23" s="9">
        <f t="shared" si="2"/>
        <v>-750</v>
      </c>
      <c r="J23" s="7">
        <f t="shared" ref="J23:J30" si="10">-ROUNDDOWN(I23/C23)</f>
        <v>365</v>
      </c>
      <c r="K23" s="7">
        <f t="shared" si="3"/>
        <v>79043</v>
      </c>
      <c r="L23" s="9">
        <f t="shared" si="1"/>
        <v>162038.15</v>
      </c>
      <c r="M23" s="7">
        <f t="shared" si="4"/>
        <v>21</v>
      </c>
      <c r="O23" s="44" t="s">
        <v>57</v>
      </c>
      <c r="P23" s="1"/>
      <c r="Q23" s="1"/>
      <c r="X23" s="38">
        <f t="shared" si="5"/>
        <v>-750</v>
      </c>
    </row>
    <row r="24" ht="15.75" customHeight="1">
      <c r="B24" s="33">
        <v>38991.0</v>
      </c>
      <c r="C24" s="34">
        <v>2.22</v>
      </c>
      <c r="D24" s="34">
        <v>2.08</v>
      </c>
      <c r="E24" s="34">
        <v>2.3</v>
      </c>
      <c r="F24" s="34">
        <v>2.03</v>
      </c>
      <c r="G24" s="34" t="s">
        <v>58</v>
      </c>
      <c r="H24" s="35">
        <v>-0.0038</v>
      </c>
      <c r="I24" s="17">
        <f t="shared" si="2"/>
        <v>-750</v>
      </c>
      <c r="J24" s="15">
        <f t="shared" si="10"/>
        <v>337</v>
      </c>
      <c r="K24" s="15">
        <f t="shared" si="3"/>
        <v>79380</v>
      </c>
      <c r="L24" s="17">
        <f t="shared" si="1"/>
        <v>176223.6</v>
      </c>
      <c r="M24" s="15">
        <f t="shared" si="4"/>
        <v>22</v>
      </c>
      <c r="O24" s="45"/>
      <c r="P24" s="45"/>
      <c r="Q24" s="45"/>
      <c r="X24" s="13">
        <f t="shared" si="5"/>
        <v>-750</v>
      </c>
    </row>
    <row r="25" ht="15.75" customHeight="1">
      <c r="B25" s="33">
        <v>39022.0</v>
      </c>
      <c r="C25" s="34">
        <v>2.36</v>
      </c>
      <c r="D25" s="34">
        <v>2.23</v>
      </c>
      <c r="E25" s="34">
        <v>2.41</v>
      </c>
      <c r="F25" s="34">
        <v>2.23</v>
      </c>
      <c r="G25" s="34" t="s">
        <v>59</v>
      </c>
      <c r="H25" s="35">
        <v>0.0359</v>
      </c>
      <c r="I25" s="9">
        <f t="shared" si="2"/>
        <v>-750</v>
      </c>
      <c r="J25" s="7">
        <f t="shared" si="10"/>
        <v>317</v>
      </c>
      <c r="K25" s="7">
        <f t="shared" si="3"/>
        <v>79697</v>
      </c>
      <c r="L25" s="9">
        <f t="shared" si="1"/>
        <v>188084.92</v>
      </c>
      <c r="M25" s="7">
        <f t="shared" si="4"/>
        <v>23</v>
      </c>
      <c r="O25" s="46" t="s">
        <v>60</v>
      </c>
      <c r="P25" s="47"/>
      <c r="Q25" s="48">
        <f>C3</f>
        <v>1.4</v>
      </c>
      <c r="X25" s="38">
        <f t="shared" si="5"/>
        <v>-750</v>
      </c>
    </row>
    <row r="26" ht="15.75" customHeight="1">
      <c r="B26" s="33">
        <v>39052.0</v>
      </c>
      <c r="C26" s="34">
        <v>2.53</v>
      </c>
      <c r="D26" s="34">
        <v>2.36</v>
      </c>
      <c r="E26" s="34">
        <v>2.54</v>
      </c>
      <c r="F26" s="34">
        <v>2.3</v>
      </c>
      <c r="G26" s="34" t="s">
        <v>61</v>
      </c>
      <c r="H26" s="35">
        <v>0.0591</v>
      </c>
      <c r="I26" s="17">
        <f t="shared" si="2"/>
        <v>-750</v>
      </c>
      <c r="J26" s="15">
        <f t="shared" si="10"/>
        <v>296</v>
      </c>
      <c r="K26" s="15">
        <f t="shared" si="3"/>
        <v>79993</v>
      </c>
      <c r="L26" s="17">
        <f t="shared" si="1"/>
        <v>202382.29</v>
      </c>
      <c r="M26" s="15">
        <f t="shared" si="4"/>
        <v>24</v>
      </c>
      <c r="O26" s="49" t="s">
        <v>62</v>
      </c>
      <c r="P26" s="50"/>
      <c r="Q26" s="51">
        <f t="shared" ref="Q26:Q27" si="11">C74</f>
        <v>3.15</v>
      </c>
      <c r="X26" s="13">
        <f t="shared" si="5"/>
        <v>-750</v>
      </c>
    </row>
    <row r="27" ht="15.75" customHeight="1">
      <c r="B27" s="33">
        <v>39083.0</v>
      </c>
      <c r="C27" s="34">
        <v>2.45</v>
      </c>
      <c r="D27" s="34">
        <v>2.53</v>
      </c>
      <c r="E27" s="34">
        <v>2.58</v>
      </c>
      <c r="F27" s="34">
        <v>2.32</v>
      </c>
      <c r="G27" s="34" t="s">
        <v>63</v>
      </c>
      <c r="H27" s="35">
        <v>-0.0125</v>
      </c>
      <c r="I27" s="9">
        <f t="shared" si="2"/>
        <v>-750</v>
      </c>
      <c r="J27" s="7">
        <f t="shared" si="10"/>
        <v>306</v>
      </c>
      <c r="K27" s="7">
        <f t="shared" si="3"/>
        <v>80299</v>
      </c>
      <c r="L27" s="9">
        <f t="shared" si="1"/>
        <v>196732.55</v>
      </c>
      <c r="M27" s="7">
        <f t="shared" si="4"/>
        <v>25</v>
      </c>
      <c r="O27" s="46" t="s">
        <v>64</v>
      </c>
      <c r="P27" s="52"/>
      <c r="Q27" s="48">
        <f t="shared" si="11"/>
        <v>3.23</v>
      </c>
      <c r="X27" s="38">
        <f t="shared" si="5"/>
        <v>-750</v>
      </c>
    </row>
    <row r="28" ht="15.75" customHeight="1">
      <c r="B28" s="33">
        <v>39114.0</v>
      </c>
      <c r="C28" s="34">
        <v>2.43</v>
      </c>
      <c r="D28" s="34">
        <v>2.46</v>
      </c>
      <c r="E28" s="34">
        <v>2.57</v>
      </c>
      <c r="F28" s="34">
        <v>2.35</v>
      </c>
      <c r="G28" s="34" t="s">
        <v>65</v>
      </c>
      <c r="H28" s="35">
        <v>-0.1304</v>
      </c>
      <c r="I28" s="17">
        <f t="shared" si="2"/>
        <v>-750</v>
      </c>
      <c r="J28" s="15">
        <f t="shared" si="10"/>
        <v>308</v>
      </c>
      <c r="K28" s="15">
        <f t="shared" si="3"/>
        <v>80607</v>
      </c>
      <c r="L28" s="17">
        <f t="shared" si="1"/>
        <v>195875.01</v>
      </c>
      <c r="M28" s="15">
        <f t="shared" si="4"/>
        <v>26</v>
      </c>
      <c r="O28" s="49" t="s">
        <v>66</v>
      </c>
      <c r="P28" s="50"/>
      <c r="Q28" s="53">
        <f>Q27/Q25</f>
        <v>2.307142857</v>
      </c>
      <c r="X28" s="13">
        <f t="shared" si="5"/>
        <v>-750</v>
      </c>
    </row>
    <row r="29" ht="15.75" customHeight="1">
      <c r="B29" s="33">
        <v>39142.0</v>
      </c>
      <c r="C29" s="34">
        <v>2.43</v>
      </c>
      <c r="D29" s="34">
        <v>2.41</v>
      </c>
      <c r="E29" s="34">
        <v>2.56</v>
      </c>
      <c r="F29" s="34">
        <v>2.32</v>
      </c>
      <c r="G29" s="34" t="s">
        <v>67</v>
      </c>
      <c r="H29" s="35">
        <v>0.1084</v>
      </c>
      <c r="I29" s="9">
        <f t="shared" si="2"/>
        <v>-750</v>
      </c>
      <c r="J29" s="7">
        <f t="shared" si="10"/>
        <v>308</v>
      </c>
      <c r="K29" s="7">
        <f t="shared" si="3"/>
        <v>80915</v>
      </c>
      <c r="L29" s="9">
        <f t="shared" si="1"/>
        <v>196623.45</v>
      </c>
      <c r="M29" s="7">
        <f t="shared" si="4"/>
        <v>27</v>
      </c>
      <c r="X29" s="38">
        <f t="shared" si="5"/>
        <v>-750</v>
      </c>
    </row>
    <row r="30" ht="15.75" customHeight="1">
      <c r="B30" s="33">
        <v>39173.0</v>
      </c>
      <c r="C30" s="34">
        <v>2.59</v>
      </c>
      <c r="D30" s="34">
        <v>2.43</v>
      </c>
      <c r="E30" s="34">
        <v>2.78</v>
      </c>
      <c r="F30" s="34">
        <v>2.38</v>
      </c>
      <c r="G30" s="34" t="s">
        <v>68</v>
      </c>
      <c r="H30" s="35">
        <v>-0.1232</v>
      </c>
      <c r="I30" s="17">
        <f t="shared" si="2"/>
        <v>-750</v>
      </c>
      <c r="J30" s="15">
        <f t="shared" si="10"/>
        <v>289</v>
      </c>
      <c r="K30" s="15">
        <f t="shared" si="3"/>
        <v>81204</v>
      </c>
      <c r="L30" s="17">
        <f t="shared" si="1"/>
        <v>210318.36</v>
      </c>
      <c r="M30" s="15">
        <f t="shared" si="4"/>
        <v>28</v>
      </c>
      <c r="X30" s="13">
        <f t="shared" si="5"/>
        <v>-750</v>
      </c>
    </row>
    <row r="31" ht="15.75" customHeight="1">
      <c r="B31" s="33">
        <v>39203.0</v>
      </c>
      <c r="C31" s="34">
        <v>2.74</v>
      </c>
      <c r="D31" s="34">
        <v>2.6</v>
      </c>
      <c r="E31" s="34">
        <v>2.77</v>
      </c>
      <c r="F31" s="34">
        <v>2.55</v>
      </c>
      <c r="G31" s="34" t="s">
        <v>69</v>
      </c>
      <c r="H31" s="35">
        <v>0.0677</v>
      </c>
      <c r="I31" s="9">
        <f t="shared" si="2"/>
        <v>-750</v>
      </c>
      <c r="J31" s="7">
        <f>ROUNDDOWN((-I31 + P12*K30/R12)/C31)</f>
        <v>347</v>
      </c>
      <c r="K31" s="7">
        <f t="shared" si="3"/>
        <v>81551</v>
      </c>
      <c r="L31" s="9">
        <f t="shared" si="1"/>
        <v>223449.74</v>
      </c>
      <c r="M31" s="7">
        <f t="shared" si="4"/>
        <v>29</v>
      </c>
      <c r="X31" s="38">
        <f t="shared" si="5"/>
        <v>-750</v>
      </c>
    </row>
    <row r="32" ht="15.75" customHeight="1">
      <c r="B32" s="33">
        <v>39234.0</v>
      </c>
      <c r="C32" s="34">
        <v>2.96</v>
      </c>
      <c r="D32" s="34">
        <v>2.77</v>
      </c>
      <c r="E32" s="34">
        <v>3.1</v>
      </c>
      <c r="F32" s="34">
        <v>2.69</v>
      </c>
      <c r="G32" s="34" t="s">
        <v>70</v>
      </c>
      <c r="H32" s="35">
        <v>-0.0534</v>
      </c>
      <c r="I32" s="17">
        <f t="shared" si="2"/>
        <v>-750</v>
      </c>
      <c r="J32" s="15">
        <f t="shared" ref="J32:J42" si="12">-ROUNDDOWN(I32/C32)</f>
        <v>253</v>
      </c>
      <c r="K32" s="15">
        <f t="shared" si="3"/>
        <v>81804</v>
      </c>
      <c r="L32" s="17">
        <f t="shared" si="1"/>
        <v>242139.84</v>
      </c>
      <c r="M32" s="15">
        <f t="shared" si="4"/>
        <v>30</v>
      </c>
      <c r="X32" s="13">
        <f t="shared" si="5"/>
        <v>-750</v>
      </c>
    </row>
    <row r="33" ht="15.75" customHeight="1">
      <c r="B33" s="33">
        <v>39264.0</v>
      </c>
      <c r="C33" s="34">
        <v>2.74</v>
      </c>
      <c r="D33" s="34">
        <v>2.98</v>
      </c>
      <c r="E33" s="34">
        <v>3.08</v>
      </c>
      <c r="F33" s="34">
        <v>2.61</v>
      </c>
      <c r="G33" s="34" t="s">
        <v>71</v>
      </c>
      <c r="H33" s="35">
        <v>-0.0442</v>
      </c>
      <c r="I33" s="9">
        <f t="shared" si="2"/>
        <v>-750</v>
      </c>
      <c r="J33" s="7">
        <f t="shared" si="12"/>
        <v>273</v>
      </c>
      <c r="K33" s="7">
        <f t="shared" si="3"/>
        <v>82077</v>
      </c>
      <c r="L33" s="9">
        <f t="shared" si="1"/>
        <v>224890.98</v>
      </c>
      <c r="M33" s="7">
        <f t="shared" si="4"/>
        <v>31</v>
      </c>
      <c r="X33" s="38">
        <f t="shared" si="5"/>
        <v>-750</v>
      </c>
    </row>
    <row r="34" ht="15.75" customHeight="1">
      <c r="B34" s="33">
        <v>39295.0</v>
      </c>
      <c r="C34" s="34">
        <v>2.73</v>
      </c>
      <c r="D34" s="34">
        <v>2.73</v>
      </c>
      <c r="E34" s="34">
        <v>2.85</v>
      </c>
      <c r="F34" s="34">
        <v>2.25</v>
      </c>
      <c r="G34" s="34" t="s">
        <v>72</v>
      </c>
      <c r="H34" s="35">
        <v>0.0244</v>
      </c>
      <c r="I34" s="17">
        <f t="shared" si="2"/>
        <v>-750</v>
      </c>
      <c r="J34" s="15">
        <f t="shared" si="12"/>
        <v>274</v>
      </c>
      <c r="K34" s="15">
        <f t="shared" si="3"/>
        <v>82351</v>
      </c>
      <c r="L34" s="17">
        <f t="shared" si="1"/>
        <v>224818.23</v>
      </c>
      <c r="M34" s="15">
        <f t="shared" si="4"/>
        <v>32</v>
      </c>
      <c r="X34" s="13">
        <f t="shared" si="5"/>
        <v>-750</v>
      </c>
    </row>
    <row r="35" ht="15.75" customHeight="1">
      <c r="B35" s="33">
        <v>39326.0</v>
      </c>
      <c r="C35" s="34">
        <v>2.82</v>
      </c>
      <c r="D35" s="34">
        <v>2.74</v>
      </c>
      <c r="E35" s="34">
        <v>2.91</v>
      </c>
      <c r="F35" s="34">
        <v>2.5</v>
      </c>
      <c r="G35" s="34" t="s">
        <v>73</v>
      </c>
      <c r="H35" s="35">
        <v>0.0996</v>
      </c>
      <c r="I35" s="9">
        <f t="shared" si="2"/>
        <v>-750</v>
      </c>
      <c r="J35" s="7">
        <f t="shared" si="12"/>
        <v>265</v>
      </c>
      <c r="K35" s="7">
        <f t="shared" si="3"/>
        <v>82616</v>
      </c>
      <c r="L35" s="9">
        <f t="shared" si="1"/>
        <v>232977.12</v>
      </c>
      <c r="M35" s="7">
        <f t="shared" si="4"/>
        <v>33</v>
      </c>
      <c r="X35" s="38">
        <f t="shared" si="5"/>
        <v>-750</v>
      </c>
    </row>
    <row r="36" ht="15.75" customHeight="1">
      <c r="B36" s="33">
        <v>39356.0</v>
      </c>
      <c r="C36" s="34">
        <v>2.68</v>
      </c>
      <c r="D36" s="34">
        <v>2.82</v>
      </c>
      <c r="E36" s="34">
        <v>2.88</v>
      </c>
      <c r="F36" s="34">
        <v>2.56</v>
      </c>
      <c r="G36" s="34" t="s">
        <v>74</v>
      </c>
      <c r="H36" s="35">
        <v>0.1447</v>
      </c>
      <c r="I36" s="17">
        <f t="shared" si="2"/>
        <v>-750</v>
      </c>
      <c r="J36" s="15">
        <f t="shared" si="12"/>
        <v>279</v>
      </c>
      <c r="K36" s="15">
        <f t="shared" si="3"/>
        <v>82895</v>
      </c>
      <c r="L36" s="17">
        <f t="shared" si="1"/>
        <v>222158.6</v>
      </c>
      <c r="M36" s="15">
        <f t="shared" si="4"/>
        <v>34</v>
      </c>
      <c r="X36" s="13">
        <f t="shared" si="5"/>
        <v>-750</v>
      </c>
    </row>
    <row r="37" ht="15.75" customHeight="1">
      <c r="B37" s="33">
        <v>39387.0</v>
      </c>
      <c r="C37" s="34">
        <v>2.75</v>
      </c>
      <c r="D37" s="34">
        <v>2.64</v>
      </c>
      <c r="E37" s="34">
        <v>2.88</v>
      </c>
      <c r="F37" s="34">
        <v>2.39</v>
      </c>
      <c r="G37" s="34" t="s">
        <v>75</v>
      </c>
      <c r="H37" s="35">
        <v>-0.0215</v>
      </c>
      <c r="I37" s="9">
        <f t="shared" si="2"/>
        <v>-750</v>
      </c>
      <c r="J37" s="7">
        <f t="shared" si="12"/>
        <v>272</v>
      </c>
      <c r="K37" s="7">
        <f t="shared" si="3"/>
        <v>83167</v>
      </c>
      <c r="L37" s="9">
        <f t="shared" si="1"/>
        <v>228709.25</v>
      </c>
      <c r="M37" s="7">
        <f t="shared" si="4"/>
        <v>35</v>
      </c>
      <c r="X37" s="38">
        <f t="shared" si="5"/>
        <v>-750</v>
      </c>
    </row>
    <row r="38" ht="15.75" customHeight="1">
      <c r="B38" s="33">
        <v>39417.0</v>
      </c>
      <c r="C38" s="34">
        <v>2.35</v>
      </c>
      <c r="D38" s="34">
        <v>2.77</v>
      </c>
      <c r="E38" s="34">
        <v>2.86</v>
      </c>
      <c r="F38" s="34">
        <v>2.31</v>
      </c>
      <c r="G38" s="34" t="s">
        <v>76</v>
      </c>
      <c r="H38" s="35">
        <v>0.1535</v>
      </c>
      <c r="I38" s="17">
        <f t="shared" si="2"/>
        <v>-750</v>
      </c>
      <c r="J38" s="15">
        <f t="shared" si="12"/>
        <v>319</v>
      </c>
      <c r="K38" s="15">
        <f t="shared" si="3"/>
        <v>83486</v>
      </c>
      <c r="L38" s="17">
        <f t="shared" si="1"/>
        <v>196192.1</v>
      </c>
      <c r="M38" s="15">
        <f t="shared" si="4"/>
        <v>36</v>
      </c>
      <c r="X38" s="13">
        <f t="shared" si="5"/>
        <v>-750</v>
      </c>
    </row>
    <row r="39" ht="15.75" customHeight="1">
      <c r="B39" s="33">
        <v>39448.0</v>
      </c>
      <c r="C39" s="34">
        <v>2.02</v>
      </c>
      <c r="D39" s="34">
        <v>2.36</v>
      </c>
      <c r="E39" s="34">
        <v>2.51</v>
      </c>
      <c r="F39" s="34">
        <v>1.98</v>
      </c>
      <c r="G39" s="34" t="s">
        <v>77</v>
      </c>
      <c r="H39" s="35">
        <v>-0.1404</v>
      </c>
      <c r="I39" s="9">
        <f t="shared" si="2"/>
        <v>-750</v>
      </c>
      <c r="J39" s="7">
        <f t="shared" si="12"/>
        <v>371</v>
      </c>
      <c r="K39" s="7">
        <f t="shared" si="3"/>
        <v>83857</v>
      </c>
      <c r="L39" s="9">
        <f t="shared" si="1"/>
        <v>169391.14</v>
      </c>
      <c r="M39" s="7">
        <f t="shared" si="4"/>
        <v>37</v>
      </c>
      <c r="X39" s="38">
        <f t="shared" si="5"/>
        <v>-750</v>
      </c>
    </row>
    <row r="40" ht="15.75" customHeight="1">
      <c r="B40" s="33">
        <v>39479.0</v>
      </c>
      <c r="C40" s="34">
        <v>2.33</v>
      </c>
      <c r="D40" s="34">
        <v>2.06</v>
      </c>
      <c r="E40" s="34">
        <v>2.41</v>
      </c>
      <c r="F40" s="34">
        <v>1.97</v>
      </c>
      <c r="G40" s="34" t="s">
        <v>78</v>
      </c>
      <c r="H40" s="35">
        <v>-0.1455</v>
      </c>
      <c r="I40" s="17">
        <f t="shared" si="2"/>
        <v>-750</v>
      </c>
      <c r="J40" s="15">
        <f t="shared" si="12"/>
        <v>321</v>
      </c>
      <c r="K40" s="15">
        <f t="shared" si="3"/>
        <v>84178</v>
      </c>
      <c r="L40" s="17">
        <f t="shared" si="1"/>
        <v>196134.74</v>
      </c>
      <c r="M40" s="15">
        <f t="shared" si="4"/>
        <v>38</v>
      </c>
      <c r="X40" s="13">
        <f t="shared" si="5"/>
        <v>-750</v>
      </c>
    </row>
    <row r="41" ht="15.75" customHeight="1">
      <c r="B41" s="33">
        <v>39508.0</v>
      </c>
      <c r="C41" s="34">
        <v>2.28</v>
      </c>
      <c r="D41" s="34">
        <v>2.32</v>
      </c>
      <c r="E41" s="34">
        <v>2.48</v>
      </c>
      <c r="F41" s="34">
        <v>2.09</v>
      </c>
      <c r="G41" s="34" t="s">
        <v>79</v>
      </c>
      <c r="H41" s="35">
        <v>0.0261</v>
      </c>
      <c r="I41" s="9">
        <f t="shared" si="2"/>
        <v>-750</v>
      </c>
      <c r="J41" s="7">
        <f t="shared" si="12"/>
        <v>328</v>
      </c>
      <c r="K41" s="7">
        <f t="shared" si="3"/>
        <v>84506</v>
      </c>
      <c r="L41" s="9">
        <f t="shared" si="1"/>
        <v>192673.68</v>
      </c>
      <c r="M41" s="7">
        <f t="shared" si="4"/>
        <v>39</v>
      </c>
      <c r="X41" s="38">
        <f t="shared" si="5"/>
        <v>-750</v>
      </c>
    </row>
    <row r="42" ht="15.75" customHeight="1">
      <c r="B42" s="33">
        <v>39539.0</v>
      </c>
      <c r="C42" s="34">
        <v>2.61</v>
      </c>
      <c r="D42" s="34">
        <v>2.31</v>
      </c>
      <c r="E42" s="34">
        <v>2.7</v>
      </c>
      <c r="F42" s="34">
        <v>2.27</v>
      </c>
      <c r="G42" s="34" t="s">
        <v>80</v>
      </c>
      <c r="H42" s="35">
        <v>-0.0496</v>
      </c>
      <c r="I42" s="17">
        <f t="shared" si="2"/>
        <v>-750</v>
      </c>
      <c r="J42" s="15">
        <f t="shared" si="12"/>
        <v>287</v>
      </c>
      <c r="K42" s="15">
        <f t="shared" si="3"/>
        <v>84793</v>
      </c>
      <c r="L42" s="17">
        <f t="shared" si="1"/>
        <v>221309.73</v>
      </c>
      <c r="M42" s="15">
        <f t="shared" si="4"/>
        <v>40</v>
      </c>
      <c r="X42" s="13">
        <f t="shared" si="5"/>
        <v>-750</v>
      </c>
    </row>
    <row r="43" ht="15.75" customHeight="1">
      <c r="B43" s="33">
        <v>39569.0</v>
      </c>
      <c r="C43" s="34">
        <v>2.87</v>
      </c>
      <c r="D43" s="34">
        <v>2.7</v>
      </c>
      <c r="E43" s="34">
        <v>2.97</v>
      </c>
      <c r="F43" s="34">
        <v>2.58</v>
      </c>
      <c r="G43" s="34" t="s">
        <v>81</v>
      </c>
      <c r="H43" s="35">
        <v>0.033</v>
      </c>
      <c r="I43" s="9">
        <f t="shared" si="2"/>
        <v>-750</v>
      </c>
      <c r="J43" s="7">
        <f>ROUNDDOWN((-I43 + P13*K42/R13)/C43)</f>
        <v>26556</v>
      </c>
      <c r="K43" s="7">
        <f t="shared" si="3"/>
        <v>111349</v>
      </c>
      <c r="L43" s="9">
        <f t="shared" si="1"/>
        <v>319571.63</v>
      </c>
      <c r="M43" s="7">
        <f t="shared" si="4"/>
        <v>41</v>
      </c>
      <c r="X43" s="38">
        <f t="shared" si="5"/>
        <v>-750</v>
      </c>
    </row>
    <row r="44" ht="15.75" customHeight="1">
      <c r="B44" s="33">
        <v>39600.0</v>
      </c>
      <c r="C44" s="34">
        <v>2.94</v>
      </c>
      <c r="D44" s="34">
        <v>2.87</v>
      </c>
      <c r="E44" s="34">
        <v>3.03</v>
      </c>
      <c r="F44" s="34">
        <v>2.8</v>
      </c>
      <c r="G44" s="34" t="s">
        <v>82</v>
      </c>
      <c r="H44" s="35">
        <v>-0.0036</v>
      </c>
      <c r="I44" s="17">
        <f t="shared" si="2"/>
        <v>-750</v>
      </c>
      <c r="J44" s="15">
        <f t="shared" ref="J44:J54" si="13">-ROUNDDOWN(I44/C44)</f>
        <v>255</v>
      </c>
      <c r="K44" s="15">
        <f t="shared" si="3"/>
        <v>111604</v>
      </c>
      <c r="L44" s="17">
        <f t="shared" si="1"/>
        <v>328115.76</v>
      </c>
      <c r="M44" s="15">
        <f t="shared" si="4"/>
        <v>42</v>
      </c>
      <c r="X44" s="13">
        <f t="shared" si="5"/>
        <v>-750</v>
      </c>
    </row>
    <row r="45" ht="15.75" customHeight="1">
      <c r="B45" s="33">
        <v>39630.0</v>
      </c>
      <c r="C45" s="34">
        <v>2.81</v>
      </c>
      <c r="D45" s="34">
        <v>2.91</v>
      </c>
      <c r="E45" s="34">
        <v>3.18</v>
      </c>
      <c r="F45" s="34">
        <v>2.72</v>
      </c>
      <c r="G45" s="34" t="s">
        <v>83</v>
      </c>
      <c r="H45" s="35">
        <v>-0.0743</v>
      </c>
      <c r="I45" s="9">
        <f t="shared" si="2"/>
        <v>-750</v>
      </c>
      <c r="J45" s="7">
        <f t="shared" si="13"/>
        <v>266</v>
      </c>
      <c r="K45" s="7">
        <f t="shared" si="3"/>
        <v>111870</v>
      </c>
      <c r="L45" s="9">
        <f t="shared" si="1"/>
        <v>314354.7</v>
      </c>
      <c r="M45" s="7">
        <f t="shared" si="4"/>
        <v>43</v>
      </c>
      <c r="X45" s="38">
        <f t="shared" si="5"/>
        <v>-750</v>
      </c>
    </row>
    <row r="46" ht="15.75" customHeight="1">
      <c r="B46" s="33">
        <v>39661.0</v>
      </c>
      <c r="C46" s="34">
        <v>2.66</v>
      </c>
      <c r="D46" s="34">
        <v>2.82</v>
      </c>
      <c r="E46" s="34">
        <v>2.86</v>
      </c>
      <c r="F46" s="34">
        <v>2.54</v>
      </c>
      <c r="G46" s="34" t="s">
        <v>84</v>
      </c>
      <c r="H46" s="35">
        <v>0.0803</v>
      </c>
      <c r="I46" s="17">
        <f t="shared" si="2"/>
        <v>-750</v>
      </c>
      <c r="J46" s="15">
        <f t="shared" si="13"/>
        <v>281</v>
      </c>
      <c r="K46" s="15">
        <f t="shared" si="3"/>
        <v>112151</v>
      </c>
      <c r="L46" s="17">
        <f t="shared" si="1"/>
        <v>298321.66</v>
      </c>
      <c r="M46" s="15">
        <f t="shared" si="4"/>
        <v>44</v>
      </c>
      <c r="X46" s="13">
        <f t="shared" si="5"/>
        <v>-750</v>
      </c>
    </row>
    <row r="47" ht="15.75" customHeight="1">
      <c r="B47" s="33">
        <v>39692.0</v>
      </c>
      <c r="C47" s="34">
        <v>2.84</v>
      </c>
      <c r="D47" s="34">
        <v>2.61</v>
      </c>
      <c r="E47" s="34">
        <v>2.85</v>
      </c>
      <c r="F47" s="34">
        <v>2.17</v>
      </c>
      <c r="G47" s="34" t="s">
        <v>85</v>
      </c>
      <c r="H47" s="35">
        <v>0.0579</v>
      </c>
      <c r="I47" s="9">
        <f t="shared" si="2"/>
        <v>-750</v>
      </c>
      <c r="J47" s="7">
        <f t="shared" si="13"/>
        <v>264</v>
      </c>
      <c r="K47" s="7">
        <f t="shared" si="3"/>
        <v>112415</v>
      </c>
      <c r="L47" s="9">
        <f t="shared" si="1"/>
        <v>319258.6</v>
      </c>
      <c r="M47" s="7">
        <f t="shared" si="4"/>
        <v>45</v>
      </c>
      <c r="X47" s="38">
        <f t="shared" si="5"/>
        <v>-750</v>
      </c>
    </row>
    <row r="48" ht="15.75" customHeight="1">
      <c r="B48" s="33">
        <v>39722.0</v>
      </c>
      <c r="C48" s="34">
        <v>2.49</v>
      </c>
      <c r="D48" s="34">
        <v>2.82</v>
      </c>
      <c r="E48" s="34">
        <v>2.96</v>
      </c>
      <c r="F48" s="34">
        <v>2.09</v>
      </c>
      <c r="G48" s="34" t="s">
        <v>86</v>
      </c>
      <c r="H48" s="35">
        <v>0.0658</v>
      </c>
      <c r="I48" s="17">
        <f t="shared" si="2"/>
        <v>-750</v>
      </c>
      <c r="J48" s="15">
        <f t="shared" si="13"/>
        <v>301</v>
      </c>
      <c r="K48" s="15">
        <f t="shared" si="3"/>
        <v>112716</v>
      </c>
      <c r="L48" s="17">
        <f t="shared" si="1"/>
        <v>280662.84</v>
      </c>
      <c r="M48" s="15">
        <f t="shared" si="4"/>
        <v>46</v>
      </c>
      <c r="X48" s="13">
        <f t="shared" si="5"/>
        <v>-750</v>
      </c>
    </row>
    <row r="49" ht="15.75" customHeight="1">
      <c r="B49" s="33">
        <v>39753.0</v>
      </c>
      <c r="C49" s="34">
        <v>2.76</v>
      </c>
      <c r="D49" s="34">
        <v>2.52</v>
      </c>
      <c r="E49" s="34">
        <v>2.92</v>
      </c>
      <c r="F49" s="34">
        <v>2.35</v>
      </c>
      <c r="G49" s="34" t="s">
        <v>87</v>
      </c>
      <c r="H49" s="35">
        <v>0.0</v>
      </c>
      <c r="I49" s="9">
        <f t="shared" si="2"/>
        <v>-750</v>
      </c>
      <c r="J49" s="7">
        <f t="shared" si="13"/>
        <v>271</v>
      </c>
      <c r="K49" s="7">
        <f t="shared" si="3"/>
        <v>112987</v>
      </c>
      <c r="L49" s="9">
        <f t="shared" si="1"/>
        <v>311844.12</v>
      </c>
      <c r="M49" s="7">
        <f t="shared" si="4"/>
        <v>47</v>
      </c>
      <c r="X49" s="38">
        <f t="shared" si="5"/>
        <v>-750</v>
      </c>
    </row>
    <row r="50" ht="15.75" customHeight="1">
      <c r="B50" s="33">
        <v>39783.0</v>
      </c>
      <c r="C50" s="34">
        <v>2.4</v>
      </c>
      <c r="D50" s="34">
        <v>2.7</v>
      </c>
      <c r="E50" s="34">
        <v>2.84</v>
      </c>
      <c r="F50" s="34">
        <v>2.28</v>
      </c>
      <c r="G50" s="34" t="s">
        <v>88</v>
      </c>
      <c r="H50" s="35">
        <v>-0.0082</v>
      </c>
      <c r="I50" s="17">
        <f t="shared" si="2"/>
        <v>-750</v>
      </c>
      <c r="J50" s="15">
        <f t="shared" si="13"/>
        <v>312</v>
      </c>
      <c r="K50" s="15">
        <f t="shared" si="3"/>
        <v>113299</v>
      </c>
      <c r="L50" s="17">
        <f t="shared" si="1"/>
        <v>271917.6</v>
      </c>
      <c r="M50" s="15">
        <f t="shared" si="4"/>
        <v>48</v>
      </c>
      <c r="X50" s="13">
        <f t="shared" si="5"/>
        <v>-750</v>
      </c>
    </row>
    <row r="51" ht="15.75" customHeight="1">
      <c r="B51" s="33">
        <v>39814.0</v>
      </c>
      <c r="C51" s="34">
        <v>2.37</v>
      </c>
      <c r="D51" s="34">
        <v>2.41</v>
      </c>
      <c r="E51" s="34">
        <v>2.56</v>
      </c>
      <c r="F51" s="34">
        <v>2.33</v>
      </c>
      <c r="G51" s="34" t="s">
        <v>89</v>
      </c>
      <c r="H51" s="35">
        <v>-0.0316</v>
      </c>
      <c r="I51" s="9">
        <f t="shared" si="2"/>
        <v>-750</v>
      </c>
      <c r="J51" s="7">
        <f t="shared" si="13"/>
        <v>316</v>
      </c>
      <c r="K51" s="7">
        <f t="shared" si="3"/>
        <v>113615</v>
      </c>
      <c r="L51" s="9">
        <f t="shared" si="1"/>
        <v>269267.55</v>
      </c>
      <c r="M51" s="7">
        <f t="shared" si="4"/>
        <v>49</v>
      </c>
      <c r="X51" s="38">
        <f t="shared" si="5"/>
        <v>-750</v>
      </c>
    </row>
    <row r="52" ht="15.75" customHeight="1">
      <c r="B52" s="33">
        <v>39845.0</v>
      </c>
      <c r="C52" s="34">
        <v>2.51</v>
      </c>
      <c r="D52" s="34">
        <v>2.35</v>
      </c>
      <c r="E52" s="34">
        <v>2.54</v>
      </c>
      <c r="F52" s="34">
        <v>2.32</v>
      </c>
      <c r="G52" s="34" t="s">
        <v>90</v>
      </c>
      <c r="H52" s="35">
        <v>0.072</v>
      </c>
      <c r="I52" s="17">
        <f t="shared" si="2"/>
        <v>-750</v>
      </c>
      <c r="J52" s="15">
        <f t="shared" si="13"/>
        <v>298</v>
      </c>
      <c r="K52" s="15">
        <f t="shared" si="3"/>
        <v>113913</v>
      </c>
      <c r="L52" s="17">
        <f t="shared" si="1"/>
        <v>285921.63</v>
      </c>
      <c r="M52" s="15">
        <f t="shared" si="4"/>
        <v>50</v>
      </c>
      <c r="X52" s="13">
        <f t="shared" si="5"/>
        <v>-750</v>
      </c>
    </row>
    <row r="53" ht="15.75" customHeight="1">
      <c r="B53" s="33">
        <v>39873.0</v>
      </c>
      <c r="C53" s="34">
        <v>2.6</v>
      </c>
      <c r="D53" s="34">
        <v>2.46</v>
      </c>
      <c r="E53" s="34">
        <v>2.64</v>
      </c>
      <c r="F53" s="34">
        <v>2.33</v>
      </c>
      <c r="G53" s="34" t="s">
        <v>91</v>
      </c>
      <c r="H53" s="35">
        <v>0.0631</v>
      </c>
      <c r="I53" s="9">
        <f t="shared" si="2"/>
        <v>-750</v>
      </c>
      <c r="J53" s="7">
        <f t="shared" si="13"/>
        <v>288</v>
      </c>
      <c r="K53" s="7">
        <f t="shared" si="3"/>
        <v>114201</v>
      </c>
      <c r="L53" s="9">
        <f t="shared" si="1"/>
        <v>296922.6</v>
      </c>
      <c r="M53" s="7">
        <f t="shared" si="4"/>
        <v>51</v>
      </c>
      <c r="X53" s="38">
        <f t="shared" si="5"/>
        <v>-750</v>
      </c>
    </row>
    <row r="54" ht="15.75" customHeight="1">
      <c r="B54" s="33">
        <v>39904.0</v>
      </c>
      <c r="C54" s="34">
        <v>2.59</v>
      </c>
      <c r="D54" s="34">
        <v>2.55</v>
      </c>
      <c r="E54" s="34">
        <v>2.8</v>
      </c>
      <c r="F54" s="34">
        <v>2.45</v>
      </c>
      <c r="G54" s="34" t="s">
        <v>92</v>
      </c>
      <c r="H54" s="35">
        <v>0.0829</v>
      </c>
      <c r="I54" s="17">
        <f t="shared" si="2"/>
        <v>-750</v>
      </c>
      <c r="J54" s="15">
        <f t="shared" si="13"/>
        <v>289</v>
      </c>
      <c r="K54" s="15">
        <f t="shared" si="3"/>
        <v>114490</v>
      </c>
      <c r="L54" s="17">
        <f t="shared" si="1"/>
        <v>296529.1</v>
      </c>
      <c r="M54" s="15">
        <f t="shared" si="4"/>
        <v>52</v>
      </c>
      <c r="X54" s="13">
        <f t="shared" si="5"/>
        <v>-750</v>
      </c>
    </row>
    <row r="55" ht="15.75" customHeight="1">
      <c r="B55" s="33">
        <v>39934.0</v>
      </c>
      <c r="C55" s="34">
        <v>2.57</v>
      </c>
      <c r="D55" s="34">
        <v>2.61</v>
      </c>
      <c r="E55" s="34">
        <v>2.64</v>
      </c>
      <c r="F55" s="34">
        <v>2.42</v>
      </c>
      <c r="G55" s="34" t="s">
        <v>93</v>
      </c>
      <c r="H55" s="35">
        <v>-0.0376</v>
      </c>
      <c r="I55" s="9">
        <f t="shared" si="2"/>
        <v>-750</v>
      </c>
      <c r="J55" s="7">
        <f>ROUNDDOWN((-I55 + P14*K54)/C55)</f>
        <v>42657</v>
      </c>
      <c r="K55" s="7">
        <f t="shared" si="3"/>
        <v>157147</v>
      </c>
      <c r="L55" s="9">
        <f t="shared" si="1"/>
        <v>403867.79</v>
      </c>
      <c r="M55" s="7">
        <f t="shared" si="4"/>
        <v>53</v>
      </c>
      <c r="X55" s="38">
        <f t="shared" si="5"/>
        <v>-750</v>
      </c>
    </row>
    <row r="56" ht="15.75" customHeight="1">
      <c r="B56" s="33">
        <v>39965.0</v>
      </c>
      <c r="C56" s="34">
        <v>2.56</v>
      </c>
      <c r="D56" s="34">
        <v>2.59</v>
      </c>
      <c r="E56" s="34">
        <v>2.8</v>
      </c>
      <c r="F56" s="34">
        <v>2.48</v>
      </c>
      <c r="G56" s="34" t="s">
        <v>94</v>
      </c>
      <c r="H56" s="35">
        <v>-0.0575</v>
      </c>
      <c r="I56" s="17">
        <f t="shared" si="2"/>
        <v>-750</v>
      </c>
      <c r="J56" s="15">
        <f t="shared" ref="J56:J66" si="14">-ROUNDDOWN(I56/C56)</f>
        <v>292</v>
      </c>
      <c r="K56" s="15">
        <f t="shared" si="3"/>
        <v>157439</v>
      </c>
      <c r="L56" s="17">
        <f t="shared" si="1"/>
        <v>403043.84</v>
      </c>
      <c r="M56" s="15">
        <f t="shared" si="4"/>
        <v>54</v>
      </c>
      <c r="X56" s="13">
        <f t="shared" si="5"/>
        <v>-750</v>
      </c>
    </row>
    <row r="57" ht="15.75" customHeight="1">
      <c r="B57" s="33">
        <v>39995.0</v>
      </c>
      <c r="C57" s="34">
        <v>2.62</v>
      </c>
      <c r="D57" s="34">
        <v>2.58</v>
      </c>
      <c r="E57" s="34">
        <v>2.66</v>
      </c>
      <c r="F57" s="34">
        <v>2.47</v>
      </c>
      <c r="G57" s="34" t="s">
        <v>95</v>
      </c>
      <c r="H57" s="35">
        <v>0.0226</v>
      </c>
      <c r="I57" s="9">
        <f t="shared" si="2"/>
        <v>-750</v>
      </c>
      <c r="J57" s="7">
        <f t="shared" si="14"/>
        <v>286</v>
      </c>
      <c r="K57" s="7">
        <f t="shared" si="3"/>
        <v>157725</v>
      </c>
      <c r="L57" s="9">
        <f t="shared" si="1"/>
        <v>413239.5</v>
      </c>
      <c r="M57" s="7">
        <f t="shared" si="4"/>
        <v>55</v>
      </c>
      <c r="X57" s="38">
        <f t="shared" si="5"/>
        <v>-750</v>
      </c>
    </row>
    <row r="58" ht="15.75" customHeight="1">
      <c r="B58" s="33">
        <v>40026.0</v>
      </c>
      <c r="C58" s="34">
        <v>2.69</v>
      </c>
      <c r="D58" s="34">
        <v>2.62</v>
      </c>
      <c r="E58" s="34">
        <v>2.79</v>
      </c>
      <c r="F58" s="34">
        <v>2.6</v>
      </c>
      <c r="G58" s="34" t="s">
        <v>96</v>
      </c>
      <c r="H58" s="35">
        <v>0.0524</v>
      </c>
      <c r="I58" s="17">
        <f t="shared" si="2"/>
        <v>-750</v>
      </c>
      <c r="J58" s="15">
        <f t="shared" si="14"/>
        <v>278</v>
      </c>
      <c r="K58" s="15">
        <f t="shared" si="3"/>
        <v>158003</v>
      </c>
      <c r="L58" s="17">
        <f t="shared" si="1"/>
        <v>425028.07</v>
      </c>
      <c r="M58" s="15">
        <f t="shared" si="4"/>
        <v>56</v>
      </c>
      <c r="X58" s="13">
        <f t="shared" si="5"/>
        <v>-750</v>
      </c>
    </row>
    <row r="59" ht="15.75" customHeight="1">
      <c r="B59" s="33">
        <v>40057.0</v>
      </c>
      <c r="C59" s="34">
        <v>2.62</v>
      </c>
      <c r="D59" s="34">
        <v>2.67</v>
      </c>
      <c r="E59" s="34">
        <v>2.73</v>
      </c>
      <c r="F59" s="34">
        <v>2.57</v>
      </c>
      <c r="G59" s="34" t="s">
        <v>97</v>
      </c>
      <c r="H59" s="35">
        <v>-0.1322</v>
      </c>
      <c r="I59" s="9">
        <f t="shared" si="2"/>
        <v>-750</v>
      </c>
      <c r="J59" s="7">
        <f t="shared" si="14"/>
        <v>286</v>
      </c>
      <c r="K59" s="7">
        <f t="shared" si="3"/>
        <v>158289</v>
      </c>
      <c r="L59" s="9">
        <f t="shared" si="1"/>
        <v>414717.18</v>
      </c>
      <c r="M59" s="7">
        <f t="shared" si="4"/>
        <v>57</v>
      </c>
      <c r="X59" s="38">
        <f t="shared" si="5"/>
        <v>-750</v>
      </c>
    </row>
    <row r="60" ht="15.75" customHeight="1">
      <c r="B60" s="33">
        <v>40087.0</v>
      </c>
      <c r="C60" s="34">
        <v>2.67</v>
      </c>
      <c r="D60" s="34">
        <v>2.6</v>
      </c>
      <c r="E60" s="34">
        <v>2.84</v>
      </c>
      <c r="F60" s="34">
        <v>2.55</v>
      </c>
      <c r="G60" s="34" t="s">
        <v>98</v>
      </c>
      <c r="H60" s="35">
        <v>0.0168</v>
      </c>
      <c r="I60" s="17">
        <f t="shared" si="2"/>
        <v>-750</v>
      </c>
      <c r="J60" s="15">
        <f t="shared" si="14"/>
        <v>280</v>
      </c>
      <c r="K60" s="15">
        <f t="shared" si="3"/>
        <v>158569</v>
      </c>
      <c r="L60" s="17">
        <f t="shared" si="1"/>
        <v>423379.23</v>
      </c>
      <c r="M60" s="15">
        <f t="shared" si="4"/>
        <v>58</v>
      </c>
      <c r="X60" s="13">
        <f t="shared" si="5"/>
        <v>-750</v>
      </c>
    </row>
    <row r="61" ht="15.75" customHeight="1">
      <c r="B61" s="33">
        <v>40118.0</v>
      </c>
      <c r="C61" s="34">
        <v>2.92</v>
      </c>
      <c r="D61" s="34">
        <v>2.65</v>
      </c>
      <c r="E61" s="34">
        <v>3.07</v>
      </c>
      <c r="F61" s="34">
        <v>2.63</v>
      </c>
      <c r="G61" s="34" t="s">
        <v>99</v>
      </c>
      <c r="H61" s="35">
        <v>-0.0916</v>
      </c>
      <c r="I61" s="9">
        <f t="shared" si="2"/>
        <v>-750</v>
      </c>
      <c r="J61" s="7">
        <f t="shared" si="14"/>
        <v>256</v>
      </c>
      <c r="K61" s="7">
        <f t="shared" si="3"/>
        <v>158825</v>
      </c>
      <c r="L61" s="9">
        <f t="shared" si="1"/>
        <v>463769</v>
      </c>
      <c r="M61" s="7">
        <f t="shared" si="4"/>
        <v>59</v>
      </c>
      <c r="X61" s="38">
        <f t="shared" si="5"/>
        <v>-750</v>
      </c>
    </row>
    <row r="62" ht="15.75" customHeight="1">
      <c r="B62" s="33">
        <v>40148.0</v>
      </c>
      <c r="C62" s="34">
        <v>3.07</v>
      </c>
      <c r="D62" s="34">
        <v>2.99</v>
      </c>
      <c r="E62" s="34">
        <v>3.36</v>
      </c>
      <c r="F62" s="34">
        <v>2.89</v>
      </c>
      <c r="G62" s="34" t="s">
        <v>100</v>
      </c>
      <c r="H62" s="35">
        <v>0.0195</v>
      </c>
      <c r="I62" s="17">
        <f t="shared" si="2"/>
        <v>-750</v>
      </c>
      <c r="J62" s="15">
        <f t="shared" si="14"/>
        <v>244</v>
      </c>
      <c r="K62" s="15">
        <f t="shared" si="3"/>
        <v>159069</v>
      </c>
      <c r="L62" s="17">
        <f t="shared" si="1"/>
        <v>488341.83</v>
      </c>
      <c r="M62" s="15">
        <f t="shared" si="4"/>
        <v>60</v>
      </c>
      <c r="X62" s="13">
        <f t="shared" si="5"/>
        <v>-750</v>
      </c>
    </row>
    <row r="63" ht="15.75" customHeight="1">
      <c r="B63" s="33">
        <v>40179.0</v>
      </c>
      <c r="C63" s="34">
        <v>3.04</v>
      </c>
      <c r="D63" s="34">
        <v>3.07</v>
      </c>
      <c r="E63" s="34">
        <v>3.1</v>
      </c>
      <c r="F63" s="34">
        <v>2.81</v>
      </c>
      <c r="G63" s="34" t="s">
        <v>101</v>
      </c>
      <c r="H63" s="35">
        <v>0.1223</v>
      </c>
      <c r="I63" s="9">
        <f t="shared" si="2"/>
        <v>-750</v>
      </c>
      <c r="J63" s="7">
        <f t="shared" si="14"/>
        <v>246</v>
      </c>
      <c r="K63" s="7">
        <f t="shared" si="3"/>
        <v>159315</v>
      </c>
      <c r="L63" s="9">
        <f t="shared" si="1"/>
        <v>484317.6</v>
      </c>
      <c r="M63" s="7">
        <f t="shared" si="4"/>
        <v>61</v>
      </c>
      <c r="X63" s="38">
        <f t="shared" si="5"/>
        <v>-750</v>
      </c>
    </row>
    <row r="64" ht="15.75" customHeight="1">
      <c r="B64" s="33">
        <v>40210.0</v>
      </c>
      <c r="C64" s="34">
        <v>2.88</v>
      </c>
      <c r="D64" s="34">
        <v>3.05</v>
      </c>
      <c r="E64" s="34">
        <v>3.09</v>
      </c>
      <c r="F64" s="34">
        <v>2.75</v>
      </c>
      <c r="G64" s="34" t="s">
        <v>102</v>
      </c>
      <c r="H64" s="35">
        <v>0.0651</v>
      </c>
      <c r="I64" s="17">
        <f t="shared" si="2"/>
        <v>-750</v>
      </c>
      <c r="J64" s="15">
        <f t="shared" si="14"/>
        <v>260</v>
      </c>
      <c r="K64" s="15">
        <f t="shared" si="3"/>
        <v>159575</v>
      </c>
      <c r="L64" s="17">
        <f t="shared" si="1"/>
        <v>459576</v>
      </c>
      <c r="M64" s="15">
        <f t="shared" si="4"/>
        <v>62</v>
      </c>
      <c r="X64" s="13">
        <f t="shared" si="5"/>
        <v>-750</v>
      </c>
    </row>
    <row r="65" ht="15.75" customHeight="1">
      <c r="B65" s="33">
        <v>40238.0</v>
      </c>
      <c r="C65" s="34">
        <v>2.86</v>
      </c>
      <c r="D65" s="34">
        <v>2.9</v>
      </c>
      <c r="E65" s="34">
        <v>3.0</v>
      </c>
      <c r="F65" s="34">
        <v>2.8</v>
      </c>
      <c r="G65" s="34" t="s">
        <v>103</v>
      </c>
      <c r="H65" s="35">
        <v>0.0914</v>
      </c>
      <c r="I65" s="9">
        <f t="shared" si="2"/>
        <v>-750</v>
      </c>
      <c r="J65" s="7">
        <f t="shared" si="14"/>
        <v>262</v>
      </c>
      <c r="K65" s="7">
        <f t="shared" si="3"/>
        <v>159837</v>
      </c>
      <c r="L65" s="9">
        <f t="shared" si="1"/>
        <v>457133.82</v>
      </c>
      <c r="M65" s="7">
        <f t="shared" si="4"/>
        <v>63</v>
      </c>
      <c r="X65" s="38">
        <f t="shared" si="5"/>
        <v>-750</v>
      </c>
    </row>
    <row r="66" ht="15.75" customHeight="1">
      <c r="B66" s="33">
        <v>40269.0</v>
      </c>
      <c r="C66" s="34">
        <v>3.1</v>
      </c>
      <c r="D66" s="34">
        <v>2.89</v>
      </c>
      <c r="E66" s="34">
        <v>3.11</v>
      </c>
      <c r="F66" s="34">
        <v>2.82</v>
      </c>
      <c r="G66" s="34" t="s">
        <v>104</v>
      </c>
      <c r="H66" s="35">
        <v>-0.039</v>
      </c>
      <c r="I66" s="17">
        <f t="shared" si="2"/>
        <v>-750</v>
      </c>
      <c r="J66" s="15">
        <f t="shared" si="14"/>
        <v>241</v>
      </c>
      <c r="K66" s="15">
        <f t="shared" si="3"/>
        <v>160078</v>
      </c>
      <c r="L66" s="17">
        <f t="shared" si="1"/>
        <v>496241.8</v>
      </c>
      <c r="M66" s="15">
        <f t="shared" si="4"/>
        <v>64</v>
      </c>
      <c r="X66" s="13">
        <f t="shared" si="5"/>
        <v>-750</v>
      </c>
    </row>
    <row r="67" ht="15.75" customHeight="1">
      <c r="B67" s="33">
        <v>40299.0</v>
      </c>
      <c r="C67" s="34">
        <v>2.93</v>
      </c>
      <c r="D67" s="34">
        <v>3.05</v>
      </c>
      <c r="E67" s="34">
        <v>3.21</v>
      </c>
      <c r="F67" s="34">
        <v>2.87</v>
      </c>
      <c r="G67" s="34" t="s">
        <v>105</v>
      </c>
      <c r="H67" s="35">
        <v>0.0354</v>
      </c>
      <c r="I67" s="9">
        <f t="shared" si="2"/>
        <v>-750</v>
      </c>
      <c r="J67" s="7">
        <f>ROUNDDOWN((-I67 + P15*K66)/C67)</f>
        <v>41253</v>
      </c>
      <c r="K67" s="7">
        <f t="shared" si="3"/>
        <v>201331</v>
      </c>
      <c r="L67" s="9">
        <f t="shared" si="1"/>
        <v>589899.83</v>
      </c>
      <c r="M67" s="7">
        <f t="shared" si="4"/>
        <v>65</v>
      </c>
      <c r="X67" s="38">
        <f t="shared" si="5"/>
        <v>-750</v>
      </c>
    </row>
    <row r="68" ht="15.75" customHeight="1">
      <c r="B68" s="33">
        <v>40330.0</v>
      </c>
      <c r="C68" s="34">
        <v>2.95</v>
      </c>
      <c r="D68" s="34">
        <v>2.84</v>
      </c>
      <c r="E68" s="34">
        <v>2.99</v>
      </c>
      <c r="F68" s="34">
        <v>2.69</v>
      </c>
      <c r="G68" s="34" t="s">
        <v>106</v>
      </c>
      <c r="H68" s="35">
        <v>0.0645</v>
      </c>
      <c r="I68" s="17">
        <f t="shared" si="2"/>
        <v>-750</v>
      </c>
      <c r="J68" s="15">
        <f t="shared" ref="J68:J74" si="15">-ROUNDDOWN(I68/C68)</f>
        <v>254</v>
      </c>
      <c r="K68" s="15">
        <f t="shared" si="3"/>
        <v>201585</v>
      </c>
      <c r="L68" s="17">
        <f t="shared" si="1"/>
        <v>594675.75</v>
      </c>
      <c r="M68" s="15">
        <f t="shared" si="4"/>
        <v>66</v>
      </c>
      <c r="X68" s="13">
        <f t="shared" si="5"/>
        <v>-750</v>
      </c>
    </row>
    <row r="69" ht="15.75" customHeight="1">
      <c r="B69" s="33">
        <v>40360.0</v>
      </c>
      <c r="C69" s="34">
        <v>2.96</v>
      </c>
      <c r="D69" s="34">
        <v>2.91</v>
      </c>
      <c r="E69" s="34">
        <v>3.03</v>
      </c>
      <c r="F69" s="34">
        <v>2.78</v>
      </c>
      <c r="G69" s="34" t="s">
        <v>107</v>
      </c>
      <c r="H69" s="35">
        <v>0.0391</v>
      </c>
      <c r="I69" s="9">
        <f t="shared" si="2"/>
        <v>-750</v>
      </c>
      <c r="J69" s="7">
        <f t="shared" si="15"/>
        <v>253</v>
      </c>
      <c r="K69" s="7">
        <f t="shared" si="3"/>
        <v>201838</v>
      </c>
      <c r="L69" s="9">
        <f t="shared" si="1"/>
        <v>597440.48</v>
      </c>
      <c r="M69" s="7">
        <f t="shared" si="4"/>
        <v>67</v>
      </c>
      <c r="X69" s="38">
        <f t="shared" si="5"/>
        <v>-750</v>
      </c>
    </row>
    <row r="70" ht="15.75" customHeight="1">
      <c r="B70" s="33">
        <v>40391.0</v>
      </c>
      <c r="C70" s="34">
        <v>3.15</v>
      </c>
      <c r="D70" s="34">
        <v>2.98</v>
      </c>
      <c r="E70" s="34">
        <v>3.24</v>
      </c>
      <c r="F70" s="34">
        <v>2.82</v>
      </c>
      <c r="G70" s="34" t="s">
        <v>108</v>
      </c>
      <c r="H70" s="35">
        <v>0.017</v>
      </c>
      <c r="I70" s="17">
        <f t="shared" si="2"/>
        <v>-750</v>
      </c>
      <c r="J70" s="15">
        <f t="shared" si="15"/>
        <v>238</v>
      </c>
      <c r="K70" s="15">
        <f t="shared" si="3"/>
        <v>202076</v>
      </c>
      <c r="L70" s="17">
        <f t="shared" si="1"/>
        <v>636539.4</v>
      </c>
      <c r="M70" s="15">
        <f t="shared" si="4"/>
        <v>68</v>
      </c>
      <c r="X70" s="13">
        <f t="shared" si="5"/>
        <v>-750</v>
      </c>
    </row>
    <row r="71" ht="15.75" customHeight="1">
      <c r="B71" s="33">
        <v>40422.0</v>
      </c>
      <c r="C71" s="34">
        <v>3.09</v>
      </c>
      <c r="D71" s="34">
        <v>3.15</v>
      </c>
      <c r="E71" s="34">
        <v>3.26</v>
      </c>
      <c r="F71" s="34">
        <v>2.93</v>
      </c>
      <c r="G71" s="34" t="s">
        <v>109</v>
      </c>
      <c r="H71" s="35">
        <v>0.0</v>
      </c>
      <c r="I71" s="9">
        <f t="shared" si="2"/>
        <v>-750</v>
      </c>
      <c r="J71" s="7">
        <f t="shared" si="15"/>
        <v>242</v>
      </c>
      <c r="K71" s="7">
        <f t="shared" si="3"/>
        <v>202318</v>
      </c>
      <c r="L71" s="9">
        <f t="shared" si="1"/>
        <v>625162.62</v>
      </c>
      <c r="M71" s="7">
        <f t="shared" si="4"/>
        <v>69</v>
      </c>
      <c r="X71" s="38">
        <f t="shared" si="5"/>
        <v>-750</v>
      </c>
    </row>
    <row r="72" ht="15.75" customHeight="1">
      <c r="B72" s="33">
        <v>40452.0</v>
      </c>
      <c r="C72" s="34">
        <v>3.37</v>
      </c>
      <c r="D72" s="34">
        <v>3.1</v>
      </c>
      <c r="E72" s="34">
        <v>3.4</v>
      </c>
      <c r="F72" s="34">
        <v>3.05</v>
      </c>
      <c r="G72" s="34" t="s">
        <v>110</v>
      </c>
      <c r="H72" s="35">
        <v>0.1892</v>
      </c>
      <c r="I72" s="17">
        <f t="shared" si="2"/>
        <v>-750</v>
      </c>
      <c r="J72" s="15">
        <f t="shared" si="15"/>
        <v>222</v>
      </c>
      <c r="K72" s="15">
        <f t="shared" si="3"/>
        <v>202540</v>
      </c>
      <c r="L72" s="17">
        <f t="shared" si="1"/>
        <v>682559.8</v>
      </c>
      <c r="M72" s="15">
        <f t="shared" si="4"/>
        <v>70</v>
      </c>
      <c r="X72" s="13">
        <f t="shared" si="5"/>
        <v>-750</v>
      </c>
    </row>
    <row r="73" ht="15.75" customHeight="1">
      <c r="B73" s="33">
        <v>40483.0</v>
      </c>
      <c r="C73" s="34">
        <v>3.21</v>
      </c>
      <c r="D73" s="34">
        <v>3.32</v>
      </c>
      <c r="E73" s="34">
        <v>3.43</v>
      </c>
      <c r="F73" s="34">
        <v>3.16</v>
      </c>
      <c r="G73" s="34" t="s">
        <v>111</v>
      </c>
      <c r="H73" s="35">
        <v>-0.0864</v>
      </c>
      <c r="I73" s="9">
        <f t="shared" si="2"/>
        <v>-750</v>
      </c>
      <c r="J73" s="7">
        <f t="shared" si="15"/>
        <v>233</v>
      </c>
      <c r="K73" s="7">
        <f t="shared" si="3"/>
        <v>202773</v>
      </c>
      <c r="L73" s="9">
        <f t="shared" si="1"/>
        <v>650901.33</v>
      </c>
      <c r="M73" s="7">
        <f t="shared" si="4"/>
        <v>71</v>
      </c>
      <c r="X73" s="38">
        <f t="shared" si="5"/>
        <v>-750</v>
      </c>
    </row>
    <row r="74" ht="15.75" customHeight="1">
      <c r="B74" s="33">
        <v>40513.0</v>
      </c>
      <c r="C74" s="34">
        <v>3.15</v>
      </c>
      <c r="D74" s="34">
        <v>3.27</v>
      </c>
      <c r="E74" s="34">
        <v>3.37</v>
      </c>
      <c r="F74" s="34">
        <v>3.1</v>
      </c>
      <c r="G74" s="34" t="s">
        <v>112</v>
      </c>
      <c r="H74" s="35">
        <v>0.1571</v>
      </c>
      <c r="I74" s="17">
        <f t="shared" si="2"/>
        <v>-750</v>
      </c>
      <c r="J74" s="15">
        <f t="shared" si="15"/>
        <v>238</v>
      </c>
      <c r="K74" s="15">
        <f t="shared" si="3"/>
        <v>203011</v>
      </c>
      <c r="L74" s="17">
        <f t="shared" si="1"/>
        <v>639484.65</v>
      </c>
      <c r="M74" s="15">
        <f t="shared" si="4"/>
        <v>72</v>
      </c>
      <c r="X74" s="13">
        <v>923041.4142000001</v>
      </c>
    </row>
    <row r="75" ht="15.75" customHeight="1">
      <c r="B75" s="33">
        <v>40544.0</v>
      </c>
      <c r="C75" s="34">
        <v>3.23</v>
      </c>
      <c r="D75" s="34">
        <v>3.22</v>
      </c>
      <c r="E75" s="34">
        <v>3.52</v>
      </c>
      <c r="F75" s="34">
        <v>3.19</v>
      </c>
      <c r="G75" s="34" t="s">
        <v>113</v>
      </c>
      <c r="H75" s="35">
        <v>-0.1026</v>
      </c>
      <c r="I75" s="9">
        <f>L75</f>
        <v>923578.2434</v>
      </c>
      <c r="J75" s="7">
        <v>0.0</v>
      </c>
      <c r="K75" s="7">
        <f t="shared" si="3"/>
        <v>203011</v>
      </c>
      <c r="L75" s="9">
        <f>K74 * (P16+C75)</f>
        <v>923578.2434</v>
      </c>
      <c r="M75" s="7">
        <f t="shared" si="4"/>
        <v>73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0"/>
    <col customWidth="1" min="3" max="6" width="12.63"/>
  </cols>
  <sheetData>
    <row r="1" ht="15.75" customHeight="1">
      <c r="B1" s="5" t="s">
        <v>16</v>
      </c>
      <c r="D1" s="28" t="s">
        <v>17</v>
      </c>
      <c r="O1" s="5" t="s">
        <v>114</v>
      </c>
    </row>
    <row r="2" ht="15.75" customHeight="1">
      <c r="B2" s="30" t="s">
        <v>19</v>
      </c>
      <c r="C2" s="31" t="s">
        <v>20</v>
      </c>
      <c r="D2" s="31" t="s">
        <v>21</v>
      </c>
      <c r="E2" s="31" t="s">
        <v>22</v>
      </c>
      <c r="F2" s="31" t="s">
        <v>23</v>
      </c>
      <c r="G2" s="31" t="s">
        <v>24</v>
      </c>
      <c r="H2" s="31" t="s">
        <v>25</v>
      </c>
      <c r="I2" s="3" t="s">
        <v>26</v>
      </c>
      <c r="J2" s="3" t="s">
        <v>27</v>
      </c>
      <c r="K2" s="3" t="s">
        <v>28</v>
      </c>
      <c r="L2" s="3" t="s">
        <v>3</v>
      </c>
      <c r="M2" s="3" t="s">
        <v>29</v>
      </c>
      <c r="O2" s="32" t="s">
        <v>0</v>
      </c>
      <c r="P2" s="32" t="s">
        <v>31</v>
      </c>
      <c r="Q2" s="32" t="s">
        <v>115</v>
      </c>
      <c r="R2" s="54"/>
    </row>
    <row r="3" ht="15.75" customHeight="1">
      <c r="B3" s="33">
        <v>36161.0</v>
      </c>
      <c r="C3" s="34">
        <v>0.62</v>
      </c>
      <c r="D3" s="34">
        <v>0.55</v>
      </c>
      <c r="E3" s="34">
        <v>0.65</v>
      </c>
      <c r="F3" s="34">
        <v>0.35</v>
      </c>
      <c r="G3" s="34" t="s">
        <v>116</v>
      </c>
      <c r="H3" s="35">
        <v>0.1273</v>
      </c>
      <c r="I3" s="13">
        <v>-750.0</v>
      </c>
      <c r="J3" s="55">
        <f t="shared" ref="J3:J7" si="1">-ROUNDDOWN(I3/C3)</f>
        <v>1209</v>
      </c>
      <c r="K3" s="56">
        <f>J3</f>
        <v>1209</v>
      </c>
      <c r="L3" s="13">
        <f t="shared" ref="L3:L75" si="2">K3*C3</f>
        <v>749.58</v>
      </c>
      <c r="M3" s="56">
        <v>1.0</v>
      </c>
      <c r="O3" s="57">
        <v>36278.0</v>
      </c>
      <c r="P3" s="58" t="s">
        <v>117</v>
      </c>
      <c r="Q3" s="59">
        <f>0.000503361+0.000553651</f>
        <v>0.001057012</v>
      </c>
      <c r="R3" s="54"/>
    </row>
    <row r="4" ht="15.75" customHeight="1">
      <c r="B4" s="33">
        <v>36192.0</v>
      </c>
      <c r="C4" s="34">
        <v>0.65</v>
      </c>
      <c r="D4" s="34">
        <v>0.63</v>
      </c>
      <c r="E4" s="34">
        <v>0.69</v>
      </c>
      <c r="F4" s="34">
        <v>0.57</v>
      </c>
      <c r="G4" s="34" t="s">
        <v>118</v>
      </c>
      <c r="H4" s="35">
        <v>0.0484</v>
      </c>
      <c r="I4" s="38">
        <f t="shared" ref="I4:I74" si="3">I3</f>
        <v>-750</v>
      </c>
      <c r="J4" s="55">
        <f t="shared" si="1"/>
        <v>1153</v>
      </c>
      <c r="K4" s="60">
        <f t="shared" ref="K4:K39" si="4">J4+K3</f>
        <v>2362</v>
      </c>
      <c r="L4" s="38">
        <f t="shared" si="2"/>
        <v>1535.3</v>
      </c>
      <c r="M4" s="60">
        <f t="shared" ref="M4:M75" si="5">M3+1</f>
        <v>2</v>
      </c>
      <c r="O4" s="61">
        <v>36515.0</v>
      </c>
      <c r="P4" s="58" t="s">
        <v>119</v>
      </c>
      <c r="Q4" s="59">
        <v>0.001176471</v>
      </c>
      <c r="R4" s="54"/>
    </row>
    <row r="5" ht="15.75" customHeight="1">
      <c r="B5" s="33">
        <v>36220.0</v>
      </c>
      <c r="C5" s="34">
        <v>0.92</v>
      </c>
      <c r="D5" s="34">
        <v>0.65</v>
      </c>
      <c r="E5" s="34">
        <v>0.94</v>
      </c>
      <c r="F5" s="34">
        <v>0.65</v>
      </c>
      <c r="G5" s="34" t="s">
        <v>120</v>
      </c>
      <c r="H5" s="35">
        <v>0.4154</v>
      </c>
      <c r="I5" s="13">
        <f t="shared" si="3"/>
        <v>-750</v>
      </c>
      <c r="J5" s="55">
        <f t="shared" si="1"/>
        <v>815</v>
      </c>
      <c r="K5" s="56">
        <f t="shared" si="4"/>
        <v>3177</v>
      </c>
      <c r="L5" s="13">
        <f t="shared" si="2"/>
        <v>2922.84</v>
      </c>
      <c r="M5" s="56">
        <f t="shared" si="5"/>
        <v>3</v>
      </c>
      <c r="O5" s="57">
        <v>36633.0</v>
      </c>
      <c r="P5" s="58" t="s">
        <v>119</v>
      </c>
      <c r="Q5" s="59">
        <v>5.66281E-4</v>
      </c>
      <c r="R5" s="54"/>
    </row>
    <row r="6" ht="15.75" customHeight="1">
      <c r="B6" s="33">
        <v>36251.0</v>
      </c>
      <c r="C6" s="34">
        <v>0.96</v>
      </c>
      <c r="D6" s="34">
        <v>0.93</v>
      </c>
      <c r="E6" s="34">
        <v>1.08</v>
      </c>
      <c r="F6" s="34">
        <v>0.84</v>
      </c>
      <c r="G6" s="34" t="s">
        <v>121</v>
      </c>
      <c r="H6" s="35">
        <v>0.0435</v>
      </c>
      <c r="I6" s="38">
        <f t="shared" si="3"/>
        <v>-750</v>
      </c>
      <c r="J6" s="55">
        <f t="shared" si="1"/>
        <v>781</v>
      </c>
      <c r="K6" s="60">
        <f t="shared" si="4"/>
        <v>3958</v>
      </c>
      <c r="L6" s="38">
        <f t="shared" si="2"/>
        <v>3799.68</v>
      </c>
      <c r="M6" s="60">
        <f t="shared" si="5"/>
        <v>4</v>
      </c>
      <c r="O6" s="57">
        <v>36707.0</v>
      </c>
      <c r="P6" s="58" t="s">
        <v>119</v>
      </c>
      <c r="Q6" s="59">
        <v>6.10325E-4</v>
      </c>
      <c r="R6" s="54"/>
    </row>
    <row r="7" ht="15.75" customHeight="1">
      <c r="B7" s="33">
        <v>36281.0</v>
      </c>
      <c r="C7" s="34">
        <v>0.89</v>
      </c>
      <c r="D7" s="34">
        <v>0.96</v>
      </c>
      <c r="E7" s="34">
        <v>1.05</v>
      </c>
      <c r="F7" s="34">
        <v>0.81</v>
      </c>
      <c r="G7" s="34" t="s">
        <v>122</v>
      </c>
      <c r="H7" s="35">
        <v>-0.0729</v>
      </c>
      <c r="I7" s="13">
        <f t="shared" si="3"/>
        <v>-750</v>
      </c>
      <c r="J7" s="55">
        <f t="shared" si="1"/>
        <v>842</v>
      </c>
      <c r="K7" s="56">
        <f t="shared" si="4"/>
        <v>4800</v>
      </c>
      <c r="L7" s="13">
        <f t="shared" si="2"/>
        <v>4272</v>
      </c>
      <c r="M7" s="56">
        <f t="shared" si="5"/>
        <v>5</v>
      </c>
      <c r="O7" s="61">
        <v>37253.0</v>
      </c>
      <c r="P7" s="58" t="s">
        <v>119</v>
      </c>
      <c r="Q7" s="59">
        <v>6.48077E-4</v>
      </c>
      <c r="R7" s="54"/>
    </row>
    <row r="8" ht="15.75" customHeight="1">
      <c r="B8" s="33">
        <v>36312.0</v>
      </c>
      <c r="C8" s="34">
        <v>0.89</v>
      </c>
      <c r="D8" s="34">
        <v>0.89</v>
      </c>
      <c r="E8" s="34">
        <v>1.0</v>
      </c>
      <c r="F8" s="34">
        <v>0.83</v>
      </c>
      <c r="G8" s="34" t="s">
        <v>123</v>
      </c>
      <c r="H8" s="35">
        <v>0.0</v>
      </c>
      <c r="I8" s="38">
        <f t="shared" si="3"/>
        <v>-750</v>
      </c>
      <c r="J8" s="55">
        <f>ROUNDDOWN((-I8+Q3*K7)/C8)</f>
        <v>848</v>
      </c>
      <c r="K8" s="60">
        <f t="shared" si="4"/>
        <v>5648</v>
      </c>
      <c r="L8" s="38">
        <f t="shared" si="2"/>
        <v>5026.72</v>
      </c>
      <c r="M8" s="60">
        <f t="shared" si="5"/>
        <v>6</v>
      </c>
      <c r="O8" s="57">
        <v>37292.0</v>
      </c>
      <c r="P8" s="58" t="s">
        <v>124</v>
      </c>
      <c r="Q8" s="59" t="s">
        <v>125</v>
      </c>
      <c r="R8" s="54"/>
    </row>
    <row r="9" ht="15.75" customHeight="1">
      <c r="B9" s="33">
        <v>36342.0</v>
      </c>
      <c r="C9" s="34">
        <v>0.75</v>
      </c>
      <c r="D9" s="34">
        <v>0.89</v>
      </c>
      <c r="E9" s="34">
        <v>0.94</v>
      </c>
      <c r="F9" s="34">
        <v>0.72</v>
      </c>
      <c r="G9" s="34" t="s">
        <v>126</v>
      </c>
      <c r="H9" s="35">
        <v>-0.1573</v>
      </c>
      <c r="I9" s="13">
        <f t="shared" si="3"/>
        <v>-750</v>
      </c>
      <c r="J9" s="55">
        <f t="shared" ref="J9:J14" si="6">-ROUNDDOWN(I9/C9)</f>
        <v>1000</v>
      </c>
      <c r="K9" s="56">
        <f t="shared" si="4"/>
        <v>6648</v>
      </c>
      <c r="L9" s="13">
        <f t="shared" si="2"/>
        <v>4986</v>
      </c>
      <c r="M9" s="56">
        <f t="shared" si="5"/>
        <v>7</v>
      </c>
      <c r="O9" s="57">
        <v>37378.0</v>
      </c>
      <c r="P9" s="58" t="s">
        <v>117</v>
      </c>
      <c r="Q9" s="59">
        <f>0.000702498+0.000740354</f>
        <v>0.001442852</v>
      </c>
      <c r="R9" s="54"/>
    </row>
    <row r="10" ht="15.75" customHeight="1">
      <c r="B10" s="33">
        <v>36373.0</v>
      </c>
      <c r="C10" s="34">
        <v>0.71</v>
      </c>
      <c r="D10" s="34">
        <v>0.73</v>
      </c>
      <c r="E10" s="34">
        <v>0.76</v>
      </c>
      <c r="F10" s="34">
        <v>0.67</v>
      </c>
      <c r="G10" s="34" t="s">
        <v>127</v>
      </c>
      <c r="H10" s="35">
        <v>-0.0533</v>
      </c>
      <c r="I10" s="38">
        <f t="shared" si="3"/>
        <v>-750</v>
      </c>
      <c r="J10" s="55">
        <f t="shared" si="6"/>
        <v>1056</v>
      </c>
      <c r="K10" s="60">
        <f t="shared" si="4"/>
        <v>7704</v>
      </c>
      <c r="L10" s="38">
        <f t="shared" si="2"/>
        <v>5469.84</v>
      </c>
      <c r="M10" s="60">
        <f t="shared" si="5"/>
        <v>8</v>
      </c>
      <c r="O10" s="61">
        <v>37620.0</v>
      </c>
      <c r="P10" s="58" t="s">
        <v>119</v>
      </c>
      <c r="Q10" s="59">
        <v>6.16961E-4</v>
      </c>
      <c r="R10" s="54"/>
    </row>
    <row r="11" ht="15.75" customHeight="1">
      <c r="B11" s="33">
        <v>36404.0</v>
      </c>
      <c r="C11" s="34">
        <v>0.7</v>
      </c>
      <c r="D11" s="34">
        <v>0.74</v>
      </c>
      <c r="E11" s="34">
        <v>0.82</v>
      </c>
      <c r="F11" s="34">
        <v>0.69</v>
      </c>
      <c r="G11" s="34" t="s">
        <v>128</v>
      </c>
      <c r="H11" s="35">
        <v>-0.0141</v>
      </c>
      <c r="I11" s="13">
        <f t="shared" si="3"/>
        <v>-750</v>
      </c>
      <c r="J11" s="55">
        <f t="shared" si="6"/>
        <v>1071</v>
      </c>
      <c r="K11" s="56">
        <f t="shared" si="4"/>
        <v>8775</v>
      </c>
      <c r="L11" s="13">
        <f t="shared" si="2"/>
        <v>6142.5</v>
      </c>
      <c r="M11" s="56">
        <f t="shared" si="5"/>
        <v>9</v>
      </c>
      <c r="O11" s="57">
        <v>37964.0</v>
      </c>
      <c r="P11" s="58" t="s">
        <v>119</v>
      </c>
      <c r="Q11" s="59">
        <f>0.000925442+0.000616961</f>
        <v>0.001542403</v>
      </c>
      <c r="R11" s="54"/>
    </row>
    <row r="12" ht="15.75" customHeight="1">
      <c r="B12" s="33">
        <v>36434.0</v>
      </c>
      <c r="C12" s="34">
        <v>0.67</v>
      </c>
      <c r="D12" s="34">
        <v>0.68</v>
      </c>
      <c r="E12" s="34">
        <v>0.75</v>
      </c>
      <c r="F12" s="34">
        <v>0.65</v>
      </c>
      <c r="G12" s="34" t="s">
        <v>129</v>
      </c>
      <c r="H12" s="35">
        <v>-0.0429</v>
      </c>
      <c r="I12" s="38">
        <f t="shared" si="3"/>
        <v>-750</v>
      </c>
      <c r="J12" s="55">
        <f t="shared" si="6"/>
        <v>1119</v>
      </c>
      <c r="K12" s="60">
        <f t="shared" si="4"/>
        <v>9894</v>
      </c>
      <c r="L12" s="38">
        <f t="shared" si="2"/>
        <v>6628.98</v>
      </c>
      <c r="M12" s="60">
        <f t="shared" si="5"/>
        <v>10</v>
      </c>
      <c r="O12" s="57">
        <v>38110.0</v>
      </c>
      <c r="P12" s="58" t="s">
        <v>117</v>
      </c>
      <c r="Q12" s="59">
        <v>4.3492E-4</v>
      </c>
      <c r="R12" s="54"/>
    </row>
    <row r="13" ht="15.75" customHeight="1">
      <c r="B13" s="33">
        <v>36465.0</v>
      </c>
      <c r="C13" s="34">
        <v>0.87</v>
      </c>
      <c r="D13" s="34">
        <v>0.66</v>
      </c>
      <c r="E13" s="34">
        <v>0.9</v>
      </c>
      <c r="F13" s="34">
        <v>0.66</v>
      </c>
      <c r="G13" s="34" t="s">
        <v>130</v>
      </c>
      <c r="H13" s="35">
        <v>0.2985</v>
      </c>
      <c r="I13" s="13">
        <f t="shared" si="3"/>
        <v>-750</v>
      </c>
      <c r="J13" s="55">
        <f t="shared" si="6"/>
        <v>862</v>
      </c>
      <c r="K13" s="56">
        <f t="shared" si="4"/>
        <v>10756</v>
      </c>
      <c r="L13" s="13">
        <f t="shared" si="2"/>
        <v>9357.72</v>
      </c>
      <c r="M13" s="56">
        <f t="shared" si="5"/>
        <v>11</v>
      </c>
      <c r="O13" s="57">
        <v>38149.0</v>
      </c>
      <c r="P13" s="58" t="s">
        <v>119</v>
      </c>
      <c r="Q13" s="59">
        <v>0.001233922</v>
      </c>
      <c r="R13" s="54"/>
    </row>
    <row r="14" ht="15.75" customHeight="1">
      <c r="B14" s="33">
        <v>36495.0</v>
      </c>
      <c r="C14" s="34">
        <v>0.98</v>
      </c>
      <c r="D14" s="34">
        <v>0.86</v>
      </c>
      <c r="E14" s="34">
        <v>0.98</v>
      </c>
      <c r="F14" s="34">
        <v>0.76</v>
      </c>
      <c r="G14" s="34" t="s">
        <v>131</v>
      </c>
      <c r="H14" s="35">
        <v>0.1264</v>
      </c>
      <c r="I14" s="38">
        <f t="shared" si="3"/>
        <v>-750</v>
      </c>
      <c r="J14" s="55">
        <f t="shared" si="6"/>
        <v>765</v>
      </c>
      <c r="K14" s="60">
        <f t="shared" si="4"/>
        <v>11521</v>
      </c>
      <c r="L14" s="38">
        <f t="shared" si="2"/>
        <v>11290.58</v>
      </c>
      <c r="M14" s="60">
        <f t="shared" si="5"/>
        <v>12</v>
      </c>
      <c r="O14" s="57">
        <v>38239.0</v>
      </c>
      <c r="P14" s="58" t="s">
        <v>119</v>
      </c>
      <c r="Q14" s="59">
        <v>6.16961E-4</v>
      </c>
      <c r="R14" s="54"/>
    </row>
    <row r="15" ht="15.75" customHeight="1">
      <c r="B15" s="33">
        <v>36526.0</v>
      </c>
      <c r="C15" s="34">
        <v>0.74</v>
      </c>
      <c r="D15" s="34">
        <v>0.98</v>
      </c>
      <c r="E15" s="34">
        <v>0.98</v>
      </c>
      <c r="F15" s="34">
        <v>0.74</v>
      </c>
      <c r="G15" s="34" t="s">
        <v>132</v>
      </c>
      <c r="H15" s="35">
        <v>-0.2449</v>
      </c>
      <c r="I15" s="13">
        <f t="shared" si="3"/>
        <v>-750</v>
      </c>
      <c r="J15" s="55">
        <f>ROUNDDOWN((-I15 + K14*Q4 )/C15)</f>
        <v>1031</v>
      </c>
      <c r="K15" s="56">
        <f t="shared" si="4"/>
        <v>12552</v>
      </c>
      <c r="L15" s="13">
        <f t="shared" si="2"/>
        <v>9288.48</v>
      </c>
      <c r="M15" s="56">
        <f t="shared" si="5"/>
        <v>13</v>
      </c>
      <c r="O15" s="61">
        <v>38332.0</v>
      </c>
      <c r="P15" s="58" t="s">
        <v>119</v>
      </c>
      <c r="Q15" s="59">
        <v>0.001048834</v>
      </c>
      <c r="R15" s="54"/>
    </row>
    <row r="16" ht="15.75" customHeight="1">
      <c r="B16" s="33">
        <v>36557.0</v>
      </c>
      <c r="C16" s="34">
        <v>0.7</v>
      </c>
      <c r="D16" s="34">
        <v>0.77</v>
      </c>
      <c r="E16" s="34">
        <v>0.84</v>
      </c>
      <c r="F16" s="34">
        <v>0.7</v>
      </c>
      <c r="G16" s="34" t="s">
        <v>133</v>
      </c>
      <c r="H16" s="35">
        <v>-0.0541</v>
      </c>
      <c r="I16" s="38">
        <f t="shared" si="3"/>
        <v>-750</v>
      </c>
      <c r="J16" s="55">
        <f t="shared" ref="J16:J18" si="7">-ROUNDDOWN(I16/C16)</f>
        <v>1071</v>
      </c>
      <c r="K16" s="60">
        <f t="shared" si="4"/>
        <v>13623</v>
      </c>
      <c r="L16" s="38">
        <f t="shared" si="2"/>
        <v>9536.1</v>
      </c>
      <c r="M16" s="60">
        <f t="shared" si="5"/>
        <v>14</v>
      </c>
      <c r="R16" s="54"/>
    </row>
    <row r="17" ht="15.75" customHeight="1">
      <c r="B17" s="33">
        <v>36586.0</v>
      </c>
      <c r="C17" s="34">
        <v>0.73</v>
      </c>
      <c r="D17" s="34">
        <v>0.7</v>
      </c>
      <c r="E17" s="34">
        <v>0.78</v>
      </c>
      <c r="F17" s="34">
        <v>0.67</v>
      </c>
      <c r="G17" s="34" t="s">
        <v>134</v>
      </c>
      <c r="H17" s="35">
        <v>0.0429</v>
      </c>
      <c r="I17" s="13">
        <f t="shared" si="3"/>
        <v>-750</v>
      </c>
      <c r="J17" s="55">
        <f t="shared" si="7"/>
        <v>1027</v>
      </c>
      <c r="K17" s="56">
        <f t="shared" si="4"/>
        <v>14650</v>
      </c>
      <c r="L17" s="13">
        <f t="shared" si="2"/>
        <v>10694.5</v>
      </c>
      <c r="M17" s="56">
        <f t="shared" si="5"/>
        <v>15</v>
      </c>
      <c r="R17" s="54"/>
    </row>
    <row r="18" ht="15.75" customHeight="1">
      <c r="B18" s="33">
        <v>36617.0</v>
      </c>
      <c r="C18" s="34">
        <v>0.66</v>
      </c>
      <c r="D18" s="34">
        <v>0.72</v>
      </c>
      <c r="E18" s="34">
        <v>0.72</v>
      </c>
      <c r="F18" s="34">
        <v>0.55</v>
      </c>
      <c r="G18" s="34" t="s">
        <v>135</v>
      </c>
      <c r="H18" s="35">
        <v>-0.0959</v>
      </c>
      <c r="I18" s="38">
        <f t="shared" si="3"/>
        <v>-750</v>
      </c>
      <c r="J18" s="55">
        <f t="shared" si="7"/>
        <v>1136</v>
      </c>
      <c r="K18" s="60">
        <f t="shared" si="4"/>
        <v>15786</v>
      </c>
      <c r="L18" s="38">
        <f t="shared" si="2"/>
        <v>10418.76</v>
      </c>
      <c r="M18" s="60">
        <f t="shared" si="5"/>
        <v>16</v>
      </c>
      <c r="O18" s="62"/>
      <c r="P18" s="32" t="s">
        <v>5</v>
      </c>
      <c r="Q18" s="32" t="s">
        <v>6</v>
      </c>
    </row>
    <row r="19" ht="15.75" customHeight="1">
      <c r="B19" s="33">
        <v>36647.0</v>
      </c>
      <c r="C19" s="34">
        <v>0.68</v>
      </c>
      <c r="D19" s="34">
        <v>0.66</v>
      </c>
      <c r="E19" s="34">
        <v>0.71</v>
      </c>
      <c r="F19" s="34">
        <v>0.58</v>
      </c>
      <c r="G19" s="34" t="s">
        <v>136</v>
      </c>
      <c r="H19" s="35">
        <v>0.0303</v>
      </c>
      <c r="I19" s="13">
        <f t="shared" si="3"/>
        <v>-750</v>
      </c>
      <c r="J19" s="55">
        <f>ROUNDDOWN((-I19 + K18*Q5)/C19)</f>
        <v>1116</v>
      </c>
      <c r="K19" s="56">
        <f t="shared" si="4"/>
        <v>16902</v>
      </c>
      <c r="L19" s="13">
        <f t="shared" si="2"/>
        <v>11493.36</v>
      </c>
      <c r="M19" s="56">
        <f t="shared" si="5"/>
        <v>17</v>
      </c>
      <c r="O19" s="32" t="s">
        <v>11</v>
      </c>
      <c r="P19" s="40">
        <v>0.05</v>
      </c>
      <c r="Q19" s="41">
        <f>(1+P19)^(1/12)-1</f>
        <v>0.004074123784</v>
      </c>
    </row>
    <row r="20" ht="15.75" customHeight="1">
      <c r="B20" s="33">
        <v>36678.0</v>
      </c>
      <c r="C20" s="34">
        <v>0.76</v>
      </c>
      <c r="D20" s="34">
        <v>0.68</v>
      </c>
      <c r="E20" s="34">
        <v>0.81</v>
      </c>
      <c r="F20" s="34">
        <v>0.66</v>
      </c>
      <c r="G20" s="34" t="s">
        <v>137</v>
      </c>
      <c r="H20" s="35">
        <v>0.1176</v>
      </c>
      <c r="I20" s="38">
        <f t="shared" si="3"/>
        <v>-750</v>
      </c>
      <c r="J20" s="55">
        <f>-ROUNDDOWN(I20/C20)</f>
        <v>986</v>
      </c>
      <c r="K20" s="60">
        <f t="shared" si="4"/>
        <v>17888</v>
      </c>
      <c r="L20" s="38">
        <f t="shared" si="2"/>
        <v>13594.88</v>
      </c>
      <c r="M20" s="60">
        <f t="shared" si="5"/>
        <v>18</v>
      </c>
      <c r="O20" s="32" t="s">
        <v>8</v>
      </c>
      <c r="P20" s="41">
        <f>(1+Q20)^(12)-1</f>
        <v>0.2010766363</v>
      </c>
      <c r="Q20" s="42">
        <f>IRR(I3:I75, 0.02)</f>
        <v>0.01538535035</v>
      </c>
    </row>
    <row r="21" ht="15.75" customHeight="1">
      <c r="B21" s="33">
        <v>36708.0</v>
      </c>
      <c r="C21" s="34">
        <v>0.81</v>
      </c>
      <c r="D21" s="34">
        <v>0.76</v>
      </c>
      <c r="E21" s="34">
        <v>0.87</v>
      </c>
      <c r="F21" s="34">
        <v>0.76</v>
      </c>
      <c r="G21" s="34" t="s">
        <v>138</v>
      </c>
      <c r="H21" s="35">
        <v>0.0658</v>
      </c>
      <c r="I21" s="13">
        <f t="shared" si="3"/>
        <v>-750</v>
      </c>
      <c r="J21" s="55">
        <f>ROUNDDOWN((-I21 + K20*Q6)/C21)</f>
        <v>939</v>
      </c>
      <c r="K21" s="56">
        <f t="shared" si="4"/>
        <v>18827</v>
      </c>
      <c r="L21" s="13">
        <f t="shared" si="2"/>
        <v>15249.87</v>
      </c>
      <c r="M21" s="56">
        <f t="shared" si="5"/>
        <v>19</v>
      </c>
      <c r="O21" s="32" t="s">
        <v>9</v>
      </c>
      <c r="P21" s="43">
        <f t="array" ref="P21">NPV(Q19,I3:I75)</f>
        <v>26930.27555</v>
      </c>
      <c r="Q21" s="37"/>
    </row>
    <row r="22" ht="15.75" customHeight="1">
      <c r="B22" s="33">
        <v>36739.0</v>
      </c>
      <c r="C22" s="34">
        <v>0.78</v>
      </c>
      <c r="D22" s="34">
        <v>0.82</v>
      </c>
      <c r="E22" s="34">
        <v>0.86</v>
      </c>
      <c r="F22" s="34">
        <v>0.76</v>
      </c>
      <c r="G22" s="34" t="s">
        <v>139</v>
      </c>
      <c r="H22" s="35">
        <v>-0.037</v>
      </c>
      <c r="I22" s="38">
        <f t="shared" si="3"/>
        <v>-750</v>
      </c>
      <c r="J22" s="55">
        <f t="shared" ref="J22:J38" si="8">-ROUNDDOWN(I22/C22)</f>
        <v>961</v>
      </c>
      <c r="K22" s="60">
        <f t="shared" si="4"/>
        <v>19788</v>
      </c>
      <c r="L22" s="38">
        <f t="shared" si="2"/>
        <v>15434.64</v>
      </c>
      <c r="M22" s="60">
        <f t="shared" si="5"/>
        <v>20</v>
      </c>
    </row>
    <row r="23" ht="15.75" customHeight="1">
      <c r="B23" s="33">
        <v>36770.0</v>
      </c>
      <c r="C23" s="34">
        <v>0.74</v>
      </c>
      <c r="D23" s="34">
        <v>0.81</v>
      </c>
      <c r="E23" s="34">
        <v>0.83</v>
      </c>
      <c r="F23" s="34">
        <v>0.72</v>
      </c>
      <c r="G23" s="34" t="s">
        <v>140</v>
      </c>
      <c r="H23" s="35">
        <v>-0.0513</v>
      </c>
      <c r="I23" s="13">
        <f t="shared" si="3"/>
        <v>-750</v>
      </c>
      <c r="J23" s="55">
        <f t="shared" si="8"/>
        <v>1013</v>
      </c>
      <c r="K23" s="56">
        <f t="shared" si="4"/>
        <v>20801</v>
      </c>
      <c r="L23" s="13">
        <f t="shared" si="2"/>
        <v>15392.74</v>
      </c>
      <c r="M23" s="56">
        <f t="shared" si="5"/>
        <v>21</v>
      </c>
      <c r="O23" s="44" t="s">
        <v>141</v>
      </c>
      <c r="P23" s="1"/>
      <c r="Q23" s="1"/>
    </row>
    <row r="24" ht="15.75" customHeight="1">
      <c r="B24" s="33">
        <v>36800.0</v>
      </c>
      <c r="C24" s="34">
        <v>0.7</v>
      </c>
      <c r="D24" s="34">
        <v>0.74</v>
      </c>
      <c r="E24" s="34">
        <v>0.79</v>
      </c>
      <c r="F24" s="34">
        <v>0.59</v>
      </c>
      <c r="G24" s="34" t="s">
        <v>142</v>
      </c>
      <c r="H24" s="35">
        <v>-0.0541</v>
      </c>
      <c r="I24" s="38">
        <f t="shared" si="3"/>
        <v>-750</v>
      </c>
      <c r="J24" s="55">
        <f t="shared" si="8"/>
        <v>1071</v>
      </c>
      <c r="K24" s="60">
        <f t="shared" si="4"/>
        <v>21872</v>
      </c>
      <c r="L24" s="38">
        <f t="shared" si="2"/>
        <v>15310.4</v>
      </c>
      <c r="M24" s="60">
        <f t="shared" si="5"/>
        <v>22</v>
      </c>
      <c r="O24" s="45"/>
      <c r="P24" s="45"/>
      <c r="Q24" s="45"/>
    </row>
    <row r="25" ht="15.75" customHeight="1">
      <c r="B25" s="33">
        <v>36831.0</v>
      </c>
      <c r="C25" s="34">
        <v>0.61</v>
      </c>
      <c r="D25" s="34">
        <v>0.7</v>
      </c>
      <c r="E25" s="34">
        <v>0.72</v>
      </c>
      <c r="F25" s="34">
        <v>0.6</v>
      </c>
      <c r="G25" s="34" t="s">
        <v>143</v>
      </c>
      <c r="H25" s="35">
        <v>-0.1286</v>
      </c>
      <c r="I25" s="13">
        <f t="shared" si="3"/>
        <v>-750</v>
      </c>
      <c r="J25" s="55">
        <f t="shared" si="8"/>
        <v>1229</v>
      </c>
      <c r="K25" s="56">
        <f t="shared" si="4"/>
        <v>23101</v>
      </c>
      <c r="L25" s="13">
        <f t="shared" si="2"/>
        <v>14091.61</v>
      </c>
      <c r="M25" s="56">
        <f t="shared" si="5"/>
        <v>23</v>
      </c>
      <c r="O25" s="46" t="s">
        <v>60</v>
      </c>
      <c r="P25" s="47"/>
      <c r="Q25" s="48">
        <f>C3</f>
        <v>0.62</v>
      </c>
    </row>
    <row r="26" ht="15.75" customHeight="1">
      <c r="B26" s="33">
        <v>36861.0</v>
      </c>
      <c r="C26" s="34">
        <v>0.68</v>
      </c>
      <c r="D26" s="34">
        <v>0.62</v>
      </c>
      <c r="E26" s="34">
        <v>0.74</v>
      </c>
      <c r="F26" s="34">
        <v>0.59</v>
      </c>
      <c r="G26" s="34" t="s">
        <v>144</v>
      </c>
      <c r="H26" s="35">
        <v>0.1148</v>
      </c>
      <c r="I26" s="38">
        <f t="shared" si="3"/>
        <v>-750</v>
      </c>
      <c r="J26" s="55">
        <f t="shared" si="8"/>
        <v>1102</v>
      </c>
      <c r="K26" s="60">
        <f t="shared" si="4"/>
        <v>24203</v>
      </c>
      <c r="L26" s="38">
        <f t="shared" si="2"/>
        <v>16458.04</v>
      </c>
      <c r="M26" s="60">
        <f t="shared" si="5"/>
        <v>24</v>
      </c>
      <c r="O26" s="49" t="s">
        <v>62</v>
      </c>
      <c r="P26" s="50"/>
      <c r="Q26" s="51">
        <f t="shared" ref="Q26:Q27" si="9">C74</f>
        <v>1.56</v>
      </c>
    </row>
    <row r="27" ht="15.75" customHeight="1">
      <c r="B27" s="33">
        <v>36892.0</v>
      </c>
      <c r="C27" s="34">
        <v>0.86</v>
      </c>
      <c r="D27" s="34">
        <v>0.65</v>
      </c>
      <c r="E27" s="34">
        <v>0.88</v>
      </c>
      <c r="F27" s="34">
        <v>0.65</v>
      </c>
      <c r="G27" s="34" t="s">
        <v>145</v>
      </c>
      <c r="H27" s="35">
        <v>0.2647</v>
      </c>
      <c r="I27" s="13">
        <f t="shared" si="3"/>
        <v>-750</v>
      </c>
      <c r="J27" s="55">
        <f t="shared" si="8"/>
        <v>872</v>
      </c>
      <c r="K27" s="56">
        <f t="shared" si="4"/>
        <v>25075</v>
      </c>
      <c r="L27" s="13">
        <f t="shared" si="2"/>
        <v>21564.5</v>
      </c>
      <c r="M27" s="56">
        <f t="shared" si="5"/>
        <v>25</v>
      </c>
      <c r="O27" s="46" t="s">
        <v>64</v>
      </c>
      <c r="P27" s="52"/>
      <c r="Q27" s="48">
        <f t="shared" si="9"/>
        <v>1.4</v>
      </c>
    </row>
    <row r="28" ht="15.75" customHeight="1">
      <c r="B28" s="33">
        <v>36923.0</v>
      </c>
      <c r="C28" s="34">
        <v>0.74</v>
      </c>
      <c r="D28" s="34">
        <v>0.84</v>
      </c>
      <c r="E28" s="34">
        <v>0.86</v>
      </c>
      <c r="F28" s="34">
        <v>0.72</v>
      </c>
      <c r="G28" s="34" t="s">
        <v>146</v>
      </c>
      <c r="H28" s="35">
        <v>-0.1395</v>
      </c>
      <c r="I28" s="38">
        <f t="shared" si="3"/>
        <v>-750</v>
      </c>
      <c r="J28" s="55">
        <f t="shared" si="8"/>
        <v>1013</v>
      </c>
      <c r="K28" s="60">
        <f t="shared" si="4"/>
        <v>26088</v>
      </c>
      <c r="L28" s="38">
        <f t="shared" si="2"/>
        <v>19305.12</v>
      </c>
      <c r="M28" s="60">
        <f t="shared" si="5"/>
        <v>26</v>
      </c>
      <c r="O28" s="49" t="s">
        <v>66</v>
      </c>
      <c r="P28" s="50"/>
      <c r="Q28" s="53">
        <f>Q27/Q25</f>
        <v>2.258064516</v>
      </c>
    </row>
    <row r="29" ht="15.75" customHeight="1">
      <c r="B29" s="33">
        <v>36951.0</v>
      </c>
      <c r="C29" s="34">
        <v>0.66</v>
      </c>
      <c r="D29" s="34">
        <v>0.75</v>
      </c>
      <c r="E29" s="34">
        <v>0.79</v>
      </c>
      <c r="F29" s="34">
        <v>0.62</v>
      </c>
      <c r="G29" s="34" t="s">
        <v>147</v>
      </c>
      <c r="H29" s="35">
        <v>-0.1081</v>
      </c>
      <c r="I29" s="13">
        <f t="shared" si="3"/>
        <v>-750</v>
      </c>
      <c r="J29" s="55">
        <f t="shared" si="8"/>
        <v>1136</v>
      </c>
      <c r="K29" s="56">
        <f t="shared" si="4"/>
        <v>27224</v>
      </c>
      <c r="L29" s="13">
        <f t="shared" si="2"/>
        <v>17967.84</v>
      </c>
      <c r="M29" s="56">
        <f t="shared" si="5"/>
        <v>27</v>
      </c>
    </row>
    <row r="30" ht="15.75" customHeight="1">
      <c r="B30" s="33">
        <v>36982.0</v>
      </c>
      <c r="C30" s="34">
        <v>0.61</v>
      </c>
      <c r="D30" s="34">
        <v>0.66</v>
      </c>
      <c r="E30" s="34">
        <v>0.67</v>
      </c>
      <c r="F30" s="34">
        <v>0.6</v>
      </c>
      <c r="G30" s="34" t="s">
        <v>148</v>
      </c>
      <c r="H30" s="35">
        <v>-0.0758</v>
      </c>
      <c r="I30" s="38">
        <f t="shared" si="3"/>
        <v>-750</v>
      </c>
      <c r="J30" s="55">
        <f t="shared" si="8"/>
        <v>1229</v>
      </c>
      <c r="K30" s="60">
        <f t="shared" si="4"/>
        <v>28453</v>
      </c>
      <c r="L30" s="38">
        <f t="shared" si="2"/>
        <v>17356.33</v>
      </c>
      <c r="M30" s="60">
        <f t="shared" si="5"/>
        <v>28</v>
      </c>
    </row>
    <row r="31" ht="15.75" customHeight="1">
      <c r="B31" s="33">
        <v>37012.0</v>
      </c>
      <c r="C31" s="34">
        <v>0.55</v>
      </c>
      <c r="D31" s="34">
        <v>0.61</v>
      </c>
      <c r="E31" s="34">
        <v>0.63</v>
      </c>
      <c r="F31" s="34">
        <v>0.51</v>
      </c>
      <c r="G31" s="34" t="s">
        <v>149</v>
      </c>
      <c r="H31" s="35">
        <v>-0.0984</v>
      </c>
      <c r="I31" s="13">
        <f t="shared" si="3"/>
        <v>-750</v>
      </c>
      <c r="J31" s="55">
        <f t="shared" si="8"/>
        <v>1363</v>
      </c>
      <c r="K31" s="56">
        <f t="shared" si="4"/>
        <v>29816</v>
      </c>
      <c r="L31" s="13">
        <f t="shared" si="2"/>
        <v>16398.8</v>
      </c>
      <c r="M31" s="56">
        <f t="shared" si="5"/>
        <v>29</v>
      </c>
    </row>
    <row r="32" ht="15.75" customHeight="1">
      <c r="B32" s="33">
        <v>37043.0</v>
      </c>
      <c r="C32" s="34">
        <v>0.66</v>
      </c>
      <c r="D32" s="34">
        <v>0.56</v>
      </c>
      <c r="E32" s="34">
        <v>0.67</v>
      </c>
      <c r="F32" s="34">
        <v>0.53</v>
      </c>
      <c r="G32" s="34" t="s">
        <v>150</v>
      </c>
      <c r="H32" s="35">
        <v>0.2</v>
      </c>
      <c r="I32" s="38">
        <f t="shared" si="3"/>
        <v>-750</v>
      </c>
      <c r="J32" s="55">
        <f t="shared" si="8"/>
        <v>1136</v>
      </c>
      <c r="K32" s="60">
        <f t="shared" si="4"/>
        <v>30952</v>
      </c>
      <c r="L32" s="38">
        <f t="shared" si="2"/>
        <v>20428.32</v>
      </c>
      <c r="M32" s="60">
        <f t="shared" si="5"/>
        <v>30</v>
      </c>
    </row>
    <row r="33" ht="15.75" customHeight="1">
      <c r="B33" s="33">
        <v>37073.0</v>
      </c>
      <c r="C33" s="34">
        <v>0.63</v>
      </c>
      <c r="D33" s="34">
        <v>0.66</v>
      </c>
      <c r="E33" s="34">
        <v>0.68</v>
      </c>
      <c r="F33" s="34">
        <v>0.57</v>
      </c>
      <c r="G33" s="34" t="s">
        <v>151</v>
      </c>
      <c r="H33" s="35">
        <v>-0.0455</v>
      </c>
      <c r="I33" s="13">
        <f t="shared" si="3"/>
        <v>-750</v>
      </c>
      <c r="J33" s="55">
        <f t="shared" si="8"/>
        <v>1190</v>
      </c>
      <c r="K33" s="56">
        <f t="shared" si="4"/>
        <v>32142</v>
      </c>
      <c r="L33" s="13">
        <f t="shared" si="2"/>
        <v>20249.46</v>
      </c>
      <c r="M33" s="56">
        <f t="shared" si="5"/>
        <v>31</v>
      </c>
    </row>
    <row r="34" ht="15.75" customHeight="1">
      <c r="B34" s="33">
        <v>37104.0</v>
      </c>
      <c r="C34" s="34">
        <v>0.67</v>
      </c>
      <c r="D34" s="34">
        <v>0.63</v>
      </c>
      <c r="E34" s="34">
        <v>0.7</v>
      </c>
      <c r="F34" s="34">
        <v>0.61</v>
      </c>
      <c r="G34" s="34" t="s">
        <v>59</v>
      </c>
      <c r="H34" s="35">
        <v>0.0635</v>
      </c>
      <c r="I34" s="38">
        <f t="shared" si="3"/>
        <v>-750</v>
      </c>
      <c r="J34" s="55">
        <f t="shared" si="8"/>
        <v>1119</v>
      </c>
      <c r="K34" s="60">
        <f t="shared" si="4"/>
        <v>33261</v>
      </c>
      <c r="L34" s="38">
        <f t="shared" si="2"/>
        <v>22284.87</v>
      </c>
      <c r="M34" s="60">
        <f t="shared" si="5"/>
        <v>32</v>
      </c>
    </row>
    <row r="35" ht="15.75" customHeight="1">
      <c r="B35" s="33">
        <v>37135.0</v>
      </c>
      <c r="C35" s="34">
        <v>0.62</v>
      </c>
      <c r="D35" s="34">
        <v>0.66</v>
      </c>
      <c r="E35" s="34">
        <v>0.72</v>
      </c>
      <c r="F35" s="34">
        <v>0.55</v>
      </c>
      <c r="G35" s="34" t="s">
        <v>152</v>
      </c>
      <c r="H35" s="35">
        <v>-0.0746</v>
      </c>
      <c r="I35" s="13">
        <f t="shared" si="3"/>
        <v>-750</v>
      </c>
      <c r="J35" s="55">
        <f t="shared" si="8"/>
        <v>1209</v>
      </c>
      <c r="K35" s="56">
        <f t="shared" si="4"/>
        <v>34470</v>
      </c>
      <c r="L35" s="13">
        <f t="shared" si="2"/>
        <v>21371.4</v>
      </c>
      <c r="M35" s="56">
        <f t="shared" si="5"/>
        <v>33</v>
      </c>
    </row>
    <row r="36" ht="15.75" customHeight="1">
      <c r="B36" s="33">
        <v>37165.0</v>
      </c>
      <c r="C36" s="34">
        <v>0.64</v>
      </c>
      <c r="D36" s="34">
        <v>0.61</v>
      </c>
      <c r="E36" s="34">
        <v>0.66</v>
      </c>
      <c r="F36" s="34">
        <v>0.54</v>
      </c>
      <c r="G36" s="34" t="s">
        <v>153</v>
      </c>
      <c r="H36" s="35">
        <v>0.0323</v>
      </c>
      <c r="I36" s="38">
        <f t="shared" si="3"/>
        <v>-750</v>
      </c>
      <c r="J36" s="55">
        <f t="shared" si="8"/>
        <v>1171</v>
      </c>
      <c r="K36" s="60">
        <f t="shared" si="4"/>
        <v>35641</v>
      </c>
      <c r="L36" s="38">
        <f t="shared" si="2"/>
        <v>22810.24</v>
      </c>
      <c r="M36" s="60">
        <f t="shared" si="5"/>
        <v>34</v>
      </c>
    </row>
    <row r="37" ht="15.75" customHeight="1">
      <c r="B37" s="33">
        <v>37196.0</v>
      </c>
      <c r="C37" s="34">
        <v>0.73</v>
      </c>
      <c r="D37" s="34">
        <v>0.64</v>
      </c>
      <c r="E37" s="34">
        <v>0.78</v>
      </c>
      <c r="F37" s="34">
        <v>0.64</v>
      </c>
      <c r="G37" s="34" t="s">
        <v>154</v>
      </c>
      <c r="H37" s="35">
        <v>0.1406</v>
      </c>
      <c r="I37" s="13">
        <f t="shared" si="3"/>
        <v>-750</v>
      </c>
      <c r="J37" s="55">
        <f t="shared" si="8"/>
        <v>1027</v>
      </c>
      <c r="K37" s="56">
        <f t="shared" si="4"/>
        <v>36668</v>
      </c>
      <c r="L37" s="13">
        <f t="shared" si="2"/>
        <v>26767.64</v>
      </c>
      <c r="M37" s="56">
        <f t="shared" si="5"/>
        <v>35</v>
      </c>
    </row>
    <row r="38" ht="15.75" customHeight="1">
      <c r="B38" s="33">
        <v>37226.0</v>
      </c>
      <c r="C38" s="34">
        <v>0.79</v>
      </c>
      <c r="D38" s="34">
        <v>0.72</v>
      </c>
      <c r="E38" s="34">
        <v>0.86</v>
      </c>
      <c r="F38" s="34">
        <v>0.72</v>
      </c>
      <c r="G38" s="34" t="s">
        <v>155</v>
      </c>
      <c r="H38" s="35">
        <v>0.0822</v>
      </c>
      <c r="I38" s="38">
        <f t="shared" si="3"/>
        <v>-750</v>
      </c>
      <c r="J38" s="55">
        <f t="shared" si="8"/>
        <v>949</v>
      </c>
      <c r="K38" s="60">
        <f t="shared" si="4"/>
        <v>37617</v>
      </c>
      <c r="L38" s="38">
        <f t="shared" si="2"/>
        <v>29717.43</v>
      </c>
      <c r="M38" s="60">
        <f t="shared" si="5"/>
        <v>36</v>
      </c>
    </row>
    <row r="39" ht="15.75" customHeight="1">
      <c r="B39" s="33">
        <v>37257.0</v>
      </c>
      <c r="C39" s="34">
        <v>0.84</v>
      </c>
      <c r="D39" s="34">
        <v>0.81</v>
      </c>
      <c r="E39" s="34">
        <v>0.87</v>
      </c>
      <c r="F39" s="34">
        <v>0.72</v>
      </c>
      <c r="G39" s="34" t="s">
        <v>156</v>
      </c>
      <c r="H39" s="35">
        <v>0.0633</v>
      </c>
      <c r="I39" s="13">
        <f t="shared" si="3"/>
        <v>-750</v>
      </c>
      <c r="J39" s="55">
        <f>ROUNDDOWN((-I39 + K38*Q7)/C39)</f>
        <v>921</v>
      </c>
      <c r="K39" s="56">
        <f t="shared" si="4"/>
        <v>38538</v>
      </c>
      <c r="L39" s="13">
        <f t="shared" si="2"/>
        <v>32371.92</v>
      </c>
      <c r="M39" s="56">
        <f t="shared" si="5"/>
        <v>37</v>
      </c>
    </row>
    <row r="40" ht="15.75" customHeight="1">
      <c r="B40" s="33">
        <v>37288.0</v>
      </c>
      <c r="C40" s="34">
        <v>0.88</v>
      </c>
      <c r="D40" s="34">
        <v>0.85</v>
      </c>
      <c r="E40" s="34">
        <v>0.91</v>
      </c>
      <c r="F40" s="34">
        <v>0.78</v>
      </c>
      <c r="G40" s="34" t="s">
        <v>157</v>
      </c>
      <c r="H40" s="35">
        <v>0.0476</v>
      </c>
      <c r="I40" s="38">
        <f t="shared" si="3"/>
        <v>-750</v>
      </c>
      <c r="J40" s="55">
        <f t="shared" ref="J40:J43" si="10">-ROUNDDOWN(I40/C40)</f>
        <v>852</v>
      </c>
      <c r="K40" s="60">
        <f>ROUNDDOWN((J40+K39)*(1+1.98%))</f>
        <v>40169</v>
      </c>
      <c r="L40" s="38">
        <f t="shared" si="2"/>
        <v>35348.72</v>
      </c>
      <c r="M40" s="60">
        <f t="shared" si="5"/>
        <v>38</v>
      </c>
    </row>
    <row r="41" ht="15.75" customHeight="1">
      <c r="B41" s="33">
        <v>37316.0</v>
      </c>
      <c r="C41" s="34">
        <v>0.83</v>
      </c>
      <c r="D41" s="34">
        <v>0.88</v>
      </c>
      <c r="E41" s="34">
        <v>0.96</v>
      </c>
      <c r="F41" s="34">
        <v>0.82</v>
      </c>
      <c r="G41" s="34" t="s">
        <v>158</v>
      </c>
      <c r="H41" s="35">
        <v>-0.0568</v>
      </c>
      <c r="I41" s="13">
        <f t="shared" si="3"/>
        <v>-750</v>
      </c>
      <c r="J41" s="55">
        <f t="shared" si="10"/>
        <v>903</v>
      </c>
      <c r="K41" s="56">
        <f t="shared" ref="K41:K75" si="11">J41+K40</f>
        <v>41072</v>
      </c>
      <c r="L41" s="13">
        <f t="shared" si="2"/>
        <v>34089.76</v>
      </c>
      <c r="M41" s="56">
        <f t="shared" si="5"/>
        <v>39</v>
      </c>
    </row>
    <row r="42" ht="15.75" customHeight="1">
      <c r="B42" s="33">
        <v>37347.0</v>
      </c>
      <c r="C42" s="34">
        <v>0.9</v>
      </c>
      <c r="D42" s="34">
        <v>0.83</v>
      </c>
      <c r="E42" s="34">
        <v>0.93</v>
      </c>
      <c r="F42" s="34">
        <v>0.81</v>
      </c>
      <c r="G42" s="34" t="s">
        <v>159</v>
      </c>
      <c r="H42" s="35">
        <v>0.0843</v>
      </c>
      <c r="I42" s="38">
        <f t="shared" si="3"/>
        <v>-750</v>
      </c>
      <c r="J42" s="55">
        <f t="shared" si="10"/>
        <v>833</v>
      </c>
      <c r="K42" s="60">
        <f t="shared" si="11"/>
        <v>41905</v>
      </c>
      <c r="L42" s="38">
        <f t="shared" si="2"/>
        <v>37714.5</v>
      </c>
      <c r="M42" s="60">
        <f t="shared" si="5"/>
        <v>40</v>
      </c>
    </row>
    <row r="43" ht="15.75" customHeight="1">
      <c r="B43" s="33">
        <v>37377.0</v>
      </c>
      <c r="C43" s="34">
        <v>0.81</v>
      </c>
      <c r="D43" s="34">
        <v>0.82</v>
      </c>
      <c r="E43" s="34">
        <v>0.86</v>
      </c>
      <c r="F43" s="34">
        <v>0.74</v>
      </c>
      <c r="G43" s="34" t="s">
        <v>160</v>
      </c>
      <c r="H43" s="35">
        <v>-0.1</v>
      </c>
      <c r="I43" s="13">
        <f t="shared" si="3"/>
        <v>-750</v>
      </c>
      <c r="J43" s="55">
        <f t="shared" si="10"/>
        <v>925</v>
      </c>
      <c r="K43" s="56">
        <f t="shared" si="11"/>
        <v>42830</v>
      </c>
      <c r="L43" s="13">
        <f t="shared" si="2"/>
        <v>34692.3</v>
      </c>
      <c r="M43" s="56">
        <f t="shared" si="5"/>
        <v>41</v>
      </c>
    </row>
    <row r="44" ht="15.75" customHeight="1">
      <c r="B44" s="33">
        <v>37408.0</v>
      </c>
      <c r="C44" s="34">
        <v>0.77</v>
      </c>
      <c r="D44" s="34">
        <v>0.83</v>
      </c>
      <c r="E44" s="34">
        <v>0.83</v>
      </c>
      <c r="F44" s="34">
        <v>0.68</v>
      </c>
      <c r="G44" s="34" t="s">
        <v>161</v>
      </c>
      <c r="H44" s="35">
        <v>-0.0494</v>
      </c>
      <c r="I44" s="38">
        <f t="shared" si="3"/>
        <v>-750</v>
      </c>
      <c r="J44" s="55">
        <f>ROUNDDOWN((-I44 + K43*Q9)/C44)</f>
        <v>1054</v>
      </c>
      <c r="K44" s="60">
        <f t="shared" si="11"/>
        <v>43884</v>
      </c>
      <c r="L44" s="38">
        <f t="shared" si="2"/>
        <v>33790.68</v>
      </c>
      <c r="M44" s="60">
        <f t="shared" si="5"/>
        <v>42</v>
      </c>
    </row>
    <row r="45" ht="15.75" customHeight="1">
      <c r="B45" s="33">
        <v>37438.0</v>
      </c>
      <c r="C45" s="34">
        <v>0.64</v>
      </c>
      <c r="D45" s="34">
        <v>0.76</v>
      </c>
      <c r="E45" s="34">
        <v>0.77</v>
      </c>
      <c r="F45" s="34">
        <v>0.59</v>
      </c>
      <c r="G45" s="34" t="s">
        <v>162</v>
      </c>
      <c r="H45" s="35">
        <v>-0.1688</v>
      </c>
      <c r="I45" s="13">
        <f t="shared" si="3"/>
        <v>-750</v>
      </c>
      <c r="J45" s="55">
        <f t="shared" ref="J45:J50" si="12">-ROUNDDOWN(I45/C45)</f>
        <v>1171</v>
      </c>
      <c r="K45" s="56">
        <f t="shared" si="11"/>
        <v>45055</v>
      </c>
      <c r="L45" s="13">
        <f t="shared" si="2"/>
        <v>28835.2</v>
      </c>
      <c r="M45" s="56">
        <f t="shared" si="5"/>
        <v>43</v>
      </c>
    </row>
    <row r="46" ht="15.75" customHeight="1">
      <c r="B46" s="33">
        <v>37469.0</v>
      </c>
      <c r="C46" s="34">
        <v>0.67</v>
      </c>
      <c r="D46" s="34">
        <v>0.64</v>
      </c>
      <c r="E46" s="34">
        <v>0.72</v>
      </c>
      <c r="F46" s="34">
        <v>0.53</v>
      </c>
      <c r="G46" s="34" t="s">
        <v>163</v>
      </c>
      <c r="H46" s="35">
        <v>0.0469</v>
      </c>
      <c r="I46" s="38">
        <f t="shared" si="3"/>
        <v>-750</v>
      </c>
      <c r="J46" s="55">
        <f t="shared" si="12"/>
        <v>1119</v>
      </c>
      <c r="K46" s="60">
        <f t="shared" si="11"/>
        <v>46174</v>
      </c>
      <c r="L46" s="38">
        <f t="shared" si="2"/>
        <v>30936.58</v>
      </c>
      <c r="M46" s="60">
        <f t="shared" si="5"/>
        <v>44</v>
      </c>
    </row>
    <row r="47" ht="15.75" customHeight="1">
      <c r="B47" s="33">
        <v>37500.0</v>
      </c>
      <c r="C47" s="34">
        <v>0.5</v>
      </c>
      <c r="D47" s="34">
        <v>0.67</v>
      </c>
      <c r="E47" s="34">
        <v>0.67</v>
      </c>
      <c r="F47" s="34">
        <v>0.48</v>
      </c>
      <c r="G47" s="34" t="s">
        <v>164</v>
      </c>
      <c r="H47" s="35">
        <v>-0.2537</v>
      </c>
      <c r="I47" s="13">
        <f t="shared" si="3"/>
        <v>-750</v>
      </c>
      <c r="J47" s="55">
        <f t="shared" si="12"/>
        <v>1500</v>
      </c>
      <c r="K47" s="56">
        <f t="shared" si="11"/>
        <v>47674</v>
      </c>
      <c r="L47" s="13">
        <f t="shared" si="2"/>
        <v>23837</v>
      </c>
      <c r="M47" s="56">
        <f t="shared" si="5"/>
        <v>45</v>
      </c>
    </row>
    <row r="48" ht="15.75" customHeight="1">
      <c r="B48" s="33">
        <v>37530.0</v>
      </c>
      <c r="C48" s="34">
        <v>0.59</v>
      </c>
      <c r="D48" s="34">
        <v>0.51</v>
      </c>
      <c r="E48" s="34">
        <v>0.6</v>
      </c>
      <c r="F48" s="34">
        <v>0.46</v>
      </c>
      <c r="G48" s="34" t="s">
        <v>165</v>
      </c>
      <c r="H48" s="35">
        <v>0.18</v>
      </c>
      <c r="I48" s="38">
        <f t="shared" si="3"/>
        <v>-750</v>
      </c>
      <c r="J48" s="55">
        <f t="shared" si="12"/>
        <v>1271</v>
      </c>
      <c r="K48" s="60">
        <f t="shared" si="11"/>
        <v>48945</v>
      </c>
      <c r="L48" s="38">
        <f t="shared" si="2"/>
        <v>28877.55</v>
      </c>
      <c r="M48" s="60">
        <f t="shared" si="5"/>
        <v>46</v>
      </c>
    </row>
    <row r="49" ht="15.75" customHeight="1">
      <c r="B49" s="33">
        <v>37561.0</v>
      </c>
      <c r="C49" s="34">
        <v>0.58</v>
      </c>
      <c r="D49" s="34">
        <v>0.59</v>
      </c>
      <c r="E49" s="34">
        <v>0.61</v>
      </c>
      <c r="F49" s="34">
        <v>0.54</v>
      </c>
      <c r="G49" s="34" t="s">
        <v>166</v>
      </c>
      <c r="H49" s="35">
        <v>-0.0169</v>
      </c>
      <c r="I49" s="13">
        <f t="shared" si="3"/>
        <v>-750</v>
      </c>
      <c r="J49" s="55">
        <f t="shared" si="12"/>
        <v>1293</v>
      </c>
      <c r="K49" s="56">
        <f t="shared" si="11"/>
        <v>50238</v>
      </c>
      <c r="L49" s="13">
        <f t="shared" si="2"/>
        <v>29138.04</v>
      </c>
      <c r="M49" s="56">
        <f t="shared" si="5"/>
        <v>47</v>
      </c>
    </row>
    <row r="50" ht="15.75" customHeight="1">
      <c r="B50" s="33">
        <v>37591.0</v>
      </c>
      <c r="C50" s="34">
        <v>0.64</v>
      </c>
      <c r="D50" s="34">
        <v>0.58</v>
      </c>
      <c r="E50" s="34">
        <v>0.67</v>
      </c>
      <c r="F50" s="34">
        <v>0.53</v>
      </c>
      <c r="G50" s="34" t="s">
        <v>167</v>
      </c>
      <c r="H50" s="35">
        <v>0.1034</v>
      </c>
      <c r="I50" s="38">
        <f t="shared" si="3"/>
        <v>-750</v>
      </c>
      <c r="J50" s="55">
        <f t="shared" si="12"/>
        <v>1171</v>
      </c>
      <c r="K50" s="60">
        <f t="shared" si="11"/>
        <v>51409</v>
      </c>
      <c r="L50" s="38">
        <f t="shared" si="2"/>
        <v>32901.76</v>
      </c>
      <c r="M50" s="60">
        <f t="shared" si="5"/>
        <v>48</v>
      </c>
    </row>
    <row r="51" ht="15.75" customHeight="1">
      <c r="B51" s="33">
        <v>37622.0</v>
      </c>
      <c r="C51" s="34">
        <v>0.6</v>
      </c>
      <c r="D51" s="34">
        <v>0.64</v>
      </c>
      <c r="E51" s="34">
        <v>0.69</v>
      </c>
      <c r="F51" s="34">
        <v>0.58</v>
      </c>
      <c r="G51" s="34" t="s">
        <v>168</v>
      </c>
      <c r="H51" s="35">
        <v>-0.0625</v>
      </c>
      <c r="I51" s="13">
        <f t="shared" si="3"/>
        <v>-750</v>
      </c>
      <c r="J51" s="55">
        <f>ROUNDDOWN((-I51 + K50*Q10)/C51)</f>
        <v>1302</v>
      </c>
      <c r="K51" s="56">
        <f t="shared" si="11"/>
        <v>52711</v>
      </c>
      <c r="L51" s="13">
        <f t="shared" si="2"/>
        <v>31626.6</v>
      </c>
      <c r="M51" s="56">
        <f t="shared" si="5"/>
        <v>49</v>
      </c>
    </row>
    <row r="52" ht="15.75" customHeight="1">
      <c r="B52" s="33">
        <v>37653.0</v>
      </c>
      <c r="C52" s="34">
        <v>0.55</v>
      </c>
      <c r="D52" s="34">
        <v>0.6</v>
      </c>
      <c r="E52" s="34">
        <v>0.64</v>
      </c>
      <c r="F52" s="34">
        <v>0.52</v>
      </c>
      <c r="G52" s="34" t="s">
        <v>169</v>
      </c>
      <c r="H52" s="35">
        <v>-0.0833</v>
      </c>
      <c r="I52" s="38">
        <f t="shared" si="3"/>
        <v>-750</v>
      </c>
      <c r="J52" s="55">
        <f t="shared" ref="J52:J62" si="13">-ROUNDDOWN(I52/C52)</f>
        <v>1363</v>
      </c>
      <c r="K52" s="60">
        <f t="shared" si="11"/>
        <v>54074</v>
      </c>
      <c r="L52" s="38">
        <f t="shared" si="2"/>
        <v>29740.7</v>
      </c>
      <c r="M52" s="60">
        <f t="shared" si="5"/>
        <v>50</v>
      </c>
    </row>
    <row r="53" ht="15.75" customHeight="1">
      <c r="B53" s="33">
        <v>37681.0</v>
      </c>
      <c r="C53" s="34">
        <v>0.61</v>
      </c>
      <c r="D53" s="34">
        <v>0.54</v>
      </c>
      <c r="E53" s="34">
        <v>0.64</v>
      </c>
      <c r="F53" s="34">
        <v>0.53</v>
      </c>
      <c r="G53" s="34" t="s">
        <v>170</v>
      </c>
      <c r="H53" s="35">
        <v>0.1091</v>
      </c>
      <c r="I53" s="13">
        <f t="shared" si="3"/>
        <v>-750</v>
      </c>
      <c r="J53" s="55">
        <f t="shared" si="13"/>
        <v>1229</v>
      </c>
      <c r="K53" s="56">
        <f t="shared" si="11"/>
        <v>55303</v>
      </c>
      <c r="L53" s="13">
        <f t="shared" si="2"/>
        <v>33734.83</v>
      </c>
      <c r="M53" s="56">
        <f t="shared" si="5"/>
        <v>51</v>
      </c>
    </row>
    <row r="54" ht="15.75" customHeight="1">
      <c r="B54" s="33">
        <v>37712.0</v>
      </c>
      <c r="C54" s="34">
        <v>0.74</v>
      </c>
      <c r="D54" s="34">
        <v>0.61</v>
      </c>
      <c r="E54" s="34">
        <v>0.76</v>
      </c>
      <c r="F54" s="34">
        <v>0.61</v>
      </c>
      <c r="G54" s="34" t="s">
        <v>171</v>
      </c>
      <c r="H54" s="35">
        <v>0.2131</v>
      </c>
      <c r="I54" s="38">
        <f t="shared" si="3"/>
        <v>-750</v>
      </c>
      <c r="J54" s="55">
        <f t="shared" si="13"/>
        <v>1013</v>
      </c>
      <c r="K54" s="60">
        <f t="shared" si="11"/>
        <v>56316</v>
      </c>
      <c r="L54" s="38">
        <f t="shared" si="2"/>
        <v>41673.84</v>
      </c>
      <c r="M54" s="60">
        <f t="shared" si="5"/>
        <v>52</v>
      </c>
    </row>
    <row r="55" ht="15.75" customHeight="1">
      <c r="B55" s="33">
        <v>37742.0</v>
      </c>
      <c r="C55" s="34">
        <v>0.73</v>
      </c>
      <c r="D55" s="34">
        <v>0.74</v>
      </c>
      <c r="E55" s="34">
        <v>0.79</v>
      </c>
      <c r="F55" s="34">
        <v>0.71</v>
      </c>
      <c r="G55" s="34" t="s">
        <v>172</v>
      </c>
      <c r="H55" s="35">
        <v>-0.0135</v>
      </c>
      <c r="I55" s="13">
        <f t="shared" si="3"/>
        <v>-750</v>
      </c>
      <c r="J55" s="55">
        <f t="shared" si="13"/>
        <v>1027</v>
      </c>
      <c r="K55" s="56">
        <f t="shared" si="11"/>
        <v>57343</v>
      </c>
      <c r="L55" s="13">
        <f t="shared" si="2"/>
        <v>41860.39</v>
      </c>
      <c r="M55" s="56">
        <f t="shared" si="5"/>
        <v>53</v>
      </c>
    </row>
    <row r="56" ht="15.75" customHeight="1">
      <c r="B56" s="33">
        <v>37773.0</v>
      </c>
      <c r="C56" s="34">
        <v>0.63</v>
      </c>
      <c r="D56" s="34">
        <v>0.73</v>
      </c>
      <c r="E56" s="34">
        <v>0.75</v>
      </c>
      <c r="F56" s="34">
        <v>0.63</v>
      </c>
      <c r="G56" s="34" t="s">
        <v>173</v>
      </c>
      <c r="H56" s="35">
        <v>-0.137</v>
      </c>
      <c r="I56" s="38">
        <f t="shared" si="3"/>
        <v>-750</v>
      </c>
      <c r="J56" s="55">
        <f t="shared" si="13"/>
        <v>1190</v>
      </c>
      <c r="K56" s="60">
        <f t="shared" si="11"/>
        <v>58533</v>
      </c>
      <c r="L56" s="38">
        <f t="shared" si="2"/>
        <v>36875.79</v>
      </c>
      <c r="M56" s="60">
        <f t="shared" si="5"/>
        <v>54</v>
      </c>
    </row>
    <row r="57" ht="15.75" customHeight="1">
      <c r="B57" s="33">
        <v>37803.0</v>
      </c>
      <c r="C57" s="34">
        <v>0.65</v>
      </c>
      <c r="D57" s="34">
        <v>0.63</v>
      </c>
      <c r="E57" s="34">
        <v>0.69</v>
      </c>
      <c r="F57" s="34">
        <v>0.63</v>
      </c>
      <c r="G57" s="34" t="s">
        <v>174</v>
      </c>
      <c r="H57" s="35">
        <v>0.0317</v>
      </c>
      <c r="I57" s="13">
        <f t="shared" si="3"/>
        <v>-750</v>
      </c>
      <c r="J57" s="55">
        <f t="shared" si="13"/>
        <v>1153</v>
      </c>
      <c r="K57" s="56">
        <f t="shared" si="11"/>
        <v>59686</v>
      </c>
      <c r="L57" s="13">
        <f t="shared" si="2"/>
        <v>38795.9</v>
      </c>
      <c r="M57" s="56">
        <f t="shared" si="5"/>
        <v>55</v>
      </c>
    </row>
    <row r="58" ht="15.75" customHeight="1">
      <c r="B58" s="33">
        <v>37834.0</v>
      </c>
      <c r="C58" s="34">
        <v>0.78</v>
      </c>
      <c r="D58" s="34">
        <v>0.66</v>
      </c>
      <c r="E58" s="34">
        <v>0.78</v>
      </c>
      <c r="F58" s="34">
        <v>0.62</v>
      </c>
      <c r="G58" s="34" t="s">
        <v>175</v>
      </c>
      <c r="H58" s="35">
        <v>0.2</v>
      </c>
      <c r="I58" s="38">
        <f t="shared" si="3"/>
        <v>-750</v>
      </c>
      <c r="J58" s="55">
        <f t="shared" si="13"/>
        <v>961</v>
      </c>
      <c r="K58" s="60">
        <f t="shared" si="11"/>
        <v>60647</v>
      </c>
      <c r="L58" s="38">
        <f t="shared" si="2"/>
        <v>47304.66</v>
      </c>
      <c r="M58" s="60">
        <f t="shared" si="5"/>
        <v>56</v>
      </c>
    </row>
    <row r="59" ht="15.75" customHeight="1">
      <c r="B59" s="33">
        <v>37865.0</v>
      </c>
      <c r="C59" s="34">
        <v>0.83</v>
      </c>
      <c r="D59" s="34">
        <v>0.78</v>
      </c>
      <c r="E59" s="34">
        <v>0.93</v>
      </c>
      <c r="F59" s="34">
        <v>0.77</v>
      </c>
      <c r="G59" s="34" t="s">
        <v>176</v>
      </c>
      <c r="H59" s="35">
        <v>0.0641</v>
      </c>
      <c r="I59" s="13">
        <f t="shared" si="3"/>
        <v>-750</v>
      </c>
      <c r="J59" s="55">
        <f t="shared" si="13"/>
        <v>903</v>
      </c>
      <c r="K59" s="56">
        <f t="shared" si="11"/>
        <v>61550</v>
      </c>
      <c r="L59" s="13">
        <f t="shared" si="2"/>
        <v>51086.5</v>
      </c>
      <c r="M59" s="56">
        <f t="shared" si="5"/>
        <v>57</v>
      </c>
    </row>
    <row r="60" ht="15.75" customHeight="1">
      <c r="B60" s="33">
        <v>37895.0</v>
      </c>
      <c r="C60" s="34">
        <v>1.02</v>
      </c>
      <c r="D60" s="34">
        <v>0.83</v>
      </c>
      <c r="E60" s="34">
        <v>1.04</v>
      </c>
      <c r="F60" s="34">
        <v>0.83</v>
      </c>
      <c r="G60" s="34" t="s">
        <v>177</v>
      </c>
      <c r="H60" s="35">
        <v>0.2289</v>
      </c>
      <c r="I60" s="38">
        <f t="shared" si="3"/>
        <v>-750</v>
      </c>
      <c r="J60" s="55">
        <f t="shared" si="13"/>
        <v>735</v>
      </c>
      <c r="K60" s="60">
        <f t="shared" si="11"/>
        <v>62285</v>
      </c>
      <c r="L60" s="38">
        <f t="shared" si="2"/>
        <v>63530.7</v>
      </c>
      <c r="M60" s="60">
        <f t="shared" si="5"/>
        <v>58</v>
      </c>
    </row>
    <row r="61" ht="15.75" customHeight="1">
      <c r="B61" s="33">
        <v>37926.0</v>
      </c>
      <c r="C61" s="34">
        <v>1.13</v>
      </c>
      <c r="D61" s="34">
        <v>1.03</v>
      </c>
      <c r="E61" s="34">
        <v>1.16</v>
      </c>
      <c r="F61" s="34">
        <v>0.96</v>
      </c>
      <c r="G61" s="34" t="s">
        <v>178</v>
      </c>
      <c r="H61" s="35">
        <v>0.1078</v>
      </c>
      <c r="I61" s="13">
        <f t="shared" si="3"/>
        <v>-750</v>
      </c>
      <c r="J61" s="55">
        <f t="shared" si="13"/>
        <v>663</v>
      </c>
      <c r="K61" s="56">
        <f t="shared" si="11"/>
        <v>62948</v>
      </c>
      <c r="L61" s="13">
        <f t="shared" si="2"/>
        <v>71131.24</v>
      </c>
      <c r="M61" s="56">
        <f t="shared" si="5"/>
        <v>59</v>
      </c>
    </row>
    <row r="62" ht="15.75" customHeight="1">
      <c r="B62" s="33">
        <v>37956.0</v>
      </c>
      <c r="C62" s="34">
        <v>1.27</v>
      </c>
      <c r="D62" s="34">
        <v>1.14</v>
      </c>
      <c r="E62" s="34">
        <v>1.27</v>
      </c>
      <c r="F62" s="34">
        <v>1.08</v>
      </c>
      <c r="G62" s="34" t="s">
        <v>179</v>
      </c>
      <c r="H62" s="35">
        <v>0.1239</v>
      </c>
      <c r="I62" s="38">
        <f t="shared" si="3"/>
        <v>-750</v>
      </c>
      <c r="J62" s="55">
        <f t="shared" si="13"/>
        <v>590</v>
      </c>
      <c r="K62" s="60">
        <f t="shared" si="11"/>
        <v>63538</v>
      </c>
      <c r="L62" s="38">
        <f t="shared" si="2"/>
        <v>80693.26</v>
      </c>
      <c r="M62" s="60">
        <f t="shared" si="5"/>
        <v>60</v>
      </c>
    </row>
    <row r="63" ht="15.75" customHeight="1">
      <c r="B63" s="33">
        <v>37987.0</v>
      </c>
      <c r="C63" s="34">
        <v>1.2</v>
      </c>
      <c r="D63" s="34">
        <v>1.28</v>
      </c>
      <c r="E63" s="34">
        <v>1.38</v>
      </c>
      <c r="F63" s="34">
        <v>1.14</v>
      </c>
      <c r="G63" s="34" t="s">
        <v>180</v>
      </c>
      <c r="H63" s="35">
        <v>-0.0551</v>
      </c>
      <c r="I63" s="13">
        <f t="shared" si="3"/>
        <v>-750</v>
      </c>
      <c r="J63" s="55">
        <f>ROUNDDOWN((-I63 + K62*Q11)/C63)</f>
        <v>706</v>
      </c>
      <c r="K63" s="56">
        <f t="shared" si="11"/>
        <v>64244</v>
      </c>
      <c r="L63" s="13">
        <f t="shared" si="2"/>
        <v>77092.8</v>
      </c>
      <c r="M63" s="56">
        <f t="shared" si="5"/>
        <v>61</v>
      </c>
    </row>
    <row r="64" ht="15.75" customHeight="1">
      <c r="B64" s="33">
        <v>38018.0</v>
      </c>
      <c r="C64" s="34">
        <v>1.25</v>
      </c>
      <c r="D64" s="34">
        <v>1.2</v>
      </c>
      <c r="E64" s="34">
        <v>1.29</v>
      </c>
      <c r="F64" s="34">
        <v>1.06</v>
      </c>
      <c r="G64" s="34" t="s">
        <v>181</v>
      </c>
      <c r="H64" s="35">
        <v>0.0417</v>
      </c>
      <c r="I64" s="38">
        <f t="shared" si="3"/>
        <v>-750</v>
      </c>
      <c r="J64" s="55">
        <f t="shared" ref="J64:J67" si="14">-ROUNDDOWN(I64/C64)</f>
        <v>600</v>
      </c>
      <c r="K64" s="60">
        <f t="shared" si="11"/>
        <v>64844</v>
      </c>
      <c r="L64" s="38">
        <f t="shared" si="2"/>
        <v>81055</v>
      </c>
      <c r="M64" s="60">
        <f t="shared" si="5"/>
        <v>62</v>
      </c>
    </row>
    <row r="65" ht="15.75" customHeight="1">
      <c r="B65" s="33">
        <v>38047.0</v>
      </c>
      <c r="C65" s="34">
        <v>1.22</v>
      </c>
      <c r="D65" s="34">
        <v>1.27</v>
      </c>
      <c r="E65" s="34">
        <v>1.32</v>
      </c>
      <c r="F65" s="34">
        <v>1.16</v>
      </c>
      <c r="G65" s="34" t="s">
        <v>182</v>
      </c>
      <c r="H65" s="35">
        <v>-0.024</v>
      </c>
      <c r="I65" s="13">
        <f t="shared" si="3"/>
        <v>-750</v>
      </c>
      <c r="J65" s="55">
        <f t="shared" si="14"/>
        <v>614</v>
      </c>
      <c r="K65" s="56">
        <f t="shared" si="11"/>
        <v>65458</v>
      </c>
      <c r="L65" s="13">
        <f t="shared" si="2"/>
        <v>79858.76</v>
      </c>
      <c r="M65" s="56">
        <f t="shared" si="5"/>
        <v>63</v>
      </c>
    </row>
    <row r="66" ht="15.75" customHeight="1">
      <c r="B66" s="33">
        <v>38078.0</v>
      </c>
      <c r="C66" s="34">
        <v>1.11</v>
      </c>
      <c r="D66" s="34">
        <v>1.23</v>
      </c>
      <c r="E66" s="34">
        <v>1.33</v>
      </c>
      <c r="F66" s="34">
        <v>1.08</v>
      </c>
      <c r="G66" s="34" t="s">
        <v>183</v>
      </c>
      <c r="H66" s="35">
        <v>-0.0902</v>
      </c>
      <c r="I66" s="38">
        <f t="shared" si="3"/>
        <v>-750</v>
      </c>
      <c r="J66" s="55">
        <f t="shared" si="14"/>
        <v>675</v>
      </c>
      <c r="K66" s="60">
        <f t="shared" si="11"/>
        <v>66133</v>
      </c>
      <c r="L66" s="38">
        <f t="shared" si="2"/>
        <v>73407.63</v>
      </c>
      <c r="M66" s="60">
        <f t="shared" si="5"/>
        <v>64</v>
      </c>
    </row>
    <row r="67" ht="15.75" customHeight="1">
      <c r="B67" s="33">
        <v>38108.0</v>
      </c>
      <c r="C67" s="34">
        <v>1.05</v>
      </c>
      <c r="D67" s="34">
        <v>1.11</v>
      </c>
      <c r="E67" s="34">
        <v>1.12</v>
      </c>
      <c r="F67" s="34">
        <v>0.88</v>
      </c>
      <c r="G67" s="34" t="s">
        <v>184</v>
      </c>
      <c r="H67" s="35">
        <v>-0.0541</v>
      </c>
      <c r="I67" s="13">
        <f t="shared" si="3"/>
        <v>-750</v>
      </c>
      <c r="J67" s="55">
        <f t="shared" si="14"/>
        <v>714</v>
      </c>
      <c r="K67" s="56">
        <f t="shared" si="11"/>
        <v>66847</v>
      </c>
      <c r="L67" s="13">
        <f t="shared" si="2"/>
        <v>70189.35</v>
      </c>
      <c r="M67" s="56">
        <f t="shared" si="5"/>
        <v>65</v>
      </c>
    </row>
    <row r="68" ht="15.75" customHeight="1">
      <c r="B68" s="33">
        <v>38139.0</v>
      </c>
      <c r="C68" s="34">
        <v>1.11</v>
      </c>
      <c r="D68" s="34">
        <v>1.04</v>
      </c>
      <c r="E68" s="34">
        <v>1.13</v>
      </c>
      <c r="F68" s="34">
        <v>0.99</v>
      </c>
      <c r="G68" s="34" t="s">
        <v>185</v>
      </c>
      <c r="H68" s="35">
        <v>0.0571</v>
      </c>
      <c r="I68" s="38">
        <f t="shared" si="3"/>
        <v>-750</v>
      </c>
      <c r="J68" s="55">
        <f t="shared" ref="J68:J69" si="15">ROUNDDOWN((-I68 + K67*Q12)/C68)</f>
        <v>701</v>
      </c>
      <c r="K68" s="60">
        <f t="shared" si="11"/>
        <v>67548</v>
      </c>
      <c r="L68" s="38">
        <f t="shared" si="2"/>
        <v>74978.28</v>
      </c>
      <c r="M68" s="60">
        <f t="shared" si="5"/>
        <v>66</v>
      </c>
    </row>
    <row r="69" ht="15.75" customHeight="1">
      <c r="B69" s="33">
        <v>38169.0</v>
      </c>
      <c r="C69" s="34">
        <v>1.34</v>
      </c>
      <c r="D69" s="34">
        <v>1.12</v>
      </c>
      <c r="E69" s="34">
        <v>1.36</v>
      </c>
      <c r="F69" s="34">
        <v>1.1</v>
      </c>
      <c r="G69" s="34" t="s">
        <v>186</v>
      </c>
      <c r="H69" s="35">
        <v>0.2072</v>
      </c>
      <c r="I69" s="13">
        <f t="shared" si="3"/>
        <v>-750</v>
      </c>
      <c r="J69" s="55">
        <f t="shared" si="15"/>
        <v>621</v>
      </c>
      <c r="K69" s="56">
        <f t="shared" si="11"/>
        <v>68169</v>
      </c>
      <c r="L69" s="13">
        <f t="shared" si="2"/>
        <v>91346.46</v>
      </c>
      <c r="M69" s="56">
        <f t="shared" si="5"/>
        <v>67</v>
      </c>
    </row>
    <row r="70" ht="15.75" customHeight="1">
      <c r="B70" s="33">
        <v>38200.0</v>
      </c>
      <c r="C70" s="34">
        <v>1.3</v>
      </c>
      <c r="D70" s="34">
        <v>1.31</v>
      </c>
      <c r="E70" s="34">
        <v>1.42</v>
      </c>
      <c r="F70" s="34">
        <v>1.17</v>
      </c>
      <c r="G70" s="34" t="s">
        <v>187</v>
      </c>
      <c r="H70" s="35">
        <v>-0.0299</v>
      </c>
      <c r="I70" s="38">
        <f t="shared" si="3"/>
        <v>-750</v>
      </c>
      <c r="J70" s="55">
        <f t="shared" ref="J70:J71" si="16">-ROUNDDOWN(I70/C70)</f>
        <v>576</v>
      </c>
      <c r="K70" s="60">
        <f t="shared" si="11"/>
        <v>68745</v>
      </c>
      <c r="L70" s="38">
        <f t="shared" si="2"/>
        <v>89368.5</v>
      </c>
      <c r="M70" s="60">
        <f t="shared" si="5"/>
        <v>68</v>
      </c>
    </row>
    <row r="71" ht="15.75" customHeight="1">
      <c r="B71" s="33">
        <v>38231.0</v>
      </c>
      <c r="C71" s="34">
        <v>1.45</v>
      </c>
      <c r="D71" s="34">
        <v>1.27</v>
      </c>
      <c r="E71" s="34">
        <v>1.48</v>
      </c>
      <c r="F71" s="34">
        <v>1.14</v>
      </c>
      <c r="G71" s="34" t="s">
        <v>188</v>
      </c>
      <c r="H71" s="35">
        <v>0.1154</v>
      </c>
      <c r="I71" s="13">
        <f t="shared" si="3"/>
        <v>-750</v>
      </c>
      <c r="J71" s="55">
        <f t="shared" si="16"/>
        <v>517</v>
      </c>
      <c r="K71" s="56">
        <f t="shared" si="11"/>
        <v>69262</v>
      </c>
      <c r="L71" s="13">
        <f t="shared" si="2"/>
        <v>100429.9</v>
      </c>
      <c r="M71" s="56">
        <f t="shared" si="5"/>
        <v>69</v>
      </c>
    </row>
    <row r="72" ht="15.75" customHeight="1">
      <c r="B72" s="33">
        <v>38261.0</v>
      </c>
      <c r="C72" s="34">
        <v>1.59</v>
      </c>
      <c r="D72" s="34">
        <v>1.47</v>
      </c>
      <c r="E72" s="34">
        <v>1.66</v>
      </c>
      <c r="F72" s="34">
        <v>1.43</v>
      </c>
      <c r="G72" s="34" t="s">
        <v>189</v>
      </c>
      <c r="H72" s="35">
        <v>0.0966</v>
      </c>
      <c r="I72" s="38">
        <f t="shared" si="3"/>
        <v>-750</v>
      </c>
      <c r="J72" s="55">
        <f>ROUNDDOWN((-I72 + K71*Q14)/C72)</f>
        <v>498</v>
      </c>
      <c r="K72" s="60">
        <f t="shared" si="11"/>
        <v>69760</v>
      </c>
      <c r="L72" s="38">
        <f t="shared" si="2"/>
        <v>110918.4</v>
      </c>
      <c r="M72" s="60">
        <f t="shared" si="5"/>
        <v>70</v>
      </c>
    </row>
    <row r="73" ht="15.75" customHeight="1">
      <c r="B73" s="33">
        <v>38292.0</v>
      </c>
      <c r="C73" s="34">
        <v>1.52</v>
      </c>
      <c r="D73" s="34">
        <v>1.59</v>
      </c>
      <c r="E73" s="34">
        <v>1.59</v>
      </c>
      <c r="F73" s="34">
        <v>1.45</v>
      </c>
      <c r="G73" s="34" t="s">
        <v>190</v>
      </c>
      <c r="H73" s="35">
        <v>-0.044</v>
      </c>
      <c r="I73" s="13">
        <f t="shared" si="3"/>
        <v>-750</v>
      </c>
      <c r="J73" s="55">
        <f t="shared" ref="J73:J74" si="17">-ROUNDDOWN(I73/C73)</f>
        <v>493</v>
      </c>
      <c r="K73" s="56">
        <f t="shared" si="11"/>
        <v>70253</v>
      </c>
      <c r="L73" s="13">
        <f t="shared" si="2"/>
        <v>106784.56</v>
      </c>
      <c r="M73" s="56">
        <f t="shared" si="5"/>
        <v>71</v>
      </c>
    </row>
    <row r="74" ht="15.75" customHeight="1">
      <c r="B74" s="33">
        <v>38322.0</v>
      </c>
      <c r="C74" s="34">
        <v>1.56</v>
      </c>
      <c r="D74" s="34">
        <v>1.52</v>
      </c>
      <c r="E74" s="34">
        <v>1.68</v>
      </c>
      <c r="F74" s="34">
        <v>1.41</v>
      </c>
      <c r="G74" s="34" t="s">
        <v>191</v>
      </c>
      <c r="H74" s="35">
        <v>0.0263</v>
      </c>
      <c r="I74" s="38">
        <f t="shared" si="3"/>
        <v>-750</v>
      </c>
      <c r="J74" s="55">
        <f t="shared" si="17"/>
        <v>480</v>
      </c>
      <c r="K74" s="60">
        <f t="shared" si="11"/>
        <v>70733</v>
      </c>
      <c r="L74" s="38">
        <f t="shared" si="2"/>
        <v>110343.48</v>
      </c>
      <c r="M74" s="60">
        <f t="shared" si="5"/>
        <v>72</v>
      </c>
    </row>
    <row r="75" ht="15.75" customHeight="1">
      <c r="B75" s="33">
        <v>38353.0</v>
      </c>
      <c r="C75" s="34">
        <v>1.4</v>
      </c>
      <c r="D75" s="34">
        <v>1.56</v>
      </c>
      <c r="E75" s="34">
        <v>1.59</v>
      </c>
      <c r="F75" s="34">
        <v>1.28</v>
      </c>
      <c r="G75" s="34" t="s">
        <v>33</v>
      </c>
      <c r="H75" s="35">
        <v>-0.1026</v>
      </c>
      <c r="I75" s="13">
        <f>L75</f>
        <v>99099</v>
      </c>
      <c r="J75" s="63">
        <f>ROUNDDOWN(K74*Q15/C75)</f>
        <v>52</v>
      </c>
      <c r="K75" s="56">
        <f t="shared" si="11"/>
        <v>70785</v>
      </c>
      <c r="L75" s="13">
        <f t="shared" si="2"/>
        <v>99099</v>
      </c>
      <c r="M75" s="56">
        <f t="shared" si="5"/>
        <v>73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4">
    <tablePart r:id="rId6"/>
    <tablePart r:id="rId7"/>
    <tablePart r:id="rId8"/>
    <tablePart r:id="rId9"/>
  </tableParts>
</worksheet>
</file>