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1993-1998 (Parte 5)" sheetId="2" r:id="rId5"/>
    <sheet state="visible" name="1999-2004 (Parte 4)" sheetId="3" r:id="rId6"/>
    <sheet state="visible" name="2005-2010 (Parte 3)" sheetId="4" r:id="rId7"/>
  </sheets>
  <definedNames/>
  <calcPr/>
</workbook>
</file>

<file path=xl/sharedStrings.xml><?xml version="1.0" encoding="utf-8"?>
<sst xmlns="http://schemas.openxmlformats.org/spreadsheetml/2006/main" count="365" uniqueCount="265">
  <si>
    <t>Data</t>
  </si>
  <si>
    <t>Qtd Ações Total</t>
  </si>
  <si>
    <t>Valor da Ação</t>
  </si>
  <si>
    <t>Patrimônio</t>
  </si>
  <si>
    <t>Tempo</t>
  </si>
  <si>
    <t>a.a</t>
  </si>
  <si>
    <t>a.m</t>
  </si>
  <si>
    <t>Fluxo de Caixa para cálculo da TIR</t>
  </si>
  <si>
    <t>TIR</t>
  </si>
  <si>
    <t>VPL</t>
  </si>
  <si>
    <t>*Escolhida</t>
  </si>
  <si>
    <t>TMA</t>
  </si>
  <si>
    <t>*Nota: todos os valores são atualizados a cada parte, pois a quantia total das ações influencia na compra de mais ações em outra etapa.</t>
  </si>
  <si>
    <t>Fluxos de Caixa</t>
  </si>
  <si>
    <t>Parte 5</t>
  </si>
  <si>
    <t>Parte 4</t>
  </si>
  <si>
    <t>Parte 3</t>
  </si>
  <si>
    <t>Ações - CMIG4</t>
  </si>
  <si>
    <t>O valor resultante de JCP e dividendos é utilizado na compra de ações no próximo mês, com exceção do último, que é somado ao patrimônio</t>
  </si>
  <si>
    <t>Proventos</t>
  </si>
  <si>
    <t>Data (dd/mm/aa)</t>
  </si>
  <si>
    <t>Preço</t>
  </si>
  <si>
    <t>Abertura</t>
  </si>
  <si>
    <t>Alta</t>
  </si>
  <si>
    <t>Baixa</t>
  </si>
  <si>
    <t>Volume</t>
  </si>
  <si>
    <t>Variação %</t>
  </si>
  <si>
    <t>Aporte</t>
  </si>
  <si>
    <t>Compra</t>
  </si>
  <si>
    <t>Total</t>
  </si>
  <si>
    <t>Mês</t>
  </si>
  <si>
    <t>Tipo</t>
  </si>
  <si>
    <t>Valor</t>
  </si>
  <si>
    <t/>
  </si>
  <si>
    <t>Bonificação</t>
  </si>
  <si>
    <t>Dividendos</t>
  </si>
  <si>
    <t>Agrupamento</t>
  </si>
  <si>
    <t>87,23K</t>
  </si>
  <si>
    <t>69,92K</t>
  </si>
  <si>
    <t>111,30K</t>
  </si>
  <si>
    <t>124,55K</t>
  </si>
  <si>
    <t>Juros</t>
  </si>
  <si>
    <t>111,48K</t>
  </si>
  <si>
    <t>63,90K</t>
  </si>
  <si>
    <t>45,88K</t>
  </si>
  <si>
    <t>2,15M</t>
  </si>
  <si>
    <t>1,46M</t>
  </si>
  <si>
    <t>1,88M</t>
  </si>
  <si>
    <t>1,20M</t>
  </si>
  <si>
    <t>67,79M</t>
  </si>
  <si>
    <t>39,96M</t>
  </si>
  <si>
    <t>42,95M</t>
  </si>
  <si>
    <t>84,06M</t>
  </si>
  <si>
    <t>119,07M</t>
  </si>
  <si>
    <t>84,10M</t>
  </si>
  <si>
    <t>66,59M</t>
  </si>
  <si>
    <t>*O valor é liquidado na última avaliação, em 01/01/2005</t>
  </si>
  <si>
    <t>76,39M</t>
  </si>
  <si>
    <t>78,82M</t>
  </si>
  <si>
    <t>Preço da primeira compra:</t>
  </si>
  <si>
    <t>63,34M</t>
  </si>
  <si>
    <t>Preço da última compra:</t>
  </si>
  <si>
    <t>91,19M</t>
  </si>
  <si>
    <t>Preço de liquidação:</t>
  </si>
  <si>
    <t>49,07M</t>
  </si>
  <si>
    <t>Razão Primeira/Liquidação:</t>
  </si>
  <si>
    <t>63,38M</t>
  </si>
  <si>
    <t>45,42M</t>
  </si>
  <si>
    <t>34,99M</t>
  </si>
  <si>
    <t>46,36M</t>
  </si>
  <si>
    <t>47,75M</t>
  </si>
  <si>
    <t>44,35M</t>
  </si>
  <si>
    <t>37,85M</t>
  </si>
  <si>
    <t>37,09M</t>
  </si>
  <si>
    <t>59,18M</t>
  </si>
  <si>
    <t>68,57M</t>
  </si>
  <si>
    <t>49,58M</t>
  </si>
  <si>
    <t>56,90M</t>
  </si>
  <si>
    <t>57,01M</t>
  </si>
  <si>
    <t>47,88M</t>
  </si>
  <si>
    <t>54,46M</t>
  </si>
  <si>
    <t>40,38M</t>
  </si>
  <si>
    <t>30,91M</t>
  </si>
  <si>
    <t>64,12M</t>
  </si>
  <si>
    <t>51,80M</t>
  </si>
  <si>
    <t>85,66M</t>
  </si>
  <si>
    <t>91,05M</t>
  </si>
  <si>
    <t>64,71M</t>
  </si>
  <si>
    <t>72,01M</t>
  </si>
  <si>
    <t>69,49M</t>
  </si>
  <si>
    <t>87,42M</t>
  </si>
  <si>
    <t>112,20M</t>
  </si>
  <si>
    <t>115,63M</t>
  </si>
  <si>
    <t>74,52M</t>
  </si>
  <si>
    <t>94,47M</t>
  </si>
  <si>
    <t>120,51M</t>
  </si>
  <si>
    <t>100,73M</t>
  </si>
  <si>
    <t>70,05M</t>
  </si>
  <si>
    <t>64,22M</t>
  </si>
  <si>
    <t>58,72M</t>
  </si>
  <si>
    <t>74,92M</t>
  </si>
  <si>
    <t>74,74M</t>
  </si>
  <si>
    <t>80,70M</t>
  </si>
  <si>
    <t>59,53M</t>
  </si>
  <si>
    <t>74,58M</t>
  </si>
  <si>
    <t>112,45M</t>
  </si>
  <si>
    <t>159,30M</t>
  </si>
  <si>
    <t>141,98M</t>
  </si>
  <si>
    <t>106,07M</t>
  </si>
  <si>
    <t>78,31M</t>
  </si>
  <si>
    <t>125,09M</t>
  </si>
  <si>
    <t>O valor resultante de JCP e dividendos é utilizado na compra de ações no próximo mês, com exceção do último, que é convertido em ações no mesmo período.</t>
  </si>
  <si>
    <t>DIVIDENDOS</t>
  </si>
  <si>
    <t>56,58M</t>
  </si>
  <si>
    <t>JUROS</t>
  </si>
  <si>
    <t>71,05M</t>
  </si>
  <si>
    <t>63,36M</t>
  </si>
  <si>
    <t>70,00M</t>
  </si>
  <si>
    <t>65,34M</t>
  </si>
  <si>
    <t>BONIFICAÇÃO</t>
  </si>
  <si>
    <t>1,98%.</t>
  </si>
  <si>
    <t>58,96M</t>
  </si>
  <si>
    <t>66,36M</t>
  </si>
  <si>
    <t>82,76M</t>
  </si>
  <si>
    <t>119,12M</t>
  </si>
  <si>
    <t>98,78M</t>
  </si>
  <si>
    <t>97,62M</t>
  </si>
  <si>
    <t>107,00M</t>
  </si>
  <si>
    <t>259,47M</t>
  </si>
  <si>
    <t>184,54M</t>
  </si>
  <si>
    <t>110,80M</t>
  </si>
  <si>
    <t>85,41M</t>
  </si>
  <si>
    <t>149,08M</t>
  </si>
  <si>
    <t>116,68M</t>
  </si>
  <si>
    <t>121,21M</t>
  </si>
  <si>
    <t>60,71M</t>
  </si>
  <si>
    <t>82,17M</t>
  </si>
  <si>
    <t>83,26M</t>
  </si>
  <si>
    <t>67,13M</t>
  </si>
  <si>
    <t>124,54M</t>
  </si>
  <si>
    <t>75,81M</t>
  </si>
  <si>
    <t>100,08M</t>
  </si>
  <si>
    <t>113,97M</t>
  </si>
  <si>
    <t>148,32M</t>
  </si>
  <si>
    <t>94,93M</t>
  </si>
  <si>
    <t>94,65M</t>
  </si>
  <si>
    <t>84,43M</t>
  </si>
  <si>
    <t>72,76M</t>
  </si>
  <si>
    <t>86,31M</t>
  </si>
  <si>
    <t>99,23M</t>
  </si>
  <si>
    <t>104,96M</t>
  </si>
  <si>
    <t>134,49M</t>
  </si>
  <si>
    <t>104,88M</t>
  </si>
  <si>
    <t>103,10M</t>
  </si>
  <si>
    <t>127,36M</t>
  </si>
  <si>
    <t>96,75M</t>
  </si>
  <si>
    <t>98,36M</t>
  </si>
  <si>
    <t>94,36M</t>
  </si>
  <si>
    <t>136,12M</t>
  </si>
  <si>
    <t>103,81M</t>
  </si>
  <si>
    <t>127,85M</t>
  </si>
  <si>
    <t>79,04M</t>
  </si>
  <si>
    <t>116,69M</t>
  </si>
  <si>
    <t>116,24M</t>
  </si>
  <si>
    <t>97,61M</t>
  </si>
  <si>
    <t>106,42M</t>
  </si>
  <si>
    <t>170,35M</t>
  </si>
  <si>
    <t>144,87M</t>
  </si>
  <si>
    <t>138,80M</t>
  </si>
  <si>
    <t>140,04M</t>
  </si>
  <si>
    <t>156,80M</t>
  </si>
  <si>
    <t>230,53M</t>
  </si>
  <si>
    <t>220,53M</t>
  </si>
  <si>
    <t>145,59M</t>
  </si>
  <si>
    <t>123,35M</t>
  </si>
  <si>
    <t>146,91M</t>
  </si>
  <si>
    <t>146,95M</t>
  </si>
  <si>
    <t>133,01M</t>
  </si>
  <si>
    <t>144,95M</t>
  </si>
  <si>
    <t>142,88M</t>
  </si>
  <si>
    <t>108,94M</t>
  </si>
  <si>
    <t>108,56M</t>
  </si>
  <si>
    <t>113,52M</t>
  </si>
  <si>
    <t>141,01M</t>
  </si>
  <si>
    <t>124,51M</t>
  </si>
  <si>
    <t>99,37M</t>
  </si>
  <si>
    <t>108,52M</t>
  </si>
  <si>
    <t>96,22M</t>
  </si>
  <si>
    <t>Pagamento</t>
  </si>
  <si>
    <t>Por Quantas Ações</t>
  </si>
  <si>
    <t>JRS CAP PRÓPRIO</t>
  </si>
  <si>
    <t>121,32M</t>
  </si>
  <si>
    <t>DIVIDENDO</t>
  </si>
  <si>
    <t>120,99M</t>
  </si>
  <si>
    <t>158,22M</t>
  </si>
  <si>
    <t>83,98M</t>
  </si>
  <si>
    <t>102,51M</t>
  </si>
  <si>
    <t>107,92M</t>
  </si>
  <si>
    <t>95,60M</t>
  </si>
  <si>
    <t>75,50M</t>
  </si>
  <si>
    <t>94,92M</t>
  </si>
  <si>
    <t>99,73M</t>
  </si>
  <si>
    <t>79,41M</t>
  </si>
  <si>
    <t>90,07M</t>
  </si>
  <si>
    <t>79,99M</t>
  </si>
  <si>
    <t>132,44M</t>
  </si>
  <si>
    <t>70,74M</t>
  </si>
  <si>
    <t>Análise</t>
  </si>
  <si>
    <t>168,69M</t>
  </si>
  <si>
    <t>112,26M</t>
  </si>
  <si>
    <t>85,39M</t>
  </si>
  <si>
    <t>121,82M</t>
  </si>
  <si>
    <t>97,25M</t>
  </si>
  <si>
    <t>*O valor é liquidado na última avaliação, em 01/01/2011</t>
  </si>
  <si>
    <t>109,82M</t>
  </si>
  <si>
    <t>75,44M</t>
  </si>
  <si>
    <t>90,05M</t>
  </si>
  <si>
    <t>85,47M</t>
  </si>
  <si>
    <t>99,41M</t>
  </si>
  <si>
    <t>104,69M</t>
  </si>
  <si>
    <t>141,16M</t>
  </si>
  <si>
    <t>177,68M</t>
  </si>
  <si>
    <t>127,35M</t>
  </si>
  <si>
    <t>152,97M</t>
  </si>
  <si>
    <t>125,73M</t>
  </si>
  <si>
    <t>141,29M</t>
  </si>
  <si>
    <t>133,81M</t>
  </si>
  <si>
    <t>149,91M</t>
  </si>
  <si>
    <t>175,43M</t>
  </si>
  <si>
    <t>152,99M</t>
  </si>
  <si>
    <t>151,57M</t>
  </si>
  <si>
    <t>130,88M</t>
  </si>
  <si>
    <t>131,32M</t>
  </si>
  <si>
    <t>134,57M</t>
  </si>
  <si>
    <t>151,83M</t>
  </si>
  <si>
    <t>134,95M</t>
  </si>
  <si>
    <t>173,32M</t>
  </si>
  <si>
    <t>183,75M</t>
  </si>
  <si>
    <t>117,33M</t>
  </si>
  <si>
    <t>162,20M</t>
  </si>
  <si>
    <t>100,47M</t>
  </si>
  <si>
    <t>86,58M</t>
  </si>
  <si>
    <t>105,04M</t>
  </si>
  <si>
    <t>143,50M</t>
  </si>
  <si>
    <t>151,23M</t>
  </si>
  <si>
    <t>142,31M</t>
  </si>
  <si>
    <t>132,17M</t>
  </si>
  <si>
    <t>96,26M</t>
  </si>
  <si>
    <t>110,29M</t>
  </si>
  <si>
    <t>115,12M</t>
  </si>
  <si>
    <t>88,45M</t>
  </si>
  <si>
    <t>105,69M</t>
  </si>
  <si>
    <t>100,60M</t>
  </si>
  <si>
    <t>78,14M</t>
  </si>
  <si>
    <t>86,87M</t>
  </si>
  <si>
    <t>93,99M</t>
  </si>
  <si>
    <t>94,00M</t>
  </si>
  <si>
    <t>96,31M</t>
  </si>
  <si>
    <t>78,23M</t>
  </si>
  <si>
    <t>117,24M</t>
  </si>
  <si>
    <t>94,64M</t>
  </si>
  <si>
    <t>102,43M</t>
  </si>
  <si>
    <t>65,13M</t>
  </si>
  <si>
    <t>80,38M</t>
  </si>
  <si>
    <t>75,89M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</si>
</sst>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yy"/>
    <numFmt numFmtId="165" formatCode="[$R$ -416]#,##0.00"/>
    <numFmt numFmtId="166" formatCode="0.0000%"/>
    <numFmt numFmtId="167" formatCode="&quot;R$&quot;\ #,##0.00"/>
    <numFmt numFmtId="168" formatCode="0.00000000%"/>
    <numFmt numFmtId="169" formatCode="dd/MM/yyyy"/>
    <numFmt numFmtId="170" formatCode="0:000"/>
    <numFmt numFmtId="171" formatCode="d/m/yyyy"/>
    <numFmt numFmtId="172" formatCode="0.0000000000%"/>
  </numFmts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color rgb="FF000000"/>
      <name val="Arial"/>
    </font>
    <font>
      <b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4" numFmtId="165" xfId="0" applyBorder="1" applyFont="1" applyNumberFormat="1"/>
    <xf borderId="3" fillId="3" fontId="2" numFmtId="0" xfId="0" applyAlignment="1" applyBorder="1" applyFill="1" applyFont="1">
      <alignment vertical="bottom"/>
    </xf>
    <xf borderId="4" fillId="3" fontId="1" numFmtId="166" xfId="0" applyAlignment="1" applyBorder="1" applyFont="1" applyNumberFormat="1">
      <alignment horizontal="right" vertical="bottom"/>
    </xf>
    <xf borderId="1" fillId="3" fontId="1" numFmtId="166" xfId="0" applyAlignment="1" applyBorder="1" applyFont="1" applyNumberFormat="1">
      <alignment horizontal="right" vertical="bottom"/>
    </xf>
    <xf borderId="1" fillId="3" fontId="1" numFmtId="165" xfId="0" applyAlignment="1" applyBorder="1" applyFont="1" applyNumberFormat="1">
      <alignment horizontal="right" vertical="bottom"/>
    </xf>
    <xf borderId="1" fillId="3" fontId="2" numFmtId="164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0" fontId="5" numFmtId="165" xfId="0" applyAlignment="1" applyBorder="1" applyFont="1" applyNumberFormat="1">
      <alignment readingOrder="0" shrinkToFit="0" vertical="bottom" wrapText="0"/>
    </xf>
    <xf borderId="1" fillId="3" fontId="1" numFmtId="165" xfId="0" applyAlignment="1" applyBorder="1" applyFont="1" applyNumberFormat="1">
      <alignment horizontal="right" vertical="bottom"/>
    </xf>
    <xf borderId="3" fillId="4" fontId="2" numFmtId="0" xfId="0" applyAlignment="1" applyBorder="1" applyFill="1" applyFont="1">
      <alignment vertical="bottom"/>
    </xf>
    <xf borderId="4" fillId="4" fontId="1" numFmtId="167" xfId="0" applyAlignment="1" applyBorder="1" applyFont="1" applyNumberFormat="1">
      <alignment horizontal="right" vertical="bottom"/>
    </xf>
    <xf borderId="4" fillId="4" fontId="1" numFmtId="168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3" fillId="4" fontId="1" numFmtId="165" xfId="0" applyAlignment="1" applyBorder="1" applyFont="1" applyNumberFormat="1">
      <alignment horizontal="right" vertical="bottom"/>
    </xf>
    <xf borderId="1" fillId="4" fontId="2" numFmtId="164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horizontal="right" vertical="bottom"/>
    </xf>
    <xf borderId="1" fillId="4" fontId="1" numFmtId="165" xfId="0" applyAlignment="1" applyBorder="1" applyFont="1" applyNumberFormat="1">
      <alignment horizontal="right" readingOrder="0" vertical="bottom"/>
    </xf>
    <xf borderId="1" fillId="4" fontId="1" numFmtId="165" xfId="0" applyAlignment="1" applyBorder="1" applyFont="1" applyNumberFormat="1">
      <alignment horizontal="right" vertical="bottom"/>
    </xf>
    <xf borderId="4" fillId="3" fontId="1" numFmtId="9" xfId="0" applyAlignment="1" applyBorder="1" applyFont="1" applyNumberFormat="1">
      <alignment horizontal="right" vertical="bottom"/>
    </xf>
    <xf borderId="4" fillId="3" fontId="1" numFmtId="168" xfId="0" applyAlignment="1" applyBorder="1" applyFont="1" applyNumberFormat="1">
      <alignment horizontal="right" vertical="bottom"/>
    </xf>
    <xf borderId="3" fillId="3" fontId="1" numFmtId="165" xfId="0" applyAlignment="1" applyBorder="1" applyFont="1" applyNumberFormat="1">
      <alignment horizontal="right" vertical="bottom"/>
    </xf>
    <xf borderId="0" fillId="0" fontId="4" numFmtId="169" xfId="0" applyFont="1" applyNumberFormat="1"/>
    <xf borderId="0" fillId="0" fontId="4" numFmtId="165" xfId="0" applyFont="1" applyNumberFormat="1"/>
    <xf borderId="0" fillId="0" fontId="4" numFmtId="167" xfId="0" applyFont="1" applyNumberFormat="1"/>
    <xf borderId="1" fillId="2" fontId="2" numFmtId="0" xfId="0" applyAlignment="1" applyBorder="1" applyFont="1">
      <alignment vertical="bottom"/>
    </xf>
    <xf borderId="1" fillId="3" fontId="1" numFmtId="165" xfId="0" applyAlignment="1" applyBorder="1" applyFont="1" applyNumberFormat="1">
      <alignment horizontal="right" readingOrder="0" vertical="bottom"/>
    </xf>
    <xf borderId="4" fillId="3" fontId="1" numFmtId="165" xfId="0" applyAlignment="1" applyBorder="1" applyFont="1" applyNumberFormat="1">
      <alignment horizontal="right" vertical="bottom"/>
    </xf>
    <xf borderId="1" fillId="4" fontId="1" numFmtId="165" xfId="0" applyAlignment="1" applyBorder="1" applyFont="1" applyNumberFormat="1">
      <alignment horizontal="right" vertical="bottom"/>
    </xf>
    <xf borderId="4" fillId="4" fontId="1" numFmtId="165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/>
    </xf>
    <xf borderId="1" fillId="2" fontId="6" numFmtId="0" xfId="0" applyAlignment="1" applyBorder="1" applyFont="1">
      <alignment readingOrder="0" vertical="bottom"/>
    </xf>
    <xf borderId="2" fillId="2" fontId="6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5" numFmtId="169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10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right" vertical="bottom"/>
    </xf>
    <xf borderId="1" fillId="0" fontId="8" numFmtId="164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1" fillId="0" fontId="7" numFmtId="10" xfId="0" applyAlignment="1" applyBorder="1" applyFont="1" applyNumberFormat="1">
      <alignment readingOrder="0"/>
    </xf>
    <xf borderId="1" fillId="4" fontId="1" numFmtId="0" xfId="0" applyAlignment="1" applyBorder="1" applyFont="1">
      <alignment horizontal="right" vertical="bottom"/>
    </xf>
    <xf borderId="1" fillId="0" fontId="7" numFmtId="170" xfId="0" applyAlignment="1" applyBorder="1" applyFont="1" applyNumberFormat="1">
      <alignment readingOrder="0"/>
    </xf>
    <xf borderId="1" fillId="0" fontId="8" numFmtId="171" xfId="0" applyAlignment="1" applyBorder="1" applyFont="1" applyNumberFormat="1">
      <alignment readingOrder="0"/>
    </xf>
    <xf borderId="0" fillId="0" fontId="7" numFmtId="0" xfId="0" applyFont="1"/>
    <xf borderId="1" fillId="0" fontId="4" numFmtId="9" xfId="0" applyAlignment="1" applyBorder="1" applyFont="1" applyNumberFormat="1">
      <alignment readingOrder="0"/>
    </xf>
    <xf borderId="1" fillId="0" fontId="4" numFmtId="10" xfId="0" applyBorder="1" applyFont="1" applyNumberFormat="1"/>
    <xf borderId="1" fillId="0" fontId="4" numFmtId="166" xfId="0" applyBorder="1" applyFont="1" applyNumberFormat="1"/>
    <xf borderId="0" fillId="0" fontId="7" numFmtId="0" xfId="0" applyFont="1"/>
    <xf borderId="1" fillId="0" fontId="4" numFmtId="165" xfId="0" applyBorder="1" applyFont="1" applyNumberFormat="1"/>
    <xf borderId="0" fillId="0" fontId="6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vertical="bottom"/>
    </xf>
    <xf borderId="6" fillId="3" fontId="6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vertical="bottom"/>
    </xf>
    <xf borderId="4" fillId="3" fontId="9" numFmtId="167" xfId="0" applyAlignment="1" applyBorder="1" applyFont="1" applyNumberFormat="1">
      <alignment horizontal="right" vertical="bottom"/>
    </xf>
    <xf borderId="6" fillId="4" fontId="6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vertical="bottom"/>
    </xf>
    <xf borderId="4" fillId="4" fontId="9" numFmtId="167" xfId="0" applyAlignment="1" applyBorder="1" applyFont="1" applyNumberFormat="1">
      <alignment horizontal="right" vertical="bottom"/>
    </xf>
    <xf borderId="4" fillId="3" fontId="1" numFmtId="172" xfId="0" applyAlignment="1" applyBorder="1" applyFont="1" applyNumberFormat="1">
      <alignment vertical="bottom"/>
    </xf>
    <xf borderId="4" fillId="4" fontId="9" numFmtId="0" xfId="0" applyAlignment="1" applyBorder="1" applyFont="1">
      <alignment horizontal="right" vertical="bottom"/>
    </xf>
    <xf borderId="1" fillId="0" fontId="10" numFmtId="169" xfId="0" applyAlignment="1" applyBorder="1" applyFont="1" applyNumberFormat="1">
      <alignment readingOrder="0" shrinkToFit="0" vertical="bottom" wrapText="0"/>
    </xf>
    <xf borderId="1" fillId="0" fontId="7" numFmtId="164" xfId="0" applyAlignment="1" applyBorder="1" applyFont="1" applyNumberFormat="1">
      <alignment readingOrder="0"/>
    </xf>
    <xf borderId="1" fillId="3" fontId="7" numFmtId="0" xfId="0" applyAlignment="1" applyBorder="1" applyFont="1">
      <alignment horizontal="left" readingOrder="0"/>
    </xf>
    <xf borderId="1" fillId="0" fontId="7" numFmtId="171" xfId="0" applyAlignment="1" applyBorder="1" applyFont="1" applyNumberFormat="1">
      <alignment readingOrder="0"/>
    </xf>
    <xf borderId="4" fillId="3" fontId="2" numFmtId="165" xfId="0" applyAlignment="1" applyBorder="1" applyFont="1" applyNumberFormat="1">
      <alignment horizontal="right" readingOrder="0" vertical="bottom"/>
    </xf>
    <xf borderId="1" fillId="0" fontId="10" numFmtId="169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10" xfId="0" applyAlignment="1" applyBorder="1" applyFont="1" applyNumberFormat="1">
      <alignment readingOrder="0" shrinkToFit="0" vertical="bottom" wrapText="0"/>
    </xf>
    <xf borderId="4" fillId="3" fontId="1" numFmtId="0" xfId="0" applyAlignment="1" applyBorder="1" applyFont="1">
      <alignment horizontal="right" vertical="bottom"/>
    </xf>
    <xf borderId="1" fillId="0" fontId="4" numFmtId="164" xfId="0" applyBorder="1" applyFont="1" applyNumberFormat="1"/>
    <xf borderId="1" fillId="0" fontId="4" numFmtId="0" xfId="0" applyBorder="1" applyFont="1"/>
    <xf borderId="4" fillId="4" fontId="1" numFmtId="0" xfId="0" applyAlignment="1" applyBorder="1" applyFont="1">
      <alignment horizontal="right" vertical="bottom"/>
    </xf>
    <xf borderId="1" fillId="0" fontId="4" numFmtId="171" xfId="0" applyBorder="1" applyFont="1" applyNumberForma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</dxfs>
  <tableStyles count="14">
    <tableStyle count="2" pivot="0" name="Final-style">
      <tableStyleElement dxfId="1" type="firstRowStripe"/>
      <tableStyleElement dxfId="2" type="secondRowStripe"/>
    </tableStyle>
    <tableStyle count="3" pivot="0" name="1993-1998 (Parte 5)-style">
      <tableStyleElement dxfId="3" type="headerRow"/>
      <tableStyleElement dxfId="1" type="firstRowStripe"/>
      <tableStyleElement dxfId="2" type="secondRowStripe"/>
    </tableStyle>
    <tableStyle count="2" pivot="0" name="1993-1998 (Parte 5)-style 2">
      <tableStyleElement dxfId="1" type="firstRowStripe"/>
      <tableStyleElement dxfId="2" type="secondRowStripe"/>
    </tableStyle>
    <tableStyle count="2" pivot="0" name="1993-1998 (Parte 5)-style 3">
      <tableStyleElement dxfId="1" type="firstRowStripe"/>
      <tableStyleElement dxfId="2" type="secondRowStripe"/>
    </tableStyle>
    <tableStyle count="2" pivot="0" name="1993-1998 (Parte 5)-style 4">
      <tableStyleElement dxfId="1" type="firstRowStripe"/>
      <tableStyleElement dxfId="2" type="secondRowStripe"/>
    </tableStyle>
    <tableStyle count="3" pivot="0" name="1993-1998 (Parte 5)-style 5">
      <tableStyleElement dxfId="3" type="headerRow"/>
      <tableStyleElement dxfId="1" type="firstRowStripe"/>
      <tableStyleElement dxfId="2" type="secondRowStripe"/>
    </tableStyle>
    <tableStyle count="3" pivot="0" name="1999-2004 (Parte 4)-style">
      <tableStyleElement dxfId="3" type="headerRow"/>
      <tableStyleElement dxfId="1" type="firstRowStripe"/>
      <tableStyleElement dxfId="2" type="secondRowStripe"/>
    </tableStyle>
    <tableStyle count="2" pivot="0" name="1999-2004 (Parte 4)-style 2">
      <tableStyleElement dxfId="1" type="firstRowStripe"/>
      <tableStyleElement dxfId="2" type="secondRowStripe"/>
    </tableStyle>
    <tableStyle count="2" pivot="0" name="1999-2004 (Parte 4)-style 3">
      <tableStyleElement dxfId="1" type="firstRowStripe"/>
      <tableStyleElement dxfId="2" type="secondRowStripe"/>
    </tableStyle>
    <tableStyle count="3" pivot="0" name="1999-2004 (Parte 4)-style 4">
      <tableStyleElement dxfId="3" type="headerRow"/>
      <tableStyleElement dxfId="1" type="firstRowStripe"/>
      <tableStyleElement dxfId="2" type="secondRowStripe"/>
    </tableStyle>
    <tableStyle count="3" pivot="0" name="2005-2010 (Parte 3)-style">
      <tableStyleElement dxfId="3" type="headerRow"/>
      <tableStyleElement dxfId="1" type="firstRowStripe"/>
      <tableStyleElement dxfId="2" type="secondRowStripe"/>
    </tableStyle>
    <tableStyle count="2" pivot="0" name="2005-2010 (Parte 3)-style 2">
      <tableStyleElement dxfId="1" type="firstRowStripe"/>
      <tableStyleElement dxfId="2" type="secondRowStripe"/>
    </tableStyle>
    <tableStyle count="2" pivot="0" name="2005-2010 (Parte 3)-style 3">
      <tableStyleElement dxfId="1" type="firstRowStripe"/>
      <tableStyleElement dxfId="2" type="secondRowStripe"/>
    </tableStyle>
    <tableStyle count="3" pivot="0" name="2005-2010 (Parte 3)-style 4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5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Final-style" showColumnStripes="0" showFirstColumn="1" showLastColumn="1" showRowStripes="1"/>
</table>
</file>

<file path=xl/tables/table2.xml><?xml version="1.0" encoding="utf-8"?>
<table xmlns="http://schemas.openxmlformats.org/spreadsheetml/2006/main" headerRowCount="0" ref="O2:Q2" displayName="Table_2" id="2">
  <tableColumns count="3">
    <tableColumn name="Column1" id="1"/>
    <tableColumn name="Column2" id="2"/>
    <tableColumn name="Column3" id="3"/>
  </tableColumns>
  <tableStyleInfo name="1993-1998 (Parte 5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3:H75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1993-1998 (Parte 5)-style 2" showColumnStripes="0" showFirstColumn="1" showLastColumn="1" showRowStripes="1"/>
</table>
</file>

<file path=xl/tables/table4.xml><?xml version="1.0" encoding="utf-8"?>
<table xmlns="http://schemas.openxmlformats.org/spreadsheetml/2006/main" headerRowCount="0" ref="J3:J75" displayName="Table_4" id="4">
  <tableColumns count="1">
    <tableColumn name="Column1" id="1"/>
  </tableColumns>
  <tableStyleInfo name="1993-1998 (Parte 5)-style 3" showColumnStripes="0" showFirstColumn="1" showLastColumn="1" showRowStripes="1"/>
</table>
</file>

<file path=xl/tables/table5.xml><?xml version="1.0" encoding="utf-8"?>
<table xmlns="http://schemas.openxmlformats.org/spreadsheetml/2006/main" headerRowCount="0" ref="O3:Q16" displayName="Table_5" id="5">
  <tableColumns count="3">
    <tableColumn name="Column1" id="1"/>
    <tableColumn name="Column2" id="2"/>
    <tableColumn name="Column3" id="3"/>
  </tableColumns>
  <tableStyleInfo name="1993-1998 (Parte 5)-style 4" showColumnStripes="0" showFirstColumn="1" showLastColumn="1" showRowStripes="1"/>
</table>
</file>

<file path=xl/tables/table6.xml><?xml version="1.0" encoding="utf-8"?>
<table xmlns="http://schemas.openxmlformats.org/spreadsheetml/2006/main" headerRowCount="0" ref="O20:Q23" displayName="Table_6" id="6">
  <tableColumns count="3">
    <tableColumn name="Column1" id="1"/>
    <tableColumn name="Column2" id="2"/>
    <tableColumn name="Column3" id="3"/>
  </tableColumns>
  <tableStyleInfo name="1993-1998 (Parte 5)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O2:Q15" displayName="Table_7" id="7">
  <tableColumns count="3">
    <tableColumn name="Data" id="1"/>
    <tableColumn name="Tipo" id="2"/>
    <tableColumn name="Valor" id="3"/>
  </tableColumns>
  <tableStyleInfo name="1999-2004 (Parte 4)-style" showColumnStripes="0" showFirstColumn="1" showLastColumn="1" showRowStripes="1"/>
</table>
</file>

<file path=xl/tables/table8.xml><?xml version="1.0" encoding="utf-8"?>
<table xmlns="http://schemas.openxmlformats.org/spreadsheetml/2006/main" headerRowCount="0" ref="B3:H7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1999-2004 (Parte 4)-style 2" showColumnStripes="0" showFirstColumn="1" showLastColumn="1" showRowStripes="1"/>
</table>
</file>

<file path=xl/tables/table9.xml><?xml version="1.0" encoding="utf-8"?>
<table xmlns="http://schemas.openxmlformats.org/spreadsheetml/2006/main" headerRowCount="0" ref="J3:J75" displayName="Table_9" id="9">
  <tableColumns count="1">
    <tableColumn name="Column1" id="1"/>
  </tableColumns>
  <tableStyleInfo name="1999-2004 (Parte 4)-style 3" showColumnStripes="0" showFirstColumn="1" showLastColumn="1" showRowStripes="1"/>
</table>
</file>

<file path=xl/tables/table10.xml><?xml version="1.0" encoding="utf-8"?>
<table xmlns="http://schemas.openxmlformats.org/spreadsheetml/2006/main" headerRowCount="0" ref="O18:Q21" displayName="Table_10" id="10">
  <tableColumns count="3">
    <tableColumn name="Column1" id="1"/>
    <tableColumn name="Column2" id="2"/>
    <tableColumn name="Column3" id="3"/>
  </tableColumns>
  <tableStyleInfo name="1999-2004 (Parte 4)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O2:R2" displayName="Table_11" id="11">
  <tableColumns count="4">
    <tableColumn name="Column1" id="1"/>
    <tableColumn name="Column2" id="2"/>
    <tableColumn name="Column3" id="3"/>
    <tableColumn name="Column4" id="4"/>
  </tableColumns>
  <tableStyleInfo name="2005-2010 (Parte 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B3:H75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2005-2010 (Parte 3)-style 2" showColumnStripes="0" showFirstColumn="1" showLastColumn="1" showRowStripes="1"/>
</table>
</file>

<file path=xl/tables/table13.xml><?xml version="1.0" encoding="utf-8"?>
<table xmlns="http://schemas.openxmlformats.org/spreadsheetml/2006/main" headerRowCount="0" ref="O3:R16" displayName="Table_13" id="13">
  <tableColumns count="4">
    <tableColumn name="Column1" id="1"/>
    <tableColumn name="Column2" id="2"/>
    <tableColumn name="Column3" id="3"/>
    <tableColumn name="Column4" id="4"/>
  </tableColumns>
  <tableStyleInfo name="2005-2010 (Parte 3)-style 3" showColumnStripes="0" showFirstColumn="1" showLastColumn="1" showRowStripes="1"/>
</table>
</file>

<file path=xl/tables/table14.xml><?xml version="1.0" encoding="utf-8"?>
<table xmlns="http://schemas.openxmlformats.org/spreadsheetml/2006/main" ref="O18:Q21" displayName="Table_14" id="14">
  <tableColumns count="3">
    <tableColumn name="Análise" id="1"/>
    <tableColumn name="a.a" id="2"/>
    <tableColumn name="a.m" id="3"/>
  </tableColumns>
  <tableStyleInfo name="2005-2010 (Parte 3)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14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13"/>
    <col customWidth="1" min="4" max="4" width="16.63"/>
    <col customWidth="1" min="8" max="8" width="15.25"/>
  </cols>
  <sheetData>
    <row r="1">
      <c r="J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/>
      <c r="H2" s="3" t="s">
        <v>5</v>
      </c>
      <c r="I2" s="3" t="s">
        <v>6</v>
      </c>
      <c r="J2" s="1"/>
      <c r="M2" s="5" t="s">
        <v>7</v>
      </c>
    </row>
    <row r="3">
      <c r="A3" s="6">
        <v>36161.0</v>
      </c>
      <c r="B3" s="7">
        <f>'1993-1998 (Parte 5)'!K75</f>
        <v>214707</v>
      </c>
      <c r="C3" s="8">
        <f>'1993-1998 (Parte 5)'!C75</f>
        <v>0.62</v>
      </c>
      <c r="D3" s="8">
        <f>B3*C3</f>
        <v>133118.34</v>
      </c>
      <c r="E3" s="7">
        <f>72 + 1</f>
        <v>73</v>
      </c>
      <c r="G3" s="9" t="s">
        <v>8</v>
      </c>
      <c r="H3" s="10">
        <f>(1+I3)^(12)-1</f>
        <v>0.2566216093</v>
      </c>
      <c r="I3" s="11">
        <f>IRR(M3:M219,0.02)</f>
        <v>0.01921790304</v>
      </c>
      <c r="J3" s="1"/>
      <c r="M3" s="12">
        <v>0.0</v>
      </c>
    </row>
    <row r="4">
      <c r="A4" s="13">
        <v>38353.0</v>
      </c>
      <c r="B4" s="14">
        <f>'1999-2004 (Parte 4)'!K75</f>
        <v>292336</v>
      </c>
      <c r="C4" s="15">
        <f>'1999-2004 (Parte 4)'!C75</f>
        <v>1.4</v>
      </c>
      <c r="D4" s="16">
        <f t="shared" ref="D4:D5" si="1">C4*B4</f>
        <v>409270.4</v>
      </c>
      <c r="E4" s="14">
        <f t="shared" ref="E4:E5" si="2">E3+72</f>
        <v>145</v>
      </c>
      <c r="G4" s="17" t="s">
        <v>9</v>
      </c>
      <c r="H4" s="18">
        <f t="array" ref="H4">NPV(I5,B9:B80,C9:C80,D9:D81,)</f>
        <v>1190939.44</v>
      </c>
      <c r="I4" s="19"/>
      <c r="J4" s="20" t="s">
        <v>10</v>
      </c>
      <c r="M4" s="21">
        <f t="shared" ref="M4:M14" si="3">M3</f>
        <v>0</v>
      </c>
    </row>
    <row r="5">
      <c r="A5" s="22">
        <v>40544.0</v>
      </c>
      <c r="B5" s="23">
        <f>'2005-2010 (Parte 3)'!K75</f>
        <v>993294</v>
      </c>
      <c r="C5" s="24">
        <f>'2005-2010 (Parte 3)'!C75</f>
        <v>3.23</v>
      </c>
      <c r="D5" s="25">
        <f t="shared" si="1"/>
        <v>3208339.62</v>
      </c>
      <c r="E5" s="23">
        <f t="shared" si="2"/>
        <v>217</v>
      </c>
      <c r="G5" s="9" t="s">
        <v>11</v>
      </c>
      <c r="H5" s="26">
        <v>0.05</v>
      </c>
      <c r="I5" s="27">
        <f>(1+H5)^(1/12)-1</f>
        <v>0.004074123784</v>
      </c>
      <c r="M5" s="28">
        <f t="shared" si="3"/>
        <v>0</v>
      </c>
    </row>
    <row r="6">
      <c r="A6" s="29"/>
      <c r="B6" s="5"/>
      <c r="C6" s="30"/>
      <c r="D6" s="31"/>
      <c r="M6" s="21">
        <f t="shared" si="3"/>
        <v>0</v>
      </c>
    </row>
    <row r="7">
      <c r="B7" s="5" t="s">
        <v>12</v>
      </c>
      <c r="M7" s="28">
        <f t="shared" si="3"/>
        <v>0</v>
      </c>
    </row>
    <row r="8">
      <c r="A8" s="5" t="s">
        <v>13</v>
      </c>
      <c r="B8" s="32" t="s">
        <v>14</v>
      </c>
      <c r="C8" s="32" t="s">
        <v>15</v>
      </c>
      <c r="D8" s="3" t="s">
        <v>16</v>
      </c>
      <c r="M8" s="21">
        <f t="shared" si="3"/>
        <v>0</v>
      </c>
    </row>
    <row r="9">
      <c r="B9" s="33">
        <v>0.0</v>
      </c>
      <c r="C9" s="28">
        <v>-750.0</v>
      </c>
      <c r="D9" s="34">
        <v>-750.0</v>
      </c>
      <c r="M9" s="28">
        <f t="shared" si="3"/>
        <v>0</v>
      </c>
    </row>
    <row r="10">
      <c r="B10" s="35">
        <f t="shared" ref="B10:B20" si="4">B9</f>
        <v>0</v>
      </c>
      <c r="C10" s="21">
        <v>-750.0</v>
      </c>
      <c r="D10" s="36">
        <f t="shared" ref="D10:D80" si="5">D9</f>
        <v>-750</v>
      </c>
      <c r="M10" s="21">
        <f t="shared" si="3"/>
        <v>0</v>
      </c>
    </row>
    <row r="11">
      <c r="B11" s="12">
        <f t="shared" si="4"/>
        <v>0</v>
      </c>
      <c r="C11" s="28">
        <v>-750.0</v>
      </c>
      <c r="D11" s="34">
        <f t="shared" si="5"/>
        <v>-750</v>
      </c>
      <c r="M11" s="28">
        <f t="shared" si="3"/>
        <v>0</v>
      </c>
    </row>
    <row r="12">
      <c r="B12" s="35">
        <f t="shared" si="4"/>
        <v>0</v>
      </c>
      <c r="C12" s="21">
        <v>-750.0</v>
      </c>
      <c r="D12" s="36">
        <f t="shared" si="5"/>
        <v>-750</v>
      </c>
      <c r="M12" s="21">
        <f t="shared" si="3"/>
        <v>0</v>
      </c>
    </row>
    <row r="13">
      <c r="B13" s="12">
        <f t="shared" si="4"/>
        <v>0</v>
      </c>
      <c r="C13" s="28">
        <v>-750.0</v>
      </c>
      <c r="D13" s="34">
        <f t="shared" si="5"/>
        <v>-750</v>
      </c>
      <c r="M13" s="28">
        <f t="shared" si="3"/>
        <v>0</v>
      </c>
    </row>
    <row r="14">
      <c r="B14" s="35">
        <f t="shared" si="4"/>
        <v>0</v>
      </c>
      <c r="C14" s="21">
        <v>-750.0</v>
      </c>
      <c r="D14" s="36">
        <f t="shared" si="5"/>
        <v>-750</v>
      </c>
      <c r="M14" s="21">
        <f t="shared" si="3"/>
        <v>0</v>
      </c>
    </row>
    <row r="15">
      <c r="B15" s="12">
        <f t="shared" si="4"/>
        <v>0</v>
      </c>
      <c r="C15" s="28">
        <v>-750.0</v>
      </c>
      <c r="D15" s="34">
        <f t="shared" si="5"/>
        <v>-750</v>
      </c>
      <c r="M15" s="28">
        <v>-1500.0</v>
      </c>
    </row>
    <row r="16">
      <c r="B16" s="35">
        <f t="shared" si="4"/>
        <v>0</v>
      </c>
      <c r="C16" s="21">
        <v>-750.0</v>
      </c>
      <c r="D16" s="36">
        <f t="shared" si="5"/>
        <v>-750</v>
      </c>
      <c r="M16" s="21">
        <f t="shared" ref="M16:M74" si="6">M15</f>
        <v>-1500</v>
      </c>
    </row>
    <row r="17">
      <c r="B17" s="12">
        <f t="shared" si="4"/>
        <v>0</v>
      </c>
      <c r="C17" s="28">
        <v>-750.0</v>
      </c>
      <c r="D17" s="34">
        <f t="shared" si="5"/>
        <v>-750</v>
      </c>
      <c r="M17" s="28">
        <f t="shared" si="6"/>
        <v>-1500</v>
      </c>
    </row>
    <row r="18">
      <c r="B18" s="35">
        <f t="shared" si="4"/>
        <v>0</v>
      </c>
      <c r="C18" s="21">
        <v>-750.0</v>
      </c>
      <c r="D18" s="36">
        <f t="shared" si="5"/>
        <v>-750</v>
      </c>
      <c r="M18" s="21">
        <f t="shared" si="6"/>
        <v>-1500</v>
      </c>
    </row>
    <row r="19">
      <c r="B19" s="12">
        <f t="shared" si="4"/>
        <v>0</v>
      </c>
      <c r="C19" s="28">
        <v>-750.0</v>
      </c>
      <c r="D19" s="34">
        <f t="shared" si="5"/>
        <v>-750</v>
      </c>
      <c r="M19" s="28">
        <f t="shared" si="6"/>
        <v>-1500</v>
      </c>
    </row>
    <row r="20">
      <c r="B20" s="35">
        <f t="shared" si="4"/>
        <v>0</v>
      </c>
      <c r="C20" s="21">
        <v>-750.0</v>
      </c>
      <c r="D20" s="36">
        <f t="shared" si="5"/>
        <v>-750</v>
      </c>
      <c r="M20" s="21">
        <f t="shared" si="6"/>
        <v>-1500</v>
      </c>
    </row>
    <row r="21">
      <c r="B21" s="33">
        <v>-1500.0</v>
      </c>
      <c r="C21" s="28">
        <v>-750.0</v>
      </c>
      <c r="D21" s="34">
        <f t="shared" si="5"/>
        <v>-750</v>
      </c>
      <c r="M21" s="28">
        <f t="shared" si="6"/>
        <v>-1500</v>
      </c>
    </row>
    <row r="22">
      <c r="B22" s="35">
        <f t="shared" ref="B22:B80" si="7">B21</f>
        <v>-1500</v>
      </c>
      <c r="C22" s="21">
        <v>-750.0</v>
      </c>
      <c r="D22" s="36">
        <f t="shared" si="5"/>
        <v>-750</v>
      </c>
      <c r="M22" s="21">
        <f t="shared" si="6"/>
        <v>-1500</v>
      </c>
    </row>
    <row r="23">
      <c r="B23" s="12">
        <f t="shared" si="7"/>
        <v>-1500</v>
      </c>
      <c r="C23" s="28">
        <v>-750.0</v>
      </c>
      <c r="D23" s="34">
        <f t="shared" si="5"/>
        <v>-750</v>
      </c>
      <c r="M23" s="28">
        <f t="shared" si="6"/>
        <v>-1500</v>
      </c>
    </row>
    <row r="24">
      <c r="B24" s="35">
        <f t="shared" si="7"/>
        <v>-1500</v>
      </c>
      <c r="C24" s="21">
        <v>-750.0</v>
      </c>
      <c r="D24" s="36">
        <f t="shared" si="5"/>
        <v>-750</v>
      </c>
      <c r="M24" s="21">
        <f t="shared" si="6"/>
        <v>-1500</v>
      </c>
    </row>
    <row r="25">
      <c r="B25" s="12">
        <f t="shared" si="7"/>
        <v>-1500</v>
      </c>
      <c r="C25" s="28">
        <v>-750.0</v>
      </c>
      <c r="D25" s="34">
        <f t="shared" si="5"/>
        <v>-750</v>
      </c>
      <c r="M25" s="28">
        <f t="shared" si="6"/>
        <v>-1500</v>
      </c>
    </row>
    <row r="26">
      <c r="B26" s="35">
        <f t="shared" si="7"/>
        <v>-1500</v>
      </c>
      <c r="C26" s="21">
        <v>-750.0</v>
      </c>
      <c r="D26" s="36">
        <f t="shared" si="5"/>
        <v>-750</v>
      </c>
      <c r="M26" s="21">
        <f t="shared" si="6"/>
        <v>-1500</v>
      </c>
    </row>
    <row r="27">
      <c r="B27" s="12">
        <f t="shared" si="7"/>
        <v>-1500</v>
      </c>
      <c r="C27" s="28">
        <v>-750.0</v>
      </c>
      <c r="D27" s="34">
        <f t="shared" si="5"/>
        <v>-750</v>
      </c>
      <c r="M27" s="28">
        <f t="shared" si="6"/>
        <v>-1500</v>
      </c>
    </row>
    <row r="28">
      <c r="B28" s="35">
        <f t="shared" si="7"/>
        <v>-1500</v>
      </c>
      <c r="C28" s="21">
        <v>-750.0</v>
      </c>
      <c r="D28" s="36">
        <f t="shared" si="5"/>
        <v>-750</v>
      </c>
      <c r="M28" s="21">
        <f t="shared" si="6"/>
        <v>-1500</v>
      </c>
    </row>
    <row r="29">
      <c r="B29" s="12">
        <f t="shared" si="7"/>
        <v>-1500</v>
      </c>
      <c r="C29" s="28">
        <v>-750.0</v>
      </c>
      <c r="D29" s="34">
        <f t="shared" si="5"/>
        <v>-750</v>
      </c>
      <c r="M29" s="28">
        <f t="shared" si="6"/>
        <v>-1500</v>
      </c>
    </row>
    <row r="30">
      <c r="B30" s="35">
        <f t="shared" si="7"/>
        <v>-1500</v>
      </c>
      <c r="C30" s="21">
        <v>-750.0</v>
      </c>
      <c r="D30" s="36">
        <f t="shared" si="5"/>
        <v>-750</v>
      </c>
      <c r="M30" s="21">
        <f t="shared" si="6"/>
        <v>-1500</v>
      </c>
    </row>
    <row r="31">
      <c r="B31" s="12">
        <f t="shared" si="7"/>
        <v>-1500</v>
      </c>
      <c r="C31" s="28">
        <v>-750.0</v>
      </c>
      <c r="D31" s="34">
        <f t="shared" si="5"/>
        <v>-750</v>
      </c>
      <c r="M31" s="28">
        <f t="shared" si="6"/>
        <v>-1500</v>
      </c>
    </row>
    <row r="32">
      <c r="B32" s="35">
        <f t="shared" si="7"/>
        <v>-1500</v>
      </c>
      <c r="C32" s="21">
        <v>-750.0</v>
      </c>
      <c r="D32" s="36">
        <f t="shared" si="5"/>
        <v>-750</v>
      </c>
      <c r="M32" s="21">
        <f t="shared" si="6"/>
        <v>-1500</v>
      </c>
    </row>
    <row r="33">
      <c r="B33" s="12">
        <f t="shared" si="7"/>
        <v>-1500</v>
      </c>
      <c r="C33" s="28">
        <v>-750.0</v>
      </c>
      <c r="D33" s="34">
        <f t="shared" si="5"/>
        <v>-750</v>
      </c>
      <c r="M33" s="28">
        <f t="shared" si="6"/>
        <v>-1500</v>
      </c>
    </row>
    <row r="34">
      <c r="B34" s="35">
        <f t="shared" si="7"/>
        <v>-1500</v>
      </c>
      <c r="C34" s="21">
        <v>-750.0</v>
      </c>
      <c r="D34" s="36">
        <f t="shared" si="5"/>
        <v>-750</v>
      </c>
      <c r="M34" s="21">
        <f t="shared" si="6"/>
        <v>-1500</v>
      </c>
    </row>
    <row r="35">
      <c r="B35" s="12">
        <f t="shared" si="7"/>
        <v>-1500</v>
      </c>
      <c r="C35" s="28">
        <v>-750.0</v>
      </c>
      <c r="D35" s="34">
        <f t="shared" si="5"/>
        <v>-750</v>
      </c>
      <c r="M35" s="28">
        <f t="shared" si="6"/>
        <v>-1500</v>
      </c>
    </row>
    <row r="36">
      <c r="B36" s="35">
        <f t="shared" si="7"/>
        <v>-1500</v>
      </c>
      <c r="C36" s="21">
        <v>-750.0</v>
      </c>
      <c r="D36" s="36">
        <f t="shared" si="5"/>
        <v>-750</v>
      </c>
      <c r="M36" s="21">
        <f t="shared" si="6"/>
        <v>-1500</v>
      </c>
    </row>
    <row r="37">
      <c r="B37" s="12">
        <f t="shared" si="7"/>
        <v>-1500</v>
      </c>
      <c r="C37" s="28">
        <v>-750.0</v>
      </c>
      <c r="D37" s="34">
        <f t="shared" si="5"/>
        <v>-750</v>
      </c>
      <c r="M37" s="28">
        <f t="shared" si="6"/>
        <v>-1500</v>
      </c>
    </row>
    <row r="38">
      <c r="B38" s="35">
        <f t="shared" si="7"/>
        <v>-1500</v>
      </c>
      <c r="C38" s="21">
        <v>-750.0</v>
      </c>
      <c r="D38" s="36">
        <f t="shared" si="5"/>
        <v>-750</v>
      </c>
      <c r="M38" s="21">
        <f t="shared" si="6"/>
        <v>-1500</v>
      </c>
    </row>
    <row r="39">
      <c r="B39" s="12">
        <f t="shared" si="7"/>
        <v>-1500</v>
      </c>
      <c r="C39" s="28">
        <v>-750.0</v>
      </c>
      <c r="D39" s="34">
        <f t="shared" si="5"/>
        <v>-750</v>
      </c>
      <c r="M39" s="28">
        <f t="shared" si="6"/>
        <v>-1500</v>
      </c>
    </row>
    <row r="40">
      <c r="B40" s="35">
        <f t="shared" si="7"/>
        <v>-1500</v>
      </c>
      <c r="C40" s="21">
        <v>-750.0</v>
      </c>
      <c r="D40" s="36">
        <f t="shared" si="5"/>
        <v>-750</v>
      </c>
      <c r="M40" s="21">
        <f t="shared" si="6"/>
        <v>-1500</v>
      </c>
    </row>
    <row r="41">
      <c r="B41" s="12">
        <f t="shared" si="7"/>
        <v>-1500</v>
      </c>
      <c r="C41" s="28">
        <v>-750.0</v>
      </c>
      <c r="D41" s="34">
        <f t="shared" si="5"/>
        <v>-750</v>
      </c>
      <c r="M41" s="28">
        <f t="shared" si="6"/>
        <v>-1500</v>
      </c>
    </row>
    <row r="42">
      <c r="B42" s="35">
        <f t="shared" si="7"/>
        <v>-1500</v>
      </c>
      <c r="C42" s="21">
        <v>-750.0</v>
      </c>
      <c r="D42" s="36">
        <f t="shared" si="5"/>
        <v>-750</v>
      </c>
      <c r="M42" s="21">
        <f t="shared" si="6"/>
        <v>-1500</v>
      </c>
    </row>
    <row r="43">
      <c r="B43" s="12">
        <f t="shared" si="7"/>
        <v>-1500</v>
      </c>
      <c r="C43" s="28">
        <v>-750.0</v>
      </c>
      <c r="D43" s="34">
        <f t="shared" si="5"/>
        <v>-750</v>
      </c>
      <c r="M43" s="28">
        <f t="shared" si="6"/>
        <v>-1500</v>
      </c>
    </row>
    <row r="44">
      <c r="B44" s="35">
        <f t="shared" si="7"/>
        <v>-1500</v>
      </c>
      <c r="C44" s="21">
        <v>-750.0</v>
      </c>
      <c r="D44" s="36">
        <f t="shared" si="5"/>
        <v>-750</v>
      </c>
      <c r="M44" s="21">
        <f t="shared" si="6"/>
        <v>-1500</v>
      </c>
    </row>
    <row r="45">
      <c r="B45" s="12">
        <f t="shared" si="7"/>
        <v>-1500</v>
      </c>
      <c r="C45" s="28">
        <v>-750.0</v>
      </c>
      <c r="D45" s="34">
        <f t="shared" si="5"/>
        <v>-750</v>
      </c>
      <c r="M45" s="28">
        <f t="shared" si="6"/>
        <v>-1500</v>
      </c>
    </row>
    <row r="46">
      <c r="B46" s="35">
        <f t="shared" si="7"/>
        <v>-1500</v>
      </c>
      <c r="C46" s="21">
        <v>-750.0</v>
      </c>
      <c r="D46" s="36">
        <f t="shared" si="5"/>
        <v>-750</v>
      </c>
      <c r="M46" s="21">
        <f t="shared" si="6"/>
        <v>-1500</v>
      </c>
    </row>
    <row r="47">
      <c r="B47" s="12">
        <f t="shared" si="7"/>
        <v>-1500</v>
      </c>
      <c r="C47" s="28">
        <v>-750.0</v>
      </c>
      <c r="D47" s="34">
        <f t="shared" si="5"/>
        <v>-750</v>
      </c>
      <c r="M47" s="28">
        <f t="shared" si="6"/>
        <v>-1500</v>
      </c>
    </row>
    <row r="48">
      <c r="B48" s="35">
        <f t="shared" si="7"/>
        <v>-1500</v>
      </c>
      <c r="C48" s="21">
        <v>-750.0</v>
      </c>
      <c r="D48" s="36">
        <f t="shared" si="5"/>
        <v>-750</v>
      </c>
      <c r="M48" s="21">
        <f t="shared" si="6"/>
        <v>-1500</v>
      </c>
    </row>
    <row r="49">
      <c r="B49" s="12">
        <f t="shared" si="7"/>
        <v>-1500</v>
      </c>
      <c r="C49" s="28">
        <v>-750.0</v>
      </c>
      <c r="D49" s="34">
        <f t="shared" si="5"/>
        <v>-750</v>
      </c>
      <c r="M49" s="28">
        <f t="shared" si="6"/>
        <v>-1500</v>
      </c>
    </row>
    <row r="50">
      <c r="B50" s="35">
        <f t="shared" si="7"/>
        <v>-1500</v>
      </c>
      <c r="C50" s="21">
        <v>-750.0</v>
      </c>
      <c r="D50" s="36">
        <f t="shared" si="5"/>
        <v>-750</v>
      </c>
      <c r="M50" s="21">
        <f t="shared" si="6"/>
        <v>-1500</v>
      </c>
    </row>
    <row r="51">
      <c r="B51" s="12">
        <f t="shared" si="7"/>
        <v>-1500</v>
      </c>
      <c r="C51" s="28">
        <v>-750.0</v>
      </c>
      <c r="D51" s="34">
        <f t="shared" si="5"/>
        <v>-750</v>
      </c>
      <c r="M51" s="28">
        <f t="shared" si="6"/>
        <v>-1500</v>
      </c>
    </row>
    <row r="52">
      <c r="B52" s="35">
        <f t="shared" si="7"/>
        <v>-1500</v>
      </c>
      <c r="C52" s="21">
        <v>-750.0</v>
      </c>
      <c r="D52" s="36">
        <f t="shared" si="5"/>
        <v>-750</v>
      </c>
      <c r="M52" s="21">
        <f t="shared" si="6"/>
        <v>-1500</v>
      </c>
    </row>
    <row r="53">
      <c r="B53" s="12">
        <f t="shared" si="7"/>
        <v>-1500</v>
      </c>
      <c r="C53" s="28">
        <v>-750.0</v>
      </c>
      <c r="D53" s="34">
        <f t="shared" si="5"/>
        <v>-750</v>
      </c>
      <c r="M53" s="28">
        <f t="shared" si="6"/>
        <v>-1500</v>
      </c>
    </row>
    <row r="54">
      <c r="B54" s="35">
        <f t="shared" si="7"/>
        <v>-1500</v>
      </c>
      <c r="C54" s="21">
        <v>-750.0</v>
      </c>
      <c r="D54" s="36">
        <f t="shared" si="5"/>
        <v>-750</v>
      </c>
      <c r="M54" s="21">
        <f t="shared" si="6"/>
        <v>-1500</v>
      </c>
    </row>
    <row r="55">
      <c r="B55" s="12">
        <f t="shared" si="7"/>
        <v>-1500</v>
      </c>
      <c r="C55" s="28">
        <v>-750.0</v>
      </c>
      <c r="D55" s="34">
        <f t="shared" si="5"/>
        <v>-750</v>
      </c>
      <c r="M55" s="28">
        <f t="shared" si="6"/>
        <v>-1500</v>
      </c>
    </row>
    <row r="56">
      <c r="B56" s="35">
        <f t="shared" si="7"/>
        <v>-1500</v>
      </c>
      <c r="C56" s="21">
        <v>-750.0</v>
      </c>
      <c r="D56" s="36">
        <f t="shared" si="5"/>
        <v>-750</v>
      </c>
      <c r="M56" s="21">
        <f t="shared" si="6"/>
        <v>-1500</v>
      </c>
    </row>
    <row r="57">
      <c r="B57" s="12">
        <f t="shared" si="7"/>
        <v>-1500</v>
      </c>
      <c r="C57" s="28">
        <v>-750.0</v>
      </c>
      <c r="D57" s="34">
        <f t="shared" si="5"/>
        <v>-750</v>
      </c>
      <c r="M57" s="28">
        <f t="shared" si="6"/>
        <v>-1500</v>
      </c>
    </row>
    <row r="58">
      <c r="B58" s="35">
        <f t="shared" si="7"/>
        <v>-1500</v>
      </c>
      <c r="C58" s="21">
        <v>-750.0</v>
      </c>
      <c r="D58" s="36">
        <f t="shared" si="5"/>
        <v>-750</v>
      </c>
      <c r="M58" s="21">
        <f t="shared" si="6"/>
        <v>-1500</v>
      </c>
    </row>
    <row r="59">
      <c r="B59" s="12">
        <f t="shared" si="7"/>
        <v>-1500</v>
      </c>
      <c r="C59" s="28">
        <v>-750.0</v>
      </c>
      <c r="D59" s="34">
        <f t="shared" si="5"/>
        <v>-750</v>
      </c>
      <c r="M59" s="28">
        <f t="shared" si="6"/>
        <v>-1500</v>
      </c>
    </row>
    <row r="60">
      <c r="B60" s="35">
        <f t="shared" si="7"/>
        <v>-1500</v>
      </c>
      <c r="C60" s="21">
        <v>-750.0</v>
      </c>
      <c r="D60" s="36">
        <f t="shared" si="5"/>
        <v>-750</v>
      </c>
      <c r="M60" s="21">
        <f t="shared" si="6"/>
        <v>-1500</v>
      </c>
    </row>
    <row r="61">
      <c r="B61" s="12">
        <f t="shared" si="7"/>
        <v>-1500</v>
      </c>
      <c r="C61" s="28">
        <v>-750.0</v>
      </c>
      <c r="D61" s="34">
        <f t="shared" si="5"/>
        <v>-750</v>
      </c>
      <c r="M61" s="28">
        <f t="shared" si="6"/>
        <v>-1500</v>
      </c>
    </row>
    <row r="62">
      <c r="B62" s="35">
        <f t="shared" si="7"/>
        <v>-1500</v>
      </c>
      <c r="C62" s="21">
        <v>-750.0</v>
      </c>
      <c r="D62" s="36">
        <f t="shared" si="5"/>
        <v>-750</v>
      </c>
      <c r="M62" s="21">
        <f t="shared" si="6"/>
        <v>-1500</v>
      </c>
    </row>
    <row r="63">
      <c r="B63" s="12">
        <f t="shared" si="7"/>
        <v>-1500</v>
      </c>
      <c r="C63" s="28">
        <v>-750.0</v>
      </c>
      <c r="D63" s="34">
        <f t="shared" si="5"/>
        <v>-750</v>
      </c>
      <c r="M63" s="28">
        <f t="shared" si="6"/>
        <v>-1500</v>
      </c>
    </row>
    <row r="64">
      <c r="B64" s="35">
        <f t="shared" si="7"/>
        <v>-1500</v>
      </c>
      <c r="C64" s="21">
        <v>-750.0</v>
      </c>
      <c r="D64" s="36">
        <f t="shared" si="5"/>
        <v>-750</v>
      </c>
      <c r="M64" s="21">
        <f t="shared" si="6"/>
        <v>-1500</v>
      </c>
    </row>
    <row r="65">
      <c r="B65" s="12">
        <f t="shared" si="7"/>
        <v>-1500</v>
      </c>
      <c r="C65" s="28">
        <v>-750.0</v>
      </c>
      <c r="D65" s="34">
        <f t="shared" si="5"/>
        <v>-750</v>
      </c>
      <c r="M65" s="28">
        <f t="shared" si="6"/>
        <v>-1500</v>
      </c>
    </row>
    <row r="66">
      <c r="B66" s="35">
        <f t="shared" si="7"/>
        <v>-1500</v>
      </c>
      <c r="C66" s="21">
        <v>-750.0</v>
      </c>
      <c r="D66" s="36">
        <f t="shared" si="5"/>
        <v>-750</v>
      </c>
      <c r="M66" s="21">
        <f t="shared" si="6"/>
        <v>-1500</v>
      </c>
    </row>
    <row r="67">
      <c r="B67" s="12">
        <f t="shared" si="7"/>
        <v>-1500</v>
      </c>
      <c r="C67" s="28">
        <v>-750.0</v>
      </c>
      <c r="D67" s="34">
        <f t="shared" si="5"/>
        <v>-750</v>
      </c>
      <c r="M67" s="28">
        <f t="shared" si="6"/>
        <v>-1500</v>
      </c>
    </row>
    <row r="68">
      <c r="B68" s="35">
        <f t="shared" si="7"/>
        <v>-1500</v>
      </c>
      <c r="C68" s="21">
        <v>-750.0</v>
      </c>
      <c r="D68" s="36">
        <f t="shared" si="5"/>
        <v>-750</v>
      </c>
      <c r="M68" s="21">
        <f t="shared" si="6"/>
        <v>-1500</v>
      </c>
    </row>
    <row r="69">
      <c r="B69" s="12">
        <f t="shared" si="7"/>
        <v>-1500</v>
      </c>
      <c r="C69" s="28">
        <v>-750.0</v>
      </c>
      <c r="D69" s="34">
        <f t="shared" si="5"/>
        <v>-750</v>
      </c>
      <c r="M69" s="28">
        <f t="shared" si="6"/>
        <v>-1500</v>
      </c>
    </row>
    <row r="70">
      <c r="B70" s="35">
        <f t="shared" si="7"/>
        <v>-1500</v>
      </c>
      <c r="C70" s="21">
        <v>-750.0</v>
      </c>
      <c r="D70" s="36">
        <f t="shared" si="5"/>
        <v>-750</v>
      </c>
      <c r="M70" s="21">
        <f t="shared" si="6"/>
        <v>-1500</v>
      </c>
    </row>
    <row r="71">
      <c r="B71" s="12">
        <f t="shared" si="7"/>
        <v>-1500</v>
      </c>
      <c r="C71" s="28">
        <v>-750.0</v>
      </c>
      <c r="D71" s="34">
        <f t="shared" si="5"/>
        <v>-750</v>
      </c>
      <c r="M71" s="28">
        <f t="shared" si="6"/>
        <v>-1500</v>
      </c>
    </row>
    <row r="72">
      <c r="B72" s="35">
        <f t="shared" si="7"/>
        <v>-1500</v>
      </c>
      <c r="C72" s="21">
        <v>-750.0</v>
      </c>
      <c r="D72" s="36">
        <f t="shared" si="5"/>
        <v>-750</v>
      </c>
      <c r="M72" s="21">
        <f t="shared" si="6"/>
        <v>-1500</v>
      </c>
    </row>
    <row r="73">
      <c r="B73" s="12">
        <f t="shared" si="7"/>
        <v>-1500</v>
      </c>
      <c r="C73" s="28">
        <v>-750.0</v>
      </c>
      <c r="D73" s="34">
        <f t="shared" si="5"/>
        <v>-750</v>
      </c>
      <c r="M73" s="28">
        <f t="shared" si="6"/>
        <v>-1500</v>
      </c>
    </row>
    <row r="74">
      <c r="B74" s="35">
        <f t="shared" si="7"/>
        <v>-1500</v>
      </c>
      <c r="C74" s="21">
        <v>-750.0</v>
      </c>
      <c r="D74" s="36">
        <f t="shared" si="5"/>
        <v>-750</v>
      </c>
      <c r="M74" s="21">
        <f t="shared" si="6"/>
        <v>-1500</v>
      </c>
    </row>
    <row r="75">
      <c r="B75" s="12">
        <f t="shared" si="7"/>
        <v>-1500</v>
      </c>
      <c r="C75" s="28">
        <v>-750.0</v>
      </c>
      <c r="D75" s="34">
        <f t="shared" si="5"/>
        <v>-750</v>
      </c>
      <c r="M75" s="12">
        <v>-750.0</v>
      </c>
    </row>
    <row r="76">
      <c r="B76" s="35">
        <f t="shared" si="7"/>
        <v>-1500</v>
      </c>
      <c r="C76" s="21">
        <v>-750.0</v>
      </c>
      <c r="D76" s="36">
        <f t="shared" si="5"/>
        <v>-750</v>
      </c>
      <c r="M76" s="21">
        <f t="shared" ref="M76:M146" si="8">M75</f>
        <v>-750</v>
      </c>
    </row>
    <row r="77">
      <c r="B77" s="12">
        <f t="shared" si="7"/>
        <v>-1500</v>
      </c>
      <c r="C77" s="28">
        <v>-750.0</v>
      </c>
      <c r="D77" s="34">
        <f t="shared" si="5"/>
        <v>-750</v>
      </c>
      <c r="M77" s="28">
        <f t="shared" si="8"/>
        <v>-750</v>
      </c>
    </row>
    <row r="78">
      <c r="B78" s="35">
        <f t="shared" si="7"/>
        <v>-1500</v>
      </c>
      <c r="C78" s="21">
        <v>-750.0</v>
      </c>
      <c r="D78" s="36">
        <f t="shared" si="5"/>
        <v>-750</v>
      </c>
      <c r="M78" s="21">
        <f t="shared" si="8"/>
        <v>-750</v>
      </c>
    </row>
    <row r="79">
      <c r="B79" s="12">
        <f t="shared" si="7"/>
        <v>-1500</v>
      </c>
      <c r="C79" s="28">
        <v>-750.0</v>
      </c>
      <c r="D79" s="34">
        <f t="shared" si="5"/>
        <v>-750</v>
      </c>
      <c r="M79" s="28">
        <f t="shared" si="8"/>
        <v>-750</v>
      </c>
    </row>
    <row r="80">
      <c r="B80" s="35">
        <f t="shared" si="7"/>
        <v>-1500</v>
      </c>
      <c r="C80" s="21">
        <v>-750.0</v>
      </c>
      <c r="D80" s="36">
        <f t="shared" si="5"/>
        <v>-750</v>
      </c>
      <c r="M80" s="21">
        <f t="shared" si="8"/>
        <v>-750</v>
      </c>
    </row>
    <row r="81">
      <c r="D81" s="12">
        <f>D5</f>
        <v>3208339.62</v>
      </c>
      <c r="M81" s="28">
        <f t="shared" si="8"/>
        <v>-750</v>
      </c>
    </row>
    <row r="82">
      <c r="M82" s="21">
        <f t="shared" si="8"/>
        <v>-750</v>
      </c>
    </row>
    <row r="83">
      <c r="M83" s="28">
        <f t="shared" si="8"/>
        <v>-750</v>
      </c>
    </row>
    <row r="84">
      <c r="M84" s="21">
        <f t="shared" si="8"/>
        <v>-750</v>
      </c>
    </row>
    <row r="85">
      <c r="M85" s="28">
        <f t="shared" si="8"/>
        <v>-750</v>
      </c>
    </row>
    <row r="86">
      <c r="M86" s="21">
        <f t="shared" si="8"/>
        <v>-750</v>
      </c>
    </row>
    <row r="87">
      <c r="M87" s="28">
        <f t="shared" si="8"/>
        <v>-750</v>
      </c>
    </row>
    <row r="88">
      <c r="M88" s="21">
        <f t="shared" si="8"/>
        <v>-750</v>
      </c>
    </row>
    <row r="89">
      <c r="M89" s="28">
        <f t="shared" si="8"/>
        <v>-750</v>
      </c>
    </row>
    <row r="90">
      <c r="M90" s="21">
        <f t="shared" si="8"/>
        <v>-750</v>
      </c>
    </row>
    <row r="91">
      <c r="M91" s="28">
        <f t="shared" si="8"/>
        <v>-750</v>
      </c>
    </row>
    <row r="92">
      <c r="M92" s="21">
        <f t="shared" si="8"/>
        <v>-750</v>
      </c>
    </row>
    <row r="93">
      <c r="M93" s="28">
        <f t="shared" si="8"/>
        <v>-750</v>
      </c>
    </row>
    <row r="94">
      <c r="M94" s="21">
        <f t="shared" si="8"/>
        <v>-750</v>
      </c>
    </row>
    <row r="95">
      <c r="M95" s="28">
        <f t="shared" si="8"/>
        <v>-750</v>
      </c>
    </row>
    <row r="96">
      <c r="M96" s="21">
        <f t="shared" si="8"/>
        <v>-750</v>
      </c>
    </row>
    <row r="97">
      <c r="M97" s="28">
        <f t="shared" si="8"/>
        <v>-750</v>
      </c>
    </row>
    <row r="98">
      <c r="M98" s="21">
        <f t="shared" si="8"/>
        <v>-750</v>
      </c>
    </row>
    <row r="99">
      <c r="M99" s="28">
        <f t="shared" si="8"/>
        <v>-750</v>
      </c>
    </row>
    <row r="100">
      <c r="M100" s="21">
        <f t="shared" si="8"/>
        <v>-750</v>
      </c>
    </row>
    <row r="101">
      <c r="M101" s="28">
        <f t="shared" si="8"/>
        <v>-750</v>
      </c>
    </row>
    <row r="102">
      <c r="M102" s="21">
        <f t="shared" si="8"/>
        <v>-750</v>
      </c>
    </row>
    <row r="103">
      <c r="M103" s="28">
        <f t="shared" si="8"/>
        <v>-750</v>
      </c>
    </row>
    <row r="104">
      <c r="M104" s="21">
        <f t="shared" si="8"/>
        <v>-750</v>
      </c>
    </row>
    <row r="105">
      <c r="M105" s="28">
        <f t="shared" si="8"/>
        <v>-750</v>
      </c>
    </row>
    <row r="106">
      <c r="M106" s="21">
        <f t="shared" si="8"/>
        <v>-750</v>
      </c>
    </row>
    <row r="107">
      <c r="M107" s="28">
        <f t="shared" si="8"/>
        <v>-750</v>
      </c>
    </row>
    <row r="108">
      <c r="M108" s="21">
        <f t="shared" si="8"/>
        <v>-750</v>
      </c>
    </row>
    <row r="109">
      <c r="M109" s="28">
        <f t="shared" si="8"/>
        <v>-750</v>
      </c>
    </row>
    <row r="110">
      <c r="M110" s="21">
        <f t="shared" si="8"/>
        <v>-750</v>
      </c>
    </row>
    <row r="111">
      <c r="M111" s="28">
        <f t="shared" si="8"/>
        <v>-750</v>
      </c>
    </row>
    <row r="112">
      <c r="M112" s="21">
        <f t="shared" si="8"/>
        <v>-750</v>
      </c>
    </row>
    <row r="113">
      <c r="M113" s="28">
        <f t="shared" si="8"/>
        <v>-750</v>
      </c>
    </row>
    <row r="114">
      <c r="M114" s="21">
        <f t="shared" si="8"/>
        <v>-750</v>
      </c>
    </row>
    <row r="115">
      <c r="M115" s="28">
        <f t="shared" si="8"/>
        <v>-750</v>
      </c>
    </row>
    <row r="116">
      <c r="M116" s="21">
        <f t="shared" si="8"/>
        <v>-750</v>
      </c>
    </row>
    <row r="117">
      <c r="M117" s="28">
        <f t="shared" si="8"/>
        <v>-750</v>
      </c>
    </row>
    <row r="118">
      <c r="M118" s="21">
        <f t="shared" si="8"/>
        <v>-750</v>
      </c>
    </row>
    <row r="119">
      <c r="M119" s="28">
        <f t="shared" si="8"/>
        <v>-750</v>
      </c>
    </row>
    <row r="120">
      <c r="M120" s="21">
        <f t="shared" si="8"/>
        <v>-750</v>
      </c>
    </row>
    <row r="121">
      <c r="M121" s="28">
        <f t="shared" si="8"/>
        <v>-750</v>
      </c>
    </row>
    <row r="122">
      <c r="M122" s="21">
        <f t="shared" si="8"/>
        <v>-750</v>
      </c>
    </row>
    <row r="123">
      <c r="M123" s="28">
        <f t="shared" si="8"/>
        <v>-750</v>
      </c>
    </row>
    <row r="124">
      <c r="M124" s="21">
        <f t="shared" si="8"/>
        <v>-750</v>
      </c>
    </row>
    <row r="125">
      <c r="M125" s="28">
        <f t="shared" si="8"/>
        <v>-750</v>
      </c>
    </row>
    <row r="126">
      <c r="M126" s="21">
        <f t="shared" si="8"/>
        <v>-750</v>
      </c>
    </row>
    <row r="127">
      <c r="M127" s="28">
        <f t="shared" si="8"/>
        <v>-750</v>
      </c>
    </row>
    <row r="128">
      <c r="M128" s="21">
        <f t="shared" si="8"/>
        <v>-750</v>
      </c>
    </row>
    <row r="129">
      <c r="M129" s="28">
        <f t="shared" si="8"/>
        <v>-750</v>
      </c>
    </row>
    <row r="130">
      <c r="M130" s="21">
        <f t="shared" si="8"/>
        <v>-750</v>
      </c>
    </row>
    <row r="131">
      <c r="M131" s="28">
        <f t="shared" si="8"/>
        <v>-750</v>
      </c>
    </row>
    <row r="132">
      <c r="M132" s="21">
        <f t="shared" si="8"/>
        <v>-750</v>
      </c>
    </row>
    <row r="133">
      <c r="M133" s="28">
        <f t="shared" si="8"/>
        <v>-750</v>
      </c>
    </row>
    <row r="134">
      <c r="M134" s="21">
        <f t="shared" si="8"/>
        <v>-750</v>
      </c>
    </row>
    <row r="135">
      <c r="M135" s="28">
        <f t="shared" si="8"/>
        <v>-750</v>
      </c>
    </row>
    <row r="136">
      <c r="M136" s="21">
        <f t="shared" si="8"/>
        <v>-750</v>
      </c>
    </row>
    <row r="137">
      <c r="M137" s="28">
        <f t="shared" si="8"/>
        <v>-750</v>
      </c>
    </row>
    <row r="138">
      <c r="M138" s="21">
        <f t="shared" si="8"/>
        <v>-750</v>
      </c>
    </row>
    <row r="139">
      <c r="M139" s="28">
        <f t="shared" si="8"/>
        <v>-750</v>
      </c>
    </row>
    <row r="140">
      <c r="M140" s="21">
        <f t="shared" si="8"/>
        <v>-750</v>
      </c>
    </row>
    <row r="141">
      <c r="M141" s="28">
        <f t="shared" si="8"/>
        <v>-750</v>
      </c>
    </row>
    <row r="142">
      <c r="M142" s="21">
        <f t="shared" si="8"/>
        <v>-750</v>
      </c>
    </row>
    <row r="143">
      <c r="M143" s="28">
        <f t="shared" si="8"/>
        <v>-750</v>
      </c>
    </row>
    <row r="144">
      <c r="M144" s="21">
        <f t="shared" si="8"/>
        <v>-750</v>
      </c>
    </row>
    <row r="145">
      <c r="M145" s="28">
        <f t="shared" si="8"/>
        <v>-750</v>
      </c>
    </row>
    <row r="146">
      <c r="M146" s="21">
        <f t="shared" si="8"/>
        <v>-750</v>
      </c>
    </row>
    <row r="147">
      <c r="M147" s="28">
        <v>-750.0</v>
      </c>
    </row>
    <row r="148">
      <c r="M148" s="21">
        <f t="shared" ref="M148:M218" si="9">M147</f>
        <v>-750</v>
      </c>
    </row>
    <row r="149">
      <c r="M149" s="28">
        <f t="shared" si="9"/>
        <v>-750</v>
      </c>
    </row>
    <row r="150">
      <c r="M150" s="21">
        <f t="shared" si="9"/>
        <v>-750</v>
      </c>
    </row>
    <row r="151">
      <c r="M151" s="28">
        <f t="shared" si="9"/>
        <v>-750</v>
      </c>
    </row>
    <row r="152">
      <c r="M152" s="21">
        <f t="shared" si="9"/>
        <v>-750</v>
      </c>
    </row>
    <row r="153">
      <c r="M153" s="28">
        <f t="shared" si="9"/>
        <v>-750</v>
      </c>
    </row>
    <row r="154">
      <c r="M154" s="21">
        <f t="shared" si="9"/>
        <v>-750</v>
      </c>
    </row>
    <row r="155">
      <c r="M155" s="28">
        <f t="shared" si="9"/>
        <v>-750</v>
      </c>
    </row>
    <row r="156">
      <c r="M156" s="21">
        <f t="shared" si="9"/>
        <v>-750</v>
      </c>
    </row>
    <row r="157">
      <c r="M157" s="28">
        <f t="shared" si="9"/>
        <v>-750</v>
      </c>
    </row>
    <row r="158">
      <c r="M158" s="21">
        <f t="shared" si="9"/>
        <v>-750</v>
      </c>
    </row>
    <row r="159">
      <c r="M159" s="28">
        <f t="shared" si="9"/>
        <v>-750</v>
      </c>
    </row>
    <row r="160">
      <c r="M160" s="21">
        <f t="shared" si="9"/>
        <v>-750</v>
      </c>
    </row>
    <row r="161">
      <c r="M161" s="28">
        <f t="shared" si="9"/>
        <v>-750</v>
      </c>
    </row>
    <row r="162">
      <c r="M162" s="21">
        <f t="shared" si="9"/>
        <v>-750</v>
      </c>
    </row>
    <row r="163">
      <c r="M163" s="28">
        <f t="shared" si="9"/>
        <v>-750</v>
      </c>
    </row>
    <row r="164">
      <c r="M164" s="21">
        <f t="shared" si="9"/>
        <v>-750</v>
      </c>
    </row>
    <row r="165">
      <c r="M165" s="28">
        <f t="shared" si="9"/>
        <v>-750</v>
      </c>
    </row>
    <row r="166">
      <c r="M166" s="21">
        <f t="shared" si="9"/>
        <v>-750</v>
      </c>
    </row>
    <row r="167">
      <c r="M167" s="28">
        <f t="shared" si="9"/>
        <v>-750</v>
      </c>
    </row>
    <row r="168">
      <c r="M168" s="21">
        <f t="shared" si="9"/>
        <v>-750</v>
      </c>
    </row>
    <row r="169">
      <c r="M169" s="28">
        <f t="shared" si="9"/>
        <v>-750</v>
      </c>
    </row>
    <row r="170">
      <c r="M170" s="21">
        <f t="shared" si="9"/>
        <v>-750</v>
      </c>
    </row>
    <row r="171">
      <c r="M171" s="28">
        <f t="shared" si="9"/>
        <v>-750</v>
      </c>
    </row>
    <row r="172">
      <c r="M172" s="21">
        <f t="shared" si="9"/>
        <v>-750</v>
      </c>
    </row>
    <row r="173">
      <c r="M173" s="28">
        <f t="shared" si="9"/>
        <v>-750</v>
      </c>
    </row>
    <row r="174">
      <c r="M174" s="21">
        <f t="shared" si="9"/>
        <v>-750</v>
      </c>
    </row>
    <row r="175">
      <c r="M175" s="28">
        <f t="shared" si="9"/>
        <v>-750</v>
      </c>
    </row>
    <row r="176">
      <c r="M176" s="21">
        <f t="shared" si="9"/>
        <v>-750</v>
      </c>
    </row>
    <row r="177">
      <c r="M177" s="28">
        <f t="shared" si="9"/>
        <v>-750</v>
      </c>
    </row>
    <row r="178">
      <c r="M178" s="21">
        <f t="shared" si="9"/>
        <v>-750</v>
      </c>
    </row>
    <row r="179">
      <c r="M179" s="28">
        <f t="shared" si="9"/>
        <v>-750</v>
      </c>
    </row>
    <row r="180">
      <c r="M180" s="21">
        <f t="shared" si="9"/>
        <v>-750</v>
      </c>
    </row>
    <row r="181">
      <c r="M181" s="28">
        <f t="shared" si="9"/>
        <v>-750</v>
      </c>
    </row>
    <row r="182">
      <c r="M182" s="21">
        <f t="shared" si="9"/>
        <v>-750</v>
      </c>
    </row>
    <row r="183">
      <c r="M183" s="28">
        <f t="shared" si="9"/>
        <v>-750</v>
      </c>
    </row>
    <row r="184">
      <c r="M184" s="21">
        <f t="shared" si="9"/>
        <v>-750</v>
      </c>
    </row>
    <row r="185">
      <c r="M185" s="28">
        <f t="shared" si="9"/>
        <v>-750</v>
      </c>
    </row>
    <row r="186">
      <c r="M186" s="21">
        <f t="shared" si="9"/>
        <v>-750</v>
      </c>
    </row>
    <row r="187">
      <c r="M187" s="28">
        <f t="shared" si="9"/>
        <v>-750</v>
      </c>
    </row>
    <row r="188">
      <c r="M188" s="21">
        <f t="shared" si="9"/>
        <v>-750</v>
      </c>
    </row>
    <row r="189">
      <c r="M189" s="28">
        <f t="shared" si="9"/>
        <v>-750</v>
      </c>
    </row>
    <row r="190">
      <c r="M190" s="21">
        <f t="shared" si="9"/>
        <v>-750</v>
      </c>
    </row>
    <row r="191">
      <c r="M191" s="28">
        <f t="shared" si="9"/>
        <v>-750</v>
      </c>
    </row>
    <row r="192">
      <c r="M192" s="21">
        <f t="shared" si="9"/>
        <v>-750</v>
      </c>
    </row>
    <row r="193">
      <c r="M193" s="28">
        <f t="shared" si="9"/>
        <v>-750</v>
      </c>
    </row>
    <row r="194">
      <c r="M194" s="21">
        <f t="shared" si="9"/>
        <v>-750</v>
      </c>
    </row>
    <row r="195">
      <c r="M195" s="28">
        <f t="shared" si="9"/>
        <v>-750</v>
      </c>
    </row>
    <row r="196">
      <c r="M196" s="21">
        <f t="shared" si="9"/>
        <v>-750</v>
      </c>
    </row>
    <row r="197">
      <c r="M197" s="28">
        <f t="shared" si="9"/>
        <v>-750</v>
      </c>
    </row>
    <row r="198">
      <c r="M198" s="21">
        <f t="shared" si="9"/>
        <v>-750</v>
      </c>
    </row>
    <row r="199">
      <c r="M199" s="28">
        <f t="shared" si="9"/>
        <v>-750</v>
      </c>
    </row>
    <row r="200">
      <c r="M200" s="21">
        <f t="shared" si="9"/>
        <v>-750</v>
      </c>
    </row>
    <row r="201">
      <c r="M201" s="28">
        <f t="shared" si="9"/>
        <v>-750</v>
      </c>
    </row>
    <row r="202">
      <c r="M202" s="21">
        <f t="shared" si="9"/>
        <v>-750</v>
      </c>
    </row>
    <row r="203">
      <c r="M203" s="28">
        <f t="shared" si="9"/>
        <v>-750</v>
      </c>
    </row>
    <row r="204">
      <c r="M204" s="21">
        <f t="shared" si="9"/>
        <v>-750</v>
      </c>
    </row>
    <row r="205">
      <c r="M205" s="28">
        <f t="shared" si="9"/>
        <v>-750</v>
      </c>
    </row>
    <row r="206">
      <c r="M206" s="21">
        <f t="shared" si="9"/>
        <v>-750</v>
      </c>
    </row>
    <row r="207">
      <c r="M207" s="28">
        <f t="shared" si="9"/>
        <v>-750</v>
      </c>
    </row>
    <row r="208">
      <c r="M208" s="21">
        <f t="shared" si="9"/>
        <v>-750</v>
      </c>
    </row>
    <row r="209">
      <c r="M209" s="28">
        <f t="shared" si="9"/>
        <v>-750</v>
      </c>
    </row>
    <row r="210">
      <c r="M210" s="21">
        <f t="shared" si="9"/>
        <v>-750</v>
      </c>
    </row>
    <row r="211">
      <c r="M211" s="28">
        <f t="shared" si="9"/>
        <v>-750</v>
      </c>
    </row>
    <row r="212">
      <c r="M212" s="21">
        <f t="shared" si="9"/>
        <v>-750</v>
      </c>
    </row>
    <row r="213">
      <c r="M213" s="28">
        <f t="shared" si="9"/>
        <v>-750</v>
      </c>
    </row>
    <row r="214">
      <c r="M214" s="21">
        <f t="shared" si="9"/>
        <v>-750</v>
      </c>
    </row>
    <row r="215">
      <c r="M215" s="28">
        <f t="shared" si="9"/>
        <v>-750</v>
      </c>
    </row>
    <row r="216">
      <c r="M216" s="21">
        <f t="shared" si="9"/>
        <v>-750</v>
      </c>
    </row>
    <row r="217">
      <c r="M217" s="28">
        <f t="shared" si="9"/>
        <v>-750</v>
      </c>
    </row>
    <row r="218">
      <c r="M218" s="21">
        <f t="shared" si="9"/>
        <v>-750</v>
      </c>
    </row>
    <row r="219">
      <c r="M219" s="28">
        <v>3208339.62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38"/>
  </cols>
  <sheetData>
    <row r="1">
      <c r="B1" s="5" t="s">
        <v>17</v>
      </c>
      <c r="D1" s="37" t="s">
        <v>18</v>
      </c>
      <c r="O1" s="5" t="s">
        <v>19</v>
      </c>
    </row>
    <row r="2">
      <c r="B2" s="38" t="s">
        <v>20</v>
      </c>
      <c r="C2" s="39" t="s">
        <v>21</v>
      </c>
      <c r="D2" s="39" t="s">
        <v>22</v>
      </c>
      <c r="E2" s="39" t="s">
        <v>23</v>
      </c>
      <c r="F2" s="39" t="s">
        <v>24</v>
      </c>
      <c r="G2" s="39" t="s">
        <v>25</v>
      </c>
      <c r="H2" s="39" t="s">
        <v>26</v>
      </c>
      <c r="I2" s="3" t="s">
        <v>27</v>
      </c>
      <c r="J2" s="3" t="s">
        <v>28</v>
      </c>
      <c r="K2" s="3" t="s">
        <v>29</v>
      </c>
      <c r="L2" s="3" t="s">
        <v>3</v>
      </c>
      <c r="M2" s="3" t="s">
        <v>30</v>
      </c>
      <c r="O2" s="40" t="s">
        <v>0</v>
      </c>
      <c r="P2" s="40" t="s">
        <v>31</v>
      </c>
      <c r="Q2" s="40" t="s">
        <v>32</v>
      </c>
      <c r="S2" s="41"/>
    </row>
    <row r="3">
      <c r="B3" s="42">
        <v>33970.0</v>
      </c>
      <c r="C3" s="43">
        <v>0.0</v>
      </c>
      <c r="D3" s="43">
        <v>0.0</v>
      </c>
      <c r="E3" s="43">
        <v>0.0</v>
      </c>
      <c r="F3" s="43">
        <v>0.0</v>
      </c>
      <c r="G3" s="43" t="s">
        <v>33</v>
      </c>
      <c r="H3" s="44">
        <v>0.0</v>
      </c>
      <c r="I3" s="33">
        <v>0.0</v>
      </c>
      <c r="J3" s="45">
        <v>0.0</v>
      </c>
      <c r="K3" s="46">
        <f>J3</f>
        <v>0</v>
      </c>
      <c r="L3" s="12">
        <f t="shared" ref="L3:L75" si="1">K3*C3</f>
        <v>0</v>
      </c>
      <c r="M3" s="46">
        <v>1.0</v>
      </c>
      <c r="O3" s="47">
        <v>34091.0</v>
      </c>
      <c r="P3" s="48" t="s">
        <v>34</v>
      </c>
      <c r="Q3" s="49">
        <v>11.0</v>
      </c>
      <c r="S3" s="41"/>
    </row>
    <row r="4">
      <c r="B4" s="42">
        <v>34001.0</v>
      </c>
      <c r="C4" s="43">
        <v>0.0</v>
      </c>
      <c r="D4" s="43">
        <v>0.0</v>
      </c>
      <c r="E4" s="43">
        <v>0.0</v>
      </c>
      <c r="F4" s="43">
        <v>0.0</v>
      </c>
      <c r="G4" s="43" t="s">
        <v>33</v>
      </c>
      <c r="H4" s="44">
        <v>0.0</v>
      </c>
      <c r="I4" s="35">
        <f t="shared" ref="I4:I14" si="2">I3</f>
        <v>0</v>
      </c>
      <c r="J4" s="45">
        <v>0.0</v>
      </c>
      <c r="K4" s="50">
        <f t="shared" ref="K4:K39" si="3">J4+K3</f>
        <v>0</v>
      </c>
      <c r="L4" s="35">
        <f t="shared" si="1"/>
        <v>0</v>
      </c>
      <c r="M4" s="50">
        <f t="shared" ref="M4:M75" si="4">M3+1</f>
        <v>2</v>
      </c>
      <c r="O4" s="47">
        <v>34092.0</v>
      </c>
      <c r="P4" s="48" t="s">
        <v>35</v>
      </c>
      <c r="Q4" s="48">
        <v>3.331E-7</v>
      </c>
      <c r="S4" s="41"/>
    </row>
    <row r="5">
      <c r="B5" s="42">
        <v>34029.0</v>
      </c>
      <c r="C5" s="43">
        <v>0.0</v>
      </c>
      <c r="D5" s="43">
        <v>0.0</v>
      </c>
      <c r="E5" s="43">
        <v>0.0</v>
      </c>
      <c r="F5" s="43">
        <v>0.0</v>
      </c>
      <c r="G5" s="43" t="s">
        <v>33</v>
      </c>
      <c r="H5" s="44">
        <v>0.0</v>
      </c>
      <c r="I5" s="12">
        <f t="shared" si="2"/>
        <v>0</v>
      </c>
      <c r="J5" s="45">
        <v>0.0</v>
      </c>
      <c r="K5" s="46">
        <f t="shared" si="3"/>
        <v>0</v>
      </c>
      <c r="L5" s="12">
        <f t="shared" si="1"/>
        <v>0</v>
      </c>
      <c r="M5" s="46">
        <f t="shared" si="4"/>
        <v>3</v>
      </c>
      <c r="O5" s="47">
        <v>34456.0</v>
      </c>
      <c r="P5" s="48" t="s">
        <v>35</v>
      </c>
      <c r="Q5" s="48">
        <v>3.636E-7</v>
      </c>
      <c r="S5" s="41"/>
    </row>
    <row r="6">
      <c r="B6" s="42">
        <v>34060.0</v>
      </c>
      <c r="C6" s="43">
        <v>0.0</v>
      </c>
      <c r="D6" s="43">
        <v>0.0</v>
      </c>
      <c r="E6" s="43">
        <v>0.0</v>
      </c>
      <c r="F6" s="43">
        <v>0.0</v>
      </c>
      <c r="G6" s="43" t="s">
        <v>33</v>
      </c>
      <c r="H6" s="44">
        <v>0.0</v>
      </c>
      <c r="I6" s="35">
        <f t="shared" si="2"/>
        <v>0</v>
      </c>
      <c r="J6" s="45">
        <v>0.0</v>
      </c>
      <c r="K6" s="50">
        <f t="shared" si="3"/>
        <v>0</v>
      </c>
      <c r="L6" s="35">
        <f t="shared" si="1"/>
        <v>0</v>
      </c>
      <c r="M6" s="50">
        <f t="shared" si="4"/>
        <v>4</v>
      </c>
      <c r="O6" s="47">
        <v>34786.0</v>
      </c>
      <c r="P6" s="48" t="s">
        <v>36</v>
      </c>
      <c r="Q6" s="51">
        <v>275100.0</v>
      </c>
      <c r="S6" s="41"/>
    </row>
    <row r="7">
      <c r="B7" s="42">
        <v>34090.0</v>
      </c>
      <c r="C7" s="43">
        <v>0.0</v>
      </c>
      <c r="D7" s="43">
        <v>0.0</v>
      </c>
      <c r="E7" s="43">
        <v>0.0</v>
      </c>
      <c r="F7" s="43">
        <v>0.0</v>
      </c>
      <c r="G7" s="43" t="s">
        <v>33</v>
      </c>
      <c r="H7" s="44">
        <v>0.0</v>
      </c>
      <c r="I7" s="12">
        <f t="shared" si="2"/>
        <v>0</v>
      </c>
      <c r="J7" s="45">
        <v>0.0</v>
      </c>
      <c r="K7" s="46">
        <f t="shared" si="3"/>
        <v>0</v>
      </c>
      <c r="L7" s="12">
        <f t="shared" si="1"/>
        <v>0</v>
      </c>
      <c r="M7" s="46">
        <f t="shared" si="4"/>
        <v>5</v>
      </c>
      <c r="O7" s="47">
        <v>34786.0</v>
      </c>
      <c r="P7" s="48" t="s">
        <v>34</v>
      </c>
      <c r="Q7" s="49">
        <v>2.65</v>
      </c>
      <c r="S7" s="41"/>
    </row>
    <row r="8">
      <c r="B8" s="42">
        <v>34121.0</v>
      </c>
      <c r="C8" s="43">
        <v>0.0</v>
      </c>
      <c r="D8" s="43">
        <v>0.0</v>
      </c>
      <c r="E8" s="43">
        <v>0.01</v>
      </c>
      <c r="F8" s="43">
        <v>0.0</v>
      </c>
      <c r="G8" s="43" t="s">
        <v>37</v>
      </c>
      <c r="H8" s="44">
        <v>0.0</v>
      </c>
      <c r="I8" s="35">
        <f t="shared" si="2"/>
        <v>0</v>
      </c>
      <c r="J8" s="45">
        <v>0.0</v>
      </c>
      <c r="K8" s="50">
        <f t="shared" si="3"/>
        <v>0</v>
      </c>
      <c r="L8" s="35">
        <f t="shared" si="1"/>
        <v>0</v>
      </c>
      <c r="M8" s="50">
        <f t="shared" si="4"/>
        <v>6</v>
      </c>
      <c r="O8" s="47">
        <v>34786.0</v>
      </c>
      <c r="P8" s="48" t="s">
        <v>35</v>
      </c>
      <c r="Q8" s="48">
        <v>3.63636E-4</v>
      </c>
      <c r="S8" s="41"/>
    </row>
    <row r="9">
      <c r="B9" s="42">
        <v>34151.0</v>
      </c>
      <c r="C9" s="43">
        <v>0.01</v>
      </c>
      <c r="D9" s="43">
        <v>0.0</v>
      </c>
      <c r="E9" s="43">
        <v>0.01</v>
      </c>
      <c r="F9" s="43">
        <v>0.0</v>
      </c>
      <c r="G9" s="43" t="s">
        <v>38</v>
      </c>
      <c r="H9" s="44">
        <v>0.0</v>
      </c>
      <c r="I9" s="12">
        <f t="shared" si="2"/>
        <v>0</v>
      </c>
      <c r="J9" s="23">
        <f t="shared" ref="J9:J14" si="5">-ROUNDDOWN(I9/C9)</f>
        <v>0</v>
      </c>
      <c r="K9" s="46">
        <f t="shared" si="3"/>
        <v>0</v>
      </c>
      <c r="L9" s="12">
        <f t="shared" si="1"/>
        <v>0</v>
      </c>
      <c r="M9" s="46">
        <f t="shared" si="4"/>
        <v>7</v>
      </c>
      <c r="O9" s="47">
        <v>35185.0</v>
      </c>
      <c r="P9" s="48" t="s">
        <v>35</v>
      </c>
      <c r="Q9" s="48">
        <v>0.001</v>
      </c>
      <c r="S9" s="41"/>
    </row>
    <row r="10">
      <c r="B10" s="42">
        <v>34182.0</v>
      </c>
      <c r="C10" s="43">
        <v>0.01</v>
      </c>
      <c r="D10" s="43">
        <v>0.01</v>
      </c>
      <c r="E10" s="43">
        <v>0.01</v>
      </c>
      <c r="F10" s="43">
        <v>0.0</v>
      </c>
      <c r="G10" s="43" t="s">
        <v>39</v>
      </c>
      <c r="H10" s="44">
        <v>0.0</v>
      </c>
      <c r="I10" s="35">
        <f t="shared" si="2"/>
        <v>0</v>
      </c>
      <c r="J10" s="23">
        <f t="shared" si="5"/>
        <v>0</v>
      </c>
      <c r="K10" s="50">
        <f t="shared" si="3"/>
        <v>0</v>
      </c>
      <c r="L10" s="35">
        <f t="shared" si="1"/>
        <v>0</v>
      </c>
      <c r="M10" s="50">
        <f t="shared" si="4"/>
        <v>8</v>
      </c>
      <c r="O10" s="47">
        <v>35552.0</v>
      </c>
      <c r="P10" s="48" t="s">
        <v>35</v>
      </c>
      <c r="Q10" s="48">
        <v>0.001</v>
      </c>
      <c r="S10" s="41"/>
    </row>
    <row r="11">
      <c r="B11" s="42">
        <v>34213.0</v>
      </c>
      <c r="C11" s="43">
        <v>0.01</v>
      </c>
      <c r="D11" s="43">
        <v>0.01</v>
      </c>
      <c r="E11" s="43">
        <v>0.02</v>
      </c>
      <c r="F11" s="43">
        <v>0.01</v>
      </c>
      <c r="G11" s="43" t="s">
        <v>40</v>
      </c>
      <c r="H11" s="44">
        <v>0.0</v>
      </c>
      <c r="I11" s="12">
        <f t="shared" si="2"/>
        <v>0</v>
      </c>
      <c r="J11" s="23">
        <f t="shared" si="5"/>
        <v>0</v>
      </c>
      <c r="K11" s="46">
        <f t="shared" si="3"/>
        <v>0</v>
      </c>
      <c r="L11" s="12">
        <f t="shared" si="1"/>
        <v>0</v>
      </c>
      <c r="M11" s="46">
        <f t="shared" si="4"/>
        <v>9</v>
      </c>
      <c r="O11" s="52">
        <v>35790.0</v>
      </c>
      <c r="P11" s="48" t="s">
        <v>41</v>
      </c>
      <c r="Q11" s="48">
        <v>6.15735E-4</v>
      </c>
      <c r="S11" s="41"/>
    </row>
    <row r="12">
      <c r="B12" s="42">
        <v>34243.0</v>
      </c>
      <c r="C12" s="43">
        <v>0.02</v>
      </c>
      <c r="D12" s="43">
        <v>0.01</v>
      </c>
      <c r="E12" s="43">
        <v>0.02</v>
      </c>
      <c r="F12" s="43">
        <v>0.01</v>
      </c>
      <c r="G12" s="43" t="s">
        <v>42</v>
      </c>
      <c r="H12" s="44">
        <v>1.0</v>
      </c>
      <c r="I12" s="35">
        <f t="shared" si="2"/>
        <v>0</v>
      </c>
      <c r="J12" s="23">
        <f t="shared" si="5"/>
        <v>0</v>
      </c>
      <c r="K12" s="50">
        <f t="shared" si="3"/>
        <v>0</v>
      </c>
      <c r="L12" s="35">
        <f t="shared" si="1"/>
        <v>0</v>
      </c>
      <c r="M12" s="50">
        <f t="shared" si="4"/>
        <v>10</v>
      </c>
      <c r="O12" s="47">
        <v>35919.0</v>
      </c>
      <c r="P12" s="48" t="s">
        <v>34</v>
      </c>
      <c r="Q12" s="49">
        <v>0.2238</v>
      </c>
      <c r="S12" s="41"/>
    </row>
    <row r="13">
      <c r="B13" s="42">
        <v>34274.0</v>
      </c>
      <c r="C13" s="43">
        <v>0.03</v>
      </c>
      <c r="D13" s="43">
        <v>0.02</v>
      </c>
      <c r="E13" s="43">
        <v>0.03</v>
      </c>
      <c r="F13" s="43">
        <v>0.02</v>
      </c>
      <c r="G13" s="43" t="s">
        <v>43</v>
      </c>
      <c r="H13" s="44">
        <v>0.5</v>
      </c>
      <c r="I13" s="12">
        <f t="shared" si="2"/>
        <v>0</v>
      </c>
      <c r="J13" s="23">
        <f t="shared" si="5"/>
        <v>0</v>
      </c>
      <c r="K13" s="46">
        <f t="shared" si="3"/>
        <v>0</v>
      </c>
      <c r="L13" s="12">
        <f t="shared" si="1"/>
        <v>0</v>
      </c>
      <c r="M13" s="46">
        <f t="shared" si="4"/>
        <v>11</v>
      </c>
      <c r="O13" s="47">
        <v>35919.0</v>
      </c>
      <c r="P13" s="48" t="s">
        <v>35</v>
      </c>
      <c r="Q13" s="48">
        <f>0.000923997+0.000560473</f>
        <v>0.00148447</v>
      </c>
      <c r="S13" s="41"/>
    </row>
    <row r="14">
      <c r="B14" s="42">
        <v>34304.0</v>
      </c>
      <c r="C14" s="43">
        <v>0.04</v>
      </c>
      <c r="D14" s="43">
        <v>0.03</v>
      </c>
      <c r="E14" s="43">
        <v>0.04</v>
      </c>
      <c r="F14" s="43">
        <v>0.03</v>
      </c>
      <c r="G14" s="43" t="s">
        <v>44</v>
      </c>
      <c r="H14" s="44">
        <v>0.3333</v>
      </c>
      <c r="I14" s="35">
        <f t="shared" si="2"/>
        <v>0</v>
      </c>
      <c r="J14" s="23">
        <f t="shared" si="5"/>
        <v>0</v>
      </c>
      <c r="K14" s="50">
        <f t="shared" si="3"/>
        <v>0</v>
      </c>
      <c r="L14" s="35">
        <f t="shared" si="1"/>
        <v>0</v>
      </c>
      <c r="M14" s="50">
        <f t="shared" si="4"/>
        <v>12</v>
      </c>
      <c r="O14" s="47">
        <v>36039.0</v>
      </c>
      <c r="P14" s="48" t="s">
        <v>41</v>
      </c>
      <c r="Q14" s="48">
        <f>0.000841911+0.000353571</f>
        <v>0.001195482</v>
      </c>
      <c r="S14" s="41"/>
    </row>
    <row r="15">
      <c r="B15" s="42">
        <v>34335.0</v>
      </c>
      <c r="C15" s="43">
        <v>0.08</v>
      </c>
      <c r="D15" s="43">
        <v>0.04</v>
      </c>
      <c r="E15" s="43">
        <v>0.09</v>
      </c>
      <c r="F15" s="43">
        <v>0.04</v>
      </c>
      <c r="G15" s="43" t="s">
        <v>45</v>
      </c>
      <c r="H15" s="44">
        <v>1.0</v>
      </c>
      <c r="I15" s="33">
        <v>-1500.0</v>
      </c>
      <c r="J15" s="23">
        <f t="shared" ref="J15:J19" si="6">ROUNDDOWN(-I15/C15)</f>
        <v>18750</v>
      </c>
      <c r="K15" s="46">
        <f t="shared" si="3"/>
        <v>18750</v>
      </c>
      <c r="L15" s="12">
        <f t="shared" si="1"/>
        <v>1500</v>
      </c>
      <c r="M15" s="46">
        <f t="shared" si="4"/>
        <v>13</v>
      </c>
      <c r="O15" s="52">
        <v>36096.0</v>
      </c>
      <c r="P15" s="48" t="s">
        <v>41</v>
      </c>
      <c r="Q15" s="48">
        <f>0.000544325+0.000084876</f>
        <v>0.000629201</v>
      </c>
      <c r="S15" s="41"/>
    </row>
    <row r="16">
      <c r="B16" s="42">
        <v>34366.0</v>
      </c>
      <c r="C16" s="43">
        <v>0.12</v>
      </c>
      <c r="D16" s="43">
        <v>0.09</v>
      </c>
      <c r="E16" s="43">
        <v>0.14</v>
      </c>
      <c r="F16" s="43">
        <v>0.08</v>
      </c>
      <c r="G16" s="43" t="s">
        <v>46</v>
      </c>
      <c r="H16" s="44">
        <v>0.5</v>
      </c>
      <c r="I16" s="35">
        <f t="shared" ref="I16:I74" si="7">I15</f>
        <v>-1500</v>
      </c>
      <c r="J16" s="23">
        <f t="shared" si="6"/>
        <v>12500</v>
      </c>
      <c r="K16" s="50">
        <f t="shared" si="3"/>
        <v>31250</v>
      </c>
      <c r="L16" s="35">
        <f t="shared" si="1"/>
        <v>3750</v>
      </c>
      <c r="M16" s="50">
        <f t="shared" si="4"/>
        <v>14</v>
      </c>
      <c r="O16" s="52">
        <v>36151.0</v>
      </c>
      <c r="P16" s="48" t="s">
        <v>41</v>
      </c>
      <c r="Q16" s="48">
        <v>6.29201E-4</v>
      </c>
      <c r="S16" s="41"/>
    </row>
    <row r="17">
      <c r="B17" s="42">
        <v>34394.0</v>
      </c>
      <c r="C17" s="43">
        <v>0.17</v>
      </c>
      <c r="D17" s="43">
        <v>0.13</v>
      </c>
      <c r="E17" s="43">
        <v>0.17</v>
      </c>
      <c r="F17" s="43">
        <v>0.11</v>
      </c>
      <c r="G17" s="43" t="s">
        <v>47</v>
      </c>
      <c r="H17" s="44">
        <v>0.4167</v>
      </c>
      <c r="I17" s="12">
        <f t="shared" si="7"/>
        <v>-1500</v>
      </c>
      <c r="J17" s="23">
        <f t="shared" si="6"/>
        <v>8823</v>
      </c>
      <c r="K17" s="46">
        <f t="shared" si="3"/>
        <v>40073</v>
      </c>
      <c r="L17" s="12">
        <f t="shared" si="1"/>
        <v>6812.41</v>
      </c>
      <c r="M17" s="46">
        <f t="shared" si="4"/>
        <v>15</v>
      </c>
      <c r="S17" s="41"/>
    </row>
    <row r="18">
      <c r="B18" s="42">
        <v>34425.0</v>
      </c>
      <c r="C18" s="43">
        <v>0.17</v>
      </c>
      <c r="D18" s="43">
        <v>0.17</v>
      </c>
      <c r="E18" s="43">
        <v>0.2</v>
      </c>
      <c r="F18" s="43">
        <v>0.13</v>
      </c>
      <c r="G18" s="43" t="s">
        <v>48</v>
      </c>
      <c r="H18" s="44">
        <v>0.0</v>
      </c>
      <c r="I18" s="35">
        <f t="shared" si="7"/>
        <v>-1500</v>
      </c>
      <c r="J18" s="23">
        <f t="shared" si="6"/>
        <v>8823</v>
      </c>
      <c r="K18" s="50">
        <f t="shared" si="3"/>
        <v>48896</v>
      </c>
      <c r="L18" s="35">
        <f t="shared" si="1"/>
        <v>8312.32</v>
      </c>
      <c r="M18" s="50">
        <f t="shared" si="4"/>
        <v>16</v>
      </c>
      <c r="S18" s="41"/>
    </row>
    <row r="19">
      <c r="B19" s="42">
        <v>34455.0</v>
      </c>
      <c r="C19" s="43">
        <v>0.22</v>
      </c>
      <c r="D19" s="43">
        <v>0.17</v>
      </c>
      <c r="E19" s="43">
        <v>0.23</v>
      </c>
      <c r="F19" s="43">
        <v>0.1</v>
      </c>
      <c r="G19" s="43" t="s">
        <v>49</v>
      </c>
      <c r="H19" s="44">
        <v>0.2941</v>
      </c>
      <c r="I19" s="12">
        <f t="shared" si="7"/>
        <v>-1500</v>
      </c>
      <c r="J19" s="23">
        <f t="shared" si="6"/>
        <v>6818</v>
      </c>
      <c r="K19" s="46">
        <f t="shared" si="3"/>
        <v>55714</v>
      </c>
      <c r="L19" s="12">
        <f t="shared" si="1"/>
        <v>12257.08</v>
      </c>
      <c r="M19" s="46">
        <f t="shared" si="4"/>
        <v>17</v>
      </c>
      <c r="S19" s="41"/>
    </row>
    <row r="20">
      <c r="B20" s="42">
        <v>34486.0</v>
      </c>
      <c r="C20" s="43">
        <v>0.38</v>
      </c>
      <c r="D20" s="43">
        <v>0.23</v>
      </c>
      <c r="E20" s="43">
        <v>0.4</v>
      </c>
      <c r="F20" s="43">
        <v>0.21</v>
      </c>
      <c r="G20" s="43" t="s">
        <v>50</v>
      </c>
      <c r="H20" s="44">
        <v>0.7273</v>
      </c>
      <c r="I20" s="35">
        <f t="shared" si="7"/>
        <v>-1500</v>
      </c>
      <c r="J20" s="23">
        <f>ROUNDDOWN((-I20+Q5*K19)/C20) </f>
        <v>3947</v>
      </c>
      <c r="K20" s="50">
        <f t="shared" si="3"/>
        <v>59661</v>
      </c>
      <c r="L20" s="35">
        <f t="shared" si="1"/>
        <v>22671.18</v>
      </c>
      <c r="M20" s="50">
        <f t="shared" si="4"/>
        <v>18</v>
      </c>
      <c r="O20" s="53"/>
      <c r="P20" s="40" t="s">
        <v>5</v>
      </c>
      <c r="Q20" s="40" t="s">
        <v>6</v>
      </c>
      <c r="S20" s="41"/>
    </row>
    <row r="21">
      <c r="B21" s="42">
        <v>34516.0</v>
      </c>
      <c r="C21" s="43">
        <v>0.47</v>
      </c>
      <c r="D21" s="43">
        <v>0.39</v>
      </c>
      <c r="E21" s="43">
        <v>0.47</v>
      </c>
      <c r="F21" s="43">
        <v>0.33</v>
      </c>
      <c r="G21" s="43" t="s">
        <v>51</v>
      </c>
      <c r="H21" s="44">
        <v>0.2368</v>
      </c>
      <c r="I21" s="12">
        <f t="shared" si="7"/>
        <v>-1500</v>
      </c>
      <c r="J21" s="23">
        <f t="shared" ref="J21:J28" si="8">ROUNDDOWN(-I21/C21)</f>
        <v>3191</v>
      </c>
      <c r="K21" s="46">
        <f t="shared" si="3"/>
        <v>62852</v>
      </c>
      <c r="L21" s="12">
        <f t="shared" si="1"/>
        <v>29540.44</v>
      </c>
      <c r="M21" s="46">
        <f t="shared" si="4"/>
        <v>19</v>
      </c>
      <c r="O21" s="40" t="s">
        <v>11</v>
      </c>
      <c r="P21" s="54">
        <v>0.05</v>
      </c>
      <c r="Q21" s="55">
        <f>(1+P21)^(1/12)-1</f>
        <v>0.004074123784</v>
      </c>
      <c r="S21" s="41"/>
    </row>
    <row r="22">
      <c r="B22" s="42">
        <v>34547.0</v>
      </c>
      <c r="C22" s="43">
        <v>0.55</v>
      </c>
      <c r="D22" s="43">
        <v>0.47</v>
      </c>
      <c r="E22" s="43">
        <v>0.62</v>
      </c>
      <c r="F22" s="43">
        <v>0.46</v>
      </c>
      <c r="G22" s="43" t="s">
        <v>52</v>
      </c>
      <c r="H22" s="44">
        <v>0.1702</v>
      </c>
      <c r="I22" s="35">
        <f t="shared" si="7"/>
        <v>-1500</v>
      </c>
      <c r="J22" s="23">
        <f t="shared" si="8"/>
        <v>2727</v>
      </c>
      <c r="K22" s="50">
        <f t="shared" si="3"/>
        <v>65579</v>
      </c>
      <c r="L22" s="35">
        <f t="shared" si="1"/>
        <v>36068.45</v>
      </c>
      <c r="M22" s="50">
        <f t="shared" si="4"/>
        <v>20</v>
      </c>
      <c r="O22" s="40" t="s">
        <v>8</v>
      </c>
      <c r="P22" s="55">
        <f>(1+Q22)^(12)-1</f>
        <v>0.1564820433</v>
      </c>
      <c r="Q22" s="56">
        <f>IRR(I3:I75, 0.02)</f>
        <v>0.01218890957</v>
      </c>
      <c r="S22" s="57"/>
    </row>
    <row r="23">
      <c r="B23" s="42">
        <v>34578.0</v>
      </c>
      <c r="C23" s="43">
        <v>0.49</v>
      </c>
      <c r="D23" s="43">
        <v>0.56</v>
      </c>
      <c r="E23" s="43">
        <v>0.59</v>
      </c>
      <c r="F23" s="43">
        <v>0.44</v>
      </c>
      <c r="G23" s="43" t="s">
        <v>53</v>
      </c>
      <c r="H23" s="44">
        <v>-0.1091</v>
      </c>
      <c r="I23" s="12">
        <f t="shared" si="7"/>
        <v>-1500</v>
      </c>
      <c r="J23" s="23">
        <f t="shared" si="8"/>
        <v>3061</v>
      </c>
      <c r="K23" s="46">
        <f t="shared" si="3"/>
        <v>68640</v>
      </c>
      <c r="L23" s="12">
        <f t="shared" si="1"/>
        <v>33633.6</v>
      </c>
      <c r="M23" s="46">
        <f t="shared" si="4"/>
        <v>21</v>
      </c>
      <c r="O23" s="40" t="s">
        <v>9</v>
      </c>
      <c r="P23" s="58">
        <f t="array" ref="P23">NPV(Q21,I15:I75)</f>
        <v>24177.73165</v>
      </c>
      <c r="Q23" s="7"/>
    </row>
    <row r="24">
      <c r="B24" s="42">
        <v>34608.0</v>
      </c>
      <c r="C24" s="43">
        <v>0.46</v>
      </c>
      <c r="D24" s="43">
        <v>0.5</v>
      </c>
      <c r="E24" s="43">
        <v>0.5</v>
      </c>
      <c r="F24" s="43">
        <v>0.41</v>
      </c>
      <c r="G24" s="43" t="s">
        <v>54</v>
      </c>
      <c r="H24" s="44">
        <v>-0.0612</v>
      </c>
      <c r="I24" s="35">
        <f t="shared" si="7"/>
        <v>-1500</v>
      </c>
      <c r="J24" s="23">
        <f t="shared" si="8"/>
        <v>3260</v>
      </c>
      <c r="K24" s="50">
        <f t="shared" si="3"/>
        <v>71900</v>
      </c>
      <c r="L24" s="35">
        <f t="shared" si="1"/>
        <v>33074</v>
      </c>
      <c r="M24" s="50">
        <f t="shared" si="4"/>
        <v>22</v>
      </c>
    </row>
    <row r="25">
      <c r="B25" s="42">
        <v>34639.0</v>
      </c>
      <c r="C25" s="43">
        <v>0.47</v>
      </c>
      <c r="D25" s="43">
        <v>0.46</v>
      </c>
      <c r="E25" s="43">
        <v>0.51</v>
      </c>
      <c r="F25" s="43">
        <v>0.42</v>
      </c>
      <c r="G25" s="43" t="s">
        <v>55</v>
      </c>
      <c r="H25" s="44">
        <v>0.0217</v>
      </c>
      <c r="I25" s="12">
        <f t="shared" si="7"/>
        <v>-1500</v>
      </c>
      <c r="J25" s="23">
        <f t="shared" si="8"/>
        <v>3191</v>
      </c>
      <c r="K25" s="46">
        <f t="shared" si="3"/>
        <v>75091</v>
      </c>
      <c r="L25" s="12">
        <f t="shared" si="1"/>
        <v>35292.77</v>
      </c>
      <c r="M25" s="46">
        <f t="shared" si="4"/>
        <v>23</v>
      </c>
      <c r="O25" s="59" t="s">
        <v>56</v>
      </c>
      <c r="P25" s="1"/>
      <c r="Q25" s="1"/>
    </row>
    <row r="26">
      <c r="B26" s="42">
        <v>34669.0</v>
      </c>
      <c r="C26" s="43">
        <v>0.42</v>
      </c>
      <c r="D26" s="43">
        <v>0.49</v>
      </c>
      <c r="E26" s="43">
        <v>0.52</v>
      </c>
      <c r="F26" s="43">
        <v>0.38</v>
      </c>
      <c r="G26" s="43" t="s">
        <v>57</v>
      </c>
      <c r="H26" s="44">
        <v>-0.1064</v>
      </c>
      <c r="I26" s="35">
        <f t="shared" si="7"/>
        <v>-1500</v>
      </c>
      <c r="J26" s="23">
        <f t="shared" si="8"/>
        <v>3571</v>
      </c>
      <c r="K26" s="50">
        <f t="shared" si="3"/>
        <v>78662</v>
      </c>
      <c r="L26" s="35">
        <f t="shared" si="1"/>
        <v>33038.04</v>
      </c>
      <c r="M26" s="50">
        <f t="shared" si="4"/>
        <v>24</v>
      </c>
      <c r="O26" s="60"/>
      <c r="P26" s="60"/>
      <c r="Q26" s="60"/>
    </row>
    <row r="27">
      <c r="B27" s="42">
        <v>34700.0</v>
      </c>
      <c r="C27" s="43">
        <v>0.42</v>
      </c>
      <c r="D27" s="43">
        <v>0.42</v>
      </c>
      <c r="E27" s="43">
        <v>0.48</v>
      </c>
      <c r="F27" s="43">
        <v>0.33</v>
      </c>
      <c r="G27" s="43" t="s">
        <v>58</v>
      </c>
      <c r="H27" s="44">
        <v>0.0</v>
      </c>
      <c r="I27" s="12">
        <f t="shared" si="7"/>
        <v>-1500</v>
      </c>
      <c r="J27" s="23">
        <f t="shared" si="8"/>
        <v>3571</v>
      </c>
      <c r="K27" s="46">
        <f t="shared" si="3"/>
        <v>82233</v>
      </c>
      <c r="L27" s="12">
        <f t="shared" si="1"/>
        <v>34537.86</v>
      </c>
      <c r="M27" s="46">
        <f t="shared" si="4"/>
        <v>25</v>
      </c>
      <c r="O27" s="61" t="s">
        <v>59</v>
      </c>
      <c r="P27" s="62"/>
      <c r="Q27" s="63">
        <f>C15</f>
        <v>0.08</v>
      </c>
    </row>
    <row r="28">
      <c r="B28" s="42">
        <v>34731.0</v>
      </c>
      <c r="C28" s="43">
        <v>0.37</v>
      </c>
      <c r="D28" s="43">
        <v>0.43</v>
      </c>
      <c r="E28" s="43">
        <v>0.44</v>
      </c>
      <c r="F28" s="43">
        <v>0.31</v>
      </c>
      <c r="G28" s="43" t="s">
        <v>60</v>
      </c>
      <c r="H28" s="44">
        <v>-0.119</v>
      </c>
      <c r="I28" s="35">
        <f t="shared" si="7"/>
        <v>-1500</v>
      </c>
      <c r="J28" s="23">
        <f t="shared" si="8"/>
        <v>4054</v>
      </c>
      <c r="K28" s="50">
        <f t="shared" si="3"/>
        <v>86287</v>
      </c>
      <c r="L28" s="35">
        <f t="shared" si="1"/>
        <v>31926.19</v>
      </c>
      <c r="M28" s="50">
        <f t="shared" si="4"/>
        <v>26</v>
      </c>
      <c r="O28" s="64" t="s">
        <v>61</v>
      </c>
      <c r="P28" s="65"/>
      <c r="Q28" s="66">
        <f t="shared" ref="Q28:Q29" si="9">C74</f>
        <v>0.55</v>
      </c>
    </row>
    <row r="29">
      <c r="B29" s="42">
        <v>34759.0</v>
      </c>
      <c r="C29" s="43">
        <v>0.35</v>
      </c>
      <c r="D29" s="43">
        <v>0.34</v>
      </c>
      <c r="E29" s="43">
        <v>0.41</v>
      </c>
      <c r="F29" s="43">
        <v>0.2</v>
      </c>
      <c r="G29" s="43" t="s">
        <v>62</v>
      </c>
      <c r="H29" s="44">
        <v>-0.0541</v>
      </c>
      <c r="I29" s="12">
        <f t="shared" si="7"/>
        <v>-1500</v>
      </c>
      <c r="J29" s="23">
        <f>ROUNDDOWN((-I29/C29)*365%)</f>
        <v>15642</v>
      </c>
      <c r="K29" s="46">
        <f t="shared" si="3"/>
        <v>101929</v>
      </c>
      <c r="L29" s="12">
        <f t="shared" si="1"/>
        <v>35675.15</v>
      </c>
      <c r="M29" s="46">
        <f t="shared" si="4"/>
        <v>27</v>
      </c>
      <c r="O29" s="61" t="s">
        <v>63</v>
      </c>
      <c r="P29" s="67"/>
      <c r="Q29" s="63">
        <f t="shared" si="9"/>
        <v>0.62</v>
      </c>
    </row>
    <row r="30">
      <c r="B30" s="42">
        <v>34790.0</v>
      </c>
      <c r="C30" s="43">
        <v>0.42</v>
      </c>
      <c r="D30" s="43">
        <v>0.34</v>
      </c>
      <c r="E30" s="43">
        <v>0.45</v>
      </c>
      <c r="F30" s="43">
        <v>0.33</v>
      </c>
      <c r="G30" s="43" t="s">
        <v>64</v>
      </c>
      <c r="H30" s="44">
        <v>0.2</v>
      </c>
      <c r="I30" s="35">
        <f t="shared" si="7"/>
        <v>-1500</v>
      </c>
      <c r="J30" s="23">
        <f>ROUNDDOWN((-I30 + Q8*K29)/C30)</f>
        <v>3659</v>
      </c>
      <c r="K30" s="50">
        <f t="shared" si="3"/>
        <v>105588</v>
      </c>
      <c r="L30" s="35">
        <f t="shared" si="1"/>
        <v>44346.96</v>
      </c>
      <c r="M30" s="50">
        <f t="shared" si="4"/>
        <v>28</v>
      </c>
      <c r="O30" s="64" t="s">
        <v>65</v>
      </c>
      <c r="P30" s="65"/>
      <c r="Q30" s="68">
        <f>Q29/Q27</f>
        <v>7.75</v>
      </c>
    </row>
    <row r="31">
      <c r="B31" s="42">
        <v>34820.0</v>
      </c>
      <c r="C31" s="43">
        <v>0.41</v>
      </c>
      <c r="D31" s="43">
        <v>0.42</v>
      </c>
      <c r="E31" s="43">
        <v>0.46</v>
      </c>
      <c r="F31" s="43">
        <v>0.4</v>
      </c>
      <c r="G31" s="43" t="s">
        <v>66</v>
      </c>
      <c r="H31" s="44">
        <v>-0.0238</v>
      </c>
      <c r="I31" s="12">
        <f t="shared" si="7"/>
        <v>-1500</v>
      </c>
      <c r="J31" s="23">
        <f t="shared" ref="J31:J42" si="10">ROUNDDOWN(-I31/C31)</f>
        <v>3658</v>
      </c>
      <c r="K31" s="46">
        <f t="shared" si="3"/>
        <v>109246</v>
      </c>
      <c r="L31" s="12">
        <f t="shared" si="1"/>
        <v>44790.86</v>
      </c>
      <c r="M31" s="46">
        <f t="shared" si="4"/>
        <v>29</v>
      </c>
    </row>
    <row r="32">
      <c r="B32" s="42">
        <v>34851.0</v>
      </c>
      <c r="C32" s="43">
        <v>0.35</v>
      </c>
      <c r="D32" s="43">
        <v>0.41</v>
      </c>
      <c r="E32" s="43">
        <v>0.43</v>
      </c>
      <c r="F32" s="43">
        <v>0.34</v>
      </c>
      <c r="G32" s="43" t="s">
        <v>67</v>
      </c>
      <c r="H32" s="44">
        <v>-0.1463</v>
      </c>
      <c r="I32" s="35">
        <f t="shared" si="7"/>
        <v>-1500</v>
      </c>
      <c r="J32" s="23">
        <f t="shared" si="10"/>
        <v>4285</v>
      </c>
      <c r="K32" s="50">
        <f t="shared" si="3"/>
        <v>113531</v>
      </c>
      <c r="L32" s="35">
        <f t="shared" si="1"/>
        <v>39735.85</v>
      </c>
      <c r="M32" s="50">
        <f t="shared" si="4"/>
        <v>30</v>
      </c>
    </row>
    <row r="33">
      <c r="B33" s="42">
        <v>34881.0</v>
      </c>
      <c r="C33" s="43">
        <v>0.39</v>
      </c>
      <c r="D33" s="43">
        <v>0.35</v>
      </c>
      <c r="E33" s="43">
        <v>0.42</v>
      </c>
      <c r="F33" s="43">
        <v>0.35</v>
      </c>
      <c r="G33" s="43" t="s">
        <v>68</v>
      </c>
      <c r="H33" s="44">
        <v>0.1143</v>
      </c>
      <c r="I33" s="12">
        <f t="shared" si="7"/>
        <v>-1500</v>
      </c>
      <c r="J33" s="23">
        <f t="shared" si="10"/>
        <v>3846</v>
      </c>
      <c r="K33" s="46">
        <f t="shared" si="3"/>
        <v>117377</v>
      </c>
      <c r="L33" s="12">
        <f t="shared" si="1"/>
        <v>45777.03</v>
      </c>
      <c r="M33" s="46">
        <f t="shared" si="4"/>
        <v>31</v>
      </c>
    </row>
    <row r="34">
      <c r="B34" s="42">
        <v>34912.0</v>
      </c>
      <c r="C34" s="43">
        <v>0.42</v>
      </c>
      <c r="D34" s="43">
        <v>0.39</v>
      </c>
      <c r="E34" s="43">
        <v>0.46</v>
      </c>
      <c r="F34" s="43">
        <v>0.38</v>
      </c>
      <c r="G34" s="43" t="s">
        <v>69</v>
      </c>
      <c r="H34" s="44">
        <v>0.0769</v>
      </c>
      <c r="I34" s="35">
        <f t="shared" si="7"/>
        <v>-1500</v>
      </c>
      <c r="J34" s="23">
        <f t="shared" si="10"/>
        <v>3571</v>
      </c>
      <c r="K34" s="50">
        <f t="shared" si="3"/>
        <v>120948</v>
      </c>
      <c r="L34" s="35">
        <f t="shared" si="1"/>
        <v>50798.16</v>
      </c>
      <c r="M34" s="50">
        <f t="shared" si="4"/>
        <v>32</v>
      </c>
    </row>
    <row r="35">
      <c r="B35" s="42">
        <v>34943.0</v>
      </c>
      <c r="C35" s="43">
        <v>0.42</v>
      </c>
      <c r="D35" s="43">
        <v>0.43</v>
      </c>
      <c r="E35" s="43">
        <v>0.47</v>
      </c>
      <c r="F35" s="43">
        <v>0.41</v>
      </c>
      <c r="G35" s="43" t="s">
        <v>70</v>
      </c>
      <c r="H35" s="44">
        <v>0.0</v>
      </c>
      <c r="I35" s="12">
        <f t="shared" si="7"/>
        <v>-1500</v>
      </c>
      <c r="J35" s="23">
        <f t="shared" si="10"/>
        <v>3571</v>
      </c>
      <c r="K35" s="46">
        <f t="shared" si="3"/>
        <v>124519</v>
      </c>
      <c r="L35" s="12">
        <f t="shared" si="1"/>
        <v>52297.98</v>
      </c>
      <c r="M35" s="46">
        <f t="shared" si="4"/>
        <v>33</v>
      </c>
    </row>
    <row r="36">
      <c r="B36" s="42">
        <v>34973.0</v>
      </c>
      <c r="C36" s="43">
        <v>0.41</v>
      </c>
      <c r="D36" s="43">
        <v>0.42</v>
      </c>
      <c r="E36" s="43">
        <v>0.46</v>
      </c>
      <c r="F36" s="43">
        <v>0.39</v>
      </c>
      <c r="G36" s="43" t="s">
        <v>71</v>
      </c>
      <c r="H36" s="44">
        <v>-0.0238</v>
      </c>
      <c r="I36" s="35">
        <f t="shared" si="7"/>
        <v>-1500</v>
      </c>
      <c r="J36" s="23">
        <f t="shared" si="10"/>
        <v>3658</v>
      </c>
      <c r="K36" s="50">
        <f t="shared" si="3"/>
        <v>128177</v>
      </c>
      <c r="L36" s="35">
        <f t="shared" si="1"/>
        <v>52552.57</v>
      </c>
      <c r="M36" s="50">
        <f t="shared" si="4"/>
        <v>34</v>
      </c>
    </row>
    <row r="37">
      <c r="B37" s="42">
        <v>35004.0</v>
      </c>
      <c r="C37" s="43">
        <v>0.42</v>
      </c>
      <c r="D37" s="43">
        <v>0.41</v>
      </c>
      <c r="E37" s="43">
        <v>0.43</v>
      </c>
      <c r="F37" s="43">
        <v>0.36</v>
      </c>
      <c r="G37" s="43" t="s">
        <v>72</v>
      </c>
      <c r="H37" s="44">
        <v>0.0244</v>
      </c>
      <c r="I37" s="12">
        <f t="shared" si="7"/>
        <v>-1500</v>
      </c>
      <c r="J37" s="23">
        <f t="shared" si="10"/>
        <v>3571</v>
      </c>
      <c r="K37" s="46">
        <f t="shared" si="3"/>
        <v>131748</v>
      </c>
      <c r="L37" s="12">
        <f t="shared" si="1"/>
        <v>55334.16</v>
      </c>
      <c r="M37" s="46">
        <f t="shared" si="4"/>
        <v>35</v>
      </c>
    </row>
    <row r="38">
      <c r="B38" s="42">
        <v>35034.0</v>
      </c>
      <c r="C38" s="43">
        <v>0.42</v>
      </c>
      <c r="D38" s="43">
        <v>0.41</v>
      </c>
      <c r="E38" s="43">
        <v>0.43</v>
      </c>
      <c r="F38" s="43">
        <v>0.39</v>
      </c>
      <c r="G38" s="43" t="s">
        <v>73</v>
      </c>
      <c r="H38" s="44">
        <v>0.0</v>
      </c>
      <c r="I38" s="35">
        <f t="shared" si="7"/>
        <v>-1500</v>
      </c>
      <c r="J38" s="23">
        <f t="shared" si="10"/>
        <v>3571</v>
      </c>
      <c r="K38" s="50">
        <f t="shared" si="3"/>
        <v>135319</v>
      </c>
      <c r="L38" s="35">
        <f t="shared" si="1"/>
        <v>56833.98</v>
      </c>
      <c r="M38" s="50">
        <f t="shared" si="4"/>
        <v>36</v>
      </c>
    </row>
    <row r="39">
      <c r="B39" s="42">
        <v>35065.0</v>
      </c>
      <c r="C39" s="43">
        <v>0.48</v>
      </c>
      <c r="D39" s="43">
        <v>0.43</v>
      </c>
      <c r="E39" s="43">
        <v>0.48</v>
      </c>
      <c r="F39" s="43">
        <v>0.42</v>
      </c>
      <c r="G39" s="43" t="s">
        <v>74</v>
      </c>
      <c r="H39" s="44">
        <v>0.1429</v>
      </c>
      <c r="I39" s="12">
        <f t="shared" si="7"/>
        <v>-1500</v>
      </c>
      <c r="J39" s="23">
        <f t="shared" si="10"/>
        <v>3125</v>
      </c>
      <c r="K39" s="46">
        <f t="shared" si="3"/>
        <v>138444</v>
      </c>
      <c r="L39" s="12">
        <f t="shared" si="1"/>
        <v>66453.12</v>
      </c>
      <c r="M39" s="46">
        <f t="shared" si="4"/>
        <v>37</v>
      </c>
    </row>
    <row r="40">
      <c r="B40" s="42">
        <v>35096.0</v>
      </c>
      <c r="C40" s="43">
        <v>0.49</v>
      </c>
      <c r="D40" s="43">
        <v>0.48</v>
      </c>
      <c r="E40" s="43">
        <v>0.57</v>
      </c>
      <c r="F40" s="43">
        <v>0.47</v>
      </c>
      <c r="G40" s="43" t="s">
        <v>75</v>
      </c>
      <c r="H40" s="44">
        <v>0.0208</v>
      </c>
      <c r="I40" s="35">
        <f t="shared" si="7"/>
        <v>-1500</v>
      </c>
      <c r="J40" s="23">
        <f t="shared" si="10"/>
        <v>3061</v>
      </c>
      <c r="K40" s="50">
        <f>ROUNDDOWN((J40+K39)*(1+1.98%))</f>
        <v>144306</v>
      </c>
      <c r="L40" s="35">
        <f t="shared" si="1"/>
        <v>70709.94</v>
      </c>
      <c r="M40" s="50">
        <f t="shared" si="4"/>
        <v>38</v>
      </c>
    </row>
    <row r="41">
      <c r="B41" s="42">
        <v>35125.0</v>
      </c>
      <c r="C41" s="43">
        <v>0.54</v>
      </c>
      <c r="D41" s="43">
        <v>0.51</v>
      </c>
      <c r="E41" s="43">
        <v>0.56</v>
      </c>
      <c r="F41" s="43">
        <v>0.45</v>
      </c>
      <c r="G41" s="43" t="s">
        <v>76</v>
      </c>
      <c r="H41" s="44">
        <v>0.102</v>
      </c>
      <c r="I41" s="12">
        <f t="shared" si="7"/>
        <v>-1500</v>
      </c>
      <c r="J41" s="23">
        <f t="shared" si="10"/>
        <v>2777</v>
      </c>
      <c r="K41" s="46">
        <f t="shared" ref="K41:K75" si="11">J41+K40</f>
        <v>147083</v>
      </c>
      <c r="L41" s="12">
        <f t="shared" si="1"/>
        <v>79424.82</v>
      </c>
      <c r="M41" s="46">
        <f t="shared" si="4"/>
        <v>39</v>
      </c>
    </row>
    <row r="42">
      <c r="B42" s="42">
        <v>35156.0</v>
      </c>
      <c r="C42" s="43">
        <v>0.49</v>
      </c>
      <c r="D42" s="43">
        <v>0.55</v>
      </c>
      <c r="E42" s="43">
        <v>0.55</v>
      </c>
      <c r="F42" s="43">
        <v>0.47</v>
      </c>
      <c r="G42" s="43" t="s">
        <v>77</v>
      </c>
      <c r="H42" s="44">
        <v>-0.0926</v>
      </c>
      <c r="I42" s="35">
        <f t="shared" si="7"/>
        <v>-1500</v>
      </c>
      <c r="J42" s="23">
        <f t="shared" si="10"/>
        <v>3061</v>
      </c>
      <c r="K42" s="50">
        <f t="shared" si="11"/>
        <v>150144</v>
      </c>
      <c r="L42" s="35">
        <f t="shared" si="1"/>
        <v>73570.56</v>
      </c>
      <c r="M42" s="50">
        <f t="shared" si="4"/>
        <v>40</v>
      </c>
    </row>
    <row r="43">
      <c r="B43" s="42">
        <v>35186.0</v>
      </c>
      <c r="C43" s="43">
        <v>0.52</v>
      </c>
      <c r="D43" s="43">
        <v>0.49</v>
      </c>
      <c r="E43" s="43">
        <v>0.55</v>
      </c>
      <c r="F43" s="43">
        <v>0.49</v>
      </c>
      <c r="G43" s="43" t="s">
        <v>78</v>
      </c>
      <c r="H43" s="44">
        <v>0.0612</v>
      </c>
      <c r="I43" s="12">
        <f t="shared" si="7"/>
        <v>-1500</v>
      </c>
      <c r="J43" s="23">
        <f>ROUNDDOWN((-I43 + Q9*K42)/C43)</f>
        <v>3173</v>
      </c>
      <c r="K43" s="46">
        <f t="shared" si="11"/>
        <v>153317</v>
      </c>
      <c r="L43" s="12">
        <f t="shared" si="1"/>
        <v>79724.84</v>
      </c>
      <c r="M43" s="46">
        <f t="shared" si="4"/>
        <v>41</v>
      </c>
    </row>
    <row r="44">
      <c r="B44" s="42">
        <v>35217.0</v>
      </c>
      <c r="C44" s="43">
        <v>0.53</v>
      </c>
      <c r="D44" s="43">
        <v>0.52</v>
      </c>
      <c r="E44" s="43">
        <v>0.6</v>
      </c>
      <c r="F44" s="43">
        <v>0.51</v>
      </c>
      <c r="G44" s="43" t="s">
        <v>79</v>
      </c>
      <c r="H44" s="44">
        <v>0.0192</v>
      </c>
      <c r="I44" s="35">
        <f t="shared" si="7"/>
        <v>-1500</v>
      </c>
      <c r="J44" s="23">
        <f t="shared" ref="J44:J55" si="12">ROUNDDOWN(-I44/C44)</f>
        <v>2830</v>
      </c>
      <c r="K44" s="50">
        <f t="shared" si="11"/>
        <v>156147</v>
      </c>
      <c r="L44" s="35">
        <f t="shared" si="1"/>
        <v>82757.91</v>
      </c>
      <c r="M44" s="50">
        <f t="shared" si="4"/>
        <v>42</v>
      </c>
    </row>
    <row r="45">
      <c r="B45" s="42">
        <v>35247.0</v>
      </c>
      <c r="C45" s="43">
        <v>0.55</v>
      </c>
      <c r="D45" s="43">
        <v>0.52</v>
      </c>
      <c r="E45" s="43">
        <v>0.58</v>
      </c>
      <c r="F45" s="43">
        <v>0.52</v>
      </c>
      <c r="G45" s="43" t="s">
        <v>80</v>
      </c>
      <c r="H45" s="44">
        <v>0.0377</v>
      </c>
      <c r="I45" s="12">
        <f t="shared" si="7"/>
        <v>-1500</v>
      </c>
      <c r="J45" s="23">
        <f t="shared" si="12"/>
        <v>2727</v>
      </c>
      <c r="K45" s="46">
        <f t="shared" si="11"/>
        <v>158874</v>
      </c>
      <c r="L45" s="12">
        <f t="shared" si="1"/>
        <v>87380.7</v>
      </c>
      <c r="M45" s="46">
        <f t="shared" si="4"/>
        <v>43</v>
      </c>
    </row>
    <row r="46">
      <c r="B46" s="42">
        <v>35278.0</v>
      </c>
      <c r="C46" s="43">
        <v>0.6</v>
      </c>
      <c r="D46" s="43">
        <v>0.55</v>
      </c>
      <c r="E46" s="43">
        <v>0.64</v>
      </c>
      <c r="F46" s="43">
        <v>0.55</v>
      </c>
      <c r="G46" s="43" t="s">
        <v>81</v>
      </c>
      <c r="H46" s="44">
        <v>0.0909</v>
      </c>
      <c r="I46" s="35">
        <f t="shared" si="7"/>
        <v>-1500</v>
      </c>
      <c r="J46" s="23">
        <f t="shared" si="12"/>
        <v>2500</v>
      </c>
      <c r="K46" s="50">
        <f t="shared" si="11"/>
        <v>161374</v>
      </c>
      <c r="L46" s="35">
        <f t="shared" si="1"/>
        <v>96824.4</v>
      </c>
      <c r="M46" s="50">
        <f t="shared" si="4"/>
        <v>44</v>
      </c>
    </row>
    <row r="47">
      <c r="B47" s="42">
        <v>35309.0</v>
      </c>
      <c r="C47" s="43">
        <v>0.6</v>
      </c>
      <c r="D47" s="43">
        <v>0.6</v>
      </c>
      <c r="E47" s="43">
        <v>0.63</v>
      </c>
      <c r="F47" s="43">
        <v>0.6</v>
      </c>
      <c r="G47" s="43" t="s">
        <v>82</v>
      </c>
      <c r="H47" s="44">
        <v>0.0</v>
      </c>
      <c r="I47" s="12">
        <f t="shared" si="7"/>
        <v>-1500</v>
      </c>
      <c r="J47" s="23">
        <f t="shared" si="12"/>
        <v>2500</v>
      </c>
      <c r="K47" s="46">
        <f t="shared" si="11"/>
        <v>163874</v>
      </c>
      <c r="L47" s="12">
        <f t="shared" si="1"/>
        <v>98324.4</v>
      </c>
      <c r="M47" s="46">
        <f t="shared" si="4"/>
        <v>45</v>
      </c>
    </row>
    <row r="48">
      <c r="B48" s="42">
        <v>35339.0</v>
      </c>
      <c r="C48" s="43">
        <v>0.64</v>
      </c>
      <c r="D48" s="43">
        <v>0.6</v>
      </c>
      <c r="E48" s="43">
        <v>0.68</v>
      </c>
      <c r="F48" s="43">
        <v>0.6</v>
      </c>
      <c r="G48" s="43" t="s">
        <v>83</v>
      </c>
      <c r="H48" s="44">
        <v>0.0667</v>
      </c>
      <c r="I48" s="35">
        <f t="shared" si="7"/>
        <v>-1500</v>
      </c>
      <c r="J48" s="23">
        <f t="shared" si="12"/>
        <v>2343</v>
      </c>
      <c r="K48" s="50">
        <f t="shared" si="11"/>
        <v>166217</v>
      </c>
      <c r="L48" s="35">
        <f t="shared" si="1"/>
        <v>106378.88</v>
      </c>
      <c r="M48" s="50">
        <f t="shared" si="4"/>
        <v>46</v>
      </c>
    </row>
    <row r="49">
      <c r="B49" s="42">
        <v>35370.0</v>
      </c>
      <c r="C49" s="43">
        <v>0.66</v>
      </c>
      <c r="D49" s="43">
        <v>0.64</v>
      </c>
      <c r="E49" s="43">
        <v>0.67</v>
      </c>
      <c r="F49" s="43">
        <v>0.61</v>
      </c>
      <c r="G49" s="43" t="s">
        <v>84</v>
      </c>
      <c r="H49" s="44">
        <v>0.0313</v>
      </c>
      <c r="I49" s="12">
        <f t="shared" si="7"/>
        <v>-1500</v>
      </c>
      <c r="J49" s="23">
        <f t="shared" si="12"/>
        <v>2272</v>
      </c>
      <c r="K49" s="46">
        <f t="shared" si="11"/>
        <v>168489</v>
      </c>
      <c r="L49" s="12">
        <f t="shared" si="1"/>
        <v>111202.74</v>
      </c>
      <c r="M49" s="46">
        <f t="shared" si="4"/>
        <v>47</v>
      </c>
    </row>
    <row r="50">
      <c r="B50" s="42">
        <v>35400.0</v>
      </c>
      <c r="C50" s="43">
        <v>0.7</v>
      </c>
      <c r="D50" s="43">
        <v>0.66</v>
      </c>
      <c r="E50" s="43">
        <v>0.75</v>
      </c>
      <c r="F50" s="43">
        <v>0.64</v>
      </c>
      <c r="G50" s="43" t="s">
        <v>85</v>
      </c>
      <c r="H50" s="44">
        <v>0.0606</v>
      </c>
      <c r="I50" s="35">
        <f t="shared" si="7"/>
        <v>-1500</v>
      </c>
      <c r="J50" s="23">
        <f t="shared" si="12"/>
        <v>2142</v>
      </c>
      <c r="K50" s="50">
        <f t="shared" si="11"/>
        <v>170631</v>
      </c>
      <c r="L50" s="35">
        <f t="shared" si="1"/>
        <v>119441.7</v>
      </c>
      <c r="M50" s="50">
        <f t="shared" si="4"/>
        <v>48</v>
      </c>
    </row>
    <row r="51">
      <c r="B51" s="42">
        <v>35431.0</v>
      </c>
      <c r="C51" s="43">
        <v>0.86</v>
      </c>
      <c r="D51" s="43">
        <v>0.7</v>
      </c>
      <c r="E51" s="43">
        <v>0.89</v>
      </c>
      <c r="F51" s="43">
        <v>0.67</v>
      </c>
      <c r="G51" s="43" t="s">
        <v>86</v>
      </c>
      <c r="H51" s="44">
        <v>0.2286</v>
      </c>
      <c r="I51" s="12">
        <f t="shared" si="7"/>
        <v>-1500</v>
      </c>
      <c r="J51" s="23">
        <f t="shared" si="12"/>
        <v>1744</v>
      </c>
      <c r="K51" s="46">
        <f t="shared" si="11"/>
        <v>172375</v>
      </c>
      <c r="L51" s="12">
        <f t="shared" si="1"/>
        <v>148242.5</v>
      </c>
      <c r="M51" s="46">
        <f t="shared" si="4"/>
        <v>49</v>
      </c>
    </row>
    <row r="52">
      <c r="B52" s="42">
        <v>35462.0</v>
      </c>
      <c r="C52" s="43">
        <v>0.83</v>
      </c>
      <c r="D52" s="43">
        <v>0.87</v>
      </c>
      <c r="E52" s="43">
        <v>0.99</v>
      </c>
      <c r="F52" s="43">
        <v>0.83</v>
      </c>
      <c r="G52" s="43" t="s">
        <v>87</v>
      </c>
      <c r="H52" s="44">
        <v>-0.0349</v>
      </c>
      <c r="I52" s="35">
        <f t="shared" si="7"/>
        <v>-1500</v>
      </c>
      <c r="J52" s="23">
        <f t="shared" si="12"/>
        <v>1807</v>
      </c>
      <c r="K52" s="50">
        <f t="shared" si="11"/>
        <v>174182</v>
      </c>
      <c r="L52" s="35">
        <f t="shared" si="1"/>
        <v>144571.06</v>
      </c>
      <c r="M52" s="50">
        <f t="shared" si="4"/>
        <v>50</v>
      </c>
    </row>
    <row r="53">
      <c r="B53" s="42">
        <v>35490.0</v>
      </c>
      <c r="C53" s="43">
        <v>0.86</v>
      </c>
      <c r="D53" s="43">
        <v>0.83</v>
      </c>
      <c r="E53" s="43">
        <v>0.98</v>
      </c>
      <c r="F53" s="43">
        <v>0.83</v>
      </c>
      <c r="G53" s="43" t="s">
        <v>88</v>
      </c>
      <c r="H53" s="44">
        <v>0.0361</v>
      </c>
      <c r="I53" s="12">
        <f t="shared" si="7"/>
        <v>-1500</v>
      </c>
      <c r="J53" s="23">
        <f t="shared" si="12"/>
        <v>1744</v>
      </c>
      <c r="K53" s="46">
        <f t="shared" si="11"/>
        <v>175926</v>
      </c>
      <c r="L53" s="12">
        <f t="shared" si="1"/>
        <v>151296.36</v>
      </c>
      <c r="M53" s="46">
        <f t="shared" si="4"/>
        <v>51</v>
      </c>
    </row>
    <row r="54">
      <c r="B54" s="42">
        <v>35521.0</v>
      </c>
      <c r="C54" s="43">
        <v>0.95</v>
      </c>
      <c r="D54" s="43">
        <v>0.86</v>
      </c>
      <c r="E54" s="43">
        <v>0.97</v>
      </c>
      <c r="F54" s="43">
        <v>0.86</v>
      </c>
      <c r="G54" s="43" t="s">
        <v>89</v>
      </c>
      <c r="H54" s="44">
        <v>0.1047</v>
      </c>
      <c r="I54" s="35">
        <f t="shared" si="7"/>
        <v>-1500</v>
      </c>
      <c r="J54" s="23">
        <f t="shared" si="12"/>
        <v>1578</v>
      </c>
      <c r="K54" s="50">
        <f t="shared" si="11"/>
        <v>177504</v>
      </c>
      <c r="L54" s="35">
        <f t="shared" si="1"/>
        <v>168628.8</v>
      </c>
      <c r="M54" s="50">
        <f t="shared" si="4"/>
        <v>52</v>
      </c>
    </row>
    <row r="55">
      <c r="B55" s="42">
        <v>35551.0</v>
      </c>
      <c r="C55" s="43">
        <v>0.96</v>
      </c>
      <c r="D55" s="43">
        <v>0.93</v>
      </c>
      <c r="E55" s="43">
        <v>0.98</v>
      </c>
      <c r="F55" s="43">
        <v>0.88</v>
      </c>
      <c r="G55" s="43" t="s">
        <v>90</v>
      </c>
      <c r="H55" s="44">
        <v>0.0105</v>
      </c>
      <c r="I55" s="12">
        <f t="shared" si="7"/>
        <v>-1500</v>
      </c>
      <c r="J55" s="23">
        <f t="shared" si="12"/>
        <v>1562</v>
      </c>
      <c r="K55" s="46">
        <f t="shared" si="11"/>
        <v>179066</v>
      </c>
      <c r="L55" s="12">
        <f t="shared" si="1"/>
        <v>171903.36</v>
      </c>
      <c r="M55" s="46">
        <f t="shared" si="4"/>
        <v>53</v>
      </c>
    </row>
    <row r="56">
      <c r="B56" s="42">
        <v>35582.0</v>
      </c>
      <c r="C56" s="43">
        <v>1.09</v>
      </c>
      <c r="D56" s="43">
        <v>0.96</v>
      </c>
      <c r="E56" s="43">
        <v>1.15</v>
      </c>
      <c r="F56" s="43">
        <v>0.96</v>
      </c>
      <c r="G56" s="43" t="s">
        <v>91</v>
      </c>
      <c r="H56" s="44">
        <v>0.1354</v>
      </c>
      <c r="I56" s="35">
        <f t="shared" si="7"/>
        <v>-1500</v>
      </c>
      <c r="J56" s="23">
        <f>ROUNDDOWN((-I56 + K55*Q10)/C56)</f>
        <v>1540</v>
      </c>
      <c r="K56" s="50">
        <f t="shared" si="11"/>
        <v>180606</v>
      </c>
      <c r="L56" s="35">
        <f t="shared" si="1"/>
        <v>196860.54</v>
      </c>
      <c r="M56" s="50">
        <f t="shared" si="4"/>
        <v>54</v>
      </c>
    </row>
    <row r="57">
      <c r="B57" s="42">
        <v>35612.0</v>
      </c>
      <c r="C57" s="43">
        <v>1.2</v>
      </c>
      <c r="D57" s="43">
        <v>1.09</v>
      </c>
      <c r="E57" s="43">
        <v>1.27</v>
      </c>
      <c r="F57" s="43">
        <v>0.98</v>
      </c>
      <c r="G57" s="43" t="s">
        <v>92</v>
      </c>
      <c r="H57" s="44">
        <v>0.1009</v>
      </c>
      <c r="I57" s="12">
        <f t="shared" si="7"/>
        <v>-1500</v>
      </c>
      <c r="J57" s="23">
        <f t="shared" ref="J57:J62" si="13">ROUNDDOWN(-I57/C57)</f>
        <v>1250</v>
      </c>
      <c r="K57" s="46">
        <f t="shared" si="11"/>
        <v>181856</v>
      </c>
      <c r="L57" s="12">
        <f t="shared" si="1"/>
        <v>218227.2</v>
      </c>
      <c r="M57" s="46">
        <f t="shared" si="4"/>
        <v>55</v>
      </c>
    </row>
    <row r="58">
      <c r="B58" s="42">
        <v>35643.0</v>
      </c>
      <c r="C58" s="43">
        <v>0.96</v>
      </c>
      <c r="D58" s="43">
        <v>1.19</v>
      </c>
      <c r="E58" s="43">
        <v>1.19</v>
      </c>
      <c r="F58" s="43">
        <v>0.93</v>
      </c>
      <c r="G58" s="43" t="s">
        <v>93</v>
      </c>
      <c r="H58" s="44">
        <v>-0.2</v>
      </c>
      <c r="I58" s="35">
        <f t="shared" si="7"/>
        <v>-1500</v>
      </c>
      <c r="J58" s="23">
        <f t="shared" si="13"/>
        <v>1562</v>
      </c>
      <c r="K58" s="50">
        <f t="shared" si="11"/>
        <v>183418</v>
      </c>
      <c r="L58" s="35">
        <f t="shared" si="1"/>
        <v>176081.28</v>
      </c>
      <c r="M58" s="50">
        <f t="shared" si="4"/>
        <v>56</v>
      </c>
    </row>
    <row r="59">
      <c r="B59" s="42">
        <v>35674.0</v>
      </c>
      <c r="C59" s="43">
        <v>1.2</v>
      </c>
      <c r="D59" s="43">
        <v>0.94</v>
      </c>
      <c r="E59" s="43">
        <v>1.21</v>
      </c>
      <c r="F59" s="43">
        <v>0.88</v>
      </c>
      <c r="G59" s="43" t="s">
        <v>94</v>
      </c>
      <c r="H59" s="44">
        <v>0.25</v>
      </c>
      <c r="I59" s="12">
        <f t="shared" si="7"/>
        <v>-1500</v>
      </c>
      <c r="J59" s="23">
        <f t="shared" si="13"/>
        <v>1250</v>
      </c>
      <c r="K59" s="46">
        <f t="shared" si="11"/>
        <v>184668</v>
      </c>
      <c r="L59" s="12">
        <f t="shared" si="1"/>
        <v>221601.6</v>
      </c>
      <c r="M59" s="46">
        <f t="shared" si="4"/>
        <v>57</v>
      </c>
    </row>
    <row r="60">
      <c r="B60" s="42">
        <v>35704.0</v>
      </c>
      <c r="C60" s="43">
        <v>0.87</v>
      </c>
      <c r="D60" s="43">
        <v>1.21</v>
      </c>
      <c r="E60" s="43">
        <v>1.26</v>
      </c>
      <c r="F60" s="43">
        <v>0.79</v>
      </c>
      <c r="G60" s="43" t="s">
        <v>95</v>
      </c>
      <c r="H60" s="44">
        <v>-0.275</v>
      </c>
      <c r="I60" s="35">
        <f t="shared" si="7"/>
        <v>-1500</v>
      </c>
      <c r="J60" s="23">
        <f t="shared" si="13"/>
        <v>1724</v>
      </c>
      <c r="K60" s="50">
        <f t="shared" si="11"/>
        <v>186392</v>
      </c>
      <c r="L60" s="35">
        <f t="shared" si="1"/>
        <v>162161.04</v>
      </c>
      <c r="M60" s="50">
        <f t="shared" si="4"/>
        <v>58</v>
      </c>
    </row>
    <row r="61">
      <c r="B61" s="42">
        <v>35735.0</v>
      </c>
      <c r="C61" s="43">
        <v>1.05</v>
      </c>
      <c r="D61" s="43">
        <v>0.92</v>
      </c>
      <c r="E61" s="43">
        <v>1.09</v>
      </c>
      <c r="F61" s="43">
        <v>0.69</v>
      </c>
      <c r="G61" s="43" t="s">
        <v>96</v>
      </c>
      <c r="H61" s="44">
        <v>0.2069</v>
      </c>
      <c r="I61" s="12">
        <f t="shared" si="7"/>
        <v>-1500</v>
      </c>
      <c r="J61" s="23">
        <f t="shared" si="13"/>
        <v>1428</v>
      </c>
      <c r="K61" s="46">
        <f t="shared" si="11"/>
        <v>187820</v>
      </c>
      <c r="L61" s="12">
        <f t="shared" si="1"/>
        <v>197211</v>
      </c>
      <c r="M61" s="46">
        <f t="shared" si="4"/>
        <v>59</v>
      </c>
    </row>
    <row r="62">
      <c r="B62" s="42">
        <v>35765.0</v>
      </c>
      <c r="C62" s="43">
        <v>0.95</v>
      </c>
      <c r="D62" s="43">
        <v>1.05</v>
      </c>
      <c r="E62" s="43">
        <v>1.06</v>
      </c>
      <c r="F62" s="43">
        <v>0.83</v>
      </c>
      <c r="G62" s="43" t="s">
        <v>97</v>
      </c>
      <c r="H62" s="44">
        <v>-0.0952</v>
      </c>
      <c r="I62" s="35">
        <f t="shared" si="7"/>
        <v>-1500</v>
      </c>
      <c r="J62" s="23">
        <f t="shared" si="13"/>
        <v>1578</v>
      </c>
      <c r="K62" s="50">
        <f t="shared" si="11"/>
        <v>189398</v>
      </c>
      <c r="L62" s="35">
        <f t="shared" si="1"/>
        <v>179928.1</v>
      </c>
      <c r="M62" s="50">
        <f t="shared" si="4"/>
        <v>60</v>
      </c>
    </row>
    <row r="63">
      <c r="B63" s="42">
        <v>35796.0</v>
      </c>
      <c r="C63" s="43">
        <v>0.87</v>
      </c>
      <c r="D63" s="43">
        <v>0.95</v>
      </c>
      <c r="E63" s="43">
        <v>1.0</v>
      </c>
      <c r="F63" s="43">
        <v>0.73</v>
      </c>
      <c r="G63" s="43" t="s">
        <v>98</v>
      </c>
      <c r="H63" s="44">
        <v>-0.0842</v>
      </c>
      <c r="I63" s="12">
        <f t="shared" si="7"/>
        <v>-1500</v>
      </c>
      <c r="J63" s="23">
        <f>ROUNDDOWN((-I63 + K62*Q11)/C63)</f>
        <v>1858</v>
      </c>
      <c r="K63" s="46">
        <f t="shared" si="11"/>
        <v>191256</v>
      </c>
      <c r="L63" s="12">
        <f t="shared" si="1"/>
        <v>166392.72</v>
      </c>
      <c r="M63" s="46">
        <f t="shared" si="4"/>
        <v>61</v>
      </c>
    </row>
    <row r="64">
      <c r="B64" s="42">
        <v>35827.0</v>
      </c>
      <c r="C64" s="43">
        <v>0.95</v>
      </c>
      <c r="D64" s="43">
        <v>0.9</v>
      </c>
      <c r="E64" s="43">
        <v>0.96</v>
      </c>
      <c r="F64" s="43">
        <v>0.87</v>
      </c>
      <c r="G64" s="43" t="s">
        <v>99</v>
      </c>
      <c r="H64" s="44">
        <v>0.092</v>
      </c>
      <c r="I64" s="35">
        <f t="shared" si="7"/>
        <v>-1500</v>
      </c>
      <c r="J64" s="23">
        <f t="shared" ref="J64:J66" si="14">ROUNDDOWN(-I64/C64)</f>
        <v>1578</v>
      </c>
      <c r="K64" s="50">
        <f t="shared" si="11"/>
        <v>192834</v>
      </c>
      <c r="L64" s="35">
        <f t="shared" si="1"/>
        <v>183192.3</v>
      </c>
      <c r="M64" s="50">
        <f t="shared" si="4"/>
        <v>62</v>
      </c>
    </row>
    <row r="65">
      <c r="B65" s="42">
        <v>35855.0</v>
      </c>
      <c r="C65" s="43">
        <v>1.09</v>
      </c>
      <c r="D65" s="43">
        <v>0.96</v>
      </c>
      <c r="E65" s="43">
        <v>1.16</v>
      </c>
      <c r="F65" s="43">
        <v>0.95</v>
      </c>
      <c r="G65" s="43" t="s">
        <v>100</v>
      </c>
      <c r="H65" s="44">
        <v>0.1474</v>
      </c>
      <c r="I65" s="12">
        <f t="shared" si="7"/>
        <v>-1500</v>
      </c>
      <c r="J65" s="23">
        <f t="shared" si="14"/>
        <v>1376</v>
      </c>
      <c r="K65" s="46">
        <f t="shared" si="11"/>
        <v>194210</v>
      </c>
      <c r="L65" s="12">
        <f t="shared" si="1"/>
        <v>211688.9</v>
      </c>
      <c r="M65" s="46">
        <f t="shared" si="4"/>
        <v>63</v>
      </c>
    </row>
    <row r="66">
      <c r="B66" s="42">
        <v>35886.0</v>
      </c>
      <c r="C66" s="43">
        <v>1.09</v>
      </c>
      <c r="D66" s="43">
        <v>1.08</v>
      </c>
      <c r="E66" s="43">
        <v>1.16</v>
      </c>
      <c r="F66" s="43">
        <v>1.02</v>
      </c>
      <c r="G66" s="43" t="s">
        <v>101</v>
      </c>
      <c r="H66" s="44">
        <v>0.0</v>
      </c>
      <c r="I66" s="35">
        <f t="shared" si="7"/>
        <v>-1500</v>
      </c>
      <c r="J66" s="23">
        <f t="shared" si="14"/>
        <v>1376</v>
      </c>
      <c r="K66" s="50">
        <f t="shared" si="11"/>
        <v>195586</v>
      </c>
      <c r="L66" s="35">
        <f t="shared" si="1"/>
        <v>213188.74</v>
      </c>
      <c r="M66" s="50">
        <f t="shared" si="4"/>
        <v>64</v>
      </c>
    </row>
    <row r="67">
      <c r="B67" s="42">
        <v>35916.0</v>
      </c>
      <c r="C67" s="43">
        <v>0.91</v>
      </c>
      <c r="D67" s="43">
        <v>1.07</v>
      </c>
      <c r="E67" s="43">
        <v>1.12</v>
      </c>
      <c r="F67" s="43">
        <v>0.73</v>
      </c>
      <c r="G67" s="43" t="s">
        <v>102</v>
      </c>
      <c r="H67" s="44">
        <v>-0.1651</v>
      </c>
      <c r="I67" s="12">
        <f t="shared" si="7"/>
        <v>-1500</v>
      </c>
      <c r="J67" s="23">
        <f>ROUNDDOWN((-I67/C67)*(Q12+1))</f>
        <v>2017</v>
      </c>
      <c r="K67" s="46">
        <f t="shared" si="11"/>
        <v>197603</v>
      </c>
      <c r="L67" s="12">
        <f t="shared" si="1"/>
        <v>179818.73</v>
      </c>
      <c r="M67" s="46">
        <f t="shared" si="4"/>
        <v>65</v>
      </c>
    </row>
    <row r="68">
      <c r="B68" s="42">
        <v>35947.0</v>
      </c>
      <c r="C68" s="43">
        <v>0.87</v>
      </c>
      <c r="D68" s="43">
        <v>0.87</v>
      </c>
      <c r="E68" s="43">
        <v>0.95</v>
      </c>
      <c r="F68" s="43">
        <v>0.76</v>
      </c>
      <c r="G68" s="43" t="s">
        <v>103</v>
      </c>
      <c r="H68" s="44">
        <v>-0.044</v>
      </c>
      <c r="I68" s="35">
        <f t="shared" si="7"/>
        <v>-1500</v>
      </c>
      <c r="J68" s="23">
        <f>ROUNDDOWN((-I68 +K67*Q13)/C68)</f>
        <v>2061</v>
      </c>
      <c r="K68" s="50">
        <f t="shared" si="11"/>
        <v>199664</v>
      </c>
      <c r="L68" s="35">
        <f t="shared" si="1"/>
        <v>173707.68</v>
      </c>
      <c r="M68" s="50">
        <f t="shared" si="4"/>
        <v>66</v>
      </c>
    </row>
    <row r="69">
      <c r="B69" s="42">
        <v>35977.0</v>
      </c>
      <c r="C69" s="43">
        <v>0.95</v>
      </c>
      <c r="D69" s="43">
        <v>0.88</v>
      </c>
      <c r="E69" s="43">
        <v>1.1</v>
      </c>
      <c r="F69" s="43">
        <v>0.87</v>
      </c>
      <c r="G69" s="43" t="s">
        <v>104</v>
      </c>
      <c r="H69" s="44">
        <v>0.092</v>
      </c>
      <c r="I69" s="12">
        <f t="shared" si="7"/>
        <v>-1500</v>
      </c>
      <c r="J69" s="23">
        <f t="shared" ref="J69:J71" si="15">ROUNDDOWN(-I69/C69)</f>
        <v>1578</v>
      </c>
      <c r="K69" s="46">
        <f t="shared" si="11"/>
        <v>201242</v>
      </c>
      <c r="L69" s="12">
        <f t="shared" si="1"/>
        <v>191179.9</v>
      </c>
      <c r="M69" s="46">
        <f t="shared" si="4"/>
        <v>67</v>
      </c>
    </row>
    <row r="70">
      <c r="B70" s="42">
        <v>36008.0</v>
      </c>
      <c r="C70" s="43">
        <v>0.53</v>
      </c>
      <c r="D70" s="43">
        <v>0.94</v>
      </c>
      <c r="E70" s="43">
        <v>0.97</v>
      </c>
      <c r="F70" s="43">
        <v>0.51</v>
      </c>
      <c r="G70" s="43" t="s">
        <v>105</v>
      </c>
      <c r="H70" s="44">
        <v>-0.4421</v>
      </c>
      <c r="I70" s="35">
        <f t="shared" si="7"/>
        <v>-1500</v>
      </c>
      <c r="J70" s="23">
        <f t="shared" si="15"/>
        <v>2830</v>
      </c>
      <c r="K70" s="50">
        <f t="shared" si="11"/>
        <v>204072</v>
      </c>
      <c r="L70" s="35">
        <f t="shared" si="1"/>
        <v>108158.16</v>
      </c>
      <c r="M70" s="50">
        <f t="shared" si="4"/>
        <v>68</v>
      </c>
    </row>
    <row r="71">
      <c r="B71" s="42">
        <v>36039.0</v>
      </c>
      <c r="C71" s="43">
        <v>0.62</v>
      </c>
      <c r="D71" s="43">
        <v>0.48</v>
      </c>
      <c r="E71" s="43">
        <v>0.7</v>
      </c>
      <c r="F71" s="43">
        <v>0.32</v>
      </c>
      <c r="G71" s="43" t="s">
        <v>106</v>
      </c>
      <c r="H71" s="44">
        <v>0.1698</v>
      </c>
      <c r="I71" s="12">
        <f t="shared" si="7"/>
        <v>-1500</v>
      </c>
      <c r="J71" s="23">
        <f t="shared" si="15"/>
        <v>2419</v>
      </c>
      <c r="K71" s="46">
        <f t="shared" si="11"/>
        <v>206491</v>
      </c>
      <c r="L71" s="12">
        <f t="shared" si="1"/>
        <v>128024.42</v>
      </c>
      <c r="M71" s="46">
        <f t="shared" si="4"/>
        <v>69</v>
      </c>
    </row>
    <row r="72">
      <c r="B72" s="42">
        <v>36069.0</v>
      </c>
      <c r="C72" s="43">
        <v>0.56</v>
      </c>
      <c r="D72" s="43">
        <v>0.58</v>
      </c>
      <c r="E72" s="43">
        <v>0.68</v>
      </c>
      <c r="F72" s="43">
        <v>0.51</v>
      </c>
      <c r="G72" s="43" t="s">
        <v>107</v>
      </c>
      <c r="H72" s="44">
        <v>-0.0968</v>
      </c>
      <c r="I72" s="35">
        <f t="shared" si="7"/>
        <v>-1500</v>
      </c>
      <c r="J72" s="23">
        <f t="shared" ref="J72:J73" si="16">ROUNDDOWN((-I72 + K71*Q14)/C72)</f>
        <v>3119</v>
      </c>
      <c r="K72" s="50">
        <f t="shared" si="11"/>
        <v>209610</v>
      </c>
      <c r="L72" s="35">
        <f t="shared" si="1"/>
        <v>117381.6</v>
      </c>
      <c r="M72" s="50">
        <f t="shared" si="4"/>
        <v>70</v>
      </c>
    </row>
    <row r="73">
      <c r="B73" s="42">
        <v>36100.0</v>
      </c>
      <c r="C73" s="43">
        <v>0.73</v>
      </c>
      <c r="D73" s="43">
        <v>0.58</v>
      </c>
      <c r="E73" s="43">
        <v>0.78</v>
      </c>
      <c r="F73" s="43">
        <v>0.57</v>
      </c>
      <c r="G73" s="43" t="s">
        <v>108</v>
      </c>
      <c r="H73" s="44">
        <v>0.3036</v>
      </c>
      <c r="I73" s="12">
        <f t="shared" si="7"/>
        <v>-1500</v>
      </c>
      <c r="J73" s="23">
        <f t="shared" si="16"/>
        <v>2235</v>
      </c>
      <c r="K73" s="46">
        <f t="shared" si="11"/>
        <v>211845</v>
      </c>
      <c r="L73" s="12">
        <f t="shared" si="1"/>
        <v>154646.85</v>
      </c>
      <c r="M73" s="46">
        <f t="shared" si="4"/>
        <v>71</v>
      </c>
    </row>
    <row r="74">
      <c r="B74" s="42">
        <v>36130.0</v>
      </c>
      <c r="C74" s="43">
        <v>0.55</v>
      </c>
      <c r="D74" s="43">
        <v>0.73</v>
      </c>
      <c r="E74" s="43">
        <v>0.73</v>
      </c>
      <c r="F74" s="43">
        <v>0.51</v>
      </c>
      <c r="G74" s="43" t="s">
        <v>109</v>
      </c>
      <c r="H74" s="44">
        <v>-0.2466</v>
      </c>
      <c r="I74" s="35">
        <f t="shared" si="7"/>
        <v>-1500</v>
      </c>
      <c r="J74" s="23">
        <f>ROUNDDOWN(-I74/C74)</f>
        <v>2727</v>
      </c>
      <c r="K74" s="50">
        <f t="shared" si="11"/>
        <v>214572</v>
      </c>
      <c r="L74" s="35">
        <f t="shared" si="1"/>
        <v>118014.6</v>
      </c>
      <c r="M74" s="50">
        <f t="shared" si="4"/>
        <v>72</v>
      </c>
    </row>
    <row r="75">
      <c r="B75" s="42">
        <v>36161.0</v>
      </c>
      <c r="C75" s="43">
        <v>0.62</v>
      </c>
      <c r="D75" s="43">
        <v>0.55</v>
      </c>
      <c r="E75" s="43">
        <v>0.65</v>
      </c>
      <c r="F75" s="43">
        <v>0.35</v>
      </c>
      <c r="G75" s="43" t="s">
        <v>110</v>
      </c>
      <c r="H75" s="44">
        <v>0.1273</v>
      </c>
      <c r="I75" s="33">
        <f>L75</f>
        <v>133118.34</v>
      </c>
      <c r="J75" s="45">
        <f>ROUNDDOWN(K74*Q16)</f>
        <v>135</v>
      </c>
      <c r="K75" s="46">
        <f t="shared" si="11"/>
        <v>214707</v>
      </c>
      <c r="L75" s="12">
        <f t="shared" si="1"/>
        <v>133118.34</v>
      </c>
      <c r="M75" s="46">
        <f t="shared" si="4"/>
        <v>73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B1" s="5" t="s">
        <v>17</v>
      </c>
      <c r="D1" s="37" t="s">
        <v>111</v>
      </c>
      <c r="O1" s="5" t="s">
        <v>19</v>
      </c>
    </row>
    <row r="2">
      <c r="B2" s="38" t="s">
        <v>20</v>
      </c>
      <c r="C2" s="39" t="s">
        <v>21</v>
      </c>
      <c r="D2" s="39" t="s">
        <v>22</v>
      </c>
      <c r="E2" s="39" t="s">
        <v>23</v>
      </c>
      <c r="F2" s="39" t="s">
        <v>24</v>
      </c>
      <c r="G2" s="39" t="s">
        <v>25</v>
      </c>
      <c r="H2" s="39" t="s">
        <v>26</v>
      </c>
      <c r="I2" s="3" t="s">
        <v>27</v>
      </c>
      <c r="J2" s="3" t="s">
        <v>28</v>
      </c>
      <c r="K2" s="3" t="s">
        <v>29</v>
      </c>
      <c r="L2" s="3" t="s">
        <v>3</v>
      </c>
      <c r="M2" s="3" t="s">
        <v>30</v>
      </c>
      <c r="O2" s="40" t="s">
        <v>0</v>
      </c>
      <c r="P2" s="40" t="s">
        <v>31</v>
      </c>
      <c r="Q2" s="40" t="s">
        <v>32</v>
      </c>
      <c r="R2" s="41"/>
    </row>
    <row r="3">
      <c r="B3" s="69">
        <v>36161.0</v>
      </c>
      <c r="C3" s="43">
        <v>0.62</v>
      </c>
      <c r="D3" s="43">
        <v>0.55</v>
      </c>
      <c r="E3" s="43">
        <v>0.65</v>
      </c>
      <c r="F3" s="43">
        <v>0.35</v>
      </c>
      <c r="G3" s="43" t="s">
        <v>110</v>
      </c>
      <c r="H3" s="44">
        <v>0.1273</v>
      </c>
      <c r="I3" s="12">
        <v>-750.0</v>
      </c>
      <c r="J3" s="23">
        <f t="shared" ref="J3:J7" si="1">-ROUNDDOWN(I3/C3)</f>
        <v>1209</v>
      </c>
      <c r="K3" s="46">
        <f>'1993-1998 (Parte 5)'!K75 + J3</f>
        <v>215916</v>
      </c>
      <c r="L3" s="12">
        <f t="shared" ref="L3:L75" si="2">K3*C3</f>
        <v>133867.92</v>
      </c>
      <c r="M3" s="46">
        <v>1.0</v>
      </c>
      <c r="O3" s="70">
        <v>36278.0</v>
      </c>
      <c r="P3" s="48" t="s">
        <v>112</v>
      </c>
      <c r="Q3" s="71">
        <f>0.000503361+0.000553651</f>
        <v>0.001057012</v>
      </c>
      <c r="R3" s="41"/>
    </row>
    <row r="4">
      <c r="B4" s="69">
        <v>36192.0</v>
      </c>
      <c r="C4" s="43">
        <v>0.65</v>
      </c>
      <c r="D4" s="43">
        <v>0.63</v>
      </c>
      <c r="E4" s="43">
        <v>0.69</v>
      </c>
      <c r="F4" s="43">
        <v>0.57</v>
      </c>
      <c r="G4" s="43" t="s">
        <v>113</v>
      </c>
      <c r="H4" s="44">
        <v>0.0484</v>
      </c>
      <c r="I4" s="35">
        <f t="shared" ref="I4:I74" si="3">I3</f>
        <v>-750</v>
      </c>
      <c r="J4" s="23">
        <f t="shared" si="1"/>
        <v>1153</v>
      </c>
      <c r="K4" s="50">
        <f t="shared" ref="K4:K39" si="4">J4+K3</f>
        <v>217069</v>
      </c>
      <c r="L4" s="35">
        <f t="shared" si="2"/>
        <v>141094.85</v>
      </c>
      <c r="M4" s="50">
        <f t="shared" ref="M4:M75" si="5">M3+1</f>
        <v>2</v>
      </c>
      <c r="O4" s="72">
        <v>36515.0</v>
      </c>
      <c r="P4" s="48" t="s">
        <v>114</v>
      </c>
      <c r="Q4" s="71">
        <v>0.001176471</v>
      </c>
      <c r="R4" s="41"/>
    </row>
    <row r="5">
      <c r="B5" s="69">
        <v>36220.0</v>
      </c>
      <c r="C5" s="43">
        <v>0.92</v>
      </c>
      <c r="D5" s="43">
        <v>0.65</v>
      </c>
      <c r="E5" s="43">
        <v>0.94</v>
      </c>
      <c r="F5" s="43">
        <v>0.65</v>
      </c>
      <c r="G5" s="43" t="s">
        <v>115</v>
      </c>
      <c r="H5" s="44">
        <v>0.4154</v>
      </c>
      <c r="I5" s="12">
        <f t="shared" si="3"/>
        <v>-750</v>
      </c>
      <c r="J5" s="23">
        <f t="shared" si="1"/>
        <v>815</v>
      </c>
      <c r="K5" s="46">
        <f t="shared" si="4"/>
        <v>217884</v>
      </c>
      <c r="L5" s="12">
        <f t="shared" si="2"/>
        <v>200453.28</v>
      </c>
      <c r="M5" s="46">
        <f t="shared" si="5"/>
        <v>3</v>
      </c>
      <c r="O5" s="70">
        <v>36633.0</v>
      </c>
      <c r="P5" s="48" t="s">
        <v>114</v>
      </c>
      <c r="Q5" s="71">
        <v>5.66281E-4</v>
      </c>
      <c r="R5" s="41"/>
    </row>
    <row r="6">
      <c r="B6" s="69">
        <v>36251.0</v>
      </c>
      <c r="C6" s="43">
        <v>0.96</v>
      </c>
      <c r="D6" s="43">
        <v>0.93</v>
      </c>
      <c r="E6" s="43">
        <v>1.08</v>
      </c>
      <c r="F6" s="43">
        <v>0.84</v>
      </c>
      <c r="G6" s="43" t="s">
        <v>116</v>
      </c>
      <c r="H6" s="44">
        <v>0.0435</v>
      </c>
      <c r="I6" s="35">
        <f t="shared" si="3"/>
        <v>-750</v>
      </c>
      <c r="J6" s="23">
        <f t="shared" si="1"/>
        <v>781</v>
      </c>
      <c r="K6" s="50">
        <f t="shared" si="4"/>
        <v>218665</v>
      </c>
      <c r="L6" s="35">
        <f t="shared" si="2"/>
        <v>209918.4</v>
      </c>
      <c r="M6" s="50">
        <f t="shared" si="5"/>
        <v>4</v>
      </c>
      <c r="O6" s="70">
        <v>36707.0</v>
      </c>
      <c r="P6" s="48" t="s">
        <v>114</v>
      </c>
      <c r="Q6" s="71">
        <v>6.10325E-4</v>
      </c>
      <c r="R6" s="41"/>
    </row>
    <row r="7">
      <c r="B7" s="69">
        <v>36281.0</v>
      </c>
      <c r="C7" s="43">
        <v>0.89</v>
      </c>
      <c r="D7" s="43">
        <v>0.96</v>
      </c>
      <c r="E7" s="43">
        <v>1.05</v>
      </c>
      <c r="F7" s="43">
        <v>0.81</v>
      </c>
      <c r="G7" s="43" t="s">
        <v>117</v>
      </c>
      <c r="H7" s="44">
        <v>-0.0729</v>
      </c>
      <c r="I7" s="12">
        <f t="shared" si="3"/>
        <v>-750</v>
      </c>
      <c r="J7" s="23">
        <f t="shared" si="1"/>
        <v>842</v>
      </c>
      <c r="K7" s="46">
        <f t="shared" si="4"/>
        <v>219507</v>
      </c>
      <c r="L7" s="12">
        <f t="shared" si="2"/>
        <v>195361.23</v>
      </c>
      <c r="M7" s="46">
        <f t="shared" si="5"/>
        <v>5</v>
      </c>
      <c r="O7" s="72">
        <v>37253.0</v>
      </c>
      <c r="P7" s="48" t="s">
        <v>114</v>
      </c>
      <c r="Q7" s="71">
        <v>6.48077E-4</v>
      </c>
      <c r="R7" s="41"/>
    </row>
    <row r="8">
      <c r="B8" s="69">
        <v>36312.0</v>
      </c>
      <c r="C8" s="43">
        <v>0.89</v>
      </c>
      <c r="D8" s="43">
        <v>0.89</v>
      </c>
      <c r="E8" s="43">
        <v>1.0</v>
      </c>
      <c r="F8" s="43">
        <v>0.83</v>
      </c>
      <c r="G8" s="43" t="s">
        <v>118</v>
      </c>
      <c r="H8" s="44">
        <v>0.0</v>
      </c>
      <c r="I8" s="35">
        <f t="shared" si="3"/>
        <v>-750</v>
      </c>
      <c r="J8" s="23">
        <f>ROUNDDOWN((-I8+Q3*K7)/C8)</f>
        <v>1103</v>
      </c>
      <c r="K8" s="50">
        <f t="shared" si="4"/>
        <v>220610</v>
      </c>
      <c r="L8" s="35">
        <f t="shared" si="2"/>
        <v>196342.9</v>
      </c>
      <c r="M8" s="50">
        <f t="shared" si="5"/>
        <v>6</v>
      </c>
      <c r="O8" s="70">
        <v>37292.0</v>
      </c>
      <c r="P8" s="48" t="s">
        <v>119</v>
      </c>
      <c r="Q8" s="71" t="s">
        <v>120</v>
      </c>
      <c r="R8" s="41"/>
    </row>
    <row r="9">
      <c r="B9" s="69">
        <v>36342.0</v>
      </c>
      <c r="C9" s="43">
        <v>0.75</v>
      </c>
      <c r="D9" s="43">
        <v>0.89</v>
      </c>
      <c r="E9" s="43">
        <v>0.94</v>
      </c>
      <c r="F9" s="43">
        <v>0.72</v>
      </c>
      <c r="G9" s="43" t="s">
        <v>121</v>
      </c>
      <c r="H9" s="44">
        <v>-0.1573</v>
      </c>
      <c r="I9" s="12">
        <f t="shared" si="3"/>
        <v>-750</v>
      </c>
      <c r="J9" s="23">
        <f t="shared" ref="J9:J14" si="6">-ROUNDDOWN(I9/C9)</f>
        <v>1000</v>
      </c>
      <c r="K9" s="46">
        <f t="shared" si="4"/>
        <v>221610</v>
      </c>
      <c r="L9" s="12">
        <f t="shared" si="2"/>
        <v>166207.5</v>
      </c>
      <c r="M9" s="46">
        <f t="shared" si="5"/>
        <v>7</v>
      </c>
      <c r="O9" s="70">
        <v>37378.0</v>
      </c>
      <c r="P9" s="48" t="s">
        <v>112</v>
      </c>
      <c r="Q9" s="71">
        <f>0.000702498+0.000740354</f>
        <v>0.001442852</v>
      </c>
      <c r="R9" s="41"/>
    </row>
    <row r="10">
      <c r="B10" s="69">
        <v>36373.0</v>
      </c>
      <c r="C10" s="43">
        <v>0.71</v>
      </c>
      <c r="D10" s="43">
        <v>0.73</v>
      </c>
      <c r="E10" s="43">
        <v>0.76</v>
      </c>
      <c r="F10" s="43">
        <v>0.67</v>
      </c>
      <c r="G10" s="43" t="s">
        <v>122</v>
      </c>
      <c r="H10" s="44">
        <v>-0.0533</v>
      </c>
      <c r="I10" s="35">
        <f t="shared" si="3"/>
        <v>-750</v>
      </c>
      <c r="J10" s="23">
        <f t="shared" si="6"/>
        <v>1056</v>
      </c>
      <c r="K10" s="50">
        <f t="shared" si="4"/>
        <v>222666</v>
      </c>
      <c r="L10" s="35">
        <f t="shared" si="2"/>
        <v>158092.86</v>
      </c>
      <c r="M10" s="50">
        <f t="shared" si="5"/>
        <v>8</v>
      </c>
      <c r="O10" s="72">
        <v>37620.0</v>
      </c>
      <c r="P10" s="48" t="s">
        <v>114</v>
      </c>
      <c r="Q10" s="71">
        <v>6.16961E-4</v>
      </c>
      <c r="R10" s="41"/>
    </row>
    <row r="11">
      <c r="B11" s="69">
        <v>36404.0</v>
      </c>
      <c r="C11" s="43">
        <v>0.7</v>
      </c>
      <c r="D11" s="43">
        <v>0.74</v>
      </c>
      <c r="E11" s="43">
        <v>0.82</v>
      </c>
      <c r="F11" s="43">
        <v>0.69</v>
      </c>
      <c r="G11" s="43" t="s">
        <v>123</v>
      </c>
      <c r="H11" s="44">
        <v>-0.0141</v>
      </c>
      <c r="I11" s="12">
        <f t="shared" si="3"/>
        <v>-750</v>
      </c>
      <c r="J11" s="23">
        <f t="shared" si="6"/>
        <v>1071</v>
      </c>
      <c r="K11" s="46">
        <f t="shared" si="4"/>
        <v>223737</v>
      </c>
      <c r="L11" s="12">
        <f t="shared" si="2"/>
        <v>156615.9</v>
      </c>
      <c r="M11" s="46">
        <f t="shared" si="5"/>
        <v>9</v>
      </c>
      <c r="O11" s="70">
        <v>37964.0</v>
      </c>
      <c r="P11" s="48" t="s">
        <v>114</v>
      </c>
      <c r="Q11" s="71">
        <f>0.000925442+0.000616961</f>
        <v>0.001542403</v>
      </c>
      <c r="R11" s="41"/>
    </row>
    <row r="12">
      <c r="B12" s="69">
        <v>36434.0</v>
      </c>
      <c r="C12" s="43">
        <v>0.67</v>
      </c>
      <c r="D12" s="43">
        <v>0.68</v>
      </c>
      <c r="E12" s="43">
        <v>0.75</v>
      </c>
      <c r="F12" s="43">
        <v>0.65</v>
      </c>
      <c r="G12" s="43" t="s">
        <v>124</v>
      </c>
      <c r="H12" s="44">
        <v>-0.0429</v>
      </c>
      <c r="I12" s="35">
        <f t="shared" si="3"/>
        <v>-750</v>
      </c>
      <c r="J12" s="23">
        <f t="shared" si="6"/>
        <v>1119</v>
      </c>
      <c r="K12" s="50">
        <f t="shared" si="4"/>
        <v>224856</v>
      </c>
      <c r="L12" s="35">
        <f t="shared" si="2"/>
        <v>150653.52</v>
      </c>
      <c r="M12" s="50">
        <f t="shared" si="5"/>
        <v>10</v>
      </c>
      <c r="O12" s="70">
        <v>38110.0</v>
      </c>
      <c r="P12" s="48" t="s">
        <v>112</v>
      </c>
      <c r="Q12" s="71">
        <v>4.3492E-4</v>
      </c>
      <c r="R12" s="41"/>
    </row>
    <row r="13">
      <c r="B13" s="69">
        <v>36465.0</v>
      </c>
      <c r="C13" s="43">
        <v>0.87</v>
      </c>
      <c r="D13" s="43">
        <v>0.66</v>
      </c>
      <c r="E13" s="43">
        <v>0.9</v>
      </c>
      <c r="F13" s="43">
        <v>0.66</v>
      </c>
      <c r="G13" s="43" t="s">
        <v>125</v>
      </c>
      <c r="H13" s="44">
        <v>0.2985</v>
      </c>
      <c r="I13" s="12">
        <f t="shared" si="3"/>
        <v>-750</v>
      </c>
      <c r="J13" s="23">
        <f t="shared" si="6"/>
        <v>862</v>
      </c>
      <c r="K13" s="46">
        <f t="shared" si="4"/>
        <v>225718</v>
      </c>
      <c r="L13" s="12">
        <f t="shared" si="2"/>
        <v>196374.66</v>
      </c>
      <c r="M13" s="46">
        <f t="shared" si="5"/>
        <v>11</v>
      </c>
      <c r="O13" s="70">
        <v>38149.0</v>
      </c>
      <c r="P13" s="48" t="s">
        <v>114</v>
      </c>
      <c r="Q13" s="71">
        <v>0.001233922</v>
      </c>
      <c r="R13" s="41"/>
    </row>
    <row r="14">
      <c r="B14" s="69">
        <v>36495.0</v>
      </c>
      <c r="C14" s="43">
        <v>0.98</v>
      </c>
      <c r="D14" s="43">
        <v>0.86</v>
      </c>
      <c r="E14" s="43">
        <v>0.98</v>
      </c>
      <c r="F14" s="43">
        <v>0.76</v>
      </c>
      <c r="G14" s="43" t="s">
        <v>126</v>
      </c>
      <c r="H14" s="44">
        <v>0.1264</v>
      </c>
      <c r="I14" s="35">
        <f t="shared" si="3"/>
        <v>-750</v>
      </c>
      <c r="J14" s="23">
        <f t="shared" si="6"/>
        <v>765</v>
      </c>
      <c r="K14" s="50">
        <f t="shared" si="4"/>
        <v>226483</v>
      </c>
      <c r="L14" s="35">
        <f t="shared" si="2"/>
        <v>221953.34</v>
      </c>
      <c r="M14" s="50">
        <f t="shared" si="5"/>
        <v>12</v>
      </c>
      <c r="O14" s="70">
        <v>38239.0</v>
      </c>
      <c r="P14" s="48" t="s">
        <v>114</v>
      </c>
      <c r="Q14" s="71">
        <v>6.16961E-4</v>
      </c>
      <c r="R14" s="41"/>
    </row>
    <row r="15">
      <c r="B15" s="69">
        <v>36526.0</v>
      </c>
      <c r="C15" s="43">
        <v>0.74</v>
      </c>
      <c r="D15" s="43">
        <v>0.98</v>
      </c>
      <c r="E15" s="43">
        <v>0.98</v>
      </c>
      <c r="F15" s="43">
        <v>0.74</v>
      </c>
      <c r="G15" s="43" t="s">
        <v>127</v>
      </c>
      <c r="H15" s="44">
        <v>-0.2449</v>
      </c>
      <c r="I15" s="12">
        <f t="shared" si="3"/>
        <v>-750</v>
      </c>
      <c r="J15" s="23">
        <f>ROUNDDOWN((-I15 + K14*Q4 )/C15)</f>
        <v>1373</v>
      </c>
      <c r="K15" s="46">
        <f t="shared" si="4"/>
        <v>227856</v>
      </c>
      <c r="L15" s="12">
        <f t="shared" si="2"/>
        <v>168613.44</v>
      </c>
      <c r="M15" s="46">
        <f t="shared" si="5"/>
        <v>13</v>
      </c>
      <c r="O15" s="72">
        <v>38332.0</v>
      </c>
      <c r="P15" s="48" t="s">
        <v>114</v>
      </c>
      <c r="Q15" s="71">
        <v>0.001048834</v>
      </c>
      <c r="R15" s="41"/>
    </row>
    <row r="16">
      <c r="B16" s="69">
        <v>36557.0</v>
      </c>
      <c r="C16" s="43">
        <v>0.7</v>
      </c>
      <c r="D16" s="43">
        <v>0.77</v>
      </c>
      <c r="E16" s="43">
        <v>0.84</v>
      </c>
      <c r="F16" s="43">
        <v>0.7</v>
      </c>
      <c r="G16" s="43" t="s">
        <v>128</v>
      </c>
      <c r="H16" s="44">
        <v>-0.0541</v>
      </c>
      <c r="I16" s="35">
        <f t="shared" si="3"/>
        <v>-750</v>
      </c>
      <c r="J16" s="23">
        <f t="shared" ref="J16:J18" si="7">-ROUNDDOWN(I16/C16)</f>
        <v>1071</v>
      </c>
      <c r="K16" s="50">
        <f t="shared" si="4"/>
        <v>228927</v>
      </c>
      <c r="L16" s="35">
        <f t="shared" si="2"/>
        <v>160248.9</v>
      </c>
      <c r="M16" s="50">
        <f t="shared" si="5"/>
        <v>14</v>
      </c>
      <c r="R16" s="41"/>
    </row>
    <row r="17">
      <c r="B17" s="69">
        <v>36586.0</v>
      </c>
      <c r="C17" s="43">
        <v>0.73</v>
      </c>
      <c r="D17" s="43">
        <v>0.7</v>
      </c>
      <c r="E17" s="43">
        <v>0.78</v>
      </c>
      <c r="F17" s="43">
        <v>0.67</v>
      </c>
      <c r="G17" s="43" t="s">
        <v>129</v>
      </c>
      <c r="H17" s="44">
        <v>0.0429</v>
      </c>
      <c r="I17" s="12">
        <f t="shared" si="3"/>
        <v>-750</v>
      </c>
      <c r="J17" s="23">
        <f t="shared" si="7"/>
        <v>1027</v>
      </c>
      <c r="K17" s="46">
        <f t="shared" si="4"/>
        <v>229954</v>
      </c>
      <c r="L17" s="12">
        <f t="shared" si="2"/>
        <v>167866.42</v>
      </c>
      <c r="M17" s="46">
        <f t="shared" si="5"/>
        <v>15</v>
      </c>
      <c r="R17" s="41"/>
    </row>
    <row r="18">
      <c r="B18" s="69">
        <v>36617.0</v>
      </c>
      <c r="C18" s="43">
        <v>0.66</v>
      </c>
      <c r="D18" s="43">
        <v>0.72</v>
      </c>
      <c r="E18" s="43">
        <v>0.72</v>
      </c>
      <c r="F18" s="43">
        <v>0.55</v>
      </c>
      <c r="G18" s="43" t="s">
        <v>130</v>
      </c>
      <c r="H18" s="44">
        <v>-0.0959</v>
      </c>
      <c r="I18" s="35">
        <f t="shared" si="3"/>
        <v>-750</v>
      </c>
      <c r="J18" s="23">
        <f t="shared" si="7"/>
        <v>1136</v>
      </c>
      <c r="K18" s="50">
        <f t="shared" si="4"/>
        <v>231090</v>
      </c>
      <c r="L18" s="35">
        <f t="shared" si="2"/>
        <v>152519.4</v>
      </c>
      <c r="M18" s="50">
        <f t="shared" si="5"/>
        <v>16</v>
      </c>
      <c r="O18" s="53"/>
      <c r="P18" s="40" t="s">
        <v>5</v>
      </c>
      <c r="Q18" s="40" t="s">
        <v>6</v>
      </c>
    </row>
    <row r="19">
      <c r="B19" s="69">
        <v>36647.0</v>
      </c>
      <c r="C19" s="43">
        <v>0.68</v>
      </c>
      <c r="D19" s="43">
        <v>0.66</v>
      </c>
      <c r="E19" s="43">
        <v>0.71</v>
      </c>
      <c r="F19" s="43">
        <v>0.58</v>
      </c>
      <c r="G19" s="43" t="s">
        <v>131</v>
      </c>
      <c r="H19" s="44">
        <v>0.0303</v>
      </c>
      <c r="I19" s="12">
        <f t="shared" si="3"/>
        <v>-750</v>
      </c>
      <c r="J19" s="23">
        <f>ROUNDDOWN((-I19 + K18*Q5)/C19)</f>
        <v>1295</v>
      </c>
      <c r="K19" s="46">
        <f t="shared" si="4"/>
        <v>232385</v>
      </c>
      <c r="L19" s="12">
        <f t="shared" si="2"/>
        <v>158021.8</v>
      </c>
      <c r="M19" s="46">
        <f t="shared" si="5"/>
        <v>17</v>
      </c>
      <c r="O19" s="40" t="s">
        <v>11</v>
      </c>
      <c r="P19" s="54">
        <v>0.05</v>
      </c>
      <c r="Q19" s="55">
        <f>(1+P19)^(1/12)-1</f>
        <v>0.004074123784</v>
      </c>
    </row>
    <row r="20">
      <c r="B20" s="69">
        <v>36678.0</v>
      </c>
      <c r="C20" s="43">
        <v>0.76</v>
      </c>
      <c r="D20" s="43">
        <v>0.68</v>
      </c>
      <c r="E20" s="43">
        <v>0.81</v>
      </c>
      <c r="F20" s="43">
        <v>0.66</v>
      </c>
      <c r="G20" s="43" t="s">
        <v>132</v>
      </c>
      <c r="H20" s="44">
        <v>0.1176</v>
      </c>
      <c r="I20" s="35">
        <f t="shared" si="3"/>
        <v>-750</v>
      </c>
      <c r="J20" s="23">
        <f>-ROUNDDOWN(I20/C20)</f>
        <v>986</v>
      </c>
      <c r="K20" s="50">
        <f t="shared" si="4"/>
        <v>233371</v>
      </c>
      <c r="L20" s="35">
        <f t="shared" si="2"/>
        <v>177361.96</v>
      </c>
      <c r="M20" s="50">
        <f t="shared" si="5"/>
        <v>18</v>
      </c>
      <c r="O20" s="40" t="s">
        <v>8</v>
      </c>
      <c r="P20" s="55">
        <f>(1+Q20)^(12)-1</f>
        <v>0.7076981808</v>
      </c>
      <c r="Q20" s="56">
        <f>IRR(I3:I75, 0.02)</f>
        <v>0.04560485949</v>
      </c>
    </row>
    <row r="21">
      <c r="B21" s="69">
        <v>36708.0</v>
      </c>
      <c r="C21" s="43">
        <v>0.81</v>
      </c>
      <c r="D21" s="43">
        <v>0.76</v>
      </c>
      <c r="E21" s="43">
        <v>0.87</v>
      </c>
      <c r="F21" s="43">
        <v>0.76</v>
      </c>
      <c r="G21" s="43" t="s">
        <v>133</v>
      </c>
      <c r="H21" s="44">
        <v>0.0658</v>
      </c>
      <c r="I21" s="12">
        <f t="shared" si="3"/>
        <v>-750</v>
      </c>
      <c r="J21" s="23">
        <f>ROUNDDOWN((-I21 + K20*Q6)/C21)</f>
        <v>1101</v>
      </c>
      <c r="K21" s="46">
        <f t="shared" si="4"/>
        <v>234472</v>
      </c>
      <c r="L21" s="12">
        <f t="shared" si="2"/>
        <v>189922.32</v>
      </c>
      <c r="M21" s="46">
        <f t="shared" si="5"/>
        <v>19</v>
      </c>
      <c r="O21" s="40" t="s">
        <v>9</v>
      </c>
      <c r="P21" s="58">
        <f t="array" ref="P21">NPV(Q19,I3:I75)</f>
        <v>257445.801</v>
      </c>
      <c r="Q21" s="7"/>
    </row>
    <row r="22">
      <c r="B22" s="69">
        <v>36739.0</v>
      </c>
      <c r="C22" s="43">
        <v>0.78</v>
      </c>
      <c r="D22" s="43">
        <v>0.82</v>
      </c>
      <c r="E22" s="43">
        <v>0.86</v>
      </c>
      <c r="F22" s="43">
        <v>0.76</v>
      </c>
      <c r="G22" s="43" t="s">
        <v>134</v>
      </c>
      <c r="H22" s="44">
        <v>-0.037</v>
      </c>
      <c r="I22" s="35">
        <f t="shared" si="3"/>
        <v>-750</v>
      </c>
      <c r="J22" s="23">
        <f t="shared" ref="J22:J38" si="8">-ROUNDDOWN(I22/C22)</f>
        <v>961</v>
      </c>
      <c r="K22" s="50">
        <f t="shared" si="4"/>
        <v>235433</v>
      </c>
      <c r="L22" s="35">
        <f t="shared" si="2"/>
        <v>183637.74</v>
      </c>
      <c r="M22" s="50">
        <f t="shared" si="5"/>
        <v>20</v>
      </c>
    </row>
    <row r="23">
      <c r="B23" s="69">
        <v>36770.0</v>
      </c>
      <c r="C23" s="43">
        <v>0.74</v>
      </c>
      <c r="D23" s="43">
        <v>0.81</v>
      </c>
      <c r="E23" s="43">
        <v>0.83</v>
      </c>
      <c r="F23" s="43">
        <v>0.72</v>
      </c>
      <c r="G23" s="43" t="s">
        <v>135</v>
      </c>
      <c r="H23" s="44">
        <v>-0.0513</v>
      </c>
      <c r="I23" s="12">
        <f t="shared" si="3"/>
        <v>-750</v>
      </c>
      <c r="J23" s="23">
        <f t="shared" si="8"/>
        <v>1013</v>
      </c>
      <c r="K23" s="46">
        <f t="shared" si="4"/>
        <v>236446</v>
      </c>
      <c r="L23" s="12">
        <f t="shared" si="2"/>
        <v>174970.04</v>
      </c>
      <c r="M23" s="46">
        <f t="shared" si="5"/>
        <v>21</v>
      </c>
      <c r="O23" s="59" t="s">
        <v>56</v>
      </c>
      <c r="P23" s="1"/>
      <c r="Q23" s="1"/>
    </row>
    <row r="24">
      <c r="B24" s="69">
        <v>36800.0</v>
      </c>
      <c r="C24" s="43">
        <v>0.7</v>
      </c>
      <c r="D24" s="43">
        <v>0.74</v>
      </c>
      <c r="E24" s="43">
        <v>0.79</v>
      </c>
      <c r="F24" s="43">
        <v>0.59</v>
      </c>
      <c r="G24" s="43" t="s">
        <v>136</v>
      </c>
      <c r="H24" s="44">
        <v>-0.0541</v>
      </c>
      <c r="I24" s="35">
        <f t="shared" si="3"/>
        <v>-750</v>
      </c>
      <c r="J24" s="23">
        <f t="shared" si="8"/>
        <v>1071</v>
      </c>
      <c r="K24" s="50">
        <f t="shared" si="4"/>
        <v>237517</v>
      </c>
      <c r="L24" s="35">
        <f t="shared" si="2"/>
        <v>166261.9</v>
      </c>
      <c r="M24" s="50">
        <f t="shared" si="5"/>
        <v>22</v>
      </c>
      <c r="O24" s="60"/>
      <c r="P24" s="60"/>
      <c r="Q24" s="60"/>
    </row>
    <row r="25">
      <c r="B25" s="69">
        <v>36831.0</v>
      </c>
      <c r="C25" s="43">
        <v>0.61</v>
      </c>
      <c r="D25" s="43">
        <v>0.7</v>
      </c>
      <c r="E25" s="43">
        <v>0.72</v>
      </c>
      <c r="F25" s="43">
        <v>0.6</v>
      </c>
      <c r="G25" s="43" t="s">
        <v>137</v>
      </c>
      <c r="H25" s="44">
        <v>-0.1286</v>
      </c>
      <c r="I25" s="12">
        <f t="shared" si="3"/>
        <v>-750</v>
      </c>
      <c r="J25" s="23">
        <f t="shared" si="8"/>
        <v>1229</v>
      </c>
      <c r="K25" s="46">
        <f t="shared" si="4"/>
        <v>238746</v>
      </c>
      <c r="L25" s="12">
        <f t="shared" si="2"/>
        <v>145635.06</v>
      </c>
      <c r="M25" s="46">
        <f t="shared" si="5"/>
        <v>23</v>
      </c>
      <c r="O25" s="61" t="s">
        <v>59</v>
      </c>
      <c r="P25" s="62"/>
      <c r="Q25" s="63">
        <f>C3</f>
        <v>0.62</v>
      </c>
    </row>
    <row r="26">
      <c r="B26" s="69">
        <v>36861.0</v>
      </c>
      <c r="C26" s="43">
        <v>0.68</v>
      </c>
      <c r="D26" s="43">
        <v>0.62</v>
      </c>
      <c r="E26" s="43">
        <v>0.74</v>
      </c>
      <c r="F26" s="43">
        <v>0.59</v>
      </c>
      <c r="G26" s="43" t="s">
        <v>138</v>
      </c>
      <c r="H26" s="44">
        <v>0.1148</v>
      </c>
      <c r="I26" s="35">
        <f t="shared" si="3"/>
        <v>-750</v>
      </c>
      <c r="J26" s="23">
        <f t="shared" si="8"/>
        <v>1102</v>
      </c>
      <c r="K26" s="50">
        <f t="shared" si="4"/>
        <v>239848</v>
      </c>
      <c r="L26" s="35">
        <f t="shared" si="2"/>
        <v>163096.64</v>
      </c>
      <c r="M26" s="50">
        <f t="shared" si="5"/>
        <v>24</v>
      </c>
      <c r="O26" s="64" t="s">
        <v>61</v>
      </c>
      <c r="P26" s="65"/>
      <c r="Q26" s="66">
        <f t="shared" ref="Q26:Q27" si="9">C74</f>
        <v>1.56</v>
      </c>
    </row>
    <row r="27">
      <c r="B27" s="69">
        <v>36892.0</v>
      </c>
      <c r="C27" s="43">
        <v>0.86</v>
      </c>
      <c r="D27" s="43">
        <v>0.65</v>
      </c>
      <c r="E27" s="43">
        <v>0.88</v>
      </c>
      <c r="F27" s="43">
        <v>0.65</v>
      </c>
      <c r="G27" s="43" t="s">
        <v>139</v>
      </c>
      <c r="H27" s="44">
        <v>0.2647</v>
      </c>
      <c r="I27" s="12">
        <f t="shared" si="3"/>
        <v>-750</v>
      </c>
      <c r="J27" s="23">
        <f t="shared" si="8"/>
        <v>872</v>
      </c>
      <c r="K27" s="46">
        <f t="shared" si="4"/>
        <v>240720</v>
      </c>
      <c r="L27" s="12">
        <f t="shared" si="2"/>
        <v>207019.2</v>
      </c>
      <c r="M27" s="46">
        <f t="shared" si="5"/>
        <v>25</v>
      </c>
      <c r="O27" s="61" t="s">
        <v>63</v>
      </c>
      <c r="P27" s="67"/>
      <c r="Q27" s="63">
        <f t="shared" si="9"/>
        <v>1.4</v>
      </c>
    </row>
    <row r="28">
      <c r="B28" s="69">
        <v>36923.0</v>
      </c>
      <c r="C28" s="43">
        <v>0.74</v>
      </c>
      <c r="D28" s="43">
        <v>0.84</v>
      </c>
      <c r="E28" s="43">
        <v>0.86</v>
      </c>
      <c r="F28" s="43">
        <v>0.72</v>
      </c>
      <c r="G28" s="43" t="s">
        <v>140</v>
      </c>
      <c r="H28" s="44">
        <v>-0.1395</v>
      </c>
      <c r="I28" s="35">
        <f t="shared" si="3"/>
        <v>-750</v>
      </c>
      <c r="J28" s="23">
        <f t="shared" si="8"/>
        <v>1013</v>
      </c>
      <c r="K28" s="50">
        <f t="shared" si="4"/>
        <v>241733</v>
      </c>
      <c r="L28" s="35">
        <f t="shared" si="2"/>
        <v>178882.42</v>
      </c>
      <c r="M28" s="50">
        <f t="shared" si="5"/>
        <v>26</v>
      </c>
      <c r="O28" s="64" t="s">
        <v>65</v>
      </c>
      <c r="P28" s="65"/>
      <c r="Q28" s="68">
        <f>Q27/Q25</f>
        <v>2.258064516</v>
      </c>
    </row>
    <row r="29">
      <c r="B29" s="69">
        <v>36951.0</v>
      </c>
      <c r="C29" s="43">
        <v>0.66</v>
      </c>
      <c r="D29" s="43">
        <v>0.75</v>
      </c>
      <c r="E29" s="43">
        <v>0.79</v>
      </c>
      <c r="F29" s="43">
        <v>0.62</v>
      </c>
      <c r="G29" s="43" t="s">
        <v>141</v>
      </c>
      <c r="H29" s="44">
        <v>-0.1081</v>
      </c>
      <c r="I29" s="12">
        <f t="shared" si="3"/>
        <v>-750</v>
      </c>
      <c r="J29" s="23">
        <f t="shared" si="8"/>
        <v>1136</v>
      </c>
      <c r="K29" s="46">
        <f t="shared" si="4"/>
        <v>242869</v>
      </c>
      <c r="L29" s="12">
        <f t="shared" si="2"/>
        <v>160293.54</v>
      </c>
      <c r="M29" s="46">
        <f t="shared" si="5"/>
        <v>27</v>
      </c>
    </row>
    <row r="30">
      <c r="B30" s="69">
        <v>36982.0</v>
      </c>
      <c r="C30" s="43">
        <v>0.61</v>
      </c>
      <c r="D30" s="43">
        <v>0.66</v>
      </c>
      <c r="E30" s="43">
        <v>0.67</v>
      </c>
      <c r="F30" s="43">
        <v>0.6</v>
      </c>
      <c r="G30" s="43" t="s">
        <v>142</v>
      </c>
      <c r="H30" s="44">
        <v>-0.0758</v>
      </c>
      <c r="I30" s="35">
        <f t="shared" si="3"/>
        <v>-750</v>
      </c>
      <c r="J30" s="23">
        <f t="shared" si="8"/>
        <v>1229</v>
      </c>
      <c r="K30" s="50">
        <f t="shared" si="4"/>
        <v>244098</v>
      </c>
      <c r="L30" s="35">
        <f t="shared" si="2"/>
        <v>148899.78</v>
      </c>
      <c r="M30" s="50">
        <f t="shared" si="5"/>
        <v>28</v>
      </c>
    </row>
    <row r="31">
      <c r="B31" s="69">
        <v>37012.0</v>
      </c>
      <c r="C31" s="43">
        <v>0.55</v>
      </c>
      <c r="D31" s="43">
        <v>0.61</v>
      </c>
      <c r="E31" s="43">
        <v>0.63</v>
      </c>
      <c r="F31" s="43">
        <v>0.51</v>
      </c>
      <c r="G31" s="43" t="s">
        <v>143</v>
      </c>
      <c r="H31" s="44">
        <v>-0.0984</v>
      </c>
      <c r="I31" s="12">
        <f t="shared" si="3"/>
        <v>-750</v>
      </c>
      <c r="J31" s="23">
        <f t="shared" si="8"/>
        <v>1363</v>
      </c>
      <c r="K31" s="46">
        <f t="shared" si="4"/>
        <v>245461</v>
      </c>
      <c r="L31" s="12">
        <f t="shared" si="2"/>
        <v>135003.55</v>
      </c>
      <c r="M31" s="46">
        <f t="shared" si="5"/>
        <v>29</v>
      </c>
    </row>
    <row r="32">
      <c r="B32" s="69">
        <v>37043.0</v>
      </c>
      <c r="C32" s="43">
        <v>0.66</v>
      </c>
      <c r="D32" s="43">
        <v>0.56</v>
      </c>
      <c r="E32" s="43">
        <v>0.67</v>
      </c>
      <c r="F32" s="43">
        <v>0.53</v>
      </c>
      <c r="G32" s="43" t="s">
        <v>144</v>
      </c>
      <c r="H32" s="44">
        <v>0.2</v>
      </c>
      <c r="I32" s="35">
        <f t="shared" si="3"/>
        <v>-750</v>
      </c>
      <c r="J32" s="23">
        <f t="shared" si="8"/>
        <v>1136</v>
      </c>
      <c r="K32" s="50">
        <f t="shared" si="4"/>
        <v>246597</v>
      </c>
      <c r="L32" s="35">
        <f t="shared" si="2"/>
        <v>162754.02</v>
      </c>
      <c r="M32" s="50">
        <f t="shared" si="5"/>
        <v>30</v>
      </c>
    </row>
    <row r="33">
      <c r="B33" s="69">
        <v>37073.0</v>
      </c>
      <c r="C33" s="43">
        <v>0.63</v>
      </c>
      <c r="D33" s="43">
        <v>0.66</v>
      </c>
      <c r="E33" s="43">
        <v>0.68</v>
      </c>
      <c r="F33" s="43">
        <v>0.57</v>
      </c>
      <c r="G33" s="43" t="s">
        <v>145</v>
      </c>
      <c r="H33" s="44">
        <v>-0.0455</v>
      </c>
      <c r="I33" s="12">
        <f t="shared" si="3"/>
        <v>-750</v>
      </c>
      <c r="J33" s="23">
        <f t="shared" si="8"/>
        <v>1190</v>
      </c>
      <c r="K33" s="46">
        <f t="shared" si="4"/>
        <v>247787</v>
      </c>
      <c r="L33" s="12">
        <f t="shared" si="2"/>
        <v>156105.81</v>
      </c>
      <c r="M33" s="46">
        <f t="shared" si="5"/>
        <v>31</v>
      </c>
    </row>
    <row r="34">
      <c r="B34" s="69">
        <v>37104.0</v>
      </c>
      <c r="C34" s="43">
        <v>0.67</v>
      </c>
      <c r="D34" s="43">
        <v>0.63</v>
      </c>
      <c r="E34" s="43">
        <v>0.7</v>
      </c>
      <c r="F34" s="43">
        <v>0.61</v>
      </c>
      <c r="G34" s="43" t="s">
        <v>146</v>
      </c>
      <c r="H34" s="44">
        <v>0.0635</v>
      </c>
      <c r="I34" s="35">
        <f t="shared" si="3"/>
        <v>-750</v>
      </c>
      <c r="J34" s="23">
        <f t="shared" si="8"/>
        <v>1119</v>
      </c>
      <c r="K34" s="50">
        <f t="shared" si="4"/>
        <v>248906</v>
      </c>
      <c r="L34" s="35">
        <f t="shared" si="2"/>
        <v>166767.02</v>
      </c>
      <c r="M34" s="50">
        <f t="shared" si="5"/>
        <v>32</v>
      </c>
    </row>
    <row r="35">
      <c r="B35" s="69">
        <v>37135.0</v>
      </c>
      <c r="C35" s="43">
        <v>0.62</v>
      </c>
      <c r="D35" s="43">
        <v>0.66</v>
      </c>
      <c r="E35" s="43">
        <v>0.72</v>
      </c>
      <c r="F35" s="43">
        <v>0.55</v>
      </c>
      <c r="G35" s="43" t="s">
        <v>147</v>
      </c>
      <c r="H35" s="44">
        <v>-0.0746</v>
      </c>
      <c r="I35" s="12">
        <f t="shared" si="3"/>
        <v>-750</v>
      </c>
      <c r="J35" s="23">
        <f t="shared" si="8"/>
        <v>1209</v>
      </c>
      <c r="K35" s="46">
        <f t="shared" si="4"/>
        <v>250115</v>
      </c>
      <c r="L35" s="12">
        <f t="shared" si="2"/>
        <v>155071.3</v>
      </c>
      <c r="M35" s="46">
        <f t="shared" si="5"/>
        <v>33</v>
      </c>
    </row>
    <row r="36">
      <c r="B36" s="69">
        <v>37165.0</v>
      </c>
      <c r="C36" s="43">
        <v>0.64</v>
      </c>
      <c r="D36" s="43">
        <v>0.61</v>
      </c>
      <c r="E36" s="43">
        <v>0.66</v>
      </c>
      <c r="F36" s="43">
        <v>0.54</v>
      </c>
      <c r="G36" s="43" t="s">
        <v>148</v>
      </c>
      <c r="H36" s="44">
        <v>0.0323</v>
      </c>
      <c r="I36" s="35">
        <f t="shared" si="3"/>
        <v>-750</v>
      </c>
      <c r="J36" s="23">
        <f t="shared" si="8"/>
        <v>1171</v>
      </c>
      <c r="K36" s="50">
        <f t="shared" si="4"/>
        <v>251286</v>
      </c>
      <c r="L36" s="35">
        <f t="shared" si="2"/>
        <v>160823.04</v>
      </c>
      <c r="M36" s="50">
        <f t="shared" si="5"/>
        <v>34</v>
      </c>
    </row>
    <row r="37">
      <c r="B37" s="69">
        <v>37196.0</v>
      </c>
      <c r="C37" s="43">
        <v>0.73</v>
      </c>
      <c r="D37" s="43">
        <v>0.64</v>
      </c>
      <c r="E37" s="43">
        <v>0.78</v>
      </c>
      <c r="F37" s="43">
        <v>0.64</v>
      </c>
      <c r="G37" s="43" t="s">
        <v>149</v>
      </c>
      <c r="H37" s="44">
        <v>0.1406</v>
      </c>
      <c r="I37" s="12">
        <f t="shared" si="3"/>
        <v>-750</v>
      </c>
      <c r="J37" s="23">
        <f t="shared" si="8"/>
        <v>1027</v>
      </c>
      <c r="K37" s="46">
        <f t="shared" si="4"/>
        <v>252313</v>
      </c>
      <c r="L37" s="12">
        <f t="shared" si="2"/>
        <v>184188.49</v>
      </c>
      <c r="M37" s="46">
        <f t="shared" si="5"/>
        <v>35</v>
      </c>
    </row>
    <row r="38">
      <c r="B38" s="69">
        <v>37226.0</v>
      </c>
      <c r="C38" s="43">
        <v>0.79</v>
      </c>
      <c r="D38" s="43">
        <v>0.72</v>
      </c>
      <c r="E38" s="43">
        <v>0.86</v>
      </c>
      <c r="F38" s="43">
        <v>0.72</v>
      </c>
      <c r="G38" s="43" t="s">
        <v>150</v>
      </c>
      <c r="H38" s="44">
        <v>0.0822</v>
      </c>
      <c r="I38" s="35">
        <f t="shared" si="3"/>
        <v>-750</v>
      </c>
      <c r="J38" s="23">
        <f t="shared" si="8"/>
        <v>949</v>
      </c>
      <c r="K38" s="50">
        <f t="shared" si="4"/>
        <v>253262</v>
      </c>
      <c r="L38" s="35">
        <f t="shared" si="2"/>
        <v>200076.98</v>
      </c>
      <c r="M38" s="50">
        <f t="shared" si="5"/>
        <v>36</v>
      </c>
    </row>
    <row r="39">
      <c r="B39" s="69">
        <v>37257.0</v>
      </c>
      <c r="C39" s="43">
        <v>0.84</v>
      </c>
      <c r="D39" s="43">
        <v>0.81</v>
      </c>
      <c r="E39" s="43">
        <v>0.87</v>
      </c>
      <c r="F39" s="43">
        <v>0.72</v>
      </c>
      <c r="G39" s="43" t="s">
        <v>151</v>
      </c>
      <c r="H39" s="44">
        <v>0.0633</v>
      </c>
      <c r="I39" s="12">
        <f t="shared" si="3"/>
        <v>-750</v>
      </c>
      <c r="J39" s="23">
        <f>ROUNDDOWN((-I39 + K38*Q7)/C39)</f>
        <v>1088</v>
      </c>
      <c r="K39" s="46">
        <f t="shared" si="4"/>
        <v>254350</v>
      </c>
      <c r="L39" s="12">
        <f t="shared" si="2"/>
        <v>213654</v>
      </c>
      <c r="M39" s="46">
        <f t="shared" si="5"/>
        <v>37</v>
      </c>
    </row>
    <row r="40">
      <c r="B40" s="69">
        <v>37288.0</v>
      </c>
      <c r="C40" s="43">
        <v>0.88</v>
      </c>
      <c r="D40" s="43">
        <v>0.85</v>
      </c>
      <c r="E40" s="43">
        <v>0.91</v>
      </c>
      <c r="F40" s="43">
        <v>0.78</v>
      </c>
      <c r="G40" s="43" t="s">
        <v>152</v>
      </c>
      <c r="H40" s="44">
        <v>0.0476</v>
      </c>
      <c r="I40" s="35">
        <f t="shared" si="3"/>
        <v>-750</v>
      </c>
      <c r="J40" s="23">
        <f t="shared" ref="J40:J43" si="10">-ROUNDDOWN(I40/C40)</f>
        <v>852</v>
      </c>
      <c r="K40" s="50">
        <f>ROUNDDOWN((J40+K39)*(1+1.98%))</f>
        <v>260254</v>
      </c>
      <c r="L40" s="35">
        <f t="shared" si="2"/>
        <v>229023.52</v>
      </c>
      <c r="M40" s="50">
        <f t="shared" si="5"/>
        <v>38</v>
      </c>
    </row>
    <row r="41">
      <c r="B41" s="69">
        <v>37316.0</v>
      </c>
      <c r="C41" s="43">
        <v>0.83</v>
      </c>
      <c r="D41" s="43">
        <v>0.88</v>
      </c>
      <c r="E41" s="43">
        <v>0.96</v>
      </c>
      <c r="F41" s="43">
        <v>0.82</v>
      </c>
      <c r="G41" s="43" t="s">
        <v>153</v>
      </c>
      <c r="H41" s="44">
        <v>-0.0568</v>
      </c>
      <c r="I41" s="12">
        <f t="shared" si="3"/>
        <v>-750</v>
      </c>
      <c r="J41" s="23">
        <f t="shared" si="10"/>
        <v>903</v>
      </c>
      <c r="K41" s="46">
        <f t="shared" ref="K41:K75" si="11">J41+K40</f>
        <v>261157</v>
      </c>
      <c r="L41" s="12">
        <f t="shared" si="2"/>
        <v>216760.31</v>
      </c>
      <c r="M41" s="46">
        <f t="shared" si="5"/>
        <v>39</v>
      </c>
    </row>
    <row r="42">
      <c r="B42" s="69">
        <v>37347.0</v>
      </c>
      <c r="C42" s="43">
        <v>0.9</v>
      </c>
      <c r="D42" s="43">
        <v>0.83</v>
      </c>
      <c r="E42" s="43">
        <v>0.93</v>
      </c>
      <c r="F42" s="43">
        <v>0.81</v>
      </c>
      <c r="G42" s="43" t="s">
        <v>154</v>
      </c>
      <c r="H42" s="44">
        <v>0.0843</v>
      </c>
      <c r="I42" s="35">
        <f t="shared" si="3"/>
        <v>-750</v>
      </c>
      <c r="J42" s="23">
        <f t="shared" si="10"/>
        <v>833</v>
      </c>
      <c r="K42" s="50">
        <f t="shared" si="11"/>
        <v>261990</v>
      </c>
      <c r="L42" s="35">
        <f t="shared" si="2"/>
        <v>235791</v>
      </c>
      <c r="M42" s="50">
        <f t="shared" si="5"/>
        <v>40</v>
      </c>
    </row>
    <row r="43">
      <c r="B43" s="69">
        <v>37377.0</v>
      </c>
      <c r="C43" s="43">
        <v>0.81</v>
      </c>
      <c r="D43" s="43">
        <v>0.82</v>
      </c>
      <c r="E43" s="43">
        <v>0.86</v>
      </c>
      <c r="F43" s="43">
        <v>0.74</v>
      </c>
      <c r="G43" s="43" t="s">
        <v>155</v>
      </c>
      <c r="H43" s="44">
        <v>-0.1</v>
      </c>
      <c r="I43" s="12">
        <f t="shared" si="3"/>
        <v>-750</v>
      </c>
      <c r="J43" s="23">
        <f t="shared" si="10"/>
        <v>925</v>
      </c>
      <c r="K43" s="46">
        <f t="shared" si="11"/>
        <v>262915</v>
      </c>
      <c r="L43" s="12">
        <f t="shared" si="2"/>
        <v>212961.15</v>
      </c>
      <c r="M43" s="46">
        <f t="shared" si="5"/>
        <v>41</v>
      </c>
    </row>
    <row r="44">
      <c r="B44" s="69">
        <v>37408.0</v>
      </c>
      <c r="C44" s="43">
        <v>0.77</v>
      </c>
      <c r="D44" s="43">
        <v>0.83</v>
      </c>
      <c r="E44" s="43">
        <v>0.83</v>
      </c>
      <c r="F44" s="43">
        <v>0.68</v>
      </c>
      <c r="G44" s="43" t="s">
        <v>156</v>
      </c>
      <c r="H44" s="44">
        <v>-0.0494</v>
      </c>
      <c r="I44" s="35">
        <f t="shared" si="3"/>
        <v>-750</v>
      </c>
      <c r="J44" s="23">
        <f>ROUNDDOWN((-I44 + K43*Q9)/C44)</f>
        <v>1466</v>
      </c>
      <c r="K44" s="50">
        <f t="shared" si="11"/>
        <v>264381</v>
      </c>
      <c r="L44" s="35">
        <f t="shared" si="2"/>
        <v>203573.37</v>
      </c>
      <c r="M44" s="50">
        <f t="shared" si="5"/>
        <v>42</v>
      </c>
    </row>
    <row r="45">
      <c r="B45" s="69">
        <v>37438.0</v>
      </c>
      <c r="C45" s="43">
        <v>0.64</v>
      </c>
      <c r="D45" s="43">
        <v>0.76</v>
      </c>
      <c r="E45" s="43">
        <v>0.77</v>
      </c>
      <c r="F45" s="43">
        <v>0.59</v>
      </c>
      <c r="G45" s="43" t="s">
        <v>157</v>
      </c>
      <c r="H45" s="44">
        <v>-0.1688</v>
      </c>
      <c r="I45" s="12">
        <f t="shared" si="3"/>
        <v>-750</v>
      </c>
      <c r="J45" s="23">
        <f t="shared" ref="J45:J50" si="12">-ROUNDDOWN(I45/C45)</f>
        <v>1171</v>
      </c>
      <c r="K45" s="46">
        <f t="shared" si="11"/>
        <v>265552</v>
      </c>
      <c r="L45" s="12">
        <f t="shared" si="2"/>
        <v>169953.28</v>
      </c>
      <c r="M45" s="46">
        <f t="shared" si="5"/>
        <v>43</v>
      </c>
    </row>
    <row r="46">
      <c r="B46" s="69">
        <v>37469.0</v>
      </c>
      <c r="C46" s="43">
        <v>0.67</v>
      </c>
      <c r="D46" s="43">
        <v>0.64</v>
      </c>
      <c r="E46" s="43">
        <v>0.72</v>
      </c>
      <c r="F46" s="43">
        <v>0.53</v>
      </c>
      <c r="G46" s="43" t="s">
        <v>158</v>
      </c>
      <c r="H46" s="44">
        <v>0.0469</v>
      </c>
      <c r="I46" s="35">
        <f t="shared" si="3"/>
        <v>-750</v>
      </c>
      <c r="J46" s="23">
        <f t="shared" si="12"/>
        <v>1119</v>
      </c>
      <c r="K46" s="50">
        <f t="shared" si="11"/>
        <v>266671</v>
      </c>
      <c r="L46" s="35">
        <f t="shared" si="2"/>
        <v>178669.57</v>
      </c>
      <c r="M46" s="50">
        <f t="shared" si="5"/>
        <v>44</v>
      </c>
    </row>
    <row r="47">
      <c r="B47" s="69">
        <v>37500.0</v>
      </c>
      <c r="C47" s="43">
        <v>0.5</v>
      </c>
      <c r="D47" s="43">
        <v>0.67</v>
      </c>
      <c r="E47" s="43">
        <v>0.67</v>
      </c>
      <c r="F47" s="43">
        <v>0.48</v>
      </c>
      <c r="G47" s="43" t="s">
        <v>159</v>
      </c>
      <c r="H47" s="44">
        <v>-0.2537</v>
      </c>
      <c r="I47" s="12">
        <f t="shared" si="3"/>
        <v>-750</v>
      </c>
      <c r="J47" s="23">
        <f t="shared" si="12"/>
        <v>1500</v>
      </c>
      <c r="K47" s="46">
        <f t="shared" si="11"/>
        <v>268171</v>
      </c>
      <c r="L47" s="12">
        <f t="shared" si="2"/>
        <v>134085.5</v>
      </c>
      <c r="M47" s="46">
        <f t="shared" si="5"/>
        <v>45</v>
      </c>
    </row>
    <row r="48">
      <c r="B48" s="69">
        <v>37530.0</v>
      </c>
      <c r="C48" s="43">
        <v>0.59</v>
      </c>
      <c r="D48" s="43">
        <v>0.51</v>
      </c>
      <c r="E48" s="43">
        <v>0.6</v>
      </c>
      <c r="F48" s="43">
        <v>0.46</v>
      </c>
      <c r="G48" s="43" t="s">
        <v>160</v>
      </c>
      <c r="H48" s="44">
        <v>0.18</v>
      </c>
      <c r="I48" s="35">
        <f t="shared" si="3"/>
        <v>-750</v>
      </c>
      <c r="J48" s="23">
        <f t="shared" si="12"/>
        <v>1271</v>
      </c>
      <c r="K48" s="50">
        <f t="shared" si="11"/>
        <v>269442</v>
      </c>
      <c r="L48" s="35">
        <f t="shared" si="2"/>
        <v>158970.78</v>
      </c>
      <c r="M48" s="50">
        <f t="shared" si="5"/>
        <v>46</v>
      </c>
    </row>
    <row r="49">
      <c r="B49" s="69">
        <v>37561.0</v>
      </c>
      <c r="C49" s="43">
        <v>0.58</v>
      </c>
      <c r="D49" s="43">
        <v>0.59</v>
      </c>
      <c r="E49" s="43">
        <v>0.61</v>
      </c>
      <c r="F49" s="43">
        <v>0.54</v>
      </c>
      <c r="G49" s="43" t="s">
        <v>161</v>
      </c>
      <c r="H49" s="44">
        <v>-0.0169</v>
      </c>
      <c r="I49" s="12">
        <f t="shared" si="3"/>
        <v>-750</v>
      </c>
      <c r="J49" s="23">
        <f t="shared" si="12"/>
        <v>1293</v>
      </c>
      <c r="K49" s="46">
        <f t="shared" si="11"/>
        <v>270735</v>
      </c>
      <c r="L49" s="12">
        <f t="shared" si="2"/>
        <v>157026.3</v>
      </c>
      <c r="M49" s="46">
        <f t="shared" si="5"/>
        <v>47</v>
      </c>
    </row>
    <row r="50">
      <c r="B50" s="69">
        <v>37591.0</v>
      </c>
      <c r="C50" s="43">
        <v>0.64</v>
      </c>
      <c r="D50" s="43">
        <v>0.58</v>
      </c>
      <c r="E50" s="43">
        <v>0.67</v>
      </c>
      <c r="F50" s="43">
        <v>0.53</v>
      </c>
      <c r="G50" s="43" t="s">
        <v>162</v>
      </c>
      <c r="H50" s="44">
        <v>0.1034</v>
      </c>
      <c r="I50" s="35">
        <f t="shared" si="3"/>
        <v>-750</v>
      </c>
      <c r="J50" s="23">
        <f t="shared" si="12"/>
        <v>1171</v>
      </c>
      <c r="K50" s="50">
        <f t="shared" si="11"/>
        <v>271906</v>
      </c>
      <c r="L50" s="35">
        <f t="shared" si="2"/>
        <v>174019.84</v>
      </c>
      <c r="M50" s="50">
        <f t="shared" si="5"/>
        <v>48</v>
      </c>
    </row>
    <row r="51">
      <c r="B51" s="69">
        <v>37622.0</v>
      </c>
      <c r="C51" s="43">
        <v>0.6</v>
      </c>
      <c r="D51" s="43">
        <v>0.64</v>
      </c>
      <c r="E51" s="43">
        <v>0.69</v>
      </c>
      <c r="F51" s="43">
        <v>0.58</v>
      </c>
      <c r="G51" s="43" t="s">
        <v>163</v>
      </c>
      <c r="H51" s="44">
        <v>-0.0625</v>
      </c>
      <c r="I51" s="12">
        <f t="shared" si="3"/>
        <v>-750</v>
      </c>
      <c r="J51" s="23">
        <f>ROUNDDOWN((-I51 + K50*Q10)/C51)</f>
        <v>1529</v>
      </c>
      <c r="K51" s="46">
        <f t="shared" si="11"/>
        <v>273435</v>
      </c>
      <c r="L51" s="12">
        <f t="shared" si="2"/>
        <v>164061</v>
      </c>
      <c r="M51" s="46">
        <f t="shared" si="5"/>
        <v>49</v>
      </c>
    </row>
    <row r="52">
      <c r="B52" s="69">
        <v>37653.0</v>
      </c>
      <c r="C52" s="43">
        <v>0.55</v>
      </c>
      <c r="D52" s="43">
        <v>0.6</v>
      </c>
      <c r="E52" s="43">
        <v>0.64</v>
      </c>
      <c r="F52" s="43">
        <v>0.52</v>
      </c>
      <c r="G52" s="43" t="s">
        <v>164</v>
      </c>
      <c r="H52" s="44">
        <v>-0.0833</v>
      </c>
      <c r="I52" s="35">
        <f t="shared" si="3"/>
        <v>-750</v>
      </c>
      <c r="J52" s="23">
        <f t="shared" ref="J52:J62" si="13">-ROUNDDOWN(I52/C52)</f>
        <v>1363</v>
      </c>
      <c r="K52" s="50">
        <f t="shared" si="11"/>
        <v>274798</v>
      </c>
      <c r="L52" s="35">
        <f t="shared" si="2"/>
        <v>151138.9</v>
      </c>
      <c r="M52" s="50">
        <f t="shared" si="5"/>
        <v>50</v>
      </c>
    </row>
    <row r="53">
      <c r="B53" s="69">
        <v>37681.0</v>
      </c>
      <c r="C53" s="43">
        <v>0.61</v>
      </c>
      <c r="D53" s="43">
        <v>0.54</v>
      </c>
      <c r="E53" s="43">
        <v>0.64</v>
      </c>
      <c r="F53" s="43">
        <v>0.53</v>
      </c>
      <c r="G53" s="43" t="s">
        <v>165</v>
      </c>
      <c r="H53" s="44">
        <v>0.1091</v>
      </c>
      <c r="I53" s="12">
        <f t="shared" si="3"/>
        <v>-750</v>
      </c>
      <c r="J53" s="23">
        <f t="shared" si="13"/>
        <v>1229</v>
      </c>
      <c r="K53" s="46">
        <f t="shared" si="11"/>
        <v>276027</v>
      </c>
      <c r="L53" s="12">
        <f t="shared" si="2"/>
        <v>168376.47</v>
      </c>
      <c r="M53" s="46">
        <f t="shared" si="5"/>
        <v>51</v>
      </c>
    </row>
    <row r="54">
      <c r="B54" s="69">
        <v>37712.0</v>
      </c>
      <c r="C54" s="43">
        <v>0.74</v>
      </c>
      <c r="D54" s="43">
        <v>0.61</v>
      </c>
      <c r="E54" s="43">
        <v>0.76</v>
      </c>
      <c r="F54" s="43">
        <v>0.61</v>
      </c>
      <c r="G54" s="43" t="s">
        <v>166</v>
      </c>
      <c r="H54" s="44">
        <v>0.2131</v>
      </c>
      <c r="I54" s="35">
        <f t="shared" si="3"/>
        <v>-750</v>
      </c>
      <c r="J54" s="23">
        <f t="shared" si="13"/>
        <v>1013</v>
      </c>
      <c r="K54" s="50">
        <f t="shared" si="11"/>
        <v>277040</v>
      </c>
      <c r="L54" s="35">
        <f t="shared" si="2"/>
        <v>205009.6</v>
      </c>
      <c r="M54" s="50">
        <f t="shared" si="5"/>
        <v>52</v>
      </c>
    </row>
    <row r="55">
      <c r="B55" s="69">
        <v>37742.0</v>
      </c>
      <c r="C55" s="43">
        <v>0.73</v>
      </c>
      <c r="D55" s="43">
        <v>0.74</v>
      </c>
      <c r="E55" s="43">
        <v>0.79</v>
      </c>
      <c r="F55" s="43">
        <v>0.71</v>
      </c>
      <c r="G55" s="43" t="s">
        <v>167</v>
      </c>
      <c r="H55" s="44">
        <v>-0.0135</v>
      </c>
      <c r="I55" s="12">
        <f t="shared" si="3"/>
        <v>-750</v>
      </c>
      <c r="J55" s="23">
        <f t="shared" si="13"/>
        <v>1027</v>
      </c>
      <c r="K55" s="46">
        <f t="shared" si="11"/>
        <v>278067</v>
      </c>
      <c r="L55" s="12">
        <f t="shared" si="2"/>
        <v>202988.91</v>
      </c>
      <c r="M55" s="46">
        <f t="shared" si="5"/>
        <v>53</v>
      </c>
    </row>
    <row r="56">
      <c r="B56" s="69">
        <v>37773.0</v>
      </c>
      <c r="C56" s="43">
        <v>0.63</v>
      </c>
      <c r="D56" s="43">
        <v>0.73</v>
      </c>
      <c r="E56" s="43">
        <v>0.75</v>
      </c>
      <c r="F56" s="43">
        <v>0.63</v>
      </c>
      <c r="G56" s="43" t="s">
        <v>168</v>
      </c>
      <c r="H56" s="44">
        <v>-0.137</v>
      </c>
      <c r="I56" s="35">
        <f t="shared" si="3"/>
        <v>-750</v>
      </c>
      <c r="J56" s="23">
        <f t="shared" si="13"/>
        <v>1190</v>
      </c>
      <c r="K56" s="50">
        <f t="shared" si="11"/>
        <v>279257</v>
      </c>
      <c r="L56" s="35">
        <f t="shared" si="2"/>
        <v>175931.91</v>
      </c>
      <c r="M56" s="50">
        <f t="shared" si="5"/>
        <v>54</v>
      </c>
    </row>
    <row r="57">
      <c r="B57" s="69">
        <v>37803.0</v>
      </c>
      <c r="C57" s="43">
        <v>0.65</v>
      </c>
      <c r="D57" s="43">
        <v>0.63</v>
      </c>
      <c r="E57" s="43">
        <v>0.69</v>
      </c>
      <c r="F57" s="43">
        <v>0.63</v>
      </c>
      <c r="G57" s="43" t="s">
        <v>169</v>
      </c>
      <c r="H57" s="44">
        <v>0.0317</v>
      </c>
      <c r="I57" s="12">
        <f t="shared" si="3"/>
        <v>-750</v>
      </c>
      <c r="J57" s="23">
        <f t="shared" si="13"/>
        <v>1153</v>
      </c>
      <c r="K57" s="46">
        <f t="shared" si="11"/>
        <v>280410</v>
      </c>
      <c r="L57" s="12">
        <f t="shared" si="2"/>
        <v>182266.5</v>
      </c>
      <c r="M57" s="46">
        <f t="shared" si="5"/>
        <v>55</v>
      </c>
    </row>
    <row r="58">
      <c r="B58" s="69">
        <v>37834.0</v>
      </c>
      <c r="C58" s="43">
        <v>0.78</v>
      </c>
      <c r="D58" s="43">
        <v>0.66</v>
      </c>
      <c r="E58" s="43">
        <v>0.78</v>
      </c>
      <c r="F58" s="43">
        <v>0.62</v>
      </c>
      <c r="G58" s="43" t="s">
        <v>170</v>
      </c>
      <c r="H58" s="44">
        <v>0.2</v>
      </c>
      <c r="I58" s="35">
        <f t="shared" si="3"/>
        <v>-750</v>
      </c>
      <c r="J58" s="23">
        <f t="shared" si="13"/>
        <v>961</v>
      </c>
      <c r="K58" s="50">
        <f t="shared" si="11"/>
        <v>281371</v>
      </c>
      <c r="L58" s="35">
        <f t="shared" si="2"/>
        <v>219469.38</v>
      </c>
      <c r="M58" s="50">
        <f t="shared" si="5"/>
        <v>56</v>
      </c>
    </row>
    <row r="59">
      <c r="B59" s="69">
        <v>37865.0</v>
      </c>
      <c r="C59" s="43">
        <v>0.83</v>
      </c>
      <c r="D59" s="43">
        <v>0.78</v>
      </c>
      <c r="E59" s="43">
        <v>0.93</v>
      </c>
      <c r="F59" s="43">
        <v>0.77</v>
      </c>
      <c r="G59" s="43" t="s">
        <v>171</v>
      </c>
      <c r="H59" s="44">
        <v>0.0641</v>
      </c>
      <c r="I59" s="12">
        <f t="shared" si="3"/>
        <v>-750</v>
      </c>
      <c r="J59" s="23">
        <f t="shared" si="13"/>
        <v>903</v>
      </c>
      <c r="K59" s="46">
        <f t="shared" si="11"/>
        <v>282274</v>
      </c>
      <c r="L59" s="12">
        <f t="shared" si="2"/>
        <v>234287.42</v>
      </c>
      <c r="M59" s="46">
        <f t="shared" si="5"/>
        <v>57</v>
      </c>
    </row>
    <row r="60">
      <c r="B60" s="69">
        <v>37895.0</v>
      </c>
      <c r="C60" s="43">
        <v>1.02</v>
      </c>
      <c r="D60" s="43">
        <v>0.83</v>
      </c>
      <c r="E60" s="43">
        <v>1.04</v>
      </c>
      <c r="F60" s="43">
        <v>0.83</v>
      </c>
      <c r="G60" s="43" t="s">
        <v>172</v>
      </c>
      <c r="H60" s="44">
        <v>0.2289</v>
      </c>
      <c r="I60" s="35">
        <f t="shared" si="3"/>
        <v>-750</v>
      </c>
      <c r="J60" s="23">
        <f t="shared" si="13"/>
        <v>735</v>
      </c>
      <c r="K60" s="50">
        <f t="shared" si="11"/>
        <v>283009</v>
      </c>
      <c r="L60" s="35">
        <f t="shared" si="2"/>
        <v>288669.18</v>
      </c>
      <c r="M60" s="50">
        <f t="shared" si="5"/>
        <v>58</v>
      </c>
    </row>
    <row r="61">
      <c r="B61" s="69">
        <v>37926.0</v>
      </c>
      <c r="C61" s="43">
        <v>1.13</v>
      </c>
      <c r="D61" s="43">
        <v>1.03</v>
      </c>
      <c r="E61" s="43">
        <v>1.16</v>
      </c>
      <c r="F61" s="43">
        <v>0.96</v>
      </c>
      <c r="G61" s="43" t="s">
        <v>173</v>
      </c>
      <c r="H61" s="44">
        <v>0.1078</v>
      </c>
      <c r="I61" s="12">
        <f t="shared" si="3"/>
        <v>-750</v>
      </c>
      <c r="J61" s="23">
        <f t="shared" si="13"/>
        <v>663</v>
      </c>
      <c r="K61" s="46">
        <f t="shared" si="11"/>
        <v>283672</v>
      </c>
      <c r="L61" s="12">
        <f t="shared" si="2"/>
        <v>320549.36</v>
      </c>
      <c r="M61" s="46">
        <f t="shared" si="5"/>
        <v>59</v>
      </c>
    </row>
    <row r="62">
      <c r="B62" s="69">
        <v>37956.0</v>
      </c>
      <c r="C62" s="43">
        <v>1.27</v>
      </c>
      <c r="D62" s="43">
        <v>1.14</v>
      </c>
      <c r="E62" s="43">
        <v>1.27</v>
      </c>
      <c r="F62" s="43">
        <v>1.08</v>
      </c>
      <c r="G62" s="43" t="s">
        <v>174</v>
      </c>
      <c r="H62" s="44">
        <v>0.1239</v>
      </c>
      <c r="I62" s="35">
        <f t="shared" si="3"/>
        <v>-750</v>
      </c>
      <c r="J62" s="23">
        <f t="shared" si="13"/>
        <v>590</v>
      </c>
      <c r="K62" s="50">
        <f t="shared" si="11"/>
        <v>284262</v>
      </c>
      <c r="L62" s="35">
        <f t="shared" si="2"/>
        <v>361012.74</v>
      </c>
      <c r="M62" s="50">
        <f t="shared" si="5"/>
        <v>60</v>
      </c>
    </row>
    <row r="63">
      <c r="B63" s="69">
        <v>37987.0</v>
      </c>
      <c r="C63" s="43">
        <v>1.2</v>
      </c>
      <c r="D63" s="43">
        <v>1.28</v>
      </c>
      <c r="E63" s="43">
        <v>1.38</v>
      </c>
      <c r="F63" s="43">
        <v>1.14</v>
      </c>
      <c r="G63" s="43" t="s">
        <v>175</v>
      </c>
      <c r="H63" s="44">
        <v>-0.0551</v>
      </c>
      <c r="I63" s="12">
        <f t="shared" si="3"/>
        <v>-750</v>
      </c>
      <c r="J63" s="23">
        <f>ROUNDDOWN((-I63 + K62*Q11)/C63)</f>
        <v>990</v>
      </c>
      <c r="K63" s="46">
        <f t="shared" si="11"/>
        <v>285252</v>
      </c>
      <c r="L63" s="12">
        <f t="shared" si="2"/>
        <v>342302.4</v>
      </c>
      <c r="M63" s="46">
        <f t="shared" si="5"/>
        <v>61</v>
      </c>
    </row>
    <row r="64">
      <c r="B64" s="69">
        <v>38018.0</v>
      </c>
      <c r="C64" s="43">
        <v>1.25</v>
      </c>
      <c r="D64" s="43">
        <v>1.2</v>
      </c>
      <c r="E64" s="43">
        <v>1.29</v>
      </c>
      <c r="F64" s="43">
        <v>1.06</v>
      </c>
      <c r="G64" s="43" t="s">
        <v>176</v>
      </c>
      <c r="H64" s="44">
        <v>0.0417</v>
      </c>
      <c r="I64" s="35">
        <f t="shared" si="3"/>
        <v>-750</v>
      </c>
      <c r="J64" s="23">
        <f t="shared" ref="J64:J67" si="14">-ROUNDDOWN(I64/C64)</f>
        <v>600</v>
      </c>
      <c r="K64" s="50">
        <f t="shared" si="11"/>
        <v>285852</v>
      </c>
      <c r="L64" s="35">
        <f t="shared" si="2"/>
        <v>357315</v>
      </c>
      <c r="M64" s="50">
        <f t="shared" si="5"/>
        <v>62</v>
      </c>
    </row>
    <row r="65">
      <c r="B65" s="69">
        <v>38047.0</v>
      </c>
      <c r="C65" s="43">
        <v>1.22</v>
      </c>
      <c r="D65" s="43">
        <v>1.27</v>
      </c>
      <c r="E65" s="43">
        <v>1.32</v>
      </c>
      <c r="F65" s="43">
        <v>1.16</v>
      </c>
      <c r="G65" s="43" t="s">
        <v>177</v>
      </c>
      <c r="H65" s="44">
        <v>-0.024</v>
      </c>
      <c r="I65" s="12">
        <f t="shared" si="3"/>
        <v>-750</v>
      </c>
      <c r="J65" s="23">
        <f t="shared" si="14"/>
        <v>614</v>
      </c>
      <c r="K65" s="46">
        <f t="shared" si="11"/>
        <v>286466</v>
      </c>
      <c r="L65" s="12">
        <f t="shared" si="2"/>
        <v>349488.52</v>
      </c>
      <c r="M65" s="46">
        <f t="shared" si="5"/>
        <v>63</v>
      </c>
    </row>
    <row r="66">
      <c r="B66" s="69">
        <v>38078.0</v>
      </c>
      <c r="C66" s="43">
        <v>1.11</v>
      </c>
      <c r="D66" s="43">
        <v>1.23</v>
      </c>
      <c r="E66" s="43">
        <v>1.33</v>
      </c>
      <c r="F66" s="43">
        <v>1.08</v>
      </c>
      <c r="G66" s="43" t="s">
        <v>178</v>
      </c>
      <c r="H66" s="44">
        <v>-0.0902</v>
      </c>
      <c r="I66" s="35">
        <f t="shared" si="3"/>
        <v>-750</v>
      </c>
      <c r="J66" s="23">
        <f t="shared" si="14"/>
        <v>675</v>
      </c>
      <c r="K66" s="50">
        <f t="shared" si="11"/>
        <v>287141</v>
      </c>
      <c r="L66" s="35">
        <f t="shared" si="2"/>
        <v>318726.51</v>
      </c>
      <c r="M66" s="50">
        <f t="shared" si="5"/>
        <v>64</v>
      </c>
    </row>
    <row r="67">
      <c r="B67" s="69">
        <v>38108.0</v>
      </c>
      <c r="C67" s="43">
        <v>1.05</v>
      </c>
      <c r="D67" s="43">
        <v>1.11</v>
      </c>
      <c r="E67" s="43">
        <v>1.12</v>
      </c>
      <c r="F67" s="43">
        <v>0.88</v>
      </c>
      <c r="G67" s="43" t="s">
        <v>179</v>
      </c>
      <c r="H67" s="44">
        <v>-0.0541</v>
      </c>
      <c r="I67" s="12">
        <f t="shared" si="3"/>
        <v>-750</v>
      </c>
      <c r="J67" s="23">
        <f t="shared" si="14"/>
        <v>714</v>
      </c>
      <c r="K67" s="46">
        <f t="shared" si="11"/>
        <v>287855</v>
      </c>
      <c r="L67" s="12">
        <f t="shared" si="2"/>
        <v>302247.75</v>
      </c>
      <c r="M67" s="46">
        <f t="shared" si="5"/>
        <v>65</v>
      </c>
    </row>
    <row r="68">
      <c r="B68" s="69">
        <v>38139.0</v>
      </c>
      <c r="C68" s="43">
        <v>1.11</v>
      </c>
      <c r="D68" s="43">
        <v>1.04</v>
      </c>
      <c r="E68" s="43">
        <v>1.13</v>
      </c>
      <c r="F68" s="43">
        <v>0.99</v>
      </c>
      <c r="G68" s="43" t="s">
        <v>180</v>
      </c>
      <c r="H68" s="44">
        <v>0.0571</v>
      </c>
      <c r="I68" s="35">
        <f t="shared" si="3"/>
        <v>-750</v>
      </c>
      <c r="J68" s="23">
        <f t="shared" ref="J68:J69" si="15">ROUNDDOWN((-I68 + K67*Q12)/C68)</f>
        <v>788</v>
      </c>
      <c r="K68" s="50">
        <f t="shared" si="11"/>
        <v>288643</v>
      </c>
      <c r="L68" s="35">
        <f t="shared" si="2"/>
        <v>320393.73</v>
      </c>
      <c r="M68" s="50">
        <f t="shared" si="5"/>
        <v>66</v>
      </c>
    </row>
    <row r="69">
      <c r="B69" s="69">
        <v>38169.0</v>
      </c>
      <c r="C69" s="43">
        <v>1.34</v>
      </c>
      <c r="D69" s="43">
        <v>1.12</v>
      </c>
      <c r="E69" s="43">
        <v>1.36</v>
      </c>
      <c r="F69" s="43">
        <v>1.1</v>
      </c>
      <c r="G69" s="43" t="s">
        <v>181</v>
      </c>
      <c r="H69" s="44">
        <v>0.2072</v>
      </c>
      <c r="I69" s="12">
        <f t="shared" si="3"/>
        <v>-750</v>
      </c>
      <c r="J69" s="23">
        <f t="shared" si="15"/>
        <v>825</v>
      </c>
      <c r="K69" s="46">
        <f t="shared" si="11"/>
        <v>289468</v>
      </c>
      <c r="L69" s="12">
        <f t="shared" si="2"/>
        <v>387887.12</v>
      </c>
      <c r="M69" s="46">
        <f t="shared" si="5"/>
        <v>67</v>
      </c>
    </row>
    <row r="70">
      <c r="B70" s="69">
        <v>38200.0</v>
      </c>
      <c r="C70" s="43">
        <v>1.3</v>
      </c>
      <c r="D70" s="43">
        <v>1.31</v>
      </c>
      <c r="E70" s="43">
        <v>1.42</v>
      </c>
      <c r="F70" s="43">
        <v>1.17</v>
      </c>
      <c r="G70" s="43" t="s">
        <v>182</v>
      </c>
      <c r="H70" s="44">
        <v>-0.0299</v>
      </c>
      <c r="I70" s="35">
        <f t="shared" si="3"/>
        <v>-750</v>
      </c>
      <c r="J70" s="23">
        <f t="shared" ref="J70:J71" si="16">-ROUNDDOWN(I70/C70)</f>
        <v>576</v>
      </c>
      <c r="K70" s="50">
        <f t="shared" si="11"/>
        <v>290044</v>
      </c>
      <c r="L70" s="35">
        <f t="shared" si="2"/>
        <v>377057.2</v>
      </c>
      <c r="M70" s="50">
        <f t="shared" si="5"/>
        <v>68</v>
      </c>
    </row>
    <row r="71">
      <c r="B71" s="69">
        <v>38231.0</v>
      </c>
      <c r="C71" s="43">
        <v>1.45</v>
      </c>
      <c r="D71" s="43">
        <v>1.27</v>
      </c>
      <c r="E71" s="43">
        <v>1.48</v>
      </c>
      <c r="F71" s="43">
        <v>1.14</v>
      </c>
      <c r="G71" s="43" t="s">
        <v>183</v>
      </c>
      <c r="H71" s="44">
        <v>0.1154</v>
      </c>
      <c r="I71" s="12">
        <f t="shared" si="3"/>
        <v>-750</v>
      </c>
      <c r="J71" s="23">
        <f t="shared" si="16"/>
        <v>517</v>
      </c>
      <c r="K71" s="46">
        <f t="shared" si="11"/>
        <v>290561</v>
      </c>
      <c r="L71" s="12">
        <f t="shared" si="2"/>
        <v>421313.45</v>
      </c>
      <c r="M71" s="46">
        <f t="shared" si="5"/>
        <v>69</v>
      </c>
    </row>
    <row r="72">
      <c r="B72" s="69">
        <v>38261.0</v>
      </c>
      <c r="C72" s="43">
        <v>1.59</v>
      </c>
      <c r="D72" s="43">
        <v>1.47</v>
      </c>
      <c r="E72" s="43">
        <v>1.66</v>
      </c>
      <c r="F72" s="43">
        <v>1.43</v>
      </c>
      <c r="G72" s="43" t="s">
        <v>184</v>
      </c>
      <c r="H72" s="44">
        <v>0.0966</v>
      </c>
      <c r="I72" s="35">
        <f t="shared" si="3"/>
        <v>-750</v>
      </c>
      <c r="J72" s="23">
        <f>ROUNDDOWN((-I72 + K71*Q14)/C72)</f>
        <v>584</v>
      </c>
      <c r="K72" s="50">
        <f t="shared" si="11"/>
        <v>291145</v>
      </c>
      <c r="L72" s="35">
        <f t="shared" si="2"/>
        <v>462920.55</v>
      </c>
      <c r="M72" s="50">
        <f t="shared" si="5"/>
        <v>70</v>
      </c>
    </row>
    <row r="73">
      <c r="B73" s="69">
        <v>38292.0</v>
      </c>
      <c r="C73" s="43">
        <v>1.52</v>
      </c>
      <c r="D73" s="43">
        <v>1.59</v>
      </c>
      <c r="E73" s="43">
        <v>1.59</v>
      </c>
      <c r="F73" s="43">
        <v>1.45</v>
      </c>
      <c r="G73" s="43" t="s">
        <v>185</v>
      </c>
      <c r="H73" s="44">
        <v>-0.044</v>
      </c>
      <c r="I73" s="12">
        <f t="shared" si="3"/>
        <v>-750</v>
      </c>
      <c r="J73" s="23">
        <f t="shared" ref="J73:J74" si="17">-ROUNDDOWN(I73/C73)</f>
        <v>493</v>
      </c>
      <c r="K73" s="46">
        <f t="shared" si="11"/>
        <v>291638</v>
      </c>
      <c r="L73" s="12">
        <f t="shared" si="2"/>
        <v>443289.76</v>
      </c>
      <c r="M73" s="46">
        <f t="shared" si="5"/>
        <v>71</v>
      </c>
    </row>
    <row r="74">
      <c r="B74" s="69">
        <v>38322.0</v>
      </c>
      <c r="C74" s="43">
        <v>1.56</v>
      </c>
      <c r="D74" s="43">
        <v>1.52</v>
      </c>
      <c r="E74" s="43">
        <v>1.68</v>
      </c>
      <c r="F74" s="43">
        <v>1.41</v>
      </c>
      <c r="G74" s="43" t="s">
        <v>186</v>
      </c>
      <c r="H74" s="44">
        <v>0.0263</v>
      </c>
      <c r="I74" s="35">
        <f t="shared" si="3"/>
        <v>-750</v>
      </c>
      <c r="J74" s="23">
        <f t="shared" si="17"/>
        <v>480</v>
      </c>
      <c r="K74" s="50">
        <f t="shared" si="11"/>
        <v>292118</v>
      </c>
      <c r="L74" s="35">
        <f t="shared" si="2"/>
        <v>455704.08</v>
      </c>
      <c r="M74" s="50">
        <f t="shared" si="5"/>
        <v>72</v>
      </c>
    </row>
    <row r="75">
      <c r="B75" s="69">
        <v>38353.0</v>
      </c>
      <c r="C75" s="43">
        <v>1.4</v>
      </c>
      <c r="D75" s="43">
        <v>1.56</v>
      </c>
      <c r="E75" s="43">
        <v>1.59</v>
      </c>
      <c r="F75" s="43">
        <v>1.28</v>
      </c>
      <c r="G75" s="43" t="s">
        <v>187</v>
      </c>
      <c r="H75" s="44">
        <v>-0.1026</v>
      </c>
      <c r="I75" s="12">
        <f>L75</f>
        <v>409270.4</v>
      </c>
      <c r="J75" s="14">
        <f>ROUNDDOWN(K74*Q15/C75)</f>
        <v>218</v>
      </c>
      <c r="K75" s="46">
        <f t="shared" si="11"/>
        <v>292336</v>
      </c>
      <c r="L75" s="12">
        <f t="shared" si="2"/>
        <v>409270.4</v>
      </c>
      <c r="M75" s="46">
        <f t="shared" si="5"/>
        <v>73</v>
      </c>
    </row>
  </sheetData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9" max="9" width="16.0"/>
    <col customWidth="1" min="12" max="12" width="15.13"/>
    <col customWidth="1" min="16" max="16" width="14.88"/>
    <col customWidth="1" min="17" max="17" width="18.5"/>
    <col customWidth="1" min="18" max="18" width="16.75"/>
  </cols>
  <sheetData>
    <row r="1">
      <c r="B1" s="5" t="s">
        <v>17</v>
      </c>
      <c r="D1" s="37" t="s">
        <v>111</v>
      </c>
      <c r="O1" s="5" t="s">
        <v>35</v>
      </c>
      <c r="X1" s="73" t="s">
        <v>7</v>
      </c>
    </row>
    <row r="2">
      <c r="B2" s="38" t="s">
        <v>20</v>
      </c>
      <c r="C2" s="39" t="s">
        <v>21</v>
      </c>
      <c r="D2" s="39" t="s">
        <v>22</v>
      </c>
      <c r="E2" s="39" t="s">
        <v>23</v>
      </c>
      <c r="F2" s="39" t="s">
        <v>24</v>
      </c>
      <c r="G2" s="39" t="s">
        <v>25</v>
      </c>
      <c r="H2" s="39" t="s">
        <v>26</v>
      </c>
      <c r="I2" s="3" t="s">
        <v>27</v>
      </c>
      <c r="J2" s="3" t="s">
        <v>28</v>
      </c>
      <c r="K2" s="3" t="s">
        <v>29</v>
      </c>
      <c r="L2" s="3" t="s">
        <v>3</v>
      </c>
      <c r="M2" s="3" t="s">
        <v>30</v>
      </c>
      <c r="O2" s="40" t="s">
        <v>0</v>
      </c>
      <c r="P2" s="40" t="s">
        <v>188</v>
      </c>
      <c r="Q2" s="40" t="s">
        <v>31</v>
      </c>
      <c r="R2" s="40" t="s">
        <v>189</v>
      </c>
      <c r="X2" s="12">
        <f>-750 - 99775.2</f>
        <v>-100525.2</v>
      </c>
    </row>
    <row r="3">
      <c r="B3" s="74">
        <v>38353.0</v>
      </c>
      <c r="C3" s="75">
        <v>1.4</v>
      </c>
      <c r="D3" s="75">
        <v>1.56</v>
      </c>
      <c r="E3" s="75">
        <v>1.59</v>
      </c>
      <c r="F3" s="75">
        <v>1.28</v>
      </c>
      <c r="G3" s="75" t="s">
        <v>187</v>
      </c>
      <c r="H3" s="76">
        <v>0.0254</v>
      </c>
      <c r="I3" s="34">
        <v>-750.0</v>
      </c>
      <c r="J3" s="77">
        <f>-ROUNDDOWN(I3/C3)</f>
        <v>535</v>
      </c>
      <c r="K3" s="77">
        <f>'1999-2004 (Parte 4)'!K75 + J3</f>
        <v>292871</v>
      </c>
      <c r="L3" s="34">
        <f t="shared" ref="L3:L74" si="1">K3*C3</f>
        <v>410019.4</v>
      </c>
      <c r="M3" s="77">
        <v>1.0</v>
      </c>
      <c r="O3" s="78">
        <v>38362.0</v>
      </c>
      <c r="P3" s="79">
        <v>0.2468</v>
      </c>
      <c r="Q3" s="79" t="s">
        <v>190</v>
      </c>
      <c r="R3" s="79">
        <v>1000.0</v>
      </c>
      <c r="X3" s="35">
        <f>-750</f>
        <v>-750</v>
      </c>
    </row>
    <row r="4">
      <c r="B4" s="74">
        <v>38384.0</v>
      </c>
      <c r="C4" s="75">
        <v>1.62</v>
      </c>
      <c r="D4" s="75">
        <v>1.4</v>
      </c>
      <c r="E4" s="75">
        <v>1.64</v>
      </c>
      <c r="F4" s="75">
        <v>1.33</v>
      </c>
      <c r="G4" s="75" t="s">
        <v>191</v>
      </c>
      <c r="H4" s="76">
        <v>-0.0187</v>
      </c>
      <c r="I4" s="36">
        <f t="shared" ref="I4:I74" si="2">I3</f>
        <v>-750</v>
      </c>
      <c r="J4" s="80">
        <f>ROUNDDOWN((-I4 + P3*K3/R3)/C4)</f>
        <v>507</v>
      </c>
      <c r="K4" s="80">
        <f t="shared" ref="K4:K75" si="3">J4+K3</f>
        <v>293378</v>
      </c>
      <c r="L4" s="36">
        <f t="shared" si="1"/>
        <v>475272.36</v>
      </c>
      <c r="M4" s="80">
        <f t="shared" ref="M4:M75" si="4">M3+1</f>
        <v>2</v>
      </c>
      <c r="O4" s="78">
        <v>38471.0</v>
      </c>
      <c r="P4" s="79">
        <v>1.1253</v>
      </c>
      <c r="Q4" s="79" t="s">
        <v>192</v>
      </c>
      <c r="R4" s="79">
        <v>1000.0</v>
      </c>
      <c r="X4" s="12">
        <f t="shared" ref="X4:X73" si="5">X3</f>
        <v>-750</v>
      </c>
    </row>
    <row r="5">
      <c r="B5" s="74">
        <v>38412.0</v>
      </c>
      <c r="C5" s="75">
        <v>1.48</v>
      </c>
      <c r="D5" s="75">
        <v>1.59</v>
      </c>
      <c r="E5" s="75">
        <v>1.62</v>
      </c>
      <c r="F5" s="75">
        <v>1.38</v>
      </c>
      <c r="G5" s="75" t="s">
        <v>193</v>
      </c>
      <c r="H5" s="76">
        <v>-0.0475</v>
      </c>
      <c r="I5" s="34">
        <f t="shared" si="2"/>
        <v>-750</v>
      </c>
      <c r="J5" s="77">
        <f t="shared" ref="J5:J6" si="6">-ROUNDDOWN(I5/C5)</f>
        <v>506</v>
      </c>
      <c r="K5" s="77">
        <f t="shared" si="3"/>
        <v>293884</v>
      </c>
      <c r="L5" s="34">
        <f t="shared" si="1"/>
        <v>434948.32</v>
      </c>
      <c r="M5" s="77">
        <f t="shared" si="4"/>
        <v>3</v>
      </c>
      <c r="O5" s="78">
        <v>38541.0</v>
      </c>
      <c r="P5" s="79">
        <v>0.873</v>
      </c>
      <c r="Q5" s="79" t="s">
        <v>190</v>
      </c>
      <c r="R5" s="79">
        <v>1000.0</v>
      </c>
      <c r="X5" s="35">
        <f t="shared" si="5"/>
        <v>-750</v>
      </c>
    </row>
    <row r="6">
      <c r="B6" s="74">
        <v>38443.0</v>
      </c>
      <c r="C6" s="75">
        <v>1.76</v>
      </c>
      <c r="D6" s="75">
        <v>1.5</v>
      </c>
      <c r="E6" s="75">
        <v>1.82</v>
      </c>
      <c r="F6" s="75">
        <v>1.46</v>
      </c>
      <c r="G6" s="75" t="s">
        <v>194</v>
      </c>
      <c r="H6" s="76">
        <v>0.0906</v>
      </c>
      <c r="I6" s="36">
        <f t="shared" si="2"/>
        <v>-750</v>
      </c>
      <c r="J6" s="80">
        <f t="shared" si="6"/>
        <v>426</v>
      </c>
      <c r="K6" s="80">
        <f t="shared" si="3"/>
        <v>294310</v>
      </c>
      <c r="L6" s="36">
        <f t="shared" si="1"/>
        <v>517985.6</v>
      </c>
      <c r="M6" s="80">
        <f t="shared" si="4"/>
        <v>4</v>
      </c>
      <c r="O6" s="78">
        <v>38664.0</v>
      </c>
      <c r="P6" s="79">
        <v>0.6015</v>
      </c>
      <c r="Q6" s="79" t="s">
        <v>190</v>
      </c>
      <c r="R6" s="79">
        <v>1000.0</v>
      </c>
      <c r="X6" s="12">
        <f t="shared" si="5"/>
        <v>-750</v>
      </c>
    </row>
    <row r="7">
      <c r="B7" s="74">
        <v>38473.0</v>
      </c>
      <c r="C7" s="75">
        <v>1.76</v>
      </c>
      <c r="D7" s="75">
        <v>1.71</v>
      </c>
      <c r="E7" s="75">
        <v>1.82</v>
      </c>
      <c r="F7" s="75">
        <v>1.58</v>
      </c>
      <c r="G7" s="75" t="s">
        <v>195</v>
      </c>
      <c r="H7" s="76">
        <v>-0.019</v>
      </c>
      <c r="I7" s="34">
        <f t="shared" si="2"/>
        <v>-750</v>
      </c>
      <c r="J7" s="77">
        <f>ROUNDDOWN((-I7 + P4*K6/R4)/C7)</f>
        <v>614</v>
      </c>
      <c r="K7" s="77">
        <f t="shared" si="3"/>
        <v>294924</v>
      </c>
      <c r="L7" s="34">
        <f t="shared" si="1"/>
        <v>519066.24</v>
      </c>
      <c r="M7" s="77">
        <f t="shared" si="4"/>
        <v>5</v>
      </c>
      <c r="O7" s="78">
        <v>38719.0</v>
      </c>
      <c r="P7" s="79">
        <v>0.4843</v>
      </c>
      <c r="Q7" s="79" t="s">
        <v>190</v>
      </c>
      <c r="R7" s="79">
        <v>1000.0</v>
      </c>
      <c r="X7" s="35">
        <f t="shared" si="5"/>
        <v>-750</v>
      </c>
    </row>
    <row r="8">
      <c r="B8" s="74">
        <v>38504.0</v>
      </c>
      <c r="C8" s="75">
        <v>1.79</v>
      </c>
      <c r="D8" s="75">
        <v>1.77</v>
      </c>
      <c r="E8" s="75">
        <v>1.87</v>
      </c>
      <c r="F8" s="75">
        <v>1.63</v>
      </c>
      <c r="G8" s="75" t="s">
        <v>196</v>
      </c>
      <c r="H8" s="76">
        <v>0.0642</v>
      </c>
      <c r="I8" s="36">
        <f t="shared" si="2"/>
        <v>-750</v>
      </c>
      <c r="J8" s="80">
        <f t="shared" ref="J8:J9" si="7">-ROUNDDOWN(I8/C8)</f>
        <v>418</v>
      </c>
      <c r="K8" s="80">
        <f t="shared" si="3"/>
        <v>295342</v>
      </c>
      <c r="L8" s="36">
        <f t="shared" si="1"/>
        <v>528662.18</v>
      </c>
      <c r="M8" s="80">
        <f t="shared" si="4"/>
        <v>6</v>
      </c>
      <c r="O8" s="78">
        <v>38733.0</v>
      </c>
      <c r="P8" s="79">
        <v>5.5341</v>
      </c>
      <c r="Q8" s="79" t="s">
        <v>192</v>
      </c>
      <c r="R8" s="79">
        <v>1000.0</v>
      </c>
      <c r="X8" s="12">
        <f t="shared" si="5"/>
        <v>-750</v>
      </c>
    </row>
    <row r="9">
      <c r="B9" s="74">
        <v>38534.0</v>
      </c>
      <c r="C9" s="75">
        <v>1.86</v>
      </c>
      <c r="D9" s="75">
        <v>1.79</v>
      </c>
      <c r="E9" s="75">
        <v>1.88</v>
      </c>
      <c r="F9" s="75">
        <v>1.67</v>
      </c>
      <c r="G9" s="75" t="s">
        <v>197</v>
      </c>
      <c r="H9" s="76">
        <v>0.0034</v>
      </c>
      <c r="I9" s="34">
        <f t="shared" si="2"/>
        <v>-750</v>
      </c>
      <c r="J9" s="77">
        <f t="shared" si="7"/>
        <v>403</v>
      </c>
      <c r="K9" s="77">
        <f t="shared" si="3"/>
        <v>295745</v>
      </c>
      <c r="L9" s="34">
        <f t="shared" si="1"/>
        <v>550085.7</v>
      </c>
      <c r="M9" s="77">
        <f t="shared" si="4"/>
        <v>7</v>
      </c>
      <c r="O9" s="78">
        <v>38835.0</v>
      </c>
      <c r="P9" s="79">
        <v>1.425</v>
      </c>
      <c r="Q9" s="79" t="s">
        <v>192</v>
      </c>
      <c r="R9" s="79">
        <v>1000.0</v>
      </c>
      <c r="X9" s="35">
        <f t="shared" si="5"/>
        <v>-750</v>
      </c>
    </row>
    <row r="10">
      <c r="B10" s="74">
        <v>38565.0</v>
      </c>
      <c r="C10" s="75">
        <v>1.98</v>
      </c>
      <c r="D10" s="75">
        <v>1.85</v>
      </c>
      <c r="E10" s="75">
        <v>2.07</v>
      </c>
      <c r="F10" s="75">
        <v>1.83</v>
      </c>
      <c r="G10" s="75" t="s">
        <v>198</v>
      </c>
      <c r="H10" s="76">
        <v>0.0068</v>
      </c>
      <c r="I10" s="36">
        <f t="shared" si="2"/>
        <v>-750</v>
      </c>
      <c r="J10" s="80">
        <f>ROUNDDOWN((-I10 + P5*K9/R5)/C10)</f>
        <v>509</v>
      </c>
      <c r="K10" s="80">
        <f t="shared" si="3"/>
        <v>296254</v>
      </c>
      <c r="L10" s="36">
        <f t="shared" si="1"/>
        <v>586582.92</v>
      </c>
      <c r="M10" s="80">
        <f t="shared" si="4"/>
        <v>8</v>
      </c>
      <c r="O10" s="78">
        <v>38848.0</v>
      </c>
      <c r="P10" s="79">
        <v>0.5215</v>
      </c>
      <c r="Q10" s="79" t="s">
        <v>190</v>
      </c>
      <c r="R10" s="79">
        <v>1000.0</v>
      </c>
      <c r="X10" s="12">
        <f t="shared" si="5"/>
        <v>-750</v>
      </c>
    </row>
    <row r="11">
      <c r="B11" s="74">
        <v>38596.0</v>
      </c>
      <c r="C11" s="75">
        <v>2.05</v>
      </c>
      <c r="D11" s="75">
        <v>1.98</v>
      </c>
      <c r="E11" s="75">
        <v>2.17</v>
      </c>
      <c r="F11" s="75">
        <v>1.95</v>
      </c>
      <c r="G11" s="75" t="s">
        <v>199</v>
      </c>
      <c r="H11" s="76">
        <v>-0.0548</v>
      </c>
      <c r="I11" s="34">
        <f t="shared" si="2"/>
        <v>-750</v>
      </c>
      <c r="J11" s="77">
        <f t="shared" ref="J11:J13" si="8">-ROUNDDOWN(I11/C11)</f>
        <v>365</v>
      </c>
      <c r="K11" s="77">
        <f t="shared" si="3"/>
        <v>296619</v>
      </c>
      <c r="L11" s="34">
        <f t="shared" si="1"/>
        <v>608068.95</v>
      </c>
      <c r="M11" s="77">
        <f t="shared" si="4"/>
        <v>9</v>
      </c>
      <c r="O11" s="78">
        <v>38909.0</v>
      </c>
      <c r="P11" s="79">
        <v>0.472</v>
      </c>
      <c r="Q11" s="79" t="s">
        <v>192</v>
      </c>
      <c r="R11" s="79">
        <v>1000.0</v>
      </c>
      <c r="X11" s="35">
        <f t="shared" si="5"/>
        <v>-750</v>
      </c>
    </row>
    <row r="12">
      <c r="B12" s="74">
        <v>38626.0</v>
      </c>
      <c r="C12" s="75">
        <v>1.97</v>
      </c>
      <c r="D12" s="75">
        <v>2.08</v>
      </c>
      <c r="E12" s="75">
        <v>2.14</v>
      </c>
      <c r="F12" s="75">
        <v>1.83</v>
      </c>
      <c r="G12" s="75" t="s">
        <v>200</v>
      </c>
      <c r="H12" s="76">
        <v>0.0839</v>
      </c>
      <c r="I12" s="36">
        <f t="shared" si="2"/>
        <v>-750</v>
      </c>
      <c r="J12" s="80">
        <f t="shared" si="8"/>
        <v>380</v>
      </c>
      <c r="K12" s="80">
        <f t="shared" si="3"/>
        <v>296999</v>
      </c>
      <c r="L12" s="36">
        <f t="shared" si="1"/>
        <v>585088.03</v>
      </c>
      <c r="M12" s="80">
        <f t="shared" si="4"/>
        <v>10</v>
      </c>
      <c r="O12" s="78">
        <v>39198.0</v>
      </c>
      <c r="P12" s="79">
        <f>1.4719+1.0221</f>
        <v>2.494</v>
      </c>
      <c r="Q12" s="79" t="s">
        <v>192</v>
      </c>
      <c r="R12" s="79">
        <v>1000.0</v>
      </c>
      <c r="X12" s="12">
        <f t="shared" si="5"/>
        <v>-750</v>
      </c>
    </row>
    <row r="13">
      <c r="B13" s="74">
        <v>38657.0</v>
      </c>
      <c r="C13" s="75">
        <v>2.15</v>
      </c>
      <c r="D13" s="75">
        <v>1.95</v>
      </c>
      <c r="E13" s="75">
        <v>2.16</v>
      </c>
      <c r="F13" s="75">
        <v>1.88</v>
      </c>
      <c r="G13" s="75" t="s">
        <v>201</v>
      </c>
      <c r="H13" s="76">
        <v>-0.0069</v>
      </c>
      <c r="I13" s="34">
        <f t="shared" si="2"/>
        <v>-750</v>
      </c>
      <c r="J13" s="77">
        <f t="shared" si="8"/>
        <v>348</v>
      </c>
      <c r="K13" s="77">
        <f t="shared" si="3"/>
        <v>297347</v>
      </c>
      <c r="L13" s="34">
        <f t="shared" si="1"/>
        <v>639296.05</v>
      </c>
      <c r="M13" s="77">
        <f t="shared" si="4"/>
        <v>11</v>
      </c>
      <c r="O13" s="78">
        <v>39563.0</v>
      </c>
      <c r="P13" s="79">
        <v>0.89</v>
      </c>
      <c r="Q13" s="79" t="s">
        <v>192</v>
      </c>
      <c r="R13" s="79">
        <v>1.0</v>
      </c>
      <c r="X13" s="35">
        <f t="shared" si="5"/>
        <v>-750</v>
      </c>
    </row>
    <row r="14">
      <c r="B14" s="74">
        <v>38687.0</v>
      </c>
      <c r="C14" s="75">
        <v>2.29</v>
      </c>
      <c r="D14" s="75">
        <v>2.16</v>
      </c>
      <c r="E14" s="75">
        <v>2.31</v>
      </c>
      <c r="F14" s="75">
        <v>2.07</v>
      </c>
      <c r="G14" s="75" t="s">
        <v>202</v>
      </c>
      <c r="H14" s="76">
        <v>-0.0526</v>
      </c>
      <c r="I14" s="36">
        <f t="shared" si="2"/>
        <v>-750</v>
      </c>
      <c r="J14" s="80">
        <f>ROUNDDOWN((-I14 + P6*K13/R6)/C14)</f>
        <v>405</v>
      </c>
      <c r="K14" s="80">
        <f t="shared" si="3"/>
        <v>297752</v>
      </c>
      <c r="L14" s="36">
        <f t="shared" si="1"/>
        <v>681852.08</v>
      </c>
      <c r="M14" s="80">
        <f t="shared" si="4"/>
        <v>12</v>
      </c>
      <c r="O14" s="78">
        <v>39932.0</v>
      </c>
      <c r="P14" s="79">
        <v>0.951</v>
      </c>
      <c r="Q14" s="79" t="s">
        <v>192</v>
      </c>
      <c r="R14" s="79">
        <v>1.0</v>
      </c>
      <c r="X14" s="12">
        <f t="shared" si="5"/>
        <v>-750</v>
      </c>
    </row>
    <row r="15">
      <c r="B15" s="74">
        <v>38718.0</v>
      </c>
      <c r="C15" s="75">
        <v>2.57</v>
      </c>
      <c r="D15" s="75">
        <v>2.22</v>
      </c>
      <c r="E15" s="75">
        <v>2.74</v>
      </c>
      <c r="F15" s="75">
        <v>2.2</v>
      </c>
      <c r="G15" s="75" t="s">
        <v>203</v>
      </c>
      <c r="H15" s="76">
        <v>-0.0098</v>
      </c>
      <c r="I15" s="34">
        <f t="shared" si="2"/>
        <v>-750</v>
      </c>
      <c r="J15" s="77">
        <f>-ROUNDDOWN(I15/C15)</f>
        <v>291</v>
      </c>
      <c r="K15" s="77">
        <f t="shared" si="3"/>
        <v>298043</v>
      </c>
      <c r="L15" s="34">
        <f t="shared" si="1"/>
        <v>765970.51</v>
      </c>
      <c r="M15" s="77">
        <f t="shared" si="4"/>
        <v>13</v>
      </c>
      <c r="O15" s="78">
        <v>40297.0</v>
      </c>
      <c r="P15" s="79">
        <v>0.7504</v>
      </c>
      <c r="Q15" s="79" t="s">
        <v>192</v>
      </c>
      <c r="R15" s="79">
        <v>1.0</v>
      </c>
      <c r="X15" s="35">
        <f t="shared" si="5"/>
        <v>-750</v>
      </c>
    </row>
    <row r="16">
      <c r="B16" s="74">
        <v>38749.0</v>
      </c>
      <c r="C16" s="75">
        <v>2.62</v>
      </c>
      <c r="D16" s="75">
        <v>2.51</v>
      </c>
      <c r="E16" s="75">
        <v>2.74</v>
      </c>
      <c r="F16" s="75">
        <v>2.41</v>
      </c>
      <c r="G16" s="75" t="s">
        <v>204</v>
      </c>
      <c r="H16" s="76">
        <v>0.0514</v>
      </c>
      <c r="I16" s="36">
        <f t="shared" si="2"/>
        <v>-750</v>
      </c>
      <c r="J16" s="80">
        <f>ROUNDDOWN((-I16 + P7*K15/R7 + P8*K15/R8)/C16)</f>
        <v>970</v>
      </c>
      <c r="K16" s="80">
        <f t="shared" si="3"/>
        <v>299013</v>
      </c>
      <c r="L16" s="36">
        <f t="shared" si="1"/>
        <v>783414.06</v>
      </c>
      <c r="M16" s="80">
        <f t="shared" si="4"/>
        <v>14</v>
      </c>
      <c r="O16" s="81">
        <v>40528.0</v>
      </c>
      <c r="P16" s="79">
        <v>1.3194</v>
      </c>
      <c r="Q16" s="79" t="s">
        <v>192</v>
      </c>
      <c r="R16" s="79">
        <v>1.0</v>
      </c>
      <c r="X16" s="12">
        <f t="shared" si="5"/>
        <v>-750</v>
      </c>
    </row>
    <row r="17">
      <c r="B17" s="74">
        <v>38777.0</v>
      </c>
      <c r="C17" s="75">
        <v>2.38</v>
      </c>
      <c r="D17" s="75">
        <v>2.64</v>
      </c>
      <c r="E17" s="75">
        <v>2.69</v>
      </c>
      <c r="F17" s="75">
        <v>2.21</v>
      </c>
      <c r="G17" s="75" t="s">
        <v>205</v>
      </c>
      <c r="H17" s="76">
        <v>0.0936</v>
      </c>
      <c r="I17" s="34">
        <f t="shared" si="2"/>
        <v>-750</v>
      </c>
      <c r="J17" s="77">
        <f t="shared" ref="J17:J18" si="9">-ROUNDDOWN(I17/C17)</f>
        <v>315</v>
      </c>
      <c r="K17" s="77">
        <f t="shared" si="3"/>
        <v>299328</v>
      </c>
      <c r="L17" s="34">
        <f t="shared" si="1"/>
        <v>712400.64</v>
      </c>
      <c r="M17" s="77">
        <f t="shared" si="4"/>
        <v>15</v>
      </c>
      <c r="X17" s="35">
        <f t="shared" si="5"/>
        <v>-750</v>
      </c>
    </row>
    <row r="18">
      <c r="B18" s="74">
        <v>38808.0</v>
      </c>
      <c r="C18" s="75">
        <v>2.42</v>
      </c>
      <c r="D18" s="75">
        <v>2.39</v>
      </c>
      <c r="E18" s="75">
        <v>2.6</v>
      </c>
      <c r="F18" s="75">
        <v>2.29</v>
      </c>
      <c r="G18" s="75" t="s">
        <v>206</v>
      </c>
      <c r="H18" s="76">
        <v>0.0191</v>
      </c>
      <c r="I18" s="36">
        <f t="shared" si="2"/>
        <v>-750</v>
      </c>
      <c r="J18" s="80">
        <f t="shared" si="9"/>
        <v>309</v>
      </c>
      <c r="K18" s="80">
        <f t="shared" si="3"/>
        <v>299637</v>
      </c>
      <c r="L18" s="36">
        <f t="shared" si="1"/>
        <v>725121.54</v>
      </c>
      <c r="M18" s="80">
        <f t="shared" si="4"/>
        <v>16</v>
      </c>
      <c r="O18" s="40" t="s">
        <v>207</v>
      </c>
      <c r="P18" s="40" t="s">
        <v>5</v>
      </c>
      <c r="Q18" s="40" t="s">
        <v>6</v>
      </c>
      <c r="X18" s="12">
        <f t="shared" si="5"/>
        <v>-750</v>
      </c>
    </row>
    <row r="19">
      <c r="B19" s="74">
        <v>38838.0</v>
      </c>
      <c r="C19" s="75">
        <v>2.1</v>
      </c>
      <c r="D19" s="75">
        <v>2.35</v>
      </c>
      <c r="E19" s="75">
        <v>2.56</v>
      </c>
      <c r="F19" s="75">
        <v>2.04</v>
      </c>
      <c r="G19" s="75" t="s">
        <v>208</v>
      </c>
      <c r="H19" s="76">
        <v>-0.026</v>
      </c>
      <c r="I19" s="34">
        <f t="shared" si="2"/>
        <v>-750</v>
      </c>
      <c r="J19" s="77">
        <f>ROUNDDOWN((-I19 + P10*K18/R10)/C19)</f>
        <v>431</v>
      </c>
      <c r="K19" s="77">
        <f t="shared" si="3"/>
        <v>300068</v>
      </c>
      <c r="L19" s="34">
        <f t="shared" si="1"/>
        <v>630142.8</v>
      </c>
      <c r="M19" s="77">
        <f t="shared" si="4"/>
        <v>17</v>
      </c>
      <c r="O19" s="40" t="s">
        <v>11</v>
      </c>
      <c r="P19" s="54">
        <v>0.05</v>
      </c>
      <c r="Q19" s="55">
        <f>(1+P19)^(1/12)-1</f>
        <v>0.004074123784</v>
      </c>
      <c r="X19" s="35">
        <f t="shared" si="5"/>
        <v>-750</v>
      </c>
    </row>
    <row r="20">
      <c r="B20" s="74">
        <v>38869.0</v>
      </c>
      <c r="C20" s="75">
        <v>2.21</v>
      </c>
      <c r="D20" s="75">
        <v>2.12</v>
      </c>
      <c r="E20" s="75">
        <v>2.36</v>
      </c>
      <c r="F20" s="75">
        <v>1.85</v>
      </c>
      <c r="G20" s="75" t="s">
        <v>209</v>
      </c>
      <c r="H20" s="76">
        <v>0.0267</v>
      </c>
      <c r="I20" s="36">
        <f t="shared" si="2"/>
        <v>-750</v>
      </c>
      <c r="J20" s="80">
        <f>ROUNDDOWN((-I20 + P10*K19/R10)/C20)</f>
        <v>410</v>
      </c>
      <c r="K20" s="80">
        <f t="shared" si="3"/>
        <v>300478</v>
      </c>
      <c r="L20" s="36">
        <f t="shared" si="1"/>
        <v>664056.38</v>
      </c>
      <c r="M20" s="80">
        <f t="shared" si="4"/>
        <v>18</v>
      </c>
      <c r="O20" s="40" t="s">
        <v>8</v>
      </c>
      <c r="P20" s="55">
        <f>(1+Q20)^(12)-1</f>
        <v>0.3985646654</v>
      </c>
      <c r="Q20" s="56">
        <f>IRR(X2:X74, 0.02)</f>
        <v>0.02834824834</v>
      </c>
      <c r="X20" s="12">
        <f t="shared" si="5"/>
        <v>-750</v>
      </c>
    </row>
    <row r="21">
      <c r="B21" s="74">
        <v>38899.0</v>
      </c>
      <c r="C21" s="75">
        <v>2.26</v>
      </c>
      <c r="D21" s="75">
        <v>2.24</v>
      </c>
      <c r="E21" s="75">
        <v>2.34</v>
      </c>
      <c r="F21" s="75">
        <v>2.12</v>
      </c>
      <c r="G21" s="75" t="s">
        <v>210</v>
      </c>
      <c r="H21" s="76">
        <v>0.0234</v>
      </c>
      <c r="I21" s="34">
        <f t="shared" si="2"/>
        <v>-750</v>
      </c>
      <c r="J21" s="77">
        <f>-ROUNDDOWN(I21/C21)</f>
        <v>331</v>
      </c>
      <c r="K21" s="77">
        <f t="shared" si="3"/>
        <v>300809</v>
      </c>
      <c r="L21" s="34">
        <f t="shared" si="1"/>
        <v>679828.34</v>
      </c>
      <c r="M21" s="77">
        <f t="shared" si="4"/>
        <v>19</v>
      </c>
      <c r="O21" s="40" t="s">
        <v>9</v>
      </c>
      <c r="P21" s="58">
        <f t="array" ref="P21">NPV(Q19,-L3+I3,I4:I75)</f>
        <v>1929323.513</v>
      </c>
      <c r="Q21" s="7"/>
      <c r="X21" s="35">
        <f t="shared" si="5"/>
        <v>-750</v>
      </c>
    </row>
    <row r="22">
      <c r="B22" s="74">
        <v>38930.0</v>
      </c>
      <c r="C22" s="75">
        <v>2.13</v>
      </c>
      <c r="D22" s="75">
        <v>2.25</v>
      </c>
      <c r="E22" s="75">
        <v>2.38</v>
      </c>
      <c r="F22" s="75">
        <v>2.02</v>
      </c>
      <c r="G22" s="75" t="s">
        <v>211</v>
      </c>
      <c r="H22" s="76">
        <v>-0.0039</v>
      </c>
      <c r="I22" s="36">
        <f t="shared" si="2"/>
        <v>-750</v>
      </c>
      <c r="J22" s="80">
        <f>ROUNDDOWN((-I22 + P11*K21/R11)/C22)</f>
        <v>418</v>
      </c>
      <c r="K22" s="80">
        <f t="shared" si="3"/>
        <v>301227</v>
      </c>
      <c r="L22" s="36">
        <f t="shared" si="1"/>
        <v>641613.51</v>
      </c>
      <c r="M22" s="80">
        <f t="shared" si="4"/>
        <v>20</v>
      </c>
      <c r="X22" s="12">
        <f t="shared" si="5"/>
        <v>-750</v>
      </c>
    </row>
    <row r="23">
      <c r="B23" s="74">
        <v>38961.0</v>
      </c>
      <c r="C23" s="75">
        <v>2.05</v>
      </c>
      <c r="D23" s="75">
        <v>2.14</v>
      </c>
      <c r="E23" s="75">
        <v>2.28</v>
      </c>
      <c r="F23" s="75">
        <v>1.96</v>
      </c>
      <c r="G23" s="75" t="s">
        <v>212</v>
      </c>
      <c r="H23" s="76">
        <v>-0.0077</v>
      </c>
      <c r="I23" s="34">
        <f t="shared" si="2"/>
        <v>-750</v>
      </c>
      <c r="J23" s="77">
        <f t="shared" ref="J23:J30" si="10">-ROUNDDOWN(I23/C23)</f>
        <v>365</v>
      </c>
      <c r="K23" s="77">
        <f t="shared" si="3"/>
        <v>301592</v>
      </c>
      <c r="L23" s="34">
        <f t="shared" si="1"/>
        <v>618263.6</v>
      </c>
      <c r="M23" s="77">
        <f t="shared" si="4"/>
        <v>21</v>
      </c>
      <c r="O23" s="82" t="s">
        <v>213</v>
      </c>
      <c r="P23" s="1"/>
      <c r="Q23" s="1"/>
      <c r="X23" s="35">
        <f t="shared" si="5"/>
        <v>-750</v>
      </c>
    </row>
    <row r="24">
      <c r="B24" s="74">
        <v>38991.0</v>
      </c>
      <c r="C24" s="75">
        <v>2.22</v>
      </c>
      <c r="D24" s="75">
        <v>2.08</v>
      </c>
      <c r="E24" s="75">
        <v>2.3</v>
      </c>
      <c r="F24" s="75">
        <v>2.03</v>
      </c>
      <c r="G24" s="75" t="s">
        <v>214</v>
      </c>
      <c r="H24" s="76">
        <v>-0.0038</v>
      </c>
      <c r="I24" s="36">
        <f t="shared" si="2"/>
        <v>-750</v>
      </c>
      <c r="J24" s="80">
        <f t="shared" si="10"/>
        <v>337</v>
      </c>
      <c r="K24" s="80">
        <f t="shared" si="3"/>
        <v>301929</v>
      </c>
      <c r="L24" s="36">
        <f t="shared" si="1"/>
        <v>670282.38</v>
      </c>
      <c r="M24" s="80">
        <f t="shared" si="4"/>
        <v>22</v>
      </c>
      <c r="O24" s="60"/>
      <c r="P24" s="60"/>
      <c r="Q24" s="60"/>
      <c r="X24" s="12">
        <f t="shared" si="5"/>
        <v>-750</v>
      </c>
    </row>
    <row r="25">
      <c r="B25" s="74">
        <v>39022.0</v>
      </c>
      <c r="C25" s="75">
        <v>2.36</v>
      </c>
      <c r="D25" s="75">
        <v>2.23</v>
      </c>
      <c r="E25" s="75">
        <v>2.41</v>
      </c>
      <c r="F25" s="75">
        <v>2.23</v>
      </c>
      <c r="G25" s="75" t="s">
        <v>146</v>
      </c>
      <c r="H25" s="76">
        <v>0.0359</v>
      </c>
      <c r="I25" s="34">
        <f t="shared" si="2"/>
        <v>-750</v>
      </c>
      <c r="J25" s="77">
        <f t="shared" si="10"/>
        <v>317</v>
      </c>
      <c r="K25" s="77">
        <f t="shared" si="3"/>
        <v>302246</v>
      </c>
      <c r="L25" s="34">
        <f t="shared" si="1"/>
        <v>713300.56</v>
      </c>
      <c r="M25" s="77">
        <f t="shared" si="4"/>
        <v>23</v>
      </c>
      <c r="O25" s="61" t="s">
        <v>59</v>
      </c>
      <c r="P25" s="62"/>
      <c r="Q25" s="63">
        <f>C3</f>
        <v>1.4</v>
      </c>
      <c r="X25" s="35">
        <f t="shared" si="5"/>
        <v>-750</v>
      </c>
    </row>
    <row r="26">
      <c r="B26" s="74">
        <v>39052.0</v>
      </c>
      <c r="C26" s="75">
        <v>2.53</v>
      </c>
      <c r="D26" s="75">
        <v>2.36</v>
      </c>
      <c r="E26" s="75">
        <v>2.54</v>
      </c>
      <c r="F26" s="75">
        <v>2.3</v>
      </c>
      <c r="G26" s="75" t="s">
        <v>215</v>
      </c>
      <c r="H26" s="76">
        <v>0.0591</v>
      </c>
      <c r="I26" s="36">
        <f t="shared" si="2"/>
        <v>-750</v>
      </c>
      <c r="J26" s="80">
        <f t="shared" si="10"/>
        <v>296</v>
      </c>
      <c r="K26" s="80">
        <f t="shared" si="3"/>
        <v>302542</v>
      </c>
      <c r="L26" s="36">
        <f t="shared" si="1"/>
        <v>765431.26</v>
      </c>
      <c r="M26" s="80">
        <f t="shared" si="4"/>
        <v>24</v>
      </c>
      <c r="O26" s="64" t="s">
        <v>61</v>
      </c>
      <c r="P26" s="65"/>
      <c r="Q26" s="66">
        <f t="shared" ref="Q26:Q27" si="11">C74</f>
        <v>3.15</v>
      </c>
      <c r="X26" s="12">
        <f t="shared" si="5"/>
        <v>-750</v>
      </c>
    </row>
    <row r="27">
      <c r="B27" s="74">
        <v>39083.0</v>
      </c>
      <c r="C27" s="75">
        <v>2.45</v>
      </c>
      <c r="D27" s="75">
        <v>2.53</v>
      </c>
      <c r="E27" s="75">
        <v>2.58</v>
      </c>
      <c r="F27" s="75">
        <v>2.32</v>
      </c>
      <c r="G27" s="75" t="s">
        <v>216</v>
      </c>
      <c r="H27" s="76">
        <v>-0.0125</v>
      </c>
      <c r="I27" s="34">
        <f t="shared" si="2"/>
        <v>-750</v>
      </c>
      <c r="J27" s="77">
        <f t="shared" si="10"/>
        <v>306</v>
      </c>
      <c r="K27" s="77">
        <f t="shared" si="3"/>
        <v>302848</v>
      </c>
      <c r="L27" s="34">
        <f t="shared" si="1"/>
        <v>741977.6</v>
      </c>
      <c r="M27" s="77">
        <f t="shared" si="4"/>
        <v>25</v>
      </c>
      <c r="O27" s="61" t="s">
        <v>63</v>
      </c>
      <c r="P27" s="67"/>
      <c r="Q27" s="63">
        <f t="shared" si="11"/>
        <v>3.23</v>
      </c>
      <c r="X27" s="35">
        <f t="shared" si="5"/>
        <v>-750</v>
      </c>
    </row>
    <row r="28">
      <c r="B28" s="74">
        <v>39114.0</v>
      </c>
      <c r="C28" s="75">
        <v>2.43</v>
      </c>
      <c r="D28" s="75">
        <v>2.46</v>
      </c>
      <c r="E28" s="75">
        <v>2.57</v>
      </c>
      <c r="F28" s="75">
        <v>2.35</v>
      </c>
      <c r="G28" s="75" t="s">
        <v>217</v>
      </c>
      <c r="H28" s="76">
        <v>-0.1304</v>
      </c>
      <c r="I28" s="36">
        <f t="shared" si="2"/>
        <v>-750</v>
      </c>
      <c r="J28" s="80">
        <f t="shared" si="10"/>
        <v>308</v>
      </c>
      <c r="K28" s="80">
        <f t="shared" si="3"/>
        <v>303156</v>
      </c>
      <c r="L28" s="36">
        <f t="shared" si="1"/>
        <v>736669.08</v>
      </c>
      <c r="M28" s="80">
        <f t="shared" si="4"/>
        <v>26</v>
      </c>
      <c r="O28" s="64" t="s">
        <v>65</v>
      </c>
      <c r="P28" s="65"/>
      <c r="Q28" s="68">
        <f>Q27/Q25</f>
        <v>2.307142857</v>
      </c>
      <c r="X28" s="12">
        <f t="shared" si="5"/>
        <v>-750</v>
      </c>
    </row>
    <row r="29">
      <c r="B29" s="74">
        <v>39142.0</v>
      </c>
      <c r="C29" s="75">
        <v>2.43</v>
      </c>
      <c r="D29" s="75">
        <v>2.41</v>
      </c>
      <c r="E29" s="75">
        <v>2.56</v>
      </c>
      <c r="F29" s="75">
        <v>2.32</v>
      </c>
      <c r="G29" s="75" t="s">
        <v>218</v>
      </c>
      <c r="H29" s="76">
        <v>0.1084</v>
      </c>
      <c r="I29" s="34">
        <f t="shared" si="2"/>
        <v>-750</v>
      </c>
      <c r="J29" s="77">
        <f t="shared" si="10"/>
        <v>308</v>
      </c>
      <c r="K29" s="77">
        <f t="shared" si="3"/>
        <v>303464</v>
      </c>
      <c r="L29" s="34">
        <f t="shared" si="1"/>
        <v>737417.52</v>
      </c>
      <c r="M29" s="77">
        <f t="shared" si="4"/>
        <v>27</v>
      </c>
      <c r="X29" s="35">
        <f t="shared" si="5"/>
        <v>-750</v>
      </c>
    </row>
    <row r="30">
      <c r="B30" s="74">
        <v>39173.0</v>
      </c>
      <c r="C30" s="75">
        <v>2.59</v>
      </c>
      <c r="D30" s="75">
        <v>2.43</v>
      </c>
      <c r="E30" s="75">
        <v>2.78</v>
      </c>
      <c r="F30" s="75">
        <v>2.38</v>
      </c>
      <c r="G30" s="75" t="s">
        <v>219</v>
      </c>
      <c r="H30" s="76">
        <v>-0.1232</v>
      </c>
      <c r="I30" s="36">
        <f t="shared" si="2"/>
        <v>-750</v>
      </c>
      <c r="J30" s="80">
        <f t="shared" si="10"/>
        <v>289</v>
      </c>
      <c r="K30" s="80">
        <f t="shared" si="3"/>
        <v>303753</v>
      </c>
      <c r="L30" s="36">
        <f t="shared" si="1"/>
        <v>786720.27</v>
      </c>
      <c r="M30" s="80">
        <f t="shared" si="4"/>
        <v>28</v>
      </c>
      <c r="X30" s="12">
        <f t="shared" si="5"/>
        <v>-750</v>
      </c>
    </row>
    <row r="31">
      <c r="B31" s="74">
        <v>39203.0</v>
      </c>
      <c r="C31" s="75">
        <v>2.74</v>
      </c>
      <c r="D31" s="75">
        <v>2.6</v>
      </c>
      <c r="E31" s="75">
        <v>2.77</v>
      </c>
      <c r="F31" s="75">
        <v>2.55</v>
      </c>
      <c r="G31" s="75" t="s">
        <v>220</v>
      </c>
      <c r="H31" s="76">
        <v>0.0677</v>
      </c>
      <c r="I31" s="34">
        <f t="shared" si="2"/>
        <v>-750</v>
      </c>
      <c r="J31" s="77">
        <f>ROUNDDOWN((-I31 + P12*K30/R12)/C31)</f>
        <v>550</v>
      </c>
      <c r="K31" s="77">
        <f t="shared" si="3"/>
        <v>304303</v>
      </c>
      <c r="L31" s="34">
        <f t="shared" si="1"/>
        <v>833790.22</v>
      </c>
      <c r="M31" s="77">
        <f t="shared" si="4"/>
        <v>29</v>
      </c>
      <c r="X31" s="35">
        <f t="shared" si="5"/>
        <v>-750</v>
      </c>
    </row>
    <row r="32">
      <c r="B32" s="74">
        <v>39234.0</v>
      </c>
      <c r="C32" s="75">
        <v>2.96</v>
      </c>
      <c r="D32" s="75">
        <v>2.77</v>
      </c>
      <c r="E32" s="75">
        <v>3.1</v>
      </c>
      <c r="F32" s="75">
        <v>2.69</v>
      </c>
      <c r="G32" s="75" t="s">
        <v>221</v>
      </c>
      <c r="H32" s="76">
        <v>-0.0534</v>
      </c>
      <c r="I32" s="36">
        <f t="shared" si="2"/>
        <v>-750</v>
      </c>
      <c r="J32" s="80">
        <f t="shared" ref="J32:J42" si="12">-ROUNDDOWN(I32/C32)</f>
        <v>253</v>
      </c>
      <c r="K32" s="80">
        <f t="shared" si="3"/>
        <v>304556</v>
      </c>
      <c r="L32" s="36">
        <f t="shared" si="1"/>
        <v>901485.76</v>
      </c>
      <c r="M32" s="80">
        <f t="shared" si="4"/>
        <v>30</v>
      </c>
      <c r="X32" s="12">
        <f t="shared" si="5"/>
        <v>-750</v>
      </c>
    </row>
    <row r="33">
      <c r="B33" s="74">
        <v>39264.0</v>
      </c>
      <c r="C33" s="75">
        <v>2.74</v>
      </c>
      <c r="D33" s="75">
        <v>2.98</v>
      </c>
      <c r="E33" s="75">
        <v>3.08</v>
      </c>
      <c r="F33" s="75">
        <v>2.61</v>
      </c>
      <c r="G33" s="75" t="s">
        <v>222</v>
      </c>
      <c r="H33" s="76">
        <v>-0.0442</v>
      </c>
      <c r="I33" s="34">
        <f t="shared" si="2"/>
        <v>-750</v>
      </c>
      <c r="J33" s="77">
        <f t="shared" si="12"/>
        <v>273</v>
      </c>
      <c r="K33" s="77">
        <f t="shared" si="3"/>
        <v>304829</v>
      </c>
      <c r="L33" s="34">
        <f t="shared" si="1"/>
        <v>835231.46</v>
      </c>
      <c r="M33" s="77">
        <f t="shared" si="4"/>
        <v>31</v>
      </c>
      <c r="X33" s="35">
        <f t="shared" si="5"/>
        <v>-750</v>
      </c>
    </row>
    <row r="34">
      <c r="B34" s="74">
        <v>39295.0</v>
      </c>
      <c r="C34" s="75">
        <v>2.73</v>
      </c>
      <c r="D34" s="75">
        <v>2.73</v>
      </c>
      <c r="E34" s="75">
        <v>2.85</v>
      </c>
      <c r="F34" s="75">
        <v>2.25</v>
      </c>
      <c r="G34" s="75" t="s">
        <v>223</v>
      </c>
      <c r="H34" s="76">
        <v>0.0244</v>
      </c>
      <c r="I34" s="36">
        <f t="shared" si="2"/>
        <v>-750</v>
      </c>
      <c r="J34" s="80">
        <f t="shared" si="12"/>
        <v>274</v>
      </c>
      <c r="K34" s="80">
        <f t="shared" si="3"/>
        <v>305103</v>
      </c>
      <c r="L34" s="36">
        <f t="shared" si="1"/>
        <v>832931.19</v>
      </c>
      <c r="M34" s="80">
        <f t="shared" si="4"/>
        <v>32</v>
      </c>
      <c r="X34" s="12">
        <f t="shared" si="5"/>
        <v>-750</v>
      </c>
    </row>
    <row r="35">
      <c r="B35" s="74">
        <v>39326.0</v>
      </c>
      <c r="C35" s="75">
        <v>2.82</v>
      </c>
      <c r="D35" s="75">
        <v>2.74</v>
      </c>
      <c r="E35" s="75">
        <v>2.91</v>
      </c>
      <c r="F35" s="75">
        <v>2.5</v>
      </c>
      <c r="G35" s="75" t="s">
        <v>224</v>
      </c>
      <c r="H35" s="76">
        <v>0.0996</v>
      </c>
      <c r="I35" s="34">
        <f t="shared" si="2"/>
        <v>-750</v>
      </c>
      <c r="J35" s="77">
        <f t="shared" si="12"/>
        <v>265</v>
      </c>
      <c r="K35" s="77">
        <f t="shared" si="3"/>
        <v>305368</v>
      </c>
      <c r="L35" s="34">
        <f t="shared" si="1"/>
        <v>861137.76</v>
      </c>
      <c r="M35" s="77">
        <f t="shared" si="4"/>
        <v>33</v>
      </c>
      <c r="X35" s="35">
        <f t="shared" si="5"/>
        <v>-750</v>
      </c>
    </row>
    <row r="36">
      <c r="B36" s="74">
        <v>39356.0</v>
      </c>
      <c r="C36" s="75">
        <v>2.68</v>
      </c>
      <c r="D36" s="75">
        <v>2.82</v>
      </c>
      <c r="E36" s="75">
        <v>2.88</v>
      </c>
      <c r="F36" s="75">
        <v>2.56</v>
      </c>
      <c r="G36" s="75" t="s">
        <v>225</v>
      </c>
      <c r="H36" s="76">
        <v>0.1447</v>
      </c>
      <c r="I36" s="36">
        <f t="shared" si="2"/>
        <v>-750</v>
      </c>
      <c r="J36" s="80">
        <f t="shared" si="12"/>
        <v>279</v>
      </c>
      <c r="K36" s="80">
        <f t="shared" si="3"/>
        <v>305647</v>
      </c>
      <c r="L36" s="36">
        <f t="shared" si="1"/>
        <v>819133.96</v>
      </c>
      <c r="M36" s="80">
        <f t="shared" si="4"/>
        <v>34</v>
      </c>
      <c r="X36" s="12">
        <f t="shared" si="5"/>
        <v>-750</v>
      </c>
    </row>
    <row r="37">
      <c r="B37" s="74">
        <v>39387.0</v>
      </c>
      <c r="C37" s="75">
        <v>2.75</v>
      </c>
      <c r="D37" s="75">
        <v>2.64</v>
      </c>
      <c r="E37" s="75">
        <v>2.88</v>
      </c>
      <c r="F37" s="75">
        <v>2.39</v>
      </c>
      <c r="G37" s="75" t="s">
        <v>226</v>
      </c>
      <c r="H37" s="76">
        <v>-0.0215</v>
      </c>
      <c r="I37" s="34">
        <f t="shared" si="2"/>
        <v>-750</v>
      </c>
      <c r="J37" s="77">
        <f t="shared" si="12"/>
        <v>272</v>
      </c>
      <c r="K37" s="77">
        <f t="shared" si="3"/>
        <v>305919</v>
      </c>
      <c r="L37" s="34">
        <f t="shared" si="1"/>
        <v>841277.25</v>
      </c>
      <c r="M37" s="77">
        <f t="shared" si="4"/>
        <v>35</v>
      </c>
      <c r="X37" s="35">
        <f t="shared" si="5"/>
        <v>-750</v>
      </c>
    </row>
    <row r="38">
      <c r="B38" s="74">
        <v>39417.0</v>
      </c>
      <c r="C38" s="75">
        <v>2.35</v>
      </c>
      <c r="D38" s="75">
        <v>2.77</v>
      </c>
      <c r="E38" s="75">
        <v>2.86</v>
      </c>
      <c r="F38" s="75">
        <v>2.31</v>
      </c>
      <c r="G38" s="75" t="s">
        <v>227</v>
      </c>
      <c r="H38" s="76">
        <v>0.1535</v>
      </c>
      <c r="I38" s="36">
        <f t="shared" si="2"/>
        <v>-750</v>
      </c>
      <c r="J38" s="80">
        <f t="shared" si="12"/>
        <v>319</v>
      </c>
      <c r="K38" s="80">
        <f t="shared" si="3"/>
        <v>306238</v>
      </c>
      <c r="L38" s="36">
        <f t="shared" si="1"/>
        <v>719659.3</v>
      </c>
      <c r="M38" s="80">
        <f t="shared" si="4"/>
        <v>36</v>
      </c>
      <c r="X38" s="12">
        <f t="shared" si="5"/>
        <v>-750</v>
      </c>
    </row>
    <row r="39">
      <c r="B39" s="74">
        <v>39448.0</v>
      </c>
      <c r="C39" s="75">
        <v>2.02</v>
      </c>
      <c r="D39" s="75">
        <v>2.36</v>
      </c>
      <c r="E39" s="75">
        <v>2.51</v>
      </c>
      <c r="F39" s="75">
        <v>1.98</v>
      </c>
      <c r="G39" s="75" t="s">
        <v>228</v>
      </c>
      <c r="H39" s="76">
        <v>-0.1404</v>
      </c>
      <c r="I39" s="34">
        <f t="shared" si="2"/>
        <v>-750</v>
      </c>
      <c r="J39" s="77">
        <f t="shared" si="12"/>
        <v>371</v>
      </c>
      <c r="K39" s="77">
        <f t="shared" si="3"/>
        <v>306609</v>
      </c>
      <c r="L39" s="34">
        <f t="shared" si="1"/>
        <v>619350.18</v>
      </c>
      <c r="M39" s="77">
        <f t="shared" si="4"/>
        <v>37</v>
      </c>
      <c r="X39" s="35">
        <f t="shared" si="5"/>
        <v>-750</v>
      </c>
    </row>
    <row r="40">
      <c r="B40" s="74">
        <v>39479.0</v>
      </c>
      <c r="C40" s="75">
        <v>2.33</v>
      </c>
      <c r="D40" s="75">
        <v>2.06</v>
      </c>
      <c r="E40" s="75">
        <v>2.41</v>
      </c>
      <c r="F40" s="75">
        <v>1.97</v>
      </c>
      <c r="G40" s="75" t="s">
        <v>229</v>
      </c>
      <c r="H40" s="76">
        <v>-0.1455</v>
      </c>
      <c r="I40" s="36">
        <f t="shared" si="2"/>
        <v>-750</v>
      </c>
      <c r="J40" s="80">
        <f t="shared" si="12"/>
        <v>321</v>
      </c>
      <c r="K40" s="80">
        <f t="shared" si="3"/>
        <v>306930</v>
      </c>
      <c r="L40" s="36">
        <f t="shared" si="1"/>
        <v>715146.9</v>
      </c>
      <c r="M40" s="80">
        <f t="shared" si="4"/>
        <v>38</v>
      </c>
      <c r="X40" s="12">
        <f t="shared" si="5"/>
        <v>-750</v>
      </c>
    </row>
    <row r="41">
      <c r="B41" s="74">
        <v>39508.0</v>
      </c>
      <c r="C41" s="75">
        <v>2.28</v>
      </c>
      <c r="D41" s="75">
        <v>2.32</v>
      </c>
      <c r="E41" s="75">
        <v>2.48</v>
      </c>
      <c r="F41" s="75">
        <v>2.09</v>
      </c>
      <c r="G41" s="75" t="s">
        <v>230</v>
      </c>
      <c r="H41" s="76">
        <v>0.0261</v>
      </c>
      <c r="I41" s="34">
        <f t="shared" si="2"/>
        <v>-750</v>
      </c>
      <c r="J41" s="77">
        <f t="shared" si="12"/>
        <v>328</v>
      </c>
      <c r="K41" s="77">
        <f t="shared" si="3"/>
        <v>307258</v>
      </c>
      <c r="L41" s="34">
        <f t="shared" si="1"/>
        <v>700548.24</v>
      </c>
      <c r="M41" s="77">
        <f t="shared" si="4"/>
        <v>39</v>
      </c>
      <c r="X41" s="35">
        <f t="shared" si="5"/>
        <v>-750</v>
      </c>
    </row>
    <row r="42">
      <c r="B42" s="74">
        <v>39539.0</v>
      </c>
      <c r="C42" s="75">
        <v>2.61</v>
      </c>
      <c r="D42" s="75">
        <v>2.31</v>
      </c>
      <c r="E42" s="75">
        <v>2.7</v>
      </c>
      <c r="F42" s="75">
        <v>2.27</v>
      </c>
      <c r="G42" s="75" t="s">
        <v>231</v>
      </c>
      <c r="H42" s="76">
        <v>-0.0496</v>
      </c>
      <c r="I42" s="36">
        <f t="shared" si="2"/>
        <v>-750</v>
      </c>
      <c r="J42" s="80">
        <f t="shared" si="12"/>
        <v>287</v>
      </c>
      <c r="K42" s="80">
        <f t="shared" si="3"/>
        <v>307545</v>
      </c>
      <c r="L42" s="36">
        <f t="shared" si="1"/>
        <v>802692.45</v>
      </c>
      <c r="M42" s="80">
        <f t="shared" si="4"/>
        <v>40</v>
      </c>
      <c r="X42" s="12">
        <f t="shared" si="5"/>
        <v>-750</v>
      </c>
    </row>
    <row r="43">
      <c r="B43" s="74">
        <v>39569.0</v>
      </c>
      <c r="C43" s="75">
        <v>2.87</v>
      </c>
      <c r="D43" s="75">
        <v>2.7</v>
      </c>
      <c r="E43" s="75">
        <v>2.97</v>
      </c>
      <c r="F43" s="75">
        <v>2.58</v>
      </c>
      <c r="G43" s="75" t="s">
        <v>232</v>
      </c>
      <c r="H43" s="76">
        <v>0.033</v>
      </c>
      <c r="I43" s="34">
        <f t="shared" si="2"/>
        <v>-750</v>
      </c>
      <c r="J43" s="77">
        <f>ROUNDDOWN((-I43 + P13*K42/R13)/C43)</f>
        <v>95632</v>
      </c>
      <c r="K43" s="77">
        <f t="shared" si="3"/>
        <v>403177</v>
      </c>
      <c r="L43" s="34">
        <f t="shared" si="1"/>
        <v>1157117.99</v>
      </c>
      <c r="M43" s="77">
        <f t="shared" si="4"/>
        <v>41</v>
      </c>
      <c r="X43" s="35">
        <f t="shared" si="5"/>
        <v>-750</v>
      </c>
    </row>
    <row r="44">
      <c r="B44" s="74">
        <v>39600.0</v>
      </c>
      <c r="C44" s="75">
        <v>2.94</v>
      </c>
      <c r="D44" s="75">
        <v>2.87</v>
      </c>
      <c r="E44" s="75">
        <v>3.03</v>
      </c>
      <c r="F44" s="75">
        <v>2.8</v>
      </c>
      <c r="G44" s="75" t="s">
        <v>233</v>
      </c>
      <c r="H44" s="76">
        <v>-0.0036</v>
      </c>
      <c r="I44" s="36">
        <f t="shared" si="2"/>
        <v>-750</v>
      </c>
      <c r="J44" s="80">
        <f t="shared" ref="J44:J54" si="13">-ROUNDDOWN(I44/C44)</f>
        <v>255</v>
      </c>
      <c r="K44" s="80">
        <f t="shared" si="3"/>
        <v>403432</v>
      </c>
      <c r="L44" s="36">
        <f t="shared" si="1"/>
        <v>1186090.08</v>
      </c>
      <c r="M44" s="80">
        <f t="shared" si="4"/>
        <v>42</v>
      </c>
      <c r="X44" s="12">
        <f t="shared" si="5"/>
        <v>-750</v>
      </c>
    </row>
    <row r="45">
      <c r="B45" s="74">
        <v>39630.0</v>
      </c>
      <c r="C45" s="75">
        <v>2.81</v>
      </c>
      <c r="D45" s="75">
        <v>2.91</v>
      </c>
      <c r="E45" s="75">
        <v>3.18</v>
      </c>
      <c r="F45" s="75">
        <v>2.72</v>
      </c>
      <c r="G45" s="75" t="s">
        <v>234</v>
      </c>
      <c r="H45" s="76">
        <v>-0.0743</v>
      </c>
      <c r="I45" s="34">
        <f t="shared" si="2"/>
        <v>-750</v>
      </c>
      <c r="J45" s="77">
        <f t="shared" si="13"/>
        <v>266</v>
      </c>
      <c r="K45" s="77">
        <f t="shared" si="3"/>
        <v>403698</v>
      </c>
      <c r="L45" s="34">
        <f t="shared" si="1"/>
        <v>1134391.38</v>
      </c>
      <c r="M45" s="77">
        <f t="shared" si="4"/>
        <v>43</v>
      </c>
      <c r="X45" s="35">
        <f t="shared" si="5"/>
        <v>-750</v>
      </c>
    </row>
    <row r="46">
      <c r="B46" s="74">
        <v>39661.0</v>
      </c>
      <c r="C46" s="75">
        <v>2.66</v>
      </c>
      <c r="D46" s="75">
        <v>2.82</v>
      </c>
      <c r="E46" s="75">
        <v>2.86</v>
      </c>
      <c r="F46" s="75">
        <v>2.54</v>
      </c>
      <c r="G46" s="75" t="s">
        <v>235</v>
      </c>
      <c r="H46" s="76">
        <v>0.0803</v>
      </c>
      <c r="I46" s="36">
        <f t="shared" si="2"/>
        <v>-750</v>
      </c>
      <c r="J46" s="80">
        <f t="shared" si="13"/>
        <v>281</v>
      </c>
      <c r="K46" s="80">
        <f t="shared" si="3"/>
        <v>403979</v>
      </c>
      <c r="L46" s="36">
        <f t="shared" si="1"/>
        <v>1074584.14</v>
      </c>
      <c r="M46" s="80">
        <f t="shared" si="4"/>
        <v>44</v>
      </c>
      <c r="X46" s="12">
        <f t="shared" si="5"/>
        <v>-750</v>
      </c>
    </row>
    <row r="47">
      <c r="B47" s="74">
        <v>39692.0</v>
      </c>
      <c r="C47" s="75">
        <v>2.84</v>
      </c>
      <c r="D47" s="75">
        <v>2.61</v>
      </c>
      <c r="E47" s="75">
        <v>2.85</v>
      </c>
      <c r="F47" s="75">
        <v>2.17</v>
      </c>
      <c r="G47" s="75" t="s">
        <v>236</v>
      </c>
      <c r="H47" s="76">
        <v>0.0579</v>
      </c>
      <c r="I47" s="34">
        <f t="shared" si="2"/>
        <v>-750</v>
      </c>
      <c r="J47" s="77">
        <f t="shared" si="13"/>
        <v>264</v>
      </c>
      <c r="K47" s="77">
        <f t="shared" si="3"/>
        <v>404243</v>
      </c>
      <c r="L47" s="34">
        <f t="shared" si="1"/>
        <v>1148050.12</v>
      </c>
      <c r="M47" s="77">
        <f t="shared" si="4"/>
        <v>45</v>
      </c>
      <c r="X47" s="35">
        <f t="shared" si="5"/>
        <v>-750</v>
      </c>
    </row>
    <row r="48">
      <c r="B48" s="74">
        <v>39722.0</v>
      </c>
      <c r="C48" s="75">
        <v>2.49</v>
      </c>
      <c r="D48" s="75">
        <v>2.82</v>
      </c>
      <c r="E48" s="75">
        <v>2.96</v>
      </c>
      <c r="F48" s="75">
        <v>2.09</v>
      </c>
      <c r="G48" s="75" t="s">
        <v>237</v>
      </c>
      <c r="H48" s="76">
        <v>0.0658</v>
      </c>
      <c r="I48" s="36">
        <f t="shared" si="2"/>
        <v>-750</v>
      </c>
      <c r="J48" s="80">
        <f t="shared" si="13"/>
        <v>301</v>
      </c>
      <c r="K48" s="80">
        <f t="shared" si="3"/>
        <v>404544</v>
      </c>
      <c r="L48" s="36">
        <f t="shared" si="1"/>
        <v>1007314.56</v>
      </c>
      <c r="M48" s="80">
        <f t="shared" si="4"/>
        <v>46</v>
      </c>
      <c r="X48" s="12">
        <f t="shared" si="5"/>
        <v>-750</v>
      </c>
    </row>
    <row r="49">
      <c r="B49" s="74">
        <v>39753.0</v>
      </c>
      <c r="C49" s="75">
        <v>2.76</v>
      </c>
      <c r="D49" s="75">
        <v>2.52</v>
      </c>
      <c r="E49" s="75">
        <v>2.92</v>
      </c>
      <c r="F49" s="75">
        <v>2.35</v>
      </c>
      <c r="G49" s="75" t="s">
        <v>238</v>
      </c>
      <c r="H49" s="76">
        <v>0.0</v>
      </c>
      <c r="I49" s="34">
        <f t="shared" si="2"/>
        <v>-750</v>
      </c>
      <c r="J49" s="77">
        <f t="shared" si="13"/>
        <v>271</v>
      </c>
      <c r="K49" s="77">
        <f t="shared" si="3"/>
        <v>404815</v>
      </c>
      <c r="L49" s="34">
        <f t="shared" si="1"/>
        <v>1117289.4</v>
      </c>
      <c r="M49" s="77">
        <f t="shared" si="4"/>
        <v>47</v>
      </c>
      <c r="X49" s="35">
        <f t="shared" si="5"/>
        <v>-750</v>
      </c>
    </row>
    <row r="50">
      <c r="B50" s="74">
        <v>39783.0</v>
      </c>
      <c r="C50" s="75">
        <v>2.4</v>
      </c>
      <c r="D50" s="75">
        <v>2.7</v>
      </c>
      <c r="E50" s="75">
        <v>2.84</v>
      </c>
      <c r="F50" s="75">
        <v>2.28</v>
      </c>
      <c r="G50" s="75" t="s">
        <v>239</v>
      </c>
      <c r="H50" s="76">
        <v>-0.0082</v>
      </c>
      <c r="I50" s="36">
        <f t="shared" si="2"/>
        <v>-750</v>
      </c>
      <c r="J50" s="80">
        <f t="shared" si="13"/>
        <v>312</v>
      </c>
      <c r="K50" s="80">
        <f t="shared" si="3"/>
        <v>405127</v>
      </c>
      <c r="L50" s="36">
        <f t="shared" si="1"/>
        <v>972304.8</v>
      </c>
      <c r="M50" s="80">
        <f t="shared" si="4"/>
        <v>48</v>
      </c>
      <c r="X50" s="12">
        <f t="shared" si="5"/>
        <v>-750</v>
      </c>
    </row>
    <row r="51">
      <c r="B51" s="74">
        <v>39814.0</v>
      </c>
      <c r="C51" s="75">
        <v>2.37</v>
      </c>
      <c r="D51" s="75">
        <v>2.41</v>
      </c>
      <c r="E51" s="75">
        <v>2.56</v>
      </c>
      <c r="F51" s="75">
        <v>2.33</v>
      </c>
      <c r="G51" s="75" t="s">
        <v>240</v>
      </c>
      <c r="H51" s="76">
        <v>-0.0316</v>
      </c>
      <c r="I51" s="34">
        <f t="shared" si="2"/>
        <v>-750</v>
      </c>
      <c r="J51" s="77">
        <f t="shared" si="13"/>
        <v>316</v>
      </c>
      <c r="K51" s="77">
        <f t="shared" si="3"/>
        <v>405443</v>
      </c>
      <c r="L51" s="34">
        <f t="shared" si="1"/>
        <v>960899.91</v>
      </c>
      <c r="M51" s="77">
        <f t="shared" si="4"/>
        <v>49</v>
      </c>
      <c r="X51" s="35">
        <f t="shared" si="5"/>
        <v>-750</v>
      </c>
    </row>
    <row r="52">
      <c r="B52" s="74">
        <v>39845.0</v>
      </c>
      <c r="C52" s="75">
        <v>2.51</v>
      </c>
      <c r="D52" s="75">
        <v>2.35</v>
      </c>
      <c r="E52" s="75">
        <v>2.54</v>
      </c>
      <c r="F52" s="75">
        <v>2.32</v>
      </c>
      <c r="G52" s="75" t="s">
        <v>241</v>
      </c>
      <c r="H52" s="76">
        <v>0.072</v>
      </c>
      <c r="I52" s="36">
        <f t="shared" si="2"/>
        <v>-750</v>
      </c>
      <c r="J52" s="80">
        <f t="shared" si="13"/>
        <v>298</v>
      </c>
      <c r="K52" s="80">
        <f t="shared" si="3"/>
        <v>405741</v>
      </c>
      <c r="L52" s="36">
        <f t="shared" si="1"/>
        <v>1018409.91</v>
      </c>
      <c r="M52" s="80">
        <f t="shared" si="4"/>
        <v>50</v>
      </c>
      <c r="X52" s="12">
        <f t="shared" si="5"/>
        <v>-750</v>
      </c>
    </row>
    <row r="53">
      <c r="B53" s="74">
        <v>39873.0</v>
      </c>
      <c r="C53" s="75">
        <v>2.6</v>
      </c>
      <c r="D53" s="75">
        <v>2.46</v>
      </c>
      <c r="E53" s="75">
        <v>2.64</v>
      </c>
      <c r="F53" s="75">
        <v>2.33</v>
      </c>
      <c r="G53" s="75" t="s">
        <v>242</v>
      </c>
      <c r="H53" s="76">
        <v>0.0631</v>
      </c>
      <c r="I53" s="34">
        <f t="shared" si="2"/>
        <v>-750</v>
      </c>
      <c r="J53" s="77">
        <f t="shared" si="13"/>
        <v>288</v>
      </c>
      <c r="K53" s="77">
        <f t="shared" si="3"/>
        <v>406029</v>
      </c>
      <c r="L53" s="34">
        <f t="shared" si="1"/>
        <v>1055675.4</v>
      </c>
      <c r="M53" s="77">
        <f t="shared" si="4"/>
        <v>51</v>
      </c>
      <c r="X53" s="35">
        <f t="shared" si="5"/>
        <v>-750</v>
      </c>
    </row>
    <row r="54">
      <c r="B54" s="74">
        <v>39904.0</v>
      </c>
      <c r="C54" s="75">
        <v>2.59</v>
      </c>
      <c r="D54" s="75">
        <v>2.55</v>
      </c>
      <c r="E54" s="75">
        <v>2.8</v>
      </c>
      <c r="F54" s="75">
        <v>2.45</v>
      </c>
      <c r="G54" s="75" t="s">
        <v>243</v>
      </c>
      <c r="H54" s="76">
        <v>0.0829</v>
      </c>
      <c r="I54" s="36">
        <f t="shared" si="2"/>
        <v>-750</v>
      </c>
      <c r="J54" s="80">
        <f t="shared" si="13"/>
        <v>289</v>
      </c>
      <c r="K54" s="80">
        <f t="shared" si="3"/>
        <v>406318</v>
      </c>
      <c r="L54" s="36">
        <f t="shared" si="1"/>
        <v>1052363.62</v>
      </c>
      <c r="M54" s="80">
        <f t="shared" si="4"/>
        <v>52</v>
      </c>
      <c r="X54" s="12">
        <f t="shared" si="5"/>
        <v>-750</v>
      </c>
    </row>
    <row r="55">
      <c r="B55" s="74">
        <v>39934.0</v>
      </c>
      <c r="C55" s="75">
        <v>2.57</v>
      </c>
      <c r="D55" s="75">
        <v>2.61</v>
      </c>
      <c r="E55" s="75">
        <v>2.64</v>
      </c>
      <c r="F55" s="75">
        <v>2.42</v>
      </c>
      <c r="G55" s="75" t="s">
        <v>244</v>
      </c>
      <c r="H55" s="76">
        <v>-0.0376</v>
      </c>
      <c r="I55" s="34">
        <f t="shared" si="2"/>
        <v>-750</v>
      </c>
      <c r="J55" s="77">
        <f>ROUNDDOWN((-I55 + P14*K54)/C55)</f>
        <v>150645</v>
      </c>
      <c r="K55" s="77">
        <f t="shared" si="3"/>
        <v>556963</v>
      </c>
      <c r="L55" s="34">
        <f t="shared" si="1"/>
        <v>1431394.91</v>
      </c>
      <c r="M55" s="77">
        <f t="shared" si="4"/>
        <v>53</v>
      </c>
      <c r="X55" s="35">
        <f t="shared" si="5"/>
        <v>-750</v>
      </c>
    </row>
    <row r="56">
      <c r="B56" s="74">
        <v>39965.0</v>
      </c>
      <c r="C56" s="75">
        <v>2.56</v>
      </c>
      <c r="D56" s="75">
        <v>2.59</v>
      </c>
      <c r="E56" s="75">
        <v>2.8</v>
      </c>
      <c r="F56" s="75">
        <v>2.48</v>
      </c>
      <c r="G56" s="75" t="s">
        <v>245</v>
      </c>
      <c r="H56" s="76">
        <v>-0.0575</v>
      </c>
      <c r="I56" s="36">
        <f t="shared" si="2"/>
        <v>-750</v>
      </c>
      <c r="J56" s="80">
        <f t="shared" ref="J56:J66" si="14">-ROUNDDOWN(I56/C56)</f>
        <v>292</v>
      </c>
      <c r="K56" s="80">
        <f t="shared" si="3"/>
        <v>557255</v>
      </c>
      <c r="L56" s="36">
        <f t="shared" si="1"/>
        <v>1426572.8</v>
      </c>
      <c r="M56" s="80">
        <f t="shared" si="4"/>
        <v>54</v>
      </c>
      <c r="X56" s="12">
        <f t="shared" si="5"/>
        <v>-750</v>
      </c>
    </row>
    <row r="57">
      <c r="B57" s="74">
        <v>39995.0</v>
      </c>
      <c r="C57" s="75">
        <v>2.62</v>
      </c>
      <c r="D57" s="75">
        <v>2.58</v>
      </c>
      <c r="E57" s="75">
        <v>2.66</v>
      </c>
      <c r="F57" s="75">
        <v>2.47</v>
      </c>
      <c r="G57" s="75" t="s">
        <v>246</v>
      </c>
      <c r="H57" s="76">
        <v>0.0226</v>
      </c>
      <c r="I57" s="34">
        <f t="shared" si="2"/>
        <v>-750</v>
      </c>
      <c r="J57" s="77">
        <f t="shared" si="14"/>
        <v>286</v>
      </c>
      <c r="K57" s="77">
        <f t="shared" si="3"/>
        <v>557541</v>
      </c>
      <c r="L57" s="34">
        <f t="shared" si="1"/>
        <v>1460757.42</v>
      </c>
      <c r="M57" s="77">
        <f t="shared" si="4"/>
        <v>55</v>
      </c>
      <c r="X57" s="35">
        <f t="shared" si="5"/>
        <v>-750</v>
      </c>
    </row>
    <row r="58">
      <c r="B58" s="74">
        <v>40026.0</v>
      </c>
      <c r="C58" s="75">
        <v>2.69</v>
      </c>
      <c r="D58" s="75">
        <v>2.62</v>
      </c>
      <c r="E58" s="75">
        <v>2.79</v>
      </c>
      <c r="F58" s="75">
        <v>2.6</v>
      </c>
      <c r="G58" s="75" t="s">
        <v>247</v>
      </c>
      <c r="H58" s="76">
        <v>0.0524</v>
      </c>
      <c r="I58" s="36">
        <f t="shared" si="2"/>
        <v>-750</v>
      </c>
      <c r="J58" s="80">
        <f t="shared" si="14"/>
        <v>278</v>
      </c>
      <c r="K58" s="80">
        <f t="shared" si="3"/>
        <v>557819</v>
      </c>
      <c r="L58" s="36">
        <f t="shared" si="1"/>
        <v>1500533.11</v>
      </c>
      <c r="M58" s="80">
        <f t="shared" si="4"/>
        <v>56</v>
      </c>
      <c r="X58" s="12">
        <f t="shared" si="5"/>
        <v>-750</v>
      </c>
    </row>
    <row r="59">
      <c r="B59" s="74">
        <v>40057.0</v>
      </c>
      <c r="C59" s="75">
        <v>2.62</v>
      </c>
      <c r="D59" s="75">
        <v>2.67</v>
      </c>
      <c r="E59" s="75">
        <v>2.73</v>
      </c>
      <c r="F59" s="75">
        <v>2.57</v>
      </c>
      <c r="G59" s="75" t="s">
        <v>248</v>
      </c>
      <c r="H59" s="76">
        <v>-0.1322</v>
      </c>
      <c r="I59" s="34">
        <f t="shared" si="2"/>
        <v>-750</v>
      </c>
      <c r="J59" s="77">
        <f t="shared" si="14"/>
        <v>286</v>
      </c>
      <c r="K59" s="77">
        <f t="shared" si="3"/>
        <v>558105</v>
      </c>
      <c r="L59" s="34">
        <f t="shared" si="1"/>
        <v>1462235.1</v>
      </c>
      <c r="M59" s="77">
        <f t="shared" si="4"/>
        <v>57</v>
      </c>
      <c r="X59" s="35">
        <f t="shared" si="5"/>
        <v>-750</v>
      </c>
    </row>
    <row r="60">
      <c r="B60" s="74">
        <v>40087.0</v>
      </c>
      <c r="C60" s="75">
        <v>2.67</v>
      </c>
      <c r="D60" s="75">
        <v>2.6</v>
      </c>
      <c r="E60" s="75">
        <v>2.84</v>
      </c>
      <c r="F60" s="75">
        <v>2.55</v>
      </c>
      <c r="G60" s="75" t="s">
        <v>249</v>
      </c>
      <c r="H60" s="76">
        <v>0.0168</v>
      </c>
      <c r="I60" s="36">
        <f t="shared" si="2"/>
        <v>-750</v>
      </c>
      <c r="J60" s="80">
        <f t="shared" si="14"/>
        <v>280</v>
      </c>
      <c r="K60" s="80">
        <f t="shared" si="3"/>
        <v>558385</v>
      </c>
      <c r="L60" s="36">
        <f t="shared" si="1"/>
        <v>1490887.95</v>
      </c>
      <c r="M60" s="80">
        <f t="shared" si="4"/>
        <v>58</v>
      </c>
      <c r="X60" s="12">
        <f t="shared" si="5"/>
        <v>-750</v>
      </c>
    </row>
    <row r="61">
      <c r="B61" s="74">
        <v>40118.0</v>
      </c>
      <c r="C61" s="75">
        <v>2.92</v>
      </c>
      <c r="D61" s="75">
        <v>2.65</v>
      </c>
      <c r="E61" s="75">
        <v>3.07</v>
      </c>
      <c r="F61" s="75">
        <v>2.63</v>
      </c>
      <c r="G61" s="75" t="s">
        <v>250</v>
      </c>
      <c r="H61" s="76">
        <v>-0.0916</v>
      </c>
      <c r="I61" s="34">
        <f t="shared" si="2"/>
        <v>-750</v>
      </c>
      <c r="J61" s="77">
        <f t="shared" si="14"/>
        <v>256</v>
      </c>
      <c r="K61" s="77">
        <f t="shared" si="3"/>
        <v>558641</v>
      </c>
      <c r="L61" s="34">
        <f t="shared" si="1"/>
        <v>1631231.72</v>
      </c>
      <c r="M61" s="77">
        <f t="shared" si="4"/>
        <v>59</v>
      </c>
      <c r="X61" s="35">
        <f t="shared" si="5"/>
        <v>-750</v>
      </c>
    </row>
    <row r="62">
      <c r="B62" s="74">
        <v>40148.0</v>
      </c>
      <c r="C62" s="75">
        <v>3.07</v>
      </c>
      <c r="D62" s="75">
        <v>2.99</v>
      </c>
      <c r="E62" s="75">
        <v>3.36</v>
      </c>
      <c r="F62" s="75">
        <v>2.89</v>
      </c>
      <c r="G62" s="75" t="s">
        <v>251</v>
      </c>
      <c r="H62" s="76">
        <v>0.0195</v>
      </c>
      <c r="I62" s="36">
        <f t="shared" si="2"/>
        <v>-750</v>
      </c>
      <c r="J62" s="80">
        <f t="shared" si="14"/>
        <v>244</v>
      </c>
      <c r="K62" s="80">
        <f t="shared" si="3"/>
        <v>558885</v>
      </c>
      <c r="L62" s="36">
        <f t="shared" si="1"/>
        <v>1715776.95</v>
      </c>
      <c r="M62" s="80">
        <f t="shared" si="4"/>
        <v>60</v>
      </c>
      <c r="X62" s="12">
        <f t="shared" si="5"/>
        <v>-750</v>
      </c>
    </row>
    <row r="63">
      <c r="B63" s="74">
        <v>40179.0</v>
      </c>
      <c r="C63" s="75">
        <v>3.04</v>
      </c>
      <c r="D63" s="75">
        <v>3.07</v>
      </c>
      <c r="E63" s="75">
        <v>3.1</v>
      </c>
      <c r="F63" s="75">
        <v>2.81</v>
      </c>
      <c r="G63" s="75" t="s">
        <v>252</v>
      </c>
      <c r="H63" s="76">
        <v>0.1223</v>
      </c>
      <c r="I63" s="34">
        <f t="shared" si="2"/>
        <v>-750</v>
      </c>
      <c r="J63" s="77">
        <f t="shared" si="14"/>
        <v>246</v>
      </c>
      <c r="K63" s="77">
        <f t="shared" si="3"/>
        <v>559131</v>
      </c>
      <c r="L63" s="34">
        <f t="shared" si="1"/>
        <v>1699758.24</v>
      </c>
      <c r="M63" s="77">
        <f t="shared" si="4"/>
        <v>61</v>
      </c>
      <c r="X63" s="35">
        <f t="shared" si="5"/>
        <v>-750</v>
      </c>
    </row>
    <row r="64">
      <c r="B64" s="74">
        <v>40210.0</v>
      </c>
      <c r="C64" s="75">
        <v>2.88</v>
      </c>
      <c r="D64" s="75">
        <v>3.05</v>
      </c>
      <c r="E64" s="75">
        <v>3.09</v>
      </c>
      <c r="F64" s="75">
        <v>2.75</v>
      </c>
      <c r="G64" s="75" t="s">
        <v>253</v>
      </c>
      <c r="H64" s="76">
        <v>0.0651</v>
      </c>
      <c r="I64" s="36">
        <f t="shared" si="2"/>
        <v>-750</v>
      </c>
      <c r="J64" s="80">
        <f t="shared" si="14"/>
        <v>260</v>
      </c>
      <c r="K64" s="80">
        <f t="shared" si="3"/>
        <v>559391</v>
      </c>
      <c r="L64" s="36">
        <f t="shared" si="1"/>
        <v>1611046.08</v>
      </c>
      <c r="M64" s="80">
        <f t="shared" si="4"/>
        <v>62</v>
      </c>
      <c r="X64" s="12">
        <f t="shared" si="5"/>
        <v>-750</v>
      </c>
    </row>
    <row r="65">
      <c r="B65" s="74">
        <v>40238.0</v>
      </c>
      <c r="C65" s="75">
        <v>2.86</v>
      </c>
      <c r="D65" s="75">
        <v>2.9</v>
      </c>
      <c r="E65" s="75">
        <v>3.0</v>
      </c>
      <c r="F65" s="75">
        <v>2.8</v>
      </c>
      <c r="G65" s="75" t="s">
        <v>254</v>
      </c>
      <c r="H65" s="76">
        <v>0.0914</v>
      </c>
      <c r="I65" s="34">
        <f t="shared" si="2"/>
        <v>-750</v>
      </c>
      <c r="J65" s="77">
        <f t="shared" si="14"/>
        <v>262</v>
      </c>
      <c r="K65" s="77">
        <f t="shared" si="3"/>
        <v>559653</v>
      </c>
      <c r="L65" s="34">
        <f t="shared" si="1"/>
        <v>1600607.58</v>
      </c>
      <c r="M65" s="77">
        <f t="shared" si="4"/>
        <v>63</v>
      </c>
      <c r="X65" s="35">
        <f t="shared" si="5"/>
        <v>-750</v>
      </c>
    </row>
    <row r="66">
      <c r="B66" s="74">
        <v>40269.0</v>
      </c>
      <c r="C66" s="75">
        <v>3.1</v>
      </c>
      <c r="D66" s="75">
        <v>2.89</v>
      </c>
      <c r="E66" s="75">
        <v>3.11</v>
      </c>
      <c r="F66" s="75">
        <v>2.82</v>
      </c>
      <c r="G66" s="75" t="s">
        <v>255</v>
      </c>
      <c r="H66" s="76">
        <v>-0.039</v>
      </c>
      <c r="I66" s="36">
        <f t="shared" si="2"/>
        <v>-750</v>
      </c>
      <c r="J66" s="80">
        <f t="shared" si="14"/>
        <v>241</v>
      </c>
      <c r="K66" s="80">
        <f t="shared" si="3"/>
        <v>559894</v>
      </c>
      <c r="L66" s="36">
        <f t="shared" si="1"/>
        <v>1735671.4</v>
      </c>
      <c r="M66" s="80">
        <f t="shared" si="4"/>
        <v>64</v>
      </c>
      <c r="X66" s="12">
        <f t="shared" si="5"/>
        <v>-750</v>
      </c>
    </row>
    <row r="67">
      <c r="B67" s="74">
        <v>40299.0</v>
      </c>
      <c r="C67" s="75">
        <v>2.93</v>
      </c>
      <c r="D67" s="75">
        <v>3.05</v>
      </c>
      <c r="E67" s="75">
        <v>3.21</v>
      </c>
      <c r="F67" s="75">
        <v>2.87</v>
      </c>
      <c r="G67" s="75" t="s">
        <v>256</v>
      </c>
      <c r="H67" s="76">
        <v>0.0354</v>
      </c>
      <c r="I67" s="34">
        <f t="shared" si="2"/>
        <v>-750</v>
      </c>
      <c r="J67" s="77">
        <f>ROUNDDOWN((-I67 + P15*K66)/C67)</f>
        <v>143649</v>
      </c>
      <c r="K67" s="77">
        <f t="shared" si="3"/>
        <v>703543</v>
      </c>
      <c r="L67" s="34">
        <f t="shared" si="1"/>
        <v>2061380.99</v>
      </c>
      <c r="M67" s="77">
        <f t="shared" si="4"/>
        <v>65</v>
      </c>
      <c r="X67" s="35">
        <f t="shared" si="5"/>
        <v>-750</v>
      </c>
    </row>
    <row r="68">
      <c r="B68" s="74">
        <v>40330.0</v>
      </c>
      <c r="C68" s="75">
        <v>2.95</v>
      </c>
      <c r="D68" s="75">
        <v>2.84</v>
      </c>
      <c r="E68" s="75">
        <v>2.99</v>
      </c>
      <c r="F68" s="75">
        <v>2.69</v>
      </c>
      <c r="G68" s="75" t="s">
        <v>257</v>
      </c>
      <c r="H68" s="76">
        <v>0.0645</v>
      </c>
      <c r="I68" s="36">
        <f t="shared" si="2"/>
        <v>-750</v>
      </c>
      <c r="J68" s="80">
        <f t="shared" ref="J68:J74" si="15">-ROUNDDOWN(I68/C68)</f>
        <v>254</v>
      </c>
      <c r="K68" s="80">
        <f t="shared" si="3"/>
        <v>703797</v>
      </c>
      <c r="L68" s="36">
        <f t="shared" si="1"/>
        <v>2076201.15</v>
      </c>
      <c r="M68" s="80">
        <f t="shared" si="4"/>
        <v>66</v>
      </c>
      <c r="X68" s="12">
        <f t="shared" si="5"/>
        <v>-750</v>
      </c>
    </row>
    <row r="69">
      <c r="B69" s="74">
        <v>40360.0</v>
      </c>
      <c r="C69" s="75">
        <v>2.96</v>
      </c>
      <c r="D69" s="75">
        <v>2.91</v>
      </c>
      <c r="E69" s="75">
        <v>3.03</v>
      </c>
      <c r="F69" s="75">
        <v>2.78</v>
      </c>
      <c r="G69" s="75" t="s">
        <v>258</v>
      </c>
      <c r="H69" s="76">
        <v>0.0391</v>
      </c>
      <c r="I69" s="34">
        <f t="shared" si="2"/>
        <v>-750</v>
      </c>
      <c r="J69" s="77">
        <f t="shared" si="15"/>
        <v>253</v>
      </c>
      <c r="K69" s="77">
        <f t="shared" si="3"/>
        <v>704050</v>
      </c>
      <c r="L69" s="34">
        <f t="shared" si="1"/>
        <v>2083988</v>
      </c>
      <c r="M69" s="77">
        <f t="shared" si="4"/>
        <v>67</v>
      </c>
      <c r="X69" s="35">
        <f t="shared" si="5"/>
        <v>-750</v>
      </c>
    </row>
    <row r="70">
      <c r="B70" s="74">
        <v>40391.0</v>
      </c>
      <c r="C70" s="75">
        <v>3.15</v>
      </c>
      <c r="D70" s="75">
        <v>2.98</v>
      </c>
      <c r="E70" s="75">
        <v>3.24</v>
      </c>
      <c r="F70" s="75">
        <v>2.82</v>
      </c>
      <c r="G70" s="75" t="s">
        <v>259</v>
      </c>
      <c r="H70" s="76">
        <v>0.017</v>
      </c>
      <c r="I70" s="36">
        <f t="shared" si="2"/>
        <v>-750</v>
      </c>
      <c r="J70" s="80">
        <f t="shared" si="15"/>
        <v>238</v>
      </c>
      <c r="K70" s="80">
        <f t="shared" si="3"/>
        <v>704288</v>
      </c>
      <c r="L70" s="36">
        <f t="shared" si="1"/>
        <v>2218507.2</v>
      </c>
      <c r="M70" s="80">
        <f t="shared" si="4"/>
        <v>68</v>
      </c>
      <c r="X70" s="12">
        <f t="shared" si="5"/>
        <v>-750</v>
      </c>
    </row>
    <row r="71">
      <c r="B71" s="74">
        <v>40422.0</v>
      </c>
      <c r="C71" s="75">
        <v>3.09</v>
      </c>
      <c r="D71" s="75">
        <v>3.15</v>
      </c>
      <c r="E71" s="75">
        <v>3.26</v>
      </c>
      <c r="F71" s="75">
        <v>2.93</v>
      </c>
      <c r="G71" s="75" t="s">
        <v>260</v>
      </c>
      <c r="H71" s="76">
        <v>0.0</v>
      </c>
      <c r="I71" s="34">
        <f t="shared" si="2"/>
        <v>-750</v>
      </c>
      <c r="J71" s="77">
        <f t="shared" si="15"/>
        <v>242</v>
      </c>
      <c r="K71" s="77">
        <f t="shared" si="3"/>
        <v>704530</v>
      </c>
      <c r="L71" s="34">
        <f t="shared" si="1"/>
        <v>2176997.7</v>
      </c>
      <c r="M71" s="77">
        <f t="shared" si="4"/>
        <v>69</v>
      </c>
      <c r="X71" s="35">
        <f t="shared" si="5"/>
        <v>-750</v>
      </c>
    </row>
    <row r="72">
      <c r="B72" s="74">
        <v>40452.0</v>
      </c>
      <c r="C72" s="75">
        <v>3.37</v>
      </c>
      <c r="D72" s="75">
        <v>3.1</v>
      </c>
      <c r="E72" s="75">
        <v>3.4</v>
      </c>
      <c r="F72" s="75">
        <v>3.05</v>
      </c>
      <c r="G72" s="75" t="s">
        <v>261</v>
      </c>
      <c r="H72" s="76">
        <v>0.1892</v>
      </c>
      <c r="I72" s="36">
        <f t="shared" si="2"/>
        <v>-750</v>
      </c>
      <c r="J72" s="80">
        <f t="shared" si="15"/>
        <v>222</v>
      </c>
      <c r="K72" s="80">
        <f t="shared" si="3"/>
        <v>704752</v>
      </c>
      <c r="L72" s="36">
        <f t="shared" si="1"/>
        <v>2375014.24</v>
      </c>
      <c r="M72" s="80">
        <f t="shared" si="4"/>
        <v>70</v>
      </c>
      <c r="X72" s="12">
        <f t="shared" si="5"/>
        <v>-750</v>
      </c>
    </row>
    <row r="73">
      <c r="B73" s="74">
        <v>40483.0</v>
      </c>
      <c r="C73" s="75">
        <v>3.21</v>
      </c>
      <c r="D73" s="75">
        <v>3.32</v>
      </c>
      <c r="E73" s="75">
        <v>3.43</v>
      </c>
      <c r="F73" s="75">
        <v>3.16</v>
      </c>
      <c r="G73" s="75" t="s">
        <v>262</v>
      </c>
      <c r="H73" s="76">
        <v>-0.0864</v>
      </c>
      <c r="I73" s="34">
        <f t="shared" si="2"/>
        <v>-750</v>
      </c>
      <c r="J73" s="77">
        <f t="shared" si="15"/>
        <v>233</v>
      </c>
      <c r="K73" s="77">
        <f t="shared" si="3"/>
        <v>704985</v>
      </c>
      <c r="L73" s="34">
        <f t="shared" si="1"/>
        <v>2263001.85</v>
      </c>
      <c r="M73" s="77">
        <f t="shared" si="4"/>
        <v>71</v>
      </c>
      <c r="X73" s="35">
        <f t="shared" si="5"/>
        <v>-750</v>
      </c>
    </row>
    <row r="74">
      <c r="B74" s="74">
        <v>40513.0</v>
      </c>
      <c r="C74" s="75">
        <v>3.15</v>
      </c>
      <c r="D74" s="75">
        <v>3.27</v>
      </c>
      <c r="E74" s="75">
        <v>3.37</v>
      </c>
      <c r="F74" s="75">
        <v>3.1</v>
      </c>
      <c r="G74" s="75" t="s">
        <v>263</v>
      </c>
      <c r="H74" s="76">
        <v>0.1571</v>
      </c>
      <c r="I74" s="36">
        <f t="shared" si="2"/>
        <v>-750</v>
      </c>
      <c r="J74" s="80">
        <f t="shared" si="15"/>
        <v>238</v>
      </c>
      <c r="K74" s="80">
        <f t="shared" si="3"/>
        <v>705223</v>
      </c>
      <c r="L74" s="36">
        <f t="shared" si="1"/>
        <v>2221452.45</v>
      </c>
      <c r="M74" s="80">
        <f t="shared" si="4"/>
        <v>72</v>
      </c>
      <c r="X74" s="12">
        <v>923041.4142000001</v>
      </c>
    </row>
    <row r="75">
      <c r="B75" s="74">
        <v>40544.0</v>
      </c>
      <c r="C75" s="75">
        <v>3.23</v>
      </c>
      <c r="D75" s="75">
        <v>3.22</v>
      </c>
      <c r="E75" s="75">
        <v>3.52</v>
      </c>
      <c r="F75" s="75">
        <v>3.19</v>
      </c>
      <c r="G75" s="75" t="s">
        <v>264</v>
      </c>
      <c r="H75" s="76">
        <v>-0.1026</v>
      </c>
      <c r="I75" s="34">
        <f>L75</f>
        <v>3208339.62</v>
      </c>
      <c r="J75" s="77">
        <f>ROUNDDOWN(P16*K74/C75)</f>
        <v>288071</v>
      </c>
      <c r="K75" s="77">
        <f t="shared" si="3"/>
        <v>993294</v>
      </c>
      <c r="L75" s="34">
        <f>K75 * C75</f>
        <v>3208339.62</v>
      </c>
      <c r="M75" s="77">
        <f t="shared" si="4"/>
        <v>73</v>
      </c>
    </row>
  </sheetData>
  <drawing r:id="rId1"/>
  <tableParts count="4">
    <tablePart r:id="rId6"/>
    <tablePart r:id="rId7"/>
    <tablePart r:id="rId8"/>
    <tablePart r:id="rId9"/>
  </tableParts>
</worksheet>
</file>