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/>
  <mc:AlternateContent xmlns:mc="http://schemas.openxmlformats.org/markup-compatibility/2006">
    <mc:Choice Requires="x15">
      <x15ac:absPath xmlns:x15ac="http://schemas.microsoft.com/office/spreadsheetml/2010/11/ac" url="C:\Users\Jeremy Demortier\EDFLS Dropbox\Dossier de l'équipe EDFLS\04 - EPC PROJECTS\Kortrijk\91-Finances\Facturation\Q4-2022\"/>
    </mc:Choice>
  </mc:AlternateContent>
  <xr:revisionPtr revIDLastSave="0" documentId="8_{52256AAA-172B-4646-A7E0-BB9EADCBA8D7}" xr6:coauthVersionLast="47" xr6:coauthVersionMax="47" xr10:uidLastSave="{00000000-0000-0000-0000-000000000000}"/>
  <bookViews>
    <workbookView xWindow="-108" yWindow="-108" windowWidth="23256" windowHeight="12576" xr2:uid="{983B21B6-A462-462C-BCFB-C1666EC07049}"/>
  </bookViews>
  <sheets>
    <sheet name="Facturatie KORTRIJK" sheetId="1" r:id="rId1"/>
    <sheet name="Indexatiewaardes" sheetId="3" r:id="rId2"/>
  </sheets>
  <definedNames>
    <definedName name="Valeur_M">Valeur_I[]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7" i="1"/>
  <c r="F20" i="1"/>
  <c r="L43" i="1"/>
  <c r="Y7" i="1"/>
  <c r="U7" i="1"/>
  <c r="P7" i="1"/>
  <c r="Q7" i="1" s="1"/>
  <c r="L7" i="1"/>
  <c r="AA7" i="1" l="1"/>
  <c r="U20" i="1"/>
  <c r="Y20" i="1"/>
  <c r="Q20" i="1"/>
  <c r="P20" i="1"/>
  <c r="P21" i="1"/>
  <c r="P17" i="1" l="1"/>
  <c r="Q17" i="1" s="1"/>
  <c r="P16" i="1"/>
  <c r="Q16" i="1" s="1"/>
  <c r="P15" i="1"/>
  <c r="Q15" i="1" s="1"/>
  <c r="P14" i="1"/>
  <c r="Q14" i="1" s="1"/>
  <c r="L15" i="1"/>
  <c r="L17" i="1"/>
  <c r="Y13" i="1"/>
  <c r="U13" i="1"/>
  <c r="P13" i="1"/>
  <c r="Q13" i="1" s="1"/>
  <c r="Y12" i="1"/>
  <c r="U12" i="1"/>
  <c r="P12" i="1"/>
  <c r="Q12" i="1" s="1"/>
  <c r="Y11" i="1"/>
  <c r="U11" i="1"/>
  <c r="P11" i="1"/>
  <c r="Q11" i="1" s="1"/>
  <c r="Y8" i="1"/>
  <c r="Y9" i="1"/>
  <c r="Y10" i="1"/>
  <c r="U8" i="1"/>
  <c r="U9" i="1"/>
  <c r="U10" i="1"/>
  <c r="P9" i="1"/>
  <c r="Q9" i="1" s="1"/>
  <c r="P10" i="1"/>
  <c r="Q10" i="1" s="1"/>
  <c r="P8" i="1"/>
  <c r="Q8" i="1" s="1"/>
  <c r="Y15" i="1" l="1"/>
  <c r="U15" i="1"/>
  <c r="Y14" i="1"/>
  <c r="U14" i="1"/>
  <c r="L14" i="1"/>
  <c r="AA13" i="1"/>
  <c r="L13" i="1"/>
  <c r="AA15" i="1" l="1"/>
  <c r="AA14" i="1"/>
  <c r="B79" i="1"/>
  <c r="C79" i="1"/>
  <c r="B80" i="1"/>
  <c r="C80" i="1"/>
  <c r="Y19" i="1"/>
  <c r="U19" i="1"/>
  <c r="P19" i="1"/>
  <c r="Q19" i="1" s="1"/>
  <c r="L20" i="1"/>
  <c r="L19" i="1"/>
  <c r="L18" i="1"/>
  <c r="J80" i="1" l="1"/>
  <c r="K80" i="1"/>
  <c r="K79" i="1"/>
  <c r="J79" i="1"/>
  <c r="F79" i="1" s="1"/>
  <c r="AA20" i="1"/>
  <c r="L80" i="1" s="1"/>
  <c r="AA19" i="1"/>
  <c r="D80" i="1"/>
  <c r="D79" i="1"/>
  <c r="L23" i="1"/>
  <c r="L16" i="1"/>
  <c r="L12" i="1"/>
  <c r="L11" i="1"/>
  <c r="L10" i="1"/>
  <c r="L9" i="1"/>
  <c r="L8" i="1"/>
  <c r="G79" i="1" l="1"/>
  <c r="E79" i="1"/>
  <c r="G80" i="1"/>
  <c r="E80" i="1"/>
  <c r="F80" i="1"/>
  <c r="L79" i="1"/>
  <c r="C81" i="1"/>
  <c r="C78" i="1"/>
  <c r="C77" i="1"/>
  <c r="C76" i="1"/>
  <c r="C75" i="1"/>
  <c r="C74" i="1"/>
  <c r="C73" i="1"/>
  <c r="C72" i="1"/>
  <c r="C71" i="1"/>
  <c r="C70" i="1"/>
  <c r="C69" i="1"/>
  <c r="C68" i="1"/>
  <c r="C67" i="1"/>
  <c r="B81" i="1"/>
  <c r="B78" i="1"/>
  <c r="B77" i="1"/>
  <c r="B76" i="1"/>
  <c r="B75" i="1"/>
  <c r="B74" i="1"/>
  <c r="B73" i="1"/>
  <c r="B72" i="1"/>
  <c r="B71" i="1"/>
  <c r="B70" i="1"/>
  <c r="B69" i="1"/>
  <c r="B68" i="1"/>
  <c r="B67" i="1"/>
  <c r="AA23" i="1"/>
  <c r="Y23" i="1"/>
  <c r="Y18" i="1"/>
  <c r="Y17" i="1"/>
  <c r="Y16" i="1"/>
  <c r="U23" i="1"/>
  <c r="U18" i="1"/>
  <c r="U17" i="1"/>
  <c r="U16" i="1"/>
  <c r="Q23" i="1"/>
  <c r="P23" i="1"/>
  <c r="I23" i="1"/>
  <c r="J67" i="1" l="1"/>
  <c r="I79" i="1"/>
  <c r="I80" i="1"/>
  <c r="N80" i="1" s="1"/>
  <c r="O80" i="1" s="1"/>
  <c r="N79" i="1"/>
  <c r="O79" i="1" s="1"/>
  <c r="K75" i="1"/>
  <c r="J75" i="1"/>
  <c r="J76" i="1"/>
  <c r="K76" i="1"/>
  <c r="J78" i="1"/>
  <c r="K78" i="1"/>
  <c r="J77" i="1"/>
  <c r="K77" i="1"/>
  <c r="AA16" i="1"/>
  <c r="AA11" i="1"/>
  <c r="L71" i="1" s="1"/>
  <c r="AA8" i="1"/>
  <c r="L68" i="1" s="1"/>
  <c r="AA10" i="1"/>
  <c r="L70" i="1" s="1"/>
  <c r="AA12" i="1"/>
  <c r="L72" i="1" s="1"/>
  <c r="AA9" i="1"/>
  <c r="L69" i="1" s="1"/>
  <c r="AA17" i="1"/>
  <c r="AA18" i="1"/>
  <c r="L73" i="1"/>
  <c r="L67" i="1"/>
  <c r="L81" i="1"/>
  <c r="O81" i="1"/>
  <c r="N81" i="1"/>
  <c r="G81" i="1"/>
  <c r="F81" i="1"/>
  <c r="E81" i="1"/>
  <c r="D81" i="1"/>
  <c r="L76" i="1" l="1"/>
  <c r="L75" i="1"/>
  <c r="L74" i="1"/>
  <c r="L78" i="1"/>
  <c r="L77" i="1"/>
  <c r="I81" i="1"/>
  <c r="K81" i="1"/>
  <c r="K74" i="1"/>
  <c r="K73" i="1"/>
  <c r="K72" i="1"/>
  <c r="K71" i="1"/>
  <c r="K70" i="1"/>
  <c r="K69" i="1"/>
  <c r="K68" i="1"/>
  <c r="K67" i="1"/>
  <c r="J81" i="1"/>
  <c r="J74" i="1"/>
  <c r="J73" i="1"/>
  <c r="J72" i="1"/>
  <c r="J71" i="1"/>
  <c r="J70" i="1"/>
  <c r="J69" i="1"/>
  <c r="J68" i="1"/>
  <c r="G78" i="1" l="1"/>
  <c r="G71" i="1"/>
  <c r="G72" i="1"/>
  <c r="G73" i="1"/>
  <c r="G68" i="1"/>
  <c r="G70" i="1"/>
  <c r="G74" i="1"/>
  <c r="G75" i="1"/>
  <c r="G76" i="1"/>
  <c r="G77" i="1"/>
  <c r="G69" i="1"/>
  <c r="G67" i="1"/>
  <c r="C63" i="1"/>
  <c r="E45" i="1" l="1"/>
  <c r="D45" i="1"/>
  <c r="C45" i="1" s="1"/>
  <c r="G45" i="1" s="1"/>
  <c r="W40" i="1"/>
  <c r="G43" i="1"/>
  <c r="G44" i="1"/>
  <c r="G42" i="1"/>
  <c r="C40" i="1"/>
  <c r="E42" i="1" s="1"/>
  <c r="J42" i="1" s="1"/>
  <c r="U42" i="1" l="1"/>
  <c r="T42" i="1"/>
  <c r="S42" i="1"/>
  <c r="E44" i="1"/>
  <c r="J44" i="1" s="1"/>
  <c r="E43" i="1"/>
  <c r="J43" i="1" s="1"/>
  <c r="S43" i="1" s="1"/>
  <c r="D44" i="1"/>
  <c r="F67" i="1" s="1"/>
  <c r="D42" i="1"/>
  <c r="D67" i="1" s="1"/>
  <c r="D43" i="1"/>
  <c r="E77" i="1" s="1"/>
  <c r="D77" i="1" l="1"/>
  <c r="D76" i="1"/>
  <c r="D78" i="1"/>
  <c r="D74" i="1"/>
  <c r="D75" i="1"/>
  <c r="F76" i="1"/>
  <c r="F78" i="1"/>
  <c r="F74" i="1"/>
  <c r="F77" i="1"/>
  <c r="F75" i="1"/>
  <c r="E76" i="1"/>
  <c r="E75" i="1"/>
  <c r="E78" i="1"/>
  <c r="E74" i="1"/>
  <c r="I44" i="1"/>
  <c r="F70" i="1"/>
  <c r="F69" i="1"/>
  <c r="F73" i="1"/>
  <c r="F72" i="1"/>
  <c r="F71" i="1"/>
  <c r="F68" i="1"/>
  <c r="I43" i="1"/>
  <c r="E72" i="1"/>
  <c r="E69" i="1"/>
  <c r="E73" i="1"/>
  <c r="E70" i="1"/>
  <c r="E67" i="1"/>
  <c r="E71" i="1"/>
  <c r="E68" i="1"/>
  <c r="T43" i="1"/>
  <c r="I42" i="1"/>
  <c r="D71" i="1"/>
  <c r="D70" i="1"/>
  <c r="D69" i="1"/>
  <c r="D68" i="1"/>
  <c r="D73" i="1"/>
  <c r="D72" i="1"/>
  <c r="U43" i="1"/>
  <c r="T44" i="1"/>
  <c r="U44" i="1"/>
  <c r="S44" i="1"/>
  <c r="I75" i="1" l="1"/>
  <c r="N75" i="1" s="1"/>
  <c r="O75" i="1" s="1"/>
  <c r="I74" i="1"/>
  <c r="N74" i="1" s="1"/>
  <c r="O74" i="1" s="1"/>
  <c r="I78" i="1"/>
  <c r="N78" i="1" s="1"/>
  <c r="O78" i="1" s="1"/>
  <c r="I76" i="1"/>
  <c r="N76" i="1" s="1"/>
  <c r="O76" i="1" s="1"/>
  <c r="I77" i="1"/>
  <c r="N77" i="1" s="1"/>
  <c r="O77" i="1" s="1"/>
  <c r="I69" i="1"/>
  <c r="N69" i="1" s="1"/>
  <c r="I72" i="1"/>
  <c r="N72" i="1" s="1"/>
  <c r="I73" i="1"/>
  <c r="N73" i="1" s="1"/>
  <c r="I68" i="1"/>
  <c r="N68" i="1" s="1"/>
  <c r="I70" i="1"/>
  <c r="N70" i="1" s="1"/>
  <c r="I71" i="1"/>
  <c r="N71" i="1" s="1"/>
  <c r="I67" i="1"/>
  <c r="N67" i="1" s="1"/>
  <c r="O67" i="1" l="1"/>
  <c r="O73" i="1"/>
  <c r="O68" i="1"/>
  <c r="O71" i="1"/>
  <c r="O70" i="1"/>
  <c r="O69" i="1"/>
  <c r="O72" i="1"/>
</calcChain>
</file>

<file path=xl/sharedStrings.xml><?xml version="1.0" encoding="utf-8"?>
<sst xmlns="http://schemas.openxmlformats.org/spreadsheetml/2006/main" count="134" uniqueCount="96">
  <si>
    <t>Facturatie Warmtelevering - KORTRIJK</t>
  </si>
  <si>
    <t>INPUT</t>
  </si>
  <si>
    <t>1. TOTALE AFNAME AARDGAS</t>
  </si>
  <si>
    <t>2. DIRECT GASVERBRUIK KEUKEN</t>
  </si>
  <si>
    <t>3.A) AFNAME WARMTE - LOKAAL WARMTENET</t>
  </si>
  <si>
    <t>3.B) AFNAME WARMTE - ZWEMBAD (S&amp;R)</t>
  </si>
  <si>
    <t>TOTAAL</t>
  </si>
  <si>
    <t>Nr.</t>
  </si>
  <si>
    <t>Datum [VAN]</t>
  </si>
  <si>
    <t>Datum [TOT]</t>
  </si>
  <si>
    <t>Factuurdatum</t>
  </si>
  <si>
    <t>Factuurref.</t>
  </si>
  <si>
    <t>Meterstand [BEGIN]</t>
  </si>
  <si>
    <t>Meterstand [EINDE]</t>
  </si>
  <si>
    <t>Verbruik (m³)</t>
  </si>
  <si>
    <t>Verbruik (MWh)</t>
  </si>
  <si>
    <t>Factuurbedrag (Excl. BTW)</t>
  </si>
  <si>
    <t xml:space="preserve">Eenheidsprijs </t>
  </si>
  <si>
    <t>TOTALE AFNAME WARMTE (MWh)</t>
  </si>
  <si>
    <t>2009420255</t>
  </si>
  <si>
    <t xml:space="preserve"> 2009420256</t>
  </si>
  <si>
    <t>3006540748</t>
  </si>
  <si>
    <t>2009694968</t>
  </si>
  <si>
    <t>3152945176</t>
  </si>
  <si>
    <t>6366727124</t>
  </si>
  <si>
    <t>9446740471</t>
  </si>
  <si>
    <t>8886849399</t>
  </si>
  <si>
    <t>9446801733</t>
  </si>
  <si>
    <t>7486889643</t>
  </si>
  <si>
    <t>8193170894</t>
  </si>
  <si>
    <t>BASISPARAMETERS</t>
  </si>
  <si>
    <t>AFNEMERS</t>
  </si>
  <si>
    <t>Klant</t>
  </si>
  <si>
    <t>Adres Afname</t>
  </si>
  <si>
    <t>S&amp;R KORTRIJK-ZWEVEGEM NV</t>
  </si>
  <si>
    <t>Lago Kortrijk-Weide, Nelson Mandelaplein 19, 8500 Kortrijk</t>
  </si>
  <si>
    <t>S&amp;R</t>
  </si>
  <si>
    <t>HANGAR-K VZW</t>
  </si>
  <si>
    <t>Hangar-K, Nelson Mandelaplein 2, 8500 Kortrijk</t>
  </si>
  <si>
    <t>Collectief</t>
  </si>
  <si>
    <t>STAD KORTRIJK - JC TRANZIT</t>
  </si>
  <si>
    <t>JC Tranzit, Nelson Mandelaplein 17, 8500 Kortrijk</t>
  </si>
  <si>
    <t>STAD KORTRIJK - AGB SOK</t>
  </si>
  <si>
    <t>Fuifzaal Depart - AGB Sok, Nelson Mandelaplein 18, 8500 Kortrijk</t>
  </si>
  <si>
    <t>KOSTPRIJSONDERDELEN</t>
  </si>
  <si>
    <t>VASTE KOST</t>
  </si>
  <si>
    <r>
      <rPr>
        <b/>
        <sz val="11"/>
        <color theme="0" tint="-0.499984740745262"/>
        <rFont val="Calibri"/>
        <family val="2"/>
        <scheme val="minor"/>
      </rPr>
      <t>Q</t>
    </r>
    <r>
      <rPr>
        <sz val="9"/>
        <color theme="0" tint="-0.499984740745262"/>
        <rFont val="Calibri"/>
        <family val="2"/>
        <scheme val="minor"/>
      </rPr>
      <t>verbruiker (kW)</t>
    </r>
  </si>
  <si>
    <t>/</t>
  </si>
  <si>
    <r>
      <rPr>
        <b/>
        <sz val="11"/>
        <color theme="0" tint="-0.499984740745262"/>
        <rFont val="Calibri"/>
        <family val="2"/>
        <scheme val="minor"/>
      </rPr>
      <t>Q</t>
    </r>
    <r>
      <rPr>
        <sz val="10"/>
        <color theme="0" tint="-0.499984740745262"/>
        <rFont val="Calibri"/>
        <family val="2"/>
        <scheme val="minor"/>
      </rPr>
      <t>afnemers (kW)</t>
    </r>
  </si>
  <si>
    <t>Ratio verdeling</t>
  </si>
  <si>
    <t>Per jaar</t>
  </si>
  <si>
    <t>Per maand</t>
  </si>
  <si>
    <t>----&gt; VERDELING VASTE KOST COLLECTIEF:</t>
  </si>
  <si>
    <t>HANGAR-K</t>
  </si>
  <si>
    <t>JC TRANZIT</t>
  </si>
  <si>
    <t>AGB SOK</t>
  </si>
  <si>
    <t>Inv</t>
  </si>
  <si>
    <r>
      <t>P</t>
    </r>
    <r>
      <rPr>
        <b/>
        <sz val="8"/>
        <rFont val="Calibri"/>
        <family val="2"/>
        <scheme val="minor"/>
      </rPr>
      <t>ond</t>
    </r>
  </si>
  <si>
    <r>
      <t>P</t>
    </r>
    <r>
      <rPr>
        <b/>
        <sz val="8"/>
        <rFont val="Calibri"/>
        <family val="2"/>
        <scheme val="minor"/>
      </rPr>
      <t>wb</t>
    </r>
  </si>
  <si>
    <t>Adm</t>
  </si>
  <si>
    <t>PRIJSHERZIENING</t>
  </si>
  <si>
    <t>Formule:</t>
  </si>
  <si>
    <t>p = P [a (S/S0) + b (M/M0) + c]</t>
  </si>
  <si>
    <t>S:</t>
  </si>
  <si>
    <t>Salarisindex zoals bepaald door de Confederatie Bouw voor de bouw, overeenstemmend met</t>
  </si>
  <si>
    <t>het regime van de sociale lasten D (+20) op het moment van berekening;</t>
  </si>
  <si>
    <t>Coëfficienten</t>
  </si>
  <si>
    <t>a</t>
  </si>
  <si>
    <t>b</t>
  </si>
  <si>
    <t>c</t>
  </si>
  <si>
    <t>S0:</t>
  </si>
  <si>
    <t>het regime van de sociale lasten D (+20) bij opmaak van de offerte in juli 2016; bepaald op</t>
  </si>
  <si>
    <t>M:</t>
  </si>
  <si>
    <t>Materiaalindex MM zoals bepaald door de Confederatie Bouw welke specifiek is opgesteld voor</t>
  </si>
  <si>
    <t>werken betreffende centrale verwarming op het moment van berekening;</t>
  </si>
  <si>
    <t>M0:</t>
  </si>
  <si>
    <t>werken betreffende centrale verwarming bij opmaak van de offerte in juni 2016, bepaald op</t>
  </si>
  <si>
    <t>FACTURATIE</t>
  </si>
  <si>
    <t>KLANT:</t>
  </si>
  <si>
    <r>
      <t>P</t>
    </r>
    <r>
      <rPr>
        <b/>
        <sz val="10"/>
        <color theme="1" tint="0.34998626667073579"/>
        <rFont val="Calibri"/>
        <family val="2"/>
        <scheme val="minor"/>
      </rPr>
      <t>ond</t>
    </r>
  </si>
  <si>
    <r>
      <t>P</t>
    </r>
    <r>
      <rPr>
        <b/>
        <sz val="10"/>
        <color theme="1" tint="0.34998626667073579"/>
        <rFont val="Calibri"/>
        <family val="2"/>
        <scheme val="minor"/>
      </rPr>
      <t>wb</t>
    </r>
  </si>
  <si>
    <r>
      <t>K</t>
    </r>
    <r>
      <rPr>
        <b/>
        <sz val="10"/>
        <rFont val="Calibri"/>
        <family val="2"/>
        <scheme val="minor"/>
      </rPr>
      <t>vast</t>
    </r>
  </si>
  <si>
    <t>S</t>
  </si>
  <si>
    <t>M</t>
  </si>
  <si>
    <r>
      <t>K</t>
    </r>
    <r>
      <rPr>
        <b/>
        <sz val="10"/>
        <rFont val="Calibri"/>
        <family val="2"/>
        <scheme val="minor"/>
      </rPr>
      <t>variabel</t>
    </r>
  </si>
  <si>
    <r>
      <t>K</t>
    </r>
    <r>
      <rPr>
        <b/>
        <sz val="9"/>
        <rFont val="Calibri"/>
        <family val="2"/>
        <scheme val="minor"/>
      </rPr>
      <t>vast</t>
    </r>
    <r>
      <rPr>
        <b/>
        <sz val="10"/>
        <rFont val="Calibri"/>
        <family val="2"/>
        <scheme val="minor"/>
      </rPr>
      <t xml:space="preserve"> + K</t>
    </r>
    <r>
      <rPr>
        <b/>
        <sz val="9"/>
        <rFont val="Calibri"/>
        <family val="2"/>
        <scheme val="minor"/>
      </rPr>
      <t>variabel</t>
    </r>
  </si>
  <si>
    <t>Eenheidsprijs</t>
  </si>
  <si>
    <t>Invoiced?</t>
  </si>
  <si>
    <t>Prijsherziening</t>
  </si>
  <si>
    <t>Source:</t>
  </si>
  <si>
    <t>https://economie.fgov.be/fr/themes/entreprises/secteurs-specifiques/qualite-dans-la-construction/adaptation-des-prix-lindex</t>
  </si>
  <si>
    <t>https://economie.fgov.be/nl/themas/ondernemingen/specifieke-sectoren/kwaliteit-de-bouw/prijsherzieningsindexen</t>
  </si>
  <si>
    <t>Indice 'S'</t>
  </si>
  <si>
    <t>Indice 'M'</t>
  </si>
  <si>
    <t>Mois</t>
  </si>
  <si>
    <t>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</si>
</sst>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&quot;€&quot;"/>
    <numFmt numFmtId="165" formatCode="#,##0.000"/>
    <numFmt numFmtId="166" formatCode="0.0;\-0.0;\-"/>
    <numFmt numFmtId="167" formatCode="mm/yyyy"/>
    <numFmt numFmtId="168" formatCode="0.000"/>
    <numFmt numFmtId="169" formatCode="#,##0.000\ &quot;€&quot;"/>
    <numFmt numFmtId="170" formatCode="#,##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4"/>
      <name val="Calibri Light"/>
      <family val="2"/>
      <scheme val="major"/>
    </font>
    <font>
      <b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 Light"/>
      <family val="2"/>
      <scheme val="major"/>
    </font>
    <font>
      <b/>
      <sz val="12"/>
      <name val="Calibri"/>
      <family val="2"/>
      <scheme val="minor"/>
    </font>
    <font>
      <sz val="12"/>
      <name val="Calibri Light"/>
      <family val="2"/>
      <scheme val="major"/>
    </font>
    <font>
      <b/>
      <i/>
      <sz val="11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23" fillId="0" borderId="0" applyNumberFormat="0" applyFill="0" applyBorder="0" applyAlignment="0" applyProtection="0"/>
  </cellStyleXfs>
  <cellXfs count="22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13" xfId="1" applyFont="1" applyBorder="1" applyAlignment="1">
      <alignment horizontal="left"/>
    </xf>
    <xf numFmtId="0" fontId="4" fillId="0" borderId="13" xfId="1" applyFont="1" applyBorder="1"/>
    <xf numFmtId="0" fontId="5" fillId="0" borderId="13" xfId="0" applyFont="1" applyBorder="1"/>
    <xf numFmtId="0" fontId="5" fillId="0" borderId="13" xfId="0" applyFont="1" applyBorder="1" applyAlignment="1">
      <alignment horizontal="right"/>
    </xf>
    <xf numFmtId="0" fontId="7" fillId="0" borderId="0" xfId="0" applyFont="1"/>
    <xf numFmtId="4" fontId="4" fillId="0" borderId="13" xfId="1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4" fontId="4" fillId="0" borderId="13" xfId="1" applyNumberFormat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0" fontId="4" fillId="0" borderId="13" xfId="1" applyFont="1" applyBorder="1" applyAlignment="1">
      <alignment horizontal="right"/>
    </xf>
    <xf numFmtId="165" fontId="4" fillId="0" borderId="13" xfId="1" applyNumberFormat="1" applyFont="1" applyBorder="1" applyAlignment="1">
      <alignment horizontal="right"/>
    </xf>
    <xf numFmtId="164" fontId="4" fillId="0" borderId="13" xfId="1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6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8" fillId="5" borderId="8" xfId="0" applyFont="1" applyFill="1" applyBorder="1" applyAlignment="1">
      <alignment horizontal="center" wrapText="1"/>
    </xf>
    <xf numFmtId="14" fontId="8" fillId="5" borderId="9" xfId="0" applyNumberFormat="1" applyFont="1" applyFill="1" applyBorder="1" applyAlignment="1">
      <alignment horizontal="center" wrapText="1"/>
    </xf>
    <xf numFmtId="4" fontId="8" fillId="5" borderId="9" xfId="0" applyNumberFormat="1" applyFont="1" applyFill="1" applyBorder="1" applyAlignment="1">
      <alignment horizontal="right" wrapText="1"/>
    </xf>
    <xf numFmtId="0" fontId="8" fillId="5" borderId="9" xfId="0" applyFont="1" applyFill="1" applyBorder="1" applyAlignment="1">
      <alignment horizontal="right" wrapText="1"/>
    </xf>
    <xf numFmtId="164" fontId="8" fillId="5" borderId="10" xfId="0" applyNumberFormat="1" applyFont="1" applyFill="1" applyBorder="1" applyAlignment="1">
      <alignment horizontal="right" wrapText="1"/>
    </xf>
    <xf numFmtId="0" fontId="8" fillId="0" borderId="0" xfId="0" applyFont="1" applyAlignment="1">
      <alignment wrapText="1"/>
    </xf>
    <xf numFmtId="4" fontId="8" fillId="5" borderId="8" xfId="0" applyNumberFormat="1" applyFont="1" applyFill="1" applyBorder="1" applyAlignment="1">
      <alignment horizontal="right" wrapText="1"/>
    </xf>
    <xf numFmtId="165" fontId="8" fillId="5" borderId="10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right" wrapText="1"/>
    </xf>
    <xf numFmtId="0" fontId="8" fillId="5" borderId="7" xfId="0" applyFont="1" applyFill="1" applyBorder="1" applyAlignment="1">
      <alignment horizontal="right" wrapText="1"/>
    </xf>
    <xf numFmtId="0" fontId="0" fillId="5" borderId="15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0" fillId="5" borderId="19" xfId="0" applyFill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" fontId="0" fillId="0" borderId="20" xfId="0" applyNumberFormat="1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165" fontId="0" fillId="0" borderId="21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4" fontId="0" fillId="0" borderId="5" xfId="0" applyNumberForma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14" fontId="0" fillId="0" borderId="23" xfId="0" applyNumberFormat="1" applyBorder="1" applyAlignment="1">
      <alignment horizontal="left"/>
    </xf>
    <xf numFmtId="14" fontId="0" fillId="0" borderId="24" xfId="0" applyNumberFormat="1" applyBorder="1" applyAlignment="1">
      <alignment horizontal="center"/>
    </xf>
    <xf numFmtId="49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right"/>
    </xf>
    <xf numFmtId="49" fontId="0" fillId="0" borderId="23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right"/>
    </xf>
    <xf numFmtId="0" fontId="0" fillId="0" borderId="24" xfId="0" applyBorder="1" applyAlignment="1">
      <alignment horizontal="right"/>
    </xf>
    <xf numFmtId="14" fontId="8" fillId="5" borderId="8" xfId="0" applyNumberFormat="1" applyFont="1" applyFill="1" applyBorder="1" applyAlignment="1">
      <alignment horizontal="left"/>
    </xf>
    <xf numFmtId="14" fontId="8" fillId="5" borderId="10" xfId="0" applyNumberFormat="1" applyFont="1" applyFill="1" applyBorder="1" applyAlignment="1">
      <alignment horizontal="center"/>
    </xf>
    <xf numFmtId="49" fontId="8" fillId="5" borderId="8" xfId="0" applyNumberFormat="1" applyFont="1" applyFill="1" applyBorder="1" applyAlignment="1">
      <alignment horizontal="center"/>
    </xf>
    <xf numFmtId="49" fontId="8" fillId="5" borderId="9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horizontal="right"/>
    </xf>
    <xf numFmtId="0" fontId="8" fillId="5" borderId="10" xfId="0" applyFont="1" applyFill="1" applyBorder="1" applyAlignment="1">
      <alignment horizontal="right"/>
    </xf>
    <xf numFmtId="0" fontId="3" fillId="0" borderId="0" xfId="0" applyFont="1"/>
    <xf numFmtId="14" fontId="0" fillId="0" borderId="19" xfId="0" applyNumberFormat="1" applyBorder="1" applyAlignment="1">
      <alignment horizontal="left"/>
    </xf>
    <xf numFmtId="14" fontId="0" fillId="0" borderId="21" xfId="0" applyNumberFormat="1" applyBorder="1" applyAlignment="1">
      <alignment horizontal="center"/>
    </xf>
    <xf numFmtId="49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14" fontId="0" fillId="0" borderId="27" xfId="0" applyNumberFormat="1" applyBorder="1" applyAlignment="1">
      <alignment horizontal="left"/>
    </xf>
    <xf numFmtId="14" fontId="0" fillId="0" borderId="28" xfId="0" applyNumberFormat="1" applyBorder="1" applyAlignment="1">
      <alignment horizontal="center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center"/>
    </xf>
    <xf numFmtId="4" fontId="0" fillId="0" borderId="29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165" fontId="10" fillId="9" borderId="26" xfId="0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5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1" fillId="0" borderId="0" xfId="0" applyFont="1"/>
    <xf numFmtId="14" fontId="13" fillId="5" borderId="14" xfId="0" applyNumberFormat="1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0" fillId="0" borderId="0" xfId="0" applyFont="1"/>
    <xf numFmtId="3" fontId="11" fillId="0" borderId="0" xfId="0" applyNumberFormat="1" applyFont="1" applyAlignment="1">
      <alignment horizontal="right"/>
    </xf>
    <xf numFmtId="14" fontId="13" fillId="5" borderId="30" xfId="0" applyNumberFormat="1" applyFont="1" applyFill="1" applyBorder="1" applyAlignment="1">
      <alignment horizontal="right"/>
    </xf>
    <xf numFmtId="0" fontId="8" fillId="5" borderId="9" xfId="0" applyFont="1" applyFill="1" applyBorder="1" applyAlignment="1">
      <alignment horizontal="right"/>
    </xf>
    <xf numFmtId="49" fontId="8" fillId="5" borderId="10" xfId="0" applyNumberFormat="1" applyFont="1" applyFill="1" applyBorder="1" applyAlignment="1">
      <alignment horizontal="right"/>
    </xf>
    <xf numFmtId="164" fontId="14" fillId="0" borderId="31" xfId="0" applyNumberFormat="1" applyFon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14" fillId="0" borderId="32" xfId="0" applyNumberFormat="1" applyFon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24" xfId="0" applyNumberFormat="1" applyBorder="1" applyAlignment="1">
      <alignment horizontal="right"/>
    </xf>
    <xf numFmtId="164" fontId="13" fillId="0" borderId="31" xfId="0" applyNumberFormat="1" applyFont="1" applyBorder="1" applyAlignment="1">
      <alignment horizontal="right"/>
    </xf>
    <xf numFmtId="164" fontId="13" fillId="0" borderId="32" xfId="0" applyNumberFormat="1" applyFont="1" applyBorder="1" applyAlignment="1">
      <alignment horizontal="right"/>
    </xf>
    <xf numFmtId="14" fontId="16" fillId="0" borderId="7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165" fontId="10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17" fillId="0" borderId="35" xfId="0" applyFont="1" applyBorder="1" applyAlignment="1">
      <alignment horizontal="center"/>
    </xf>
    <xf numFmtId="0" fontId="20" fillId="0" borderId="33" xfId="0" quotePrefix="1" applyFont="1" applyBorder="1" applyAlignment="1">
      <alignment horizontal="center"/>
    </xf>
    <xf numFmtId="0" fontId="20" fillId="0" borderId="35" xfId="0" quotePrefix="1" applyFont="1" applyBorder="1" applyAlignment="1">
      <alignment horizontal="center"/>
    </xf>
    <xf numFmtId="0" fontId="13" fillId="5" borderId="36" xfId="0" applyFont="1" applyFill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13" fillId="5" borderId="8" xfId="0" applyFont="1" applyFill="1" applyBorder="1"/>
    <xf numFmtId="0" fontId="13" fillId="5" borderId="9" xfId="0" applyFont="1" applyFill="1" applyBorder="1" applyAlignment="1">
      <alignment horizontal="right"/>
    </xf>
    <xf numFmtId="165" fontId="13" fillId="5" borderId="10" xfId="0" applyNumberFormat="1" applyFont="1" applyFill="1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9" xfId="0" applyBorder="1" applyAlignment="1">
      <alignment horizontal="right"/>
    </xf>
    <xf numFmtId="14" fontId="13" fillId="5" borderId="22" xfId="0" applyNumberFormat="1" applyFont="1" applyFill="1" applyBorder="1" applyAlignment="1">
      <alignment horizontal="center"/>
    </xf>
    <xf numFmtId="164" fontId="14" fillId="0" borderId="39" xfId="0" applyNumberFormat="1" applyFont="1" applyBorder="1" applyAlignment="1">
      <alignment horizontal="right"/>
    </xf>
    <xf numFmtId="164" fontId="0" fillId="0" borderId="40" xfId="0" applyNumberFormat="1" applyBorder="1" applyAlignment="1">
      <alignment horizontal="right"/>
    </xf>
    <xf numFmtId="164" fontId="0" fillId="0" borderId="41" xfId="0" applyNumberFormat="1" applyBorder="1" applyAlignment="1">
      <alignment horizontal="right"/>
    </xf>
    <xf numFmtId="164" fontId="13" fillId="0" borderId="39" xfId="0" applyNumberFormat="1" applyFont="1" applyBorder="1" applyAlignment="1">
      <alignment horizontal="right"/>
    </xf>
    <xf numFmtId="0" fontId="10" fillId="0" borderId="0" xfId="0" quotePrefix="1" applyFont="1" applyAlignment="1">
      <alignment horizontal="left" indent="4"/>
    </xf>
    <xf numFmtId="14" fontId="3" fillId="5" borderId="7" xfId="0" applyNumberFormat="1" applyFon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49" fontId="3" fillId="5" borderId="7" xfId="0" applyNumberFormat="1" applyFont="1" applyFill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4" fontId="0" fillId="2" borderId="1" xfId="2" applyNumberFormat="1" applyFont="1" applyAlignment="1">
      <alignment horizontal="left"/>
    </xf>
    <xf numFmtId="0" fontId="0" fillId="2" borderId="1" xfId="2" applyFont="1" applyAlignment="1">
      <alignment horizontal="center"/>
    </xf>
    <xf numFmtId="14" fontId="0" fillId="2" borderId="1" xfId="2" applyNumberFormat="1" applyFont="1" applyAlignment="1">
      <alignment horizontal="center"/>
    </xf>
    <xf numFmtId="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14" fontId="16" fillId="0" borderId="0" xfId="0" applyNumberFormat="1" applyFont="1" applyAlignment="1">
      <alignment horizontal="left"/>
    </xf>
    <xf numFmtId="49" fontId="8" fillId="5" borderId="9" xfId="0" applyNumberFormat="1" applyFont="1" applyFill="1" applyBorder="1" applyAlignment="1">
      <alignment horizontal="right" wrapText="1"/>
    </xf>
    <xf numFmtId="0" fontId="24" fillId="0" borderId="2" xfId="1" applyFont="1" applyBorder="1"/>
    <xf numFmtId="0" fontId="25" fillId="0" borderId="2" xfId="0" applyFont="1" applyBorder="1"/>
    <xf numFmtId="0" fontId="24" fillId="0" borderId="0" xfId="1" applyFont="1"/>
    <xf numFmtId="0" fontId="25" fillId="0" borderId="0" xfId="0" applyFont="1"/>
    <xf numFmtId="0" fontId="26" fillId="0" borderId="0" xfId="1" applyFont="1"/>
    <xf numFmtId="0" fontId="23" fillId="0" borderId="0" xfId="3"/>
    <xf numFmtId="0" fontId="14" fillId="11" borderId="0" xfId="0" applyFont="1" applyFill="1" applyAlignment="1">
      <alignment horizontal="left"/>
    </xf>
    <xf numFmtId="0" fontId="14" fillId="12" borderId="0" xfId="0" applyFont="1" applyFill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4" fillId="0" borderId="0" xfId="0" applyFont="1"/>
    <xf numFmtId="14" fontId="8" fillId="5" borderId="43" xfId="0" applyNumberFormat="1" applyFont="1" applyFill="1" applyBorder="1" applyAlignment="1">
      <alignment horizontal="center" wrapText="1"/>
    </xf>
    <xf numFmtId="14" fontId="0" fillId="0" borderId="42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3" fillId="6" borderId="8" xfId="0" applyFont="1" applyFill="1" applyBorder="1"/>
    <xf numFmtId="0" fontId="3" fillId="6" borderId="9" xfId="0" applyFont="1" applyFill="1" applyBorder="1"/>
    <xf numFmtId="14" fontId="3" fillId="6" borderId="9" xfId="0" applyNumberFormat="1" applyFont="1" applyFill="1" applyBorder="1"/>
    <xf numFmtId="0" fontId="3" fillId="6" borderId="10" xfId="0" applyFont="1" applyFill="1" applyBorder="1"/>
    <xf numFmtId="0" fontId="17" fillId="0" borderId="34" xfId="0" applyFont="1" applyBorder="1"/>
    <xf numFmtId="0" fontId="17" fillId="0" borderId="33" xfId="0" applyFont="1" applyBorder="1"/>
    <xf numFmtId="164" fontId="3" fillId="13" borderId="45" xfId="0" applyNumberFormat="1" applyFont="1" applyFill="1" applyBorder="1" applyAlignment="1">
      <alignment horizontal="right"/>
    </xf>
    <xf numFmtId="164" fontId="3" fillId="13" borderId="47" xfId="0" applyNumberFormat="1" applyFont="1" applyFill="1" applyBorder="1" applyAlignment="1">
      <alignment horizontal="right"/>
    </xf>
    <xf numFmtId="165" fontId="27" fillId="5" borderId="9" xfId="0" applyNumberFormat="1" applyFont="1" applyFill="1" applyBorder="1" applyAlignment="1">
      <alignment horizontal="right" wrapText="1"/>
    </xf>
    <xf numFmtId="168" fontId="28" fillId="0" borderId="16" xfId="0" applyNumberFormat="1" applyFont="1" applyBorder="1" applyAlignment="1">
      <alignment horizontal="right"/>
    </xf>
    <xf numFmtId="168" fontId="28" fillId="0" borderId="20" xfId="0" applyNumberFormat="1" applyFont="1" applyBorder="1" applyAlignment="1">
      <alignment horizontal="right"/>
    </xf>
    <xf numFmtId="0" fontId="13" fillId="13" borderId="46" xfId="0" applyFont="1" applyFill="1" applyBorder="1" applyAlignment="1">
      <alignment horizontal="right" wrapText="1"/>
    </xf>
    <xf numFmtId="164" fontId="0" fillId="0" borderId="0" xfId="0" applyNumberFormat="1"/>
    <xf numFmtId="0" fontId="13" fillId="14" borderId="46" xfId="0" applyFont="1" applyFill="1" applyBorder="1" applyAlignment="1">
      <alignment horizontal="center" wrapText="1"/>
    </xf>
    <xf numFmtId="0" fontId="3" fillId="14" borderId="47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 wrapText="1"/>
    </xf>
    <xf numFmtId="14" fontId="8" fillId="5" borderId="2" xfId="0" applyNumberFormat="1" applyFont="1" applyFill="1" applyBorder="1" applyAlignment="1">
      <alignment horizontal="center" wrapText="1"/>
    </xf>
    <xf numFmtId="0" fontId="8" fillId="5" borderId="2" xfId="0" applyFont="1" applyFill="1" applyBorder="1" applyAlignment="1">
      <alignment horizontal="center" wrapText="1"/>
    </xf>
    <xf numFmtId="49" fontId="8" fillId="5" borderId="2" xfId="0" applyNumberFormat="1" applyFont="1" applyFill="1" applyBorder="1" applyAlignment="1">
      <alignment horizontal="center" wrapText="1"/>
    </xf>
    <xf numFmtId="4" fontId="8" fillId="5" borderId="2" xfId="0" applyNumberFormat="1" applyFont="1" applyFill="1" applyBorder="1" applyAlignment="1">
      <alignment horizontal="right" wrapText="1"/>
    </xf>
    <xf numFmtId="0" fontId="8" fillId="5" borderId="2" xfId="0" applyFont="1" applyFill="1" applyBorder="1" applyAlignment="1">
      <alignment horizontal="right" wrapText="1"/>
    </xf>
    <xf numFmtId="165" fontId="8" fillId="5" borderId="2" xfId="0" applyNumberFormat="1" applyFont="1" applyFill="1" applyBorder="1" applyAlignment="1">
      <alignment horizontal="right" wrapText="1"/>
    </xf>
    <xf numFmtId="164" fontId="8" fillId="5" borderId="2" xfId="0" applyNumberFormat="1" applyFont="1" applyFill="1" applyBorder="1" applyAlignment="1">
      <alignment horizontal="right" wrapText="1"/>
    </xf>
    <xf numFmtId="164" fontId="27" fillId="5" borderId="9" xfId="0" applyNumberFormat="1" applyFont="1" applyFill="1" applyBorder="1" applyAlignment="1">
      <alignment horizontal="right" wrapText="1"/>
    </xf>
    <xf numFmtId="0" fontId="13" fillId="13" borderId="7" xfId="0" applyFont="1" applyFill="1" applyBorder="1" applyAlignment="1">
      <alignment horizontal="right" wrapText="1"/>
    </xf>
    <xf numFmtId="164" fontId="3" fillId="13" borderId="14" xfId="0" applyNumberFormat="1" applyFont="1" applyFill="1" applyBorder="1" applyAlignment="1">
      <alignment horizontal="right"/>
    </xf>
    <xf numFmtId="164" fontId="3" fillId="13" borderId="18" xfId="0" applyNumberFormat="1" applyFont="1" applyFill="1" applyBorder="1" applyAlignment="1">
      <alignment horizontal="right"/>
    </xf>
    <xf numFmtId="0" fontId="31" fillId="5" borderId="7" xfId="0" applyFont="1" applyFill="1" applyBorder="1" applyAlignment="1">
      <alignment horizontal="right" wrapText="1"/>
    </xf>
    <xf numFmtId="164" fontId="31" fillId="0" borderId="14" xfId="0" applyNumberFormat="1" applyFont="1" applyBorder="1" applyAlignment="1">
      <alignment horizontal="right"/>
    </xf>
    <xf numFmtId="164" fontId="31" fillId="0" borderId="18" xfId="0" applyNumberFormat="1" applyFont="1" applyBorder="1" applyAlignment="1">
      <alignment horizontal="right"/>
    </xf>
    <xf numFmtId="169" fontId="0" fillId="0" borderId="0" xfId="0" applyNumberFormat="1"/>
    <xf numFmtId="4" fontId="0" fillId="14" borderId="20" xfId="0" applyNumberFormat="1" applyFill="1" applyBorder="1" applyAlignment="1">
      <alignment horizontal="right"/>
    </xf>
    <xf numFmtId="164" fontId="0" fillId="14" borderId="20" xfId="0" applyNumberFormat="1" applyFill="1" applyBorder="1" applyAlignment="1">
      <alignment horizontal="right"/>
    </xf>
    <xf numFmtId="170" fontId="0" fillId="0" borderId="16" xfId="0" applyNumberFormat="1" applyBorder="1" applyAlignment="1">
      <alignment horizontal="right"/>
    </xf>
    <xf numFmtId="170" fontId="0" fillId="0" borderId="19" xfId="0" applyNumberFormat="1" applyBorder="1" applyAlignment="1">
      <alignment horizontal="right"/>
    </xf>
    <xf numFmtId="170" fontId="0" fillId="0" borderId="20" xfId="0" applyNumberFormat="1" applyBorder="1" applyAlignment="1">
      <alignment horizontal="right"/>
    </xf>
    <xf numFmtId="170" fontId="0" fillId="14" borderId="19" xfId="0" applyNumberFormat="1" applyFill="1" applyBorder="1" applyAlignment="1">
      <alignment horizontal="right"/>
    </xf>
    <xf numFmtId="170" fontId="0" fillId="14" borderId="20" xfId="0" applyNumberFormat="1" applyFill="1" applyBorder="1" applyAlignment="1">
      <alignment horizontal="right"/>
    </xf>
    <xf numFmtId="170" fontId="0" fillId="0" borderId="17" xfId="0" applyNumberFormat="1" applyBorder="1" applyAlignment="1">
      <alignment horizontal="right"/>
    </xf>
    <xf numFmtId="170" fontId="0" fillId="0" borderId="21" xfId="0" applyNumberFormat="1" applyBorder="1" applyAlignment="1">
      <alignment horizontal="right"/>
    </xf>
    <xf numFmtId="170" fontId="0" fillId="0" borderId="18" xfId="0" applyNumberFormat="1" applyBorder="1" applyAlignment="1">
      <alignment horizontal="right"/>
    </xf>
    <xf numFmtId="170" fontId="14" fillId="0" borderId="20" xfId="0" applyNumberFormat="1" applyFont="1" applyBorder="1" applyAlignment="1">
      <alignment horizontal="right"/>
    </xf>
    <xf numFmtId="170" fontId="13" fillId="0" borderId="20" xfId="0" applyNumberFormat="1" applyFont="1" applyBorder="1" applyAlignment="1">
      <alignment horizontal="right"/>
    </xf>
    <xf numFmtId="165" fontId="14" fillId="0" borderId="21" xfId="0" applyNumberFormat="1" applyFont="1" applyBorder="1" applyAlignment="1">
      <alignment horizontal="right"/>
    </xf>
    <xf numFmtId="170" fontId="14" fillId="14" borderId="20" xfId="0" applyNumberFormat="1" applyFont="1" applyFill="1" applyBorder="1" applyAlignment="1">
      <alignment horizontal="right"/>
    </xf>
    <xf numFmtId="4" fontId="0" fillId="0" borderId="21" xfId="0" applyNumberFormat="1" applyBorder="1" applyAlignment="1">
      <alignment horizontal="right"/>
    </xf>
    <xf numFmtId="4" fontId="0" fillId="0" borderId="0" xfId="0" applyNumberFormat="1"/>
    <xf numFmtId="14" fontId="13" fillId="5" borderId="9" xfId="0" applyNumberFormat="1" applyFont="1" applyFill="1" applyBorder="1" applyAlignment="1">
      <alignment horizontal="right"/>
    </xf>
    <xf numFmtId="164" fontId="13" fillId="0" borderId="16" xfId="0" applyNumberFormat="1" applyFont="1" applyBorder="1" applyAlignment="1">
      <alignment horizontal="right"/>
    </xf>
    <xf numFmtId="164" fontId="13" fillId="0" borderId="20" xfId="0" applyNumberFormat="1" applyFont="1" applyBorder="1" applyAlignment="1">
      <alignment horizontal="right"/>
    </xf>
    <xf numFmtId="164" fontId="13" fillId="0" borderId="40" xfId="0" applyNumberFormat="1" applyFont="1" applyBorder="1" applyAlignment="1">
      <alignment horizontal="right"/>
    </xf>
    <xf numFmtId="0" fontId="6" fillId="10" borderId="12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7" borderId="12" xfId="0" applyFont="1" applyFill="1" applyBorder="1" applyAlignment="1">
      <alignment horizontal="left"/>
    </xf>
    <xf numFmtId="165" fontId="10" fillId="9" borderId="11" xfId="0" applyNumberFormat="1" applyFont="1" applyFill="1" applyBorder="1" applyAlignment="1">
      <alignment horizontal="center" vertical="center"/>
    </xf>
    <xf numFmtId="165" fontId="10" fillId="9" borderId="25" xfId="0" applyNumberFormat="1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left"/>
    </xf>
    <xf numFmtId="0" fontId="3" fillId="8" borderId="9" xfId="0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</cellXfs>
  <cellStyles count="4">
    <cellStyle name="Hyperlink" xfId="3" builtinId="8"/>
    <cellStyle name="Notitie" xfId="2" builtinId="10"/>
    <cellStyle name="Standaard" xfId="0" builtinId="0"/>
    <cellStyle name="Titel" xfId="1" builtinId="15"/>
  </cellStyles>
  <dxfs count="9">
    <dxf>
      <numFmt numFmtId="168" formatCode="0.000"/>
      <alignment horizontal="center" vertical="bottom" textRotation="0" wrapText="0" indent="0" justifyLastLine="0" shrinkToFit="0" readingOrder="0"/>
    </dxf>
    <dxf>
      <numFmt numFmtId="167" formatCode="mm/yyyy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</dxf>
    <dxf>
      <numFmt numFmtId="168" formatCode="0.000"/>
      <alignment horizontal="center" vertical="bottom" textRotation="0" wrapText="0" indent="0" justifyLastLine="0" shrinkToFit="0" readingOrder="0"/>
    </dxf>
    <dxf>
      <numFmt numFmtId="167" formatCode="mm/yyyy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CFF6C-3590-4999-9130-7C7148D40297}" name="Valeur_S" displayName="Valeur_S" ref="A7:B61" totalsRowShown="0" headerRowDxfId="8" dataDxfId="7" tableBorderDxfId="6">
  <autoFilter ref="A7:B61" xr:uid="{00000000-0009-0000-0100-000008000000}"/>
  <tableColumns count="2">
    <tableColumn id="1" xr3:uid="{ACB7C29A-CF37-4E93-8D37-B5B0A815B8FC}" name="Mois" dataDxfId="5"/>
    <tableColumn id="2" xr3:uid="{91B89854-2839-46A5-AF45-16E1A907DD1B}" name="Valeur" dataDxfId="4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E52D2-BBCE-496F-B7BE-155DB40F2B17}" name="Valeur_I" displayName="Valeur_I" ref="D7:E62" totalsRowShown="0" headerRowDxfId="3" tableBorderDxfId="2">
  <autoFilter ref="D7:E62" xr:uid="{00000000-0009-0000-0100-000009000000}"/>
  <tableColumns count="2">
    <tableColumn id="1" xr3:uid="{15CDE700-6B22-4D49-B619-7BCD2AA306EC}" name="Mois" dataDxfId="1"/>
    <tableColumn id="2" xr3:uid="{BCED4458-5239-4F2B-8040-5B3B466CF240}" name="Valeur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economie.fgov.be/nl/themas/ondernemingen/specifieke-sectoren/kwaliteit-de-bouw/prijsherzieningsindexen" TargetMode="External"/><Relationship Id="rId1" Type="http://schemas.openxmlformats.org/officeDocument/2006/relationships/hyperlink" Target="https://economie.fgov.be/fr/themes/entreprises/secteurs-specifiques/qualite-dans-la-construction/adaptation-des-prix-lindex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4861-1BE3-4F4C-9A64-4C3ACDB273D5}">
  <sheetPr>
    <pageSetUpPr fitToPage="1"/>
  </sheetPr>
  <dimension ref="A1:AD81"/>
  <sheetViews>
    <sheetView showGridLines="0" tabSelected="1" zoomScale="80" zoomScaleNormal="80" workbookViewId="0">
      <selection activeCell="H7" sqref="H7:H17"/>
    </sheetView>
  </sheetViews>
  <sheetFormatPr defaultColWidth="8.85546875" defaultRowHeight="15" customHeight="1"/>
  <cols>
    <col min="1" max="1" width="4.7109375" style="5" customWidth="1"/>
    <col min="2" max="3" width="13.7109375" style="7" customWidth="1"/>
    <col min="4" max="4" width="13.7109375" style="5" customWidth="1"/>
    <col min="5" max="5" width="12" style="8" bestFit="1" customWidth="1"/>
    <col min="6" max="8" width="13.7109375" style="15" customWidth="1"/>
    <col min="9" max="9" width="13.7109375" style="2" customWidth="1"/>
    <col min="10" max="10" width="13.7109375" style="3" customWidth="1"/>
    <col min="11" max="12" width="13.7109375" style="22" customWidth="1"/>
    <col min="13" max="13" width="1.7109375" customWidth="1"/>
    <col min="14" max="17" width="11.7109375" customWidth="1"/>
    <col min="18" max="18" width="1.7109375" customWidth="1"/>
    <col min="19" max="20" width="14.7109375" style="2" customWidth="1"/>
    <col min="21" max="21" width="14.7109375" style="3" customWidth="1"/>
    <col min="22" max="22" width="1.7109375" customWidth="1"/>
    <col min="23" max="24" width="14.7109375" style="2" customWidth="1"/>
    <col min="25" max="25" width="14.7109375" style="3" customWidth="1"/>
    <col min="26" max="26" width="1.7109375" style="2" customWidth="1"/>
    <col min="27" max="27" width="16" style="2" customWidth="1"/>
  </cols>
  <sheetData>
    <row r="1" spans="1:30" s="6" customFormat="1" ht="18.75">
      <c r="A1" s="9" t="s">
        <v>0</v>
      </c>
      <c r="B1" s="16"/>
      <c r="C1" s="16"/>
      <c r="D1" s="17"/>
      <c r="E1" s="18"/>
      <c r="F1" s="14"/>
      <c r="G1" s="14"/>
      <c r="H1" s="14"/>
      <c r="I1" s="19"/>
      <c r="J1" s="20"/>
      <c r="K1" s="21"/>
      <c r="L1" s="21"/>
      <c r="M1" s="10"/>
      <c r="N1" s="10"/>
      <c r="O1" s="10"/>
      <c r="P1" s="10"/>
      <c r="Q1" s="10"/>
      <c r="R1" s="10"/>
      <c r="S1" s="12"/>
      <c r="T1" s="12"/>
      <c r="U1" s="25"/>
      <c r="V1" s="11"/>
      <c r="W1" s="12"/>
      <c r="X1" s="12"/>
      <c r="Y1" s="25"/>
      <c r="Z1" s="12"/>
      <c r="AA1" s="12"/>
    </row>
    <row r="3" spans="1:30" s="13" customFormat="1" ht="15.75">
      <c r="A3" s="210" t="s">
        <v>1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</row>
    <row r="4" spans="1:30" ht="8.1" customHeight="1">
      <c r="A4"/>
      <c r="B4" s="5"/>
      <c r="C4" s="5"/>
      <c r="F4" s="2"/>
      <c r="G4" s="2"/>
      <c r="H4" s="2"/>
      <c r="J4" s="2"/>
      <c r="K4" s="2"/>
      <c r="L4" s="2"/>
      <c r="U4" s="2"/>
      <c r="Y4" s="2"/>
    </row>
    <row r="5" spans="1:30">
      <c r="A5" s="207" t="s">
        <v>2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9"/>
      <c r="N5" s="207" t="s">
        <v>3</v>
      </c>
      <c r="O5" s="208"/>
      <c r="P5" s="208"/>
      <c r="Q5" s="209"/>
      <c r="S5" s="207" t="s">
        <v>4</v>
      </c>
      <c r="T5" s="208"/>
      <c r="U5" s="209"/>
      <c r="W5" s="207" t="s">
        <v>5</v>
      </c>
      <c r="X5" s="208"/>
      <c r="Y5" s="209"/>
      <c r="AA5" s="71" t="s">
        <v>6</v>
      </c>
    </row>
    <row r="6" spans="1:30" s="32" customFormat="1" ht="30" customHeight="1">
      <c r="A6" s="170" t="s">
        <v>7</v>
      </c>
      <c r="B6" s="171" t="s">
        <v>8</v>
      </c>
      <c r="C6" s="171" t="s">
        <v>9</v>
      </c>
      <c r="D6" s="172" t="s">
        <v>10</v>
      </c>
      <c r="E6" s="173" t="s">
        <v>11</v>
      </c>
      <c r="F6" s="174" t="s">
        <v>12</v>
      </c>
      <c r="G6" s="174" t="s">
        <v>13</v>
      </c>
      <c r="H6" s="174"/>
      <c r="I6" s="175" t="s">
        <v>14</v>
      </c>
      <c r="J6" s="176" t="s">
        <v>15</v>
      </c>
      <c r="K6" s="177" t="s">
        <v>16</v>
      </c>
      <c r="L6" s="31" t="s">
        <v>17</v>
      </c>
      <c r="N6" s="33" t="s">
        <v>12</v>
      </c>
      <c r="O6" s="29" t="s">
        <v>13</v>
      </c>
      <c r="P6" s="30" t="s">
        <v>14</v>
      </c>
      <c r="Q6" s="34" t="s">
        <v>15</v>
      </c>
      <c r="S6" s="33" t="s">
        <v>12</v>
      </c>
      <c r="T6" s="29" t="s">
        <v>13</v>
      </c>
      <c r="U6" s="34" t="s">
        <v>15</v>
      </c>
      <c r="W6" s="33" t="s">
        <v>12</v>
      </c>
      <c r="X6" s="29" t="s">
        <v>13</v>
      </c>
      <c r="Y6" s="34" t="s">
        <v>15</v>
      </c>
      <c r="Z6" s="35"/>
      <c r="AA6" s="36" t="s">
        <v>18</v>
      </c>
    </row>
    <row r="7" spans="1:30">
      <c r="A7" s="37">
        <v>1</v>
      </c>
      <c r="B7" s="42">
        <v>44557</v>
      </c>
      <c r="C7" s="42">
        <v>44584</v>
      </c>
      <c r="D7" s="42">
        <v>44617</v>
      </c>
      <c r="E7" s="43" t="s">
        <v>19</v>
      </c>
      <c r="F7" s="44">
        <v>1131369</v>
      </c>
      <c r="G7" s="44">
        <v>1162205.3</v>
      </c>
      <c r="H7" s="44">
        <f>G7-F7</f>
        <v>30836.300000000047</v>
      </c>
      <c r="I7" s="44">
        <v>30836.3</v>
      </c>
      <c r="J7" s="45">
        <v>382.98</v>
      </c>
      <c r="K7" s="98">
        <v>45639.23</v>
      </c>
      <c r="L7" s="46">
        <f t="shared" ref="L7" si="0">IF(C7&lt;&gt;"",K7/J7,"")</f>
        <v>119.16870332654447</v>
      </c>
      <c r="N7" s="47">
        <v>1939</v>
      </c>
      <c r="O7" s="44">
        <v>1942</v>
      </c>
      <c r="P7" s="44">
        <f t="shared" ref="P7" si="1">IF(C7&lt;&gt;"",O7-N7,"")</f>
        <v>3</v>
      </c>
      <c r="Q7" s="48">
        <f t="shared" ref="Q7" si="2">IF(C7&lt;&gt;"",ROUND(P7*(J7/I7),3),"")</f>
        <v>3.6999999999999998E-2</v>
      </c>
      <c r="S7" s="47">
        <v>1232</v>
      </c>
      <c r="T7" s="44">
        <v>1262</v>
      </c>
      <c r="U7" s="48">
        <f t="shared" ref="U7" si="3">IF(C7&lt;&gt;"",T7-S7,"")</f>
        <v>30</v>
      </c>
      <c r="W7" s="189">
        <v>10462</v>
      </c>
      <c r="X7" s="44">
        <v>10662</v>
      </c>
      <c r="Y7" s="48">
        <f t="shared" ref="Y7" si="4">IF(C7&lt;&gt;"",X7-W7,"")</f>
        <v>200</v>
      </c>
      <c r="AA7" s="49">
        <f t="shared" ref="AA7" si="5">IF(C7&lt;&gt;"",U7+Y7,"")</f>
        <v>230</v>
      </c>
      <c r="AC7" s="185"/>
      <c r="AD7" s="185"/>
    </row>
    <row r="8" spans="1:30">
      <c r="A8" s="41">
        <v>2</v>
      </c>
      <c r="B8" s="42">
        <v>44585</v>
      </c>
      <c r="C8" s="42">
        <v>44612</v>
      </c>
      <c r="D8" s="42">
        <v>44645</v>
      </c>
      <c r="E8" s="43" t="s">
        <v>20</v>
      </c>
      <c r="F8" s="201">
        <v>1162205.3</v>
      </c>
      <c r="G8" s="201">
        <v>1201754.3</v>
      </c>
      <c r="H8" s="44">
        <f t="shared" ref="H8:H17" si="6">G8-F8</f>
        <v>39549</v>
      </c>
      <c r="I8" s="44">
        <v>39549</v>
      </c>
      <c r="J8" s="45">
        <v>484.58100000000002</v>
      </c>
      <c r="K8" s="98">
        <v>48716.72</v>
      </c>
      <c r="L8" s="46">
        <f t="shared" ref="L8:L23" si="7">IF(C8&lt;&gt;"",K8/J8,"")</f>
        <v>100.53369818461722</v>
      </c>
      <c r="N8" s="189">
        <v>1942</v>
      </c>
      <c r="O8" s="190">
        <v>1951</v>
      </c>
      <c r="P8" s="188">
        <f>O8-N8</f>
        <v>9</v>
      </c>
      <c r="Q8" s="40">
        <f>J8/I8*P8</f>
        <v>0.11027406508382007</v>
      </c>
      <c r="S8" s="189">
        <v>1262</v>
      </c>
      <c r="T8" s="190">
        <v>1299.3</v>
      </c>
      <c r="U8" s="193">
        <f t="shared" ref="U8:U13" si="8">T8-S8</f>
        <v>37.299999999999955</v>
      </c>
      <c r="W8" s="189">
        <v>10662</v>
      </c>
      <c r="X8" s="190">
        <v>10849</v>
      </c>
      <c r="Y8" s="193">
        <f t="shared" ref="Y8:Y13" si="9">X8-W8</f>
        <v>187</v>
      </c>
      <c r="AA8" s="195">
        <f t="shared" ref="AA8:AA23" si="10">IF(C8&lt;&gt;"",U8+Y8,"")</f>
        <v>224.29999999999995</v>
      </c>
      <c r="AC8" s="185"/>
      <c r="AD8" s="185"/>
    </row>
    <row r="9" spans="1:30">
      <c r="A9" s="41">
        <v>3</v>
      </c>
      <c r="B9" s="42">
        <v>44613</v>
      </c>
      <c r="C9" s="42">
        <v>44642</v>
      </c>
      <c r="D9" s="42">
        <v>44697</v>
      </c>
      <c r="E9" s="43" t="s">
        <v>21</v>
      </c>
      <c r="F9" s="44">
        <v>1201754.3</v>
      </c>
      <c r="G9" s="44">
        <v>1242580.3999999999</v>
      </c>
      <c r="H9" s="44">
        <f t="shared" si="6"/>
        <v>40826.09999999986</v>
      </c>
      <c r="I9" s="44">
        <v>40826.1</v>
      </c>
      <c r="J9" s="45">
        <v>496.42399999999998</v>
      </c>
      <c r="K9" s="98">
        <v>44371.96</v>
      </c>
      <c r="L9" s="46">
        <f t="shared" si="7"/>
        <v>89.383188564614116</v>
      </c>
      <c r="N9" s="189">
        <v>1951</v>
      </c>
      <c r="O9" s="190">
        <v>1988</v>
      </c>
      <c r="P9" s="188">
        <f t="shared" ref="P9:P17" si="11">O9-N9</f>
        <v>37</v>
      </c>
      <c r="Q9" s="40">
        <f t="shared" ref="Q9:Q17" si="12">J9/I9*P9</f>
        <v>0.44990062729479424</v>
      </c>
      <c r="S9" s="189">
        <v>1299.3</v>
      </c>
      <c r="T9" s="190">
        <v>1361</v>
      </c>
      <c r="U9" s="193">
        <f t="shared" si="8"/>
        <v>61.700000000000045</v>
      </c>
      <c r="W9" s="189">
        <v>10849</v>
      </c>
      <c r="X9" s="190">
        <v>11144</v>
      </c>
      <c r="Y9" s="193">
        <f t="shared" si="9"/>
        <v>295</v>
      </c>
      <c r="AA9" s="195">
        <f t="shared" si="10"/>
        <v>356.70000000000005</v>
      </c>
      <c r="AC9" s="185"/>
      <c r="AD9" s="185"/>
    </row>
    <row r="10" spans="1:30">
      <c r="A10" s="41">
        <v>4</v>
      </c>
      <c r="B10" s="42">
        <v>44643</v>
      </c>
      <c r="C10" s="42">
        <v>44671</v>
      </c>
      <c r="D10" s="42">
        <v>1605</v>
      </c>
      <c r="E10" s="43" t="s">
        <v>22</v>
      </c>
      <c r="F10" s="44">
        <v>1242580.3999999999</v>
      </c>
      <c r="G10" s="44">
        <v>1293698.2</v>
      </c>
      <c r="H10" s="44">
        <f t="shared" si="6"/>
        <v>51117.800000000047</v>
      </c>
      <c r="I10" s="44">
        <v>51117.8</v>
      </c>
      <c r="J10" s="45">
        <v>622.53099999999995</v>
      </c>
      <c r="K10" s="98">
        <v>73870.95</v>
      </c>
      <c r="L10" s="46">
        <f t="shared" si="7"/>
        <v>118.66228348467787</v>
      </c>
      <c r="N10" s="189">
        <v>1988</v>
      </c>
      <c r="O10" s="190">
        <v>1999</v>
      </c>
      <c r="P10" s="188">
        <f t="shared" si="11"/>
        <v>11</v>
      </c>
      <c r="Q10" s="40">
        <f t="shared" si="12"/>
        <v>0.13396196628180398</v>
      </c>
      <c r="S10" s="189">
        <v>1361</v>
      </c>
      <c r="T10" s="190">
        <v>1397</v>
      </c>
      <c r="U10" s="193">
        <f t="shared" si="8"/>
        <v>36</v>
      </c>
      <c r="W10" s="189">
        <v>11844</v>
      </c>
      <c r="X10" s="190">
        <v>12114</v>
      </c>
      <c r="Y10" s="193">
        <f t="shared" si="9"/>
        <v>270</v>
      </c>
      <c r="AA10" s="195">
        <f t="shared" si="10"/>
        <v>306</v>
      </c>
      <c r="AC10" s="185"/>
      <c r="AD10" s="185"/>
    </row>
    <row r="11" spans="1:30">
      <c r="A11" s="41">
        <v>5</v>
      </c>
      <c r="B11" s="42">
        <v>44672</v>
      </c>
      <c r="C11" s="42">
        <v>44703</v>
      </c>
      <c r="D11" s="42">
        <v>44727</v>
      </c>
      <c r="E11" s="43" t="s">
        <v>23</v>
      </c>
      <c r="F11" s="44">
        <v>1293698.2</v>
      </c>
      <c r="G11" s="44">
        <v>1340979.8999999999</v>
      </c>
      <c r="H11" s="44">
        <f t="shared" si="6"/>
        <v>47281.699999999953</v>
      </c>
      <c r="I11" s="44">
        <v>47281.7</v>
      </c>
      <c r="J11" s="45">
        <v>583.43100000000004</v>
      </c>
      <c r="K11" s="98">
        <v>69851.240000000005</v>
      </c>
      <c r="L11" s="46">
        <f t="shared" si="7"/>
        <v>119.72493748189589</v>
      </c>
      <c r="N11" s="189">
        <v>1999</v>
      </c>
      <c r="O11" s="190">
        <v>2011</v>
      </c>
      <c r="P11" s="188">
        <f t="shared" si="11"/>
        <v>12</v>
      </c>
      <c r="Q11" s="40">
        <f t="shared" si="12"/>
        <v>0.14807360987443347</v>
      </c>
      <c r="S11" s="189">
        <v>1176</v>
      </c>
      <c r="T11" s="190">
        <v>1211</v>
      </c>
      <c r="U11" s="194">
        <f t="shared" si="8"/>
        <v>35</v>
      </c>
      <c r="W11" s="189">
        <v>12114</v>
      </c>
      <c r="X11" s="196">
        <v>12400</v>
      </c>
      <c r="Y11" s="194">
        <f t="shared" si="9"/>
        <v>286</v>
      </c>
      <c r="AA11" s="195">
        <f t="shared" si="10"/>
        <v>321</v>
      </c>
      <c r="AC11" s="185"/>
      <c r="AD11" s="185"/>
    </row>
    <row r="12" spans="1:30">
      <c r="A12" s="41">
        <v>6</v>
      </c>
      <c r="B12" s="42">
        <v>44704</v>
      </c>
      <c r="C12" s="42">
        <v>44739</v>
      </c>
      <c r="D12" s="42">
        <v>44757</v>
      </c>
      <c r="E12" s="43" t="s">
        <v>24</v>
      </c>
      <c r="F12" s="44">
        <v>1340979.8999999999</v>
      </c>
      <c r="G12" s="44">
        <v>1388641.4</v>
      </c>
      <c r="H12" s="44">
        <f t="shared" si="6"/>
        <v>47661.5</v>
      </c>
      <c r="I12" s="44">
        <v>47661.5</v>
      </c>
      <c r="J12" s="45">
        <v>584.76099999999997</v>
      </c>
      <c r="K12" s="98">
        <v>60331.09</v>
      </c>
      <c r="L12" s="46">
        <f t="shared" si="7"/>
        <v>103.17221907753766</v>
      </c>
      <c r="N12" s="189">
        <v>2011</v>
      </c>
      <c r="O12" s="190">
        <v>2022</v>
      </c>
      <c r="P12" s="190">
        <f t="shared" si="11"/>
        <v>11</v>
      </c>
      <c r="Q12" s="48">
        <f t="shared" si="12"/>
        <v>0.1349594746283688</v>
      </c>
      <c r="S12" s="189">
        <v>1374</v>
      </c>
      <c r="T12" s="190">
        <v>1375</v>
      </c>
      <c r="U12" s="194">
        <f t="shared" si="8"/>
        <v>1</v>
      </c>
      <c r="W12" s="189">
        <v>12114</v>
      </c>
      <c r="X12" s="190">
        <v>12400</v>
      </c>
      <c r="Y12" s="194">
        <f t="shared" si="9"/>
        <v>286</v>
      </c>
      <c r="AA12" s="195">
        <f t="shared" si="10"/>
        <v>287</v>
      </c>
      <c r="AC12" s="185"/>
      <c r="AD12" s="185"/>
    </row>
    <row r="13" spans="1:30">
      <c r="A13" s="41">
        <v>7</v>
      </c>
      <c r="B13" s="42">
        <v>44740</v>
      </c>
      <c r="C13" s="42">
        <v>44761</v>
      </c>
      <c r="D13" s="42">
        <v>44788</v>
      </c>
      <c r="E13" s="43" t="s">
        <v>25</v>
      </c>
      <c r="F13" s="44">
        <v>1388641.4</v>
      </c>
      <c r="G13" s="44">
        <v>1406491.8</v>
      </c>
      <c r="H13" s="44">
        <f t="shared" si="6"/>
        <v>17850.40000000014</v>
      </c>
      <c r="I13" s="44">
        <v>17850.400000000001</v>
      </c>
      <c r="J13" s="45">
        <v>219.29499999999999</v>
      </c>
      <c r="K13" s="98">
        <v>24626.99</v>
      </c>
      <c r="L13" s="46">
        <f t="shared" si="7"/>
        <v>112.30073645089949</v>
      </c>
      <c r="N13" s="189">
        <v>2022</v>
      </c>
      <c r="O13" s="190">
        <v>2040</v>
      </c>
      <c r="P13" s="190">
        <f t="shared" si="11"/>
        <v>18</v>
      </c>
      <c r="Q13" s="48">
        <f t="shared" si="12"/>
        <v>0.22113285976784833</v>
      </c>
      <c r="S13" s="189">
        <v>1375</v>
      </c>
      <c r="T13" s="190">
        <v>1377</v>
      </c>
      <c r="U13" s="194">
        <f t="shared" si="8"/>
        <v>2</v>
      </c>
      <c r="W13" s="189">
        <v>12400</v>
      </c>
      <c r="X13" s="190">
        <v>12669</v>
      </c>
      <c r="Y13" s="194">
        <f t="shared" si="9"/>
        <v>269</v>
      </c>
      <c r="AA13" s="195">
        <f t="shared" si="10"/>
        <v>271</v>
      </c>
      <c r="AC13" s="185"/>
      <c r="AD13" s="185"/>
    </row>
    <row r="14" spans="1:30">
      <c r="A14" s="41">
        <v>8</v>
      </c>
      <c r="B14" s="42">
        <v>44762</v>
      </c>
      <c r="C14" s="42">
        <v>44795</v>
      </c>
      <c r="D14" s="42">
        <v>44819</v>
      </c>
      <c r="E14" s="43" t="s">
        <v>26</v>
      </c>
      <c r="F14" s="44">
        <v>1406491.8</v>
      </c>
      <c r="G14" s="44">
        <v>1437164.9</v>
      </c>
      <c r="H14" s="44">
        <f t="shared" si="6"/>
        <v>30673.09999999986</v>
      </c>
      <c r="I14" s="44">
        <v>30673.1</v>
      </c>
      <c r="J14" s="45">
        <v>380.14299999999997</v>
      </c>
      <c r="K14" s="98">
        <v>59476.52</v>
      </c>
      <c r="L14" s="46">
        <f>IF(C14&lt;&gt;"",K14/J14,"")</f>
        <v>156.45828017351366</v>
      </c>
      <c r="N14" s="189">
        <v>2040</v>
      </c>
      <c r="O14" s="190">
        <v>2079</v>
      </c>
      <c r="P14" s="190">
        <f t="shared" si="11"/>
        <v>39</v>
      </c>
      <c r="Q14" s="48">
        <f t="shared" si="12"/>
        <v>0.48334133165542448</v>
      </c>
      <c r="S14" s="189">
        <v>1377</v>
      </c>
      <c r="T14" s="190">
        <v>1378</v>
      </c>
      <c r="U14" s="194">
        <f t="shared" ref="U14:U15" si="13">IF(C14&lt;&gt;"",T14-S14,"")</f>
        <v>1</v>
      </c>
      <c r="W14" s="189">
        <v>12669</v>
      </c>
      <c r="X14" s="190">
        <v>13055</v>
      </c>
      <c r="Y14" s="194">
        <f t="shared" ref="Y14:Y15" si="14">IF(C14&lt;&gt;"",X14-W14,"")</f>
        <v>386</v>
      </c>
      <c r="AA14" s="195">
        <f>IF(C14&lt;&gt;"",U14+Y14,"")</f>
        <v>387</v>
      </c>
      <c r="AC14" s="185"/>
      <c r="AD14" s="185"/>
    </row>
    <row r="15" spans="1:30">
      <c r="A15" s="41">
        <v>9</v>
      </c>
      <c r="B15" s="42">
        <v>44796</v>
      </c>
      <c r="C15" s="42">
        <v>44826</v>
      </c>
      <c r="D15" s="42">
        <v>44851</v>
      </c>
      <c r="E15" s="43" t="s">
        <v>27</v>
      </c>
      <c r="F15" s="44">
        <v>1437164.9</v>
      </c>
      <c r="G15" s="44">
        <v>1469320.1</v>
      </c>
      <c r="H15" s="44">
        <f t="shared" si="6"/>
        <v>32155.200000000186</v>
      </c>
      <c r="I15" s="44">
        <v>32155.200000000001</v>
      </c>
      <c r="J15" s="45">
        <v>397.69900000000001</v>
      </c>
      <c r="K15" s="98">
        <v>90592.2</v>
      </c>
      <c r="L15" s="46">
        <f>IF(C15&lt;&gt;"",K15/J15,"")</f>
        <v>227.79086696220003</v>
      </c>
      <c r="N15" s="189">
        <v>2079</v>
      </c>
      <c r="O15" s="197">
        <v>2103</v>
      </c>
      <c r="P15" s="196">
        <f t="shared" si="11"/>
        <v>24</v>
      </c>
      <c r="Q15" s="198">
        <f t="shared" si="12"/>
        <v>0.29683460217942981</v>
      </c>
      <c r="S15" s="189">
        <v>1378</v>
      </c>
      <c r="T15" s="190">
        <v>1395</v>
      </c>
      <c r="U15" s="194">
        <f t="shared" si="13"/>
        <v>17</v>
      </c>
      <c r="W15" s="189">
        <v>13050</v>
      </c>
      <c r="X15" s="190">
        <v>13444</v>
      </c>
      <c r="Y15" s="194">
        <f t="shared" si="14"/>
        <v>394</v>
      </c>
      <c r="AA15" s="195">
        <f t="shared" si="10"/>
        <v>411</v>
      </c>
      <c r="AC15" s="185"/>
      <c r="AD15" s="185"/>
    </row>
    <row r="16" spans="1:30">
      <c r="A16" s="41">
        <v>10</v>
      </c>
      <c r="B16" s="42">
        <v>44827</v>
      </c>
      <c r="C16" s="42">
        <v>44861</v>
      </c>
      <c r="D16" s="42">
        <v>44880</v>
      </c>
      <c r="E16" s="43" t="s">
        <v>28</v>
      </c>
      <c r="F16" s="186">
        <v>1469320.1</v>
      </c>
      <c r="G16" s="186">
        <v>1504010.9</v>
      </c>
      <c r="H16" s="44">
        <f t="shared" si="6"/>
        <v>34690.799999999814</v>
      </c>
      <c r="I16" s="44">
        <v>34690.800000000003</v>
      </c>
      <c r="J16" s="45">
        <v>428.04300000000001</v>
      </c>
      <c r="K16" s="187">
        <v>92504.46</v>
      </c>
      <c r="L16" s="46">
        <f t="shared" si="7"/>
        <v>216.11020388138576</v>
      </c>
      <c r="N16" s="191">
        <v>2103</v>
      </c>
      <c r="O16" s="199">
        <v>2110</v>
      </c>
      <c r="P16" s="196">
        <f t="shared" si="11"/>
        <v>7</v>
      </c>
      <c r="Q16" s="198">
        <f t="shared" si="12"/>
        <v>8.6371631671797705E-2</v>
      </c>
      <c r="S16" s="191">
        <v>1395</v>
      </c>
      <c r="T16" s="192">
        <v>1396</v>
      </c>
      <c r="U16" s="194">
        <f t="shared" ref="U16:U23" si="15">IF(C16&lt;&gt;"",T16-S16,"")</f>
        <v>1</v>
      </c>
      <c r="W16" s="191">
        <v>13444</v>
      </c>
      <c r="X16" s="192">
        <v>13580</v>
      </c>
      <c r="Y16" s="194">
        <f t="shared" ref="Y16:Y23" si="16">IF(C16&lt;&gt;"",X16-W16,"")</f>
        <v>136</v>
      </c>
      <c r="AA16" s="195">
        <f t="shared" si="10"/>
        <v>137</v>
      </c>
      <c r="AC16" s="185"/>
      <c r="AD16" s="185"/>
    </row>
    <row r="17" spans="1:30">
      <c r="A17" s="41">
        <v>11</v>
      </c>
      <c r="B17" s="42">
        <v>44862</v>
      </c>
      <c r="C17" s="42">
        <v>44887</v>
      </c>
      <c r="D17" s="42">
        <v>44907</v>
      </c>
      <c r="E17" s="43" t="s">
        <v>29</v>
      </c>
      <c r="F17" s="44">
        <v>1504010.9</v>
      </c>
      <c r="G17" s="44">
        <v>1532652.9</v>
      </c>
      <c r="H17" s="44">
        <f t="shared" si="6"/>
        <v>28642</v>
      </c>
      <c r="I17" s="44">
        <v>28642</v>
      </c>
      <c r="J17" s="45">
        <v>352.94200000000001</v>
      </c>
      <c r="K17" s="98">
        <v>53062.35</v>
      </c>
      <c r="L17" s="46">
        <f t="shared" si="7"/>
        <v>150.34297419972685</v>
      </c>
      <c r="N17" s="189">
        <v>2110</v>
      </c>
      <c r="O17" s="190">
        <v>2118</v>
      </c>
      <c r="P17" s="190">
        <f t="shared" si="11"/>
        <v>8</v>
      </c>
      <c r="Q17" s="48">
        <f t="shared" si="12"/>
        <v>9.8580266741149364E-2</v>
      </c>
      <c r="S17" s="189">
        <v>1396</v>
      </c>
      <c r="T17" s="190">
        <v>1420</v>
      </c>
      <c r="U17" s="194">
        <f t="shared" si="15"/>
        <v>24</v>
      </c>
      <c r="W17" s="189">
        <v>13580</v>
      </c>
      <c r="X17" s="190">
        <v>13674</v>
      </c>
      <c r="Y17" s="194">
        <f t="shared" si="16"/>
        <v>94</v>
      </c>
      <c r="AA17" s="195">
        <f t="shared" si="10"/>
        <v>118</v>
      </c>
      <c r="AC17" s="185"/>
      <c r="AD17" s="185"/>
    </row>
    <row r="18" spans="1:30">
      <c r="A18" s="41">
        <v>12</v>
      </c>
      <c r="B18" s="42"/>
      <c r="C18" s="42"/>
      <c r="D18" s="42"/>
      <c r="E18" s="43"/>
      <c r="F18" s="44"/>
      <c r="G18" s="44"/>
      <c r="H18" s="44"/>
      <c r="I18" s="44"/>
      <c r="J18" s="45"/>
      <c r="K18" s="98"/>
      <c r="L18" s="46" t="str">
        <f t="shared" si="7"/>
        <v/>
      </c>
      <c r="N18" s="189"/>
      <c r="O18" s="190"/>
      <c r="P18" s="190"/>
      <c r="Q18" s="48"/>
      <c r="S18" s="189"/>
      <c r="T18" s="190"/>
      <c r="U18" s="194" t="str">
        <f t="shared" si="15"/>
        <v/>
      </c>
      <c r="W18" s="189"/>
      <c r="X18" s="190"/>
      <c r="Y18" s="194" t="str">
        <f t="shared" si="16"/>
        <v/>
      </c>
      <c r="AA18" s="195" t="str">
        <f t="shared" si="10"/>
        <v/>
      </c>
      <c r="AC18" s="185"/>
      <c r="AD18" s="185"/>
    </row>
    <row r="19" spans="1:30">
      <c r="A19" s="41">
        <v>13</v>
      </c>
      <c r="B19" s="42"/>
      <c r="C19" s="42"/>
      <c r="D19" s="42"/>
      <c r="E19" s="43"/>
      <c r="F19" s="44"/>
      <c r="G19" s="44"/>
      <c r="H19" s="44"/>
      <c r="I19" s="44"/>
      <c r="J19" s="45"/>
      <c r="K19" s="98"/>
      <c r="L19" s="46" t="str">
        <f t="shared" si="7"/>
        <v/>
      </c>
      <c r="N19" s="47"/>
      <c r="O19" s="44"/>
      <c r="P19" s="44" t="str">
        <f t="shared" ref="P19:P23" si="17">IF(C19&lt;&gt;"",O19-N19,"")</f>
        <v/>
      </c>
      <c r="Q19" s="48" t="str">
        <f t="shared" ref="Q19:Q23" si="18">IF(C19&lt;&gt;"",ROUND(P19*(J19/I19),3),"")</f>
        <v/>
      </c>
      <c r="S19" s="47"/>
      <c r="T19" s="190"/>
      <c r="U19" s="200" t="str">
        <f t="shared" si="15"/>
        <v/>
      </c>
      <c r="W19" s="189"/>
      <c r="X19" s="190"/>
      <c r="Y19" s="194" t="str">
        <f t="shared" si="16"/>
        <v/>
      </c>
      <c r="AA19" s="195" t="str">
        <f t="shared" si="10"/>
        <v/>
      </c>
      <c r="AC19" s="185"/>
      <c r="AD19" s="185"/>
    </row>
    <row r="20" spans="1:30">
      <c r="A20" s="41">
        <v>14</v>
      </c>
      <c r="B20" s="42"/>
      <c r="C20" s="42"/>
      <c r="D20" s="42"/>
      <c r="E20" s="43"/>
      <c r="F20" s="44">
        <f>G8-F8</f>
        <v>39549</v>
      </c>
      <c r="G20" s="44"/>
      <c r="H20" s="44"/>
      <c r="I20" s="44"/>
      <c r="J20" s="45"/>
      <c r="K20" s="98"/>
      <c r="L20" s="46" t="str">
        <f t="shared" si="7"/>
        <v/>
      </c>
      <c r="N20" s="47"/>
      <c r="O20" s="44"/>
      <c r="P20" s="44" t="str">
        <f t="shared" si="17"/>
        <v/>
      </c>
      <c r="Q20" s="48" t="str">
        <f t="shared" si="18"/>
        <v/>
      </c>
      <c r="S20" s="47"/>
      <c r="T20" s="44"/>
      <c r="U20" s="48" t="str">
        <f t="shared" si="15"/>
        <v/>
      </c>
      <c r="W20" s="189"/>
      <c r="X20" s="44"/>
      <c r="Y20" s="48" t="str">
        <f t="shared" si="16"/>
        <v/>
      </c>
      <c r="AA20" s="49" t="str">
        <f t="shared" si="10"/>
        <v/>
      </c>
      <c r="AC20" s="185"/>
      <c r="AD20" s="185"/>
    </row>
    <row r="21" spans="1:30">
      <c r="A21" s="41"/>
      <c r="B21" s="42"/>
      <c r="C21" s="42"/>
      <c r="D21" s="42"/>
      <c r="E21" s="43"/>
      <c r="F21" s="44"/>
      <c r="G21" s="44"/>
      <c r="H21" s="44"/>
      <c r="I21" s="44"/>
      <c r="J21" s="45"/>
      <c r="K21" s="98"/>
      <c r="L21" s="46"/>
      <c r="N21" s="47"/>
      <c r="O21" s="44"/>
      <c r="P21" s="44" t="str">
        <f t="shared" si="17"/>
        <v/>
      </c>
      <c r="Q21" s="48"/>
      <c r="S21" s="47"/>
      <c r="T21" s="44"/>
      <c r="U21" s="48"/>
      <c r="W21" s="189"/>
      <c r="X21" s="44"/>
      <c r="Y21" s="48"/>
      <c r="AA21" s="49"/>
      <c r="AC21" s="185"/>
      <c r="AD21" s="185"/>
    </row>
    <row r="22" spans="1:30">
      <c r="A22" s="41"/>
      <c r="B22" s="42"/>
      <c r="C22" s="42"/>
      <c r="D22" s="42"/>
      <c r="E22" s="43"/>
      <c r="F22" s="44"/>
      <c r="G22" s="44"/>
      <c r="H22" s="44"/>
      <c r="I22" s="44"/>
      <c r="J22" s="45"/>
      <c r="K22" s="98"/>
      <c r="L22" s="46"/>
      <c r="N22" s="47"/>
      <c r="O22" s="44"/>
      <c r="P22" s="44"/>
      <c r="Q22" s="48"/>
      <c r="S22" s="47"/>
      <c r="T22" s="44"/>
      <c r="U22" s="48"/>
      <c r="W22" s="47"/>
      <c r="X22" s="44"/>
      <c r="Y22" s="48"/>
      <c r="AA22" s="49"/>
      <c r="AC22" s="185"/>
      <c r="AD22" s="185"/>
    </row>
    <row r="23" spans="1:30">
      <c r="A23" s="41"/>
      <c r="B23" s="42"/>
      <c r="C23" s="42"/>
      <c r="D23" s="42"/>
      <c r="E23" s="43"/>
      <c r="F23" s="44"/>
      <c r="G23" s="44"/>
      <c r="H23" s="44"/>
      <c r="I23" s="44" t="str">
        <f t="shared" ref="I23" si="19">IF(C23&lt;&gt;"",G23-F23,"")</f>
        <v/>
      </c>
      <c r="J23" s="45"/>
      <c r="K23" s="98"/>
      <c r="L23" s="46" t="str">
        <f t="shared" si="7"/>
        <v/>
      </c>
      <c r="N23" s="47"/>
      <c r="O23" s="44"/>
      <c r="P23" s="44" t="str">
        <f t="shared" si="17"/>
        <v/>
      </c>
      <c r="Q23" s="48" t="str">
        <f t="shared" si="18"/>
        <v/>
      </c>
      <c r="S23" s="47"/>
      <c r="T23" s="44"/>
      <c r="U23" s="48" t="str">
        <f t="shared" si="15"/>
        <v/>
      </c>
      <c r="W23" s="47"/>
      <c r="X23" s="44"/>
      <c r="Y23" s="48" t="str">
        <f t="shared" si="16"/>
        <v/>
      </c>
      <c r="AA23" s="49" t="str">
        <f t="shared" si="10"/>
        <v/>
      </c>
    </row>
    <row r="26" spans="1:30" s="13" customFormat="1" ht="15.75">
      <c r="A26" s="211" t="s">
        <v>30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</row>
    <row r="27" spans="1:30" ht="8.1" customHeight="1">
      <c r="A27"/>
      <c r="B27" s="5"/>
      <c r="C27" s="5"/>
      <c r="F27" s="2"/>
      <c r="G27" s="2"/>
      <c r="H27" s="2"/>
      <c r="J27" s="2"/>
      <c r="K27" s="2"/>
      <c r="L27" s="2"/>
      <c r="U27" s="2"/>
      <c r="Y27" s="2"/>
    </row>
    <row r="28" spans="1:30" s="66" customFormat="1">
      <c r="A28" s="214" t="s">
        <v>31</v>
      </c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6"/>
    </row>
    <row r="29" spans="1:30" ht="8.1" customHeight="1">
      <c r="A29"/>
      <c r="B29"/>
      <c r="C29"/>
      <c r="D29"/>
      <c r="E29"/>
      <c r="F29"/>
      <c r="G29"/>
      <c r="H29"/>
      <c r="I29"/>
      <c r="J29"/>
      <c r="K29"/>
      <c r="L29"/>
      <c r="S29"/>
      <c r="T29"/>
      <c r="U29"/>
      <c r="W29"/>
      <c r="X29"/>
      <c r="Y29"/>
      <c r="Z29"/>
      <c r="AA29"/>
    </row>
    <row r="30" spans="1:30">
      <c r="A30" s="4"/>
      <c r="B30" s="60" t="s">
        <v>32</v>
      </c>
      <c r="C30" s="61"/>
      <c r="D30" s="62" t="s">
        <v>33</v>
      </c>
      <c r="E30" s="63"/>
      <c r="F30" s="64"/>
      <c r="G30" s="64"/>
      <c r="H30" s="64"/>
      <c r="I30" s="65"/>
    </row>
    <row r="31" spans="1:30">
      <c r="B31" s="72" t="s">
        <v>34</v>
      </c>
      <c r="C31" s="73"/>
      <c r="D31" s="74" t="s">
        <v>35</v>
      </c>
      <c r="E31" s="75"/>
      <c r="F31" s="76"/>
      <c r="G31" s="76"/>
      <c r="H31" s="76"/>
      <c r="I31" s="77"/>
      <c r="J31" s="78" t="s">
        <v>36</v>
      </c>
      <c r="K31" s="79"/>
      <c r="L31" s="79"/>
    </row>
    <row r="32" spans="1:30">
      <c r="B32" s="50" t="s">
        <v>37</v>
      </c>
      <c r="C32" s="51"/>
      <c r="D32" s="54" t="s">
        <v>38</v>
      </c>
      <c r="I32" s="55"/>
      <c r="J32" s="212" t="s">
        <v>39</v>
      </c>
      <c r="K32"/>
      <c r="L32"/>
      <c r="S32" s="167"/>
    </row>
    <row r="33" spans="1:27">
      <c r="B33" s="67" t="s">
        <v>40</v>
      </c>
      <c r="C33" s="68"/>
      <c r="D33" s="69" t="s">
        <v>41</v>
      </c>
      <c r="E33" s="43"/>
      <c r="F33" s="44"/>
      <c r="G33" s="44"/>
      <c r="H33" s="44"/>
      <c r="I33" s="70"/>
      <c r="J33" s="212"/>
      <c r="K33"/>
      <c r="L33"/>
      <c r="S33" s="167"/>
    </row>
    <row r="34" spans="1:27">
      <c r="B34" s="52" t="s">
        <v>42</v>
      </c>
      <c r="C34" s="53"/>
      <c r="D34" s="56" t="s">
        <v>43</v>
      </c>
      <c r="E34" s="57"/>
      <c r="F34" s="58"/>
      <c r="G34" s="58"/>
      <c r="H34" s="58"/>
      <c r="I34" s="59"/>
      <c r="J34" s="213"/>
      <c r="K34"/>
      <c r="L34"/>
      <c r="S34"/>
    </row>
    <row r="35" spans="1:27">
      <c r="B35" s="26"/>
      <c r="D35" s="104"/>
      <c r="J35" s="105"/>
      <c r="K35"/>
      <c r="L35"/>
      <c r="S35"/>
    </row>
    <row r="36" spans="1:27">
      <c r="S36" s="106"/>
    </row>
    <row r="37" spans="1:27">
      <c r="A37" s="214" t="s">
        <v>44</v>
      </c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6"/>
    </row>
    <row r="38" spans="1:27" ht="8.1" customHeight="1">
      <c r="A38"/>
      <c r="B38"/>
      <c r="C38"/>
      <c r="D38"/>
      <c r="E38"/>
      <c r="F38"/>
      <c r="G38"/>
      <c r="H38"/>
      <c r="I38"/>
      <c r="J38"/>
      <c r="K38"/>
      <c r="L38"/>
      <c r="S38"/>
      <c r="T38"/>
      <c r="U38"/>
      <c r="W38"/>
      <c r="X38"/>
      <c r="Y38"/>
      <c r="Z38"/>
      <c r="AA38"/>
    </row>
    <row r="39" spans="1:27" ht="15" customHeight="1">
      <c r="A39" s="90" t="s">
        <v>45</v>
      </c>
      <c r="B39"/>
      <c r="C39"/>
      <c r="D39"/>
      <c r="E39"/>
      <c r="F39"/>
      <c r="G39"/>
      <c r="H39"/>
      <c r="I39"/>
      <c r="J39"/>
      <c r="K39"/>
      <c r="L39"/>
      <c r="Q39" s="3"/>
      <c r="S39" s="159" t="s">
        <v>46</v>
      </c>
      <c r="T39" s="160"/>
      <c r="U39" s="160"/>
      <c r="V39" s="108" t="s">
        <v>47</v>
      </c>
      <c r="W39" s="107" t="s">
        <v>48</v>
      </c>
    </row>
    <row r="40" spans="1:27" s="86" customFormat="1" ht="15" customHeight="1">
      <c r="A40" s="80"/>
      <c r="B40" s="81" t="s">
        <v>49</v>
      </c>
      <c r="C40" s="91">
        <f>SUM(D40:E40)</f>
        <v>2000</v>
      </c>
      <c r="D40" s="91">
        <v>1400</v>
      </c>
      <c r="E40" s="91">
        <v>600</v>
      </c>
      <c r="F40" s="82"/>
      <c r="G40" s="82"/>
      <c r="H40" s="82"/>
      <c r="I40" s="83"/>
      <c r="J40" s="84"/>
      <c r="K40" s="85"/>
      <c r="L40" s="85"/>
      <c r="S40" s="111">
        <v>250</v>
      </c>
      <c r="T40" s="112">
        <v>100</v>
      </c>
      <c r="U40" s="112">
        <v>250</v>
      </c>
      <c r="V40" s="108" t="s">
        <v>47</v>
      </c>
      <c r="W40" s="109">
        <f>SUM(S40:U40)</f>
        <v>600</v>
      </c>
    </row>
    <row r="41" spans="1:27" ht="15" customHeight="1">
      <c r="B41" s="103" t="s">
        <v>50</v>
      </c>
      <c r="C41" s="92" t="s">
        <v>6</v>
      </c>
      <c r="D41" s="93" t="s">
        <v>36</v>
      </c>
      <c r="E41" s="94" t="s">
        <v>39</v>
      </c>
      <c r="F41" s="103" t="s">
        <v>51</v>
      </c>
      <c r="G41" s="92" t="s">
        <v>6</v>
      </c>
      <c r="H41" s="202"/>
      <c r="I41" s="93" t="s">
        <v>36</v>
      </c>
      <c r="J41" s="94" t="s">
        <v>39</v>
      </c>
      <c r="L41" s="123" t="s">
        <v>52</v>
      </c>
      <c r="M41" s="22"/>
      <c r="Q41" s="3"/>
      <c r="R41" s="113"/>
      <c r="S41" s="114" t="s">
        <v>53</v>
      </c>
      <c r="T41" s="114" t="s">
        <v>54</v>
      </c>
      <c r="U41" s="115" t="s">
        <v>55</v>
      </c>
    </row>
    <row r="42" spans="1:27" ht="15" customHeight="1">
      <c r="B42" s="87" t="s">
        <v>56</v>
      </c>
      <c r="C42" s="95">
        <v>47276.639999999999</v>
      </c>
      <c r="D42" s="96">
        <f t="shared" ref="D42:E44" si="20">ROUND($C42*(D$40/$C$40),2)</f>
        <v>33093.65</v>
      </c>
      <c r="E42" s="39">
        <f t="shared" si="20"/>
        <v>14182.99</v>
      </c>
      <c r="F42" s="87" t="s">
        <v>56</v>
      </c>
      <c r="G42" s="101">
        <f>C42/12</f>
        <v>3939.72</v>
      </c>
      <c r="H42" s="203"/>
      <c r="I42" s="96">
        <f t="shared" ref="I42:J44" si="21">D42/12</f>
        <v>2757.8041666666668</v>
      </c>
      <c r="J42" s="39">
        <f t="shared" si="21"/>
        <v>1181.9158333333332</v>
      </c>
      <c r="M42" s="22"/>
      <c r="Q42" s="118" t="s">
        <v>56</v>
      </c>
      <c r="R42" s="24"/>
      <c r="S42" s="22">
        <f t="shared" ref="S42:U44" si="22">ROUND($J42*(S$40/$W$40),2)</f>
        <v>492.46</v>
      </c>
      <c r="T42" s="22">
        <f t="shared" si="22"/>
        <v>196.99</v>
      </c>
      <c r="U42" s="23">
        <f t="shared" si="22"/>
        <v>492.46</v>
      </c>
    </row>
    <row r="43" spans="1:27" ht="15" customHeight="1">
      <c r="B43" s="88" t="s">
        <v>57</v>
      </c>
      <c r="C43" s="97">
        <v>7591.5</v>
      </c>
      <c r="D43" s="98">
        <f t="shared" si="20"/>
        <v>5314.05</v>
      </c>
      <c r="E43" s="46">
        <f t="shared" si="20"/>
        <v>2277.4499999999998</v>
      </c>
      <c r="F43" s="88" t="s">
        <v>57</v>
      </c>
      <c r="G43" s="102">
        <f t="shared" ref="G43:G45" si="23">C43/12</f>
        <v>632.625</v>
      </c>
      <c r="H43" s="204"/>
      <c r="I43" s="98">
        <f t="shared" si="21"/>
        <v>442.83750000000003</v>
      </c>
      <c r="J43" s="46">
        <f t="shared" si="21"/>
        <v>189.78749999999999</v>
      </c>
      <c r="L43" s="22">
        <f>(C43+C44)*0.8</f>
        <v>21287.135999999999</v>
      </c>
      <c r="Q43" s="88" t="s">
        <v>57</v>
      </c>
      <c r="R43" s="117"/>
      <c r="S43" s="98">
        <f t="shared" si="22"/>
        <v>79.08</v>
      </c>
      <c r="T43" s="98">
        <f t="shared" si="22"/>
        <v>31.63</v>
      </c>
      <c r="U43" s="46">
        <f t="shared" si="22"/>
        <v>79.08</v>
      </c>
    </row>
    <row r="44" spans="1:27" ht="15" customHeight="1">
      <c r="B44" s="88" t="s">
        <v>58</v>
      </c>
      <c r="C44" s="97">
        <v>19017.419999999998</v>
      </c>
      <c r="D44" s="98">
        <f t="shared" si="20"/>
        <v>13312.19</v>
      </c>
      <c r="E44" s="46">
        <f t="shared" si="20"/>
        <v>5705.23</v>
      </c>
      <c r="F44" s="88" t="s">
        <v>58</v>
      </c>
      <c r="G44" s="102">
        <f t="shared" si="23"/>
        <v>1584.7849999999999</v>
      </c>
      <c r="H44" s="204"/>
      <c r="I44" s="98">
        <f t="shared" si="21"/>
        <v>1109.3491666666666</v>
      </c>
      <c r="J44" s="46">
        <f t="shared" si="21"/>
        <v>475.43583333333328</v>
      </c>
      <c r="Q44" s="88" t="s">
        <v>58</v>
      </c>
      <c r="R44" s="117"/>
      <c r="S44" s="98">
        <f t="shared" si="22"/>
        <v>198.1</v>
      </c>
      <c r="T44" s="98">
        <f t="shared" si="22"/>
        <v>79.239999999999995</v>
      </c>
      <c r="U44" s="46">
        <f t="shared" si="22"/>
        <v>198.1</v>
      </c>
    </row>
    <row r="45" spans="1:27" ht="15" customHeight="1">
      <c r="B45" s="110" t="s">
        <v>59</v>
      </c>
      <c r="C45" s="119">
        <f>D45+E45</f>
        <v>1500</v>
      </c>
      <c r="D45" s="120">
        <f>65*12</f>
        <v>780</v>
      </c>
      <c r="E45" s="121">
        <f>60*12</f>
        <v>720</v>
      </c>
      <c r="F45" s="110" t="s">
        <v>59</v>
      </c>
      <c r="G45" s="122">
        <f t="shared" si="23"/>
        <v>125</v>
      </c>
      <c r="H45" s="205"/>
      <c r="I45" s="120">
        <v>65</v>
      </c>
      <c r="J45" s="121">
        <v>60</v>
      </c>
      <c r="Q45" s="89" t="s">
        <v>59</v>
      </c>
      <c r="R45" s="116"/>
      <c r="S45" s="99">
        <v>20</v>
      </c>
      <c r="T45" s="99">
        <v>20</v>
      </c>
      <c r="U45" s="100">
        <v>20</v>
      </c>
    </row>
    <row r="48" spans="1:27">
      <c r="A48" s="214" t="s">
        <v>60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6"/>
    </row>
    <row r="49" spans="1:27" ht="8.1" customHeight="1"/>
    <row r="50" spans="1:27">
      <c r="B50" s="132" t="s">
        <v>61</v>
      </c>
      <c r="C50" s="130" t="s">
        <v>62</v>
      </c>
      <c r="D50" s="131"/>
      <c r="F50" s="133" t="s">
        <v>63</v>
      </c>
      <c r="G50" s="134" t="s">
        <v>64</v>
      </c>
      <c r="H50" s="134"/>
      <c r="I50" s="135"/>
      <c r="J50" s="136"/>
      <c r="K50" s="137"/>
      <c r="L50" s="137"/>
      <c r="M50" s="138"/>
      <c r="N50" s="138"/>
      <c r="O50" s="138"/>
      <c r="P50" s="138"/>
      <c r="Q50" s="138"/>
      <c r="R50" s="138"/>
      <c r="S50" s="138"/>
    </row>
    <row r="51" spans="1:27">
      <c r="C51" s="26"/>
      <c r="F51" s="133"/>
      <c r="G51" s="134" t="s">
        <v>65</v>
      </c>
      <c r="H51" s="134"/>
      <c r="I51" s="135"/>
      <c r="J51" s="136"/>
      <c r="K51" s="137"/>
      <c r="L51" s="137"/>
      <c r="M51" s="138"/>
      <c r="N51" s="138"/>
      <c r="O51" s="138"/>
      <c r="P51" s="138"/>
      <c r="Q51" s="138"/>
      <c r="R51" s="138"/>
      <c r="S51" s="138"/>
      <c r="U51" s="135"/>
    </row>
    <row r="52" spans="1:27">
      <c r="B52" s="139" t="s">
        <v>66</v>
      </c>
      <c r="C52" s="124" t="s">
        <v>67</v>
      </c>
      <c r="D52" s="127" t="s">
        <v>68</v>
      </c>
      <c r="E52" s="128" t="s">
        <v>69</v>
      </c>
      <c r="F52" s="133" t="s">
        <v>70</v>
      </c>
      <c r="G52" s="134" t="s">
        <v>64</v>
      </c>
      <c r="H52" s="134"/>
      <c r="I52" s="135"/>
      <c r="J52" s="136"/>
      <c r="K52" s="137"/>
      <c r="L52" s="137"/>
      <c r="M52" s="138"/>
      <c r="N52" s="138"/>
      <c r="O52" s="138"/>
      <c r="P52" s="138"/>
      <c r="Q52" s="138"/>
      <c r="R52" s="138"/>
      <c r="S52" s="138"/>
      <c r="U52" s="135"/>
    </row>
    <row r="53" spans="1:27">
      <c r="B53" s="87" t="s">
        <v>56</v>
      </c>
      <c r="C53" s="125">
        <v>0</v>
      </c>
      <c r="D53" s="125">
        <v>0</v>
      </c>
      <c r="E53" s="125">
        <v>0</v>
      </c>
      <c r="F53" s="133"/>
      <c r="G53" s="134" t="s">
        <v>71</v>
      </c>
      <c r="H53" s="134"/>
      <c r="I53" s="135"/>
      <c r="J53" s="136"/>
      <c r="K53" s="137"/>
      <c r="L53" s="137"/>
      <c r="M53" s="138"/>
      <c r="N53" s="138"/>
      <c r="O53" s="138"/>
      <c r="P53" s="138"/>
      <c r="Q53" s="138"/>
      <c r="R53" s="138"/>
      <c r="S53" s="138"/>
      <c r="U53" s="135"/>
    </row>
    <row r="54" spans="1:27">
      <c r="B54" s="88" t="s">
        <v>57</v>
      </c>
      <c r="C54" s="129">
        <v>0.8</v>
      </c>
      <c r="D54" s="129">
        <v>0</v>
      </c>
      <c r="E54" s="129">
        <v>0.2</v>
      </c>
      <c r="F54" s="133"/>
      <c r="G54" s="134">
        <v>29.890999999999998</v>
      </c>
      <c r="H54" s="134"/>
      <c r="I54" s="135"/>
      <c r="J54" s="136"/>
      <c r="K54" s="137"/>
      <c r="L54" s="137"/>
      <c r="M54" s="138"/>
      <c r="N54" s="138"/>
      <c r="O54" s="138"/>
      <c r="P54" s="138"/>
      <c r="Q54" s="138"/>
      <c r="R54" s="138"/>
      <c r="S54" s="138"/>
      <c r="U54" s="135"/>
    </row>
    <row r="55" spans="1:27">
      <c r="B55" s="88" t="s">
        <v>58</v>
      </c>
      <c r="C55" s="129">
        <v>0.6</v>
      </c>
      <c r="D55" s="129">
        <v>0.2</v>
      </c>
      <c r="E55" s="129">
        <v>0.2</v>
      </c>
      <c r="F55" s="133" t="s">
        <v>72</v>
      </c>
      <c r="G55" s="134" t="s">
        <v>73</v>
      </c>
      <c r="H55" s="134"/>
      <c r="I55" s="135"/>
      <c r="J55" s="136"/>
      <c r="K55" s="137"/>
      <c r="L55" s="137"/>
      <c r="M55" s="138"/>
      <c r="N55" s="138"/>
      <c r="O55" s="138"/>
      <c r="P55" s="138"/>
      <c r="Q55" s="138"/>
      <c r="R55" s="138"/>
      <c r="S55" s="138"/>
      <c r="U55" s="135"/>
    </row>
    <row r="56" spans="1:27">
      <c r="B56" s="110" t="s">
        <v>59</v>
      </c>
      <c r="C56" s="126">
        <v>0.8</v>
      </c>
      <c r="D56" s="126">
        <v>0</v>
      </c>
      <c r="E56" s="126">
        <v>0.2</v>
      </c>
      <c r="F56" s="133"/>
      <c r="G56" s="134" t="s">
        <v>74</v>
      </c>
      <c r="H56" s="134"/>
      <c r="I56" s="135"/>
      <c r="J56" s="136"/>
      <c r="K56" s="137"/>
      <c r="L56" s="137"/>
      <c r="M56" s="138"/>
      <c r="N56" s="138"/>
      <c r="O56" s="138"/>
      <c r="P56" s="138"/>
      <c r="Q56" s="138"/>
      <c r="R56" s="138"/>
      <c r="S56" s="138"/>
      <c r="U56" s="135"/>
    </row>
    <row r="57" spans="1:27">
      <c r="F57" s="133" t="s">
        <v>75</v>
      </c>
      <c r="G57" s="134" t="s">
        <v>73</v>
      </c>
      <c r="H57" s="134"/>
      <c r="I57" s="135"/>
      <c r="J57" s="136"/>
      <c r="K57" s="137"/>
      <c r="L57" s="137"/>
      <c r="M57" s="138"/>
      <c r="N57" s="138"/>
      <c r="O57" s="138"/>
      <c r="P57" s="138"/>
      <c r="Q57" s="138"/>
      <c r="R57" s="138"/>
      <c r="S57" s="138"/>
      <c r="U57" s="135"/>
    </row>
    <row r="58" spans="1:27">
      <c r="F58" s="133"/>
      <c r="G58" s="134" t="s">
        <v>76</v>
      </c>
      <c r="H58" s="134"/>
      <c r="I58" s="135"/>
      <c r="J58" s="136"/>
      <c r="K58" s="137"/>
      <c r="L58" s="137"/>
      <c r="M58" s="138"/>
      <c r="N58" s="138"/>
      <c r="O58" s="138"/>
      <c r="P58" s="138"/>
      <c r="Q58" s="138"/>
      <c r="R58" s="138"/>
      <c r="S58" s="138"/>
      <c r="U58" s="135"/>
    </row>
    <row r="59" spans="1:27">
      <c r="F59" s="133"/>
      <c r="G59" s="134">
        <v>521.73299999999995</v>
      </c>
      <c r="H59" s="134"/>
      <c r="I59" s="135"/>
      <c r="J59" s="136"/>
      <c r="K59" s="137"/>
      <c r="L59" s="137"/>
      <c r="M59" s="138"/>
      <c r="N59" s="138"/>
      <c r="O59" s="138"/>
      <c r="P59" s="138"/>
      <c r="Q59" s="138"/>
      <c r="R59" s="138"/>
      <c r="S59" s="138"/>
      <c r="U59" s="135"/>
    </row>
    <row r="61" spans="1:27" s="13" customFormat="1" ht="15.75">
      <c r="A61" s="206" t="s">
        <v>77</v>
      </c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</row>
    <row r="62" spans="1:27" ht="8.1" customHeight="1"/>
    <row r="63" spans="1:27">
      <c r="A63" s="155" t="s">
        <v>78</v>
      </c>
      <c r="B63" s="156"/>
      <c r="C63" s="157" t="str">
        <f>B31</f>
        <v>S&amp;R KORTRIJK-ZWEVEGEM NV</v>
      </c>
      <c r="D63" s="156"/>
      <c r="E63" s="156"/>
      <c r="F63" s="156"/>
      <c r="G63" s="156"/>
      <c r="H63" s="156"/>
      <c r="I63" s="156"/>
      <c r="J63" s="156"/>
      <c r="K63" s="158"/>
      <c r="L63" s="66"/>
    </row>
    <row r="64" spans="1:27">
      <c r="A64"/>
      <c r="B64"/>
      <c r="C64"/>
      <c r="D64"/>
      <c r="E64"/>
      <c r="F64"/>
      <c r="G64"/>
      <c r="H64"/>
      <c r="I64"/>
      <c r="J64"/>
      <c r="K64"/>
      <c r="L64"/>
      <c r="S64"/>
      <c r="T64"/>
      <c r="U64"/>
      <c r="W64"/>
      <c r="X64"/>
      <c r="Y64"/>
      <c r="Z64"/>
      <c r="AA64"/>
    </row>
    <row r="65" spans="1:27">
      <c r="A65"/>
      <c r="B65"/>
      <c r="C65"/>
      <c r="D65"/>
      <c r="E65"/>
      <c r="F65"/>
      <c r="G65"/>
      <c r="H65"/>
      <c r="I65"/>
      <c r="J65"/>
      <c r="K65"/>
      <c r="L65"/>
      <c r="S65"/>
      <c r="T65"/>
      <c r="U65"/>
      <c r="W65"/>
      <c r="X65"/>
      <c r="Y65"/>
      <c r="Z65"/>
      <c r="AA65"/>
    </row>
    <row r="66" spans="1:27" ht="30.75">
      <c r="A66" s="27" t="s">
        <v>7</v>
      </c>
      <c r="B66" s="28" t="s">
        <v>8</v>
      </c>
      <c r="C66" s="152" t="s">
        <v>9</v>
      </c>
      <c r="D66" s="30" t="s">
        <v>56</v>
      </c>
      <c r="E66" s="140" t="s">
        <v>79</v>
      </c>
      <c r="F66" s="29" t="s">
        <v>80</v>
      </c>
      <c r="G66" s="29" t="s">
        <v>59</v>
      </c>
      <c r="H66" s="29"/>
      <c r="I66" s="166" t="s">
        <v>81</v>
      </c>
      <c r="J66" s="163" t="s">
        <v>82</v>
      </c>
      <c r="K66" s="178" t="s">
        <v>83</v>
      </c>
      <c r="L66" s="166" t="s">
        <v>84</v>
      </c>
      <c r="N66" s="179" t="s">
        <v>85</v>
      </c>
      <c r="O66" s="182" t="s">
        <v>86</v>
      </c>
      <c r="Q66" s="168" t="s">
        <v>87</v>
      </c>
      <c r="S66"/>
      <c r="T66"/>
      <c r="U66"/>
    </row>
    <row r="67" spans="1:27">
      <c r="A67" s="37">
        <v>1</v>
      </c>
      <c r="B67" s="38">
        <f t="shared" ref="B67:B78" si="24">IFERROR(IF(VLOOKUP(A67,$A$6:$C$23,2,FALSE)=0,"",VLOOKUP(A67,$A$6:$C$23,2,FALSE)),"")</f>
        <v>44557</v>
      </c>
      <c r="C67" s="153">
        <f t="shared" ref="C67:C78" si="25">IFERROR(IF(VLOOKUP(A67,$A$6:$C$23,3,FALSE)=0,"",VLOOKUP(A67,$A$6:$C$23,3,FALSE)),"")</f>
        <v>44584</v>
      </c>
      <c r="D67" s="96">
        <f>IF(C67&lt;&gt;"",$D$42*((C67-B67+1)/365)*IF(SUM($C$53:$E$53)=0,1,ROUND(($C$53*$J67/$G$54+$D$53*$K67/$G$59+$E$53),5)),"")</f>
        <v>2538.6909589041097</v>
      </c>
      <c r="E67" s="96">
        <f>IF(C67&lt;&gt;"",$D$43*((C67-B67+1)/365)*IF(SUM($C$54:$E$54)=0,1,ROUND(($C$54*$J67/$G$54+$D$54*$K67/$G$59+$E$54),5)),"")</f>
        <v>81.530630136986304</v>
      </c>
      <c r="F67" s="96">
        <f>IF(C67&lt;&gt;"",$D$44*((C67-B67+1)/365)*IF(SUM($C$55:$E$55)=0,1,ROUND(($C$55*$J67/$G$54+$D$55*$K67/$G$59+$E$55),5)),"")</f>
        <v>204.24181917808221</v>
      </c>
      <c r="G67" s="96">
        <f>IF(C67&lt;&gt;"",$I$45*IF(SUM($C$56:$E$56)=0,1,ROUND(($C$56*$J67/$G$54+$D$56*$K67/$G$59+$E$56),5)),"")</f>
        <v>13</v>
      </c>
      <c r="H67" s="96"/>
      <c r="I67" s="161">
        <f>ROUND(SUM(D67:G67),2)</f>
        <v>2837.46</v>
      </c>
      <c r="J67" s="164">
        <f>IF(C67&lt;&gt;"",VLOOKUP(C67,Valeur_S[],2,TRUE),"")</f>
        <v>0</v>
      </c>
      <c r="K67" s="164">
        <f t="shared" ref="K67:K81" si="26">IF(C67&lt;&gt;"",VLOOKUP(C67,Valeur_M,2,TRUE),"")</f>
        <v>0</v>
      </c>
      <c r="L67" s="161">
        <f t="shared" ref="L67:L78" si="27">IF(C67&lt;&gt;"",ROUND(((P7/I7)*K7)+(((I7-P7)/I7)*K7*(Y7/AA7)),2),"")</f>
        <v>39686.870000000003</v>
      </c>
      <c r="N67" s="180">
        <f>IF(C67&lt;&gt;"",I67+L67,"")</f>
        <v>42524.33</v>
      </c>
      <c r="O67" s="183">
        <f t="shared" ref="O67:O78" si="28">IF(C67&lt;&gt;"",N67/Y7,"")</f>
        <v>212.62165000000002</v>
      </c>
      <c r="Q67" s="169">
        <v>1</v>
      </c>
      <c r="S67" s="167"/>
      <c r="T67" s="167"/>
      <c r="U67"/>
    </row>
    <row r="68" spans="1:27">
      <c r="A68" s="41">
        <v>2</v>
      </c>
      <c r="B68" s="42">
        <f t="shared" si="24"/>
        <v>44585</v>
      </c>
      <c r="C68" s="154">
        <f t="shared" si="25"/>
        <v>44612</v>
      </c>
      <c r="D68" s="98">
        <f t="shared" ref="D68:D81" si="29">IF(C68&lt;&gt;"",$D$42*((C68-B68+1)/365)*IF(SUM($C$53:$E$53)=0,1,ROUND(($C$53*$J68/$G$54+$D$53*$K68/$G$59+$E$53),5)),"")</f>
        <v>2538.6909589041097</v>
      </c>
      <c r="E68" s="98">
        <f t="shared" ref="E68:E81" si="30">IF(C68&lt;&gt;"",$D$43*((C68-B68+1)/365)*IF(SUM($C$54:$E$54)=0,1,ROUND(($C$54*$J68/$G$54+$D$54*$K68/$G$59+$E$54),5)),"")</f>
        <v>81.530630136986304</v>
      </c>
      <c r="F68" s="98">
        <f t="shared" ref="F68:F81" si="31">IF(C68&lt;&gt;"",$D$44*((C68-B68+1)/365)*IF(SUM($C$55:$E$55)=0,1,ROUND(($C$55*$J68/$G$54+$D$55*$K68/$G$59+$E$55),5)),"")</f>
        <v>204.24181917808221</v>
      </c>
      <c r="G68" s="98">
        <f t="shared" ref="G68:G81" si="32">IF(C68&lt;&gt;"",$I$45*IF(SUM($C$56:$E$56)=0,1,ROUND(($C$56*$J68/$G$54+$D$56*$K68/$G$59+$E$56),5)),"")</f>
        <v>13</v>
      </c>
      <c r="H68" s="98"/>
      <c r="I68" s="162">
        <f t="shared" ref="I68:I81" si="33">ROUND(SUM(D68:G68),2)</f>
        <v>2837.46</v>
      </c>
      <c r="J68" s="165">
        <f>IF(C68&lt;&gt;"",VLOOKUP(C68,Valeur_S[],2,TRUE),"")</f>
        <v>0</v>
      </c>
      <c r="K68" s="165">
        <f t="shared" si="26"/>
        <v>0</v>
      </c>
      <c r="L68" s="162">
        <f t="shared" si="27"/>
        <v>40617.21</v>
      </c>
      <c r="N68" s="181">
        <f t="shared" ref="N68:N81" si="34">IF(C68&lt;&gt;"",I68+L68,"")</f>
        <v>43454.67</v>
      </c>
      <c r="O68" s="184">
        <f t="shared" si="28"/>
        <v>232.37791443850267</v>
      </c>
      <c r="Q68" s="169">
        <v>1</v>
      </c>
      <c r="S68" s="167"/>
      <c r="T68" s="167"/>
      <c r="U68"/>
    </row>
    <row r="69" spans="1:27">
      <c r="A69" s="41">
        <v>3</v>
      </c>
      <c r="B69" s="42">
        <f t="shared" si="24"/>
        <v>44613</v>
      </c>
      <c r="C69" s="154">
        <f t="shared" si="25"/>
        <v>44642</v>
      </c>
      <c r="D69" s="98">
        <f t="shared" si="29"/>
        <v>2720.0260273972603</v>
      </c>
      <c r="E69" s="98">
        <f t="shared" si="30"/>
        <v>87.354246575342472</v>
      </c>
      <c r="F69" s="98">
        <f t="shared" si="31"/>
        <v>218.83052054794521</v>
      </c>
      <c r="G69" s="98">
        <f t="shared" si="32"/>
        <v>13</v>
      </c>
      <c r="H69" s="98"/>
      <c r="I69" s="162">
        <f t="shared" si="33"/>
        <v>3039.21</v>
      </c>
      <c r="J69" s="165">
        <f>IF(C69&lt;&gt;"",VLOOKUP(C69,Valeur_S[],2,TRUE),"")</f>
        <v>0</v>
      </c>
      <c r="K69" s="165">
        <f t="shared" si="26"/>
        <v>0</v>
      </c>
      <c r="L69" s="162">
        <f t="shared" si="27"/>
        <v>36703.699999999997</v>
      </c>
      <c r="N69" s="181">
        <f t="shared" si="34"/>
        <v>39742.909999999996</v>
      </c>
      <c r="O69" s="184">
        <f t="shared" si="28"/>
        <v>134.72172881355931</v>
      </c>
      <c r="Q69" s="169">
        <v>1</v>
      </c>
      <c r="S69" s="167"/>
      <c r="T69" s="167"/>
      <c r="U69"/>
    </row>
    <row r="70" spans="1:27">
      <c r="A70" s="41">
        <v>4</v>
      </c>
      <c r="B70" s="42">
        <f t="shared" si="24"/>
        <v>44643</v>
      </c>
      <c r="C70" s="154">
        <f t="shared" si="25"/>
        <v>44671</v>
      </c>
      <c r="D70" s="98">
        <f t="shared" si="29"/>
        <v>2629.3584931506853</v>
      </c>
      <c r="E70" s="98">
        <f t="shared" si="30"/>
        <v>84.442438356164402</v>
      </c>
      <c r="F70" s="98">
        <f t="shared" si="31"/>
        <v>211.53616986301373</v>
      </c>
      <c r="G70" s="98">
        <f t="shared" si="32"/>
        <v>13</v>
      </c>
      <c r="H70" s="98"/>
      <c r="I70" s="162">
        <f t="shared" si="33"/>
        <v>2938.34</v>
      </c>
      <c r="J70" s="165">
        <f>IF(C70&lt;&gt;"",VLOOKUP(C70,Valeur_S[],2,TRUE),"")</f>
        <v>0</v>
      </c>
      <c r="K70" s="165">
        <f t="shared" si="26"/>
        <v>0</v>
      </c>
      <c r="L70" s="162">
        <f t="shared" si="27"/>
        <v>65182.12</v>
      </c>
      <c r="N70" s="181">
        <f t="shared" si="34"/>
        <v>68120.460000000006</v>
      </c>
      <c r="O70" s="184">
        <f t="shared" si="28"/>
        <v>252.29800000000003</v>
      </c>
      <c r="Q70" s="169">
        <v>1</v>
      </c>
      <c r="S70" s="167"/>
      <c r="T70" s="167"/>
      <c r="U70"/>
    </row>
    <row r="71" spans="1:27">
      <c r="A71" s="41">
        <v>5</v>
      </c>
      <c r="B71" s="42">
        <f t="shared" si="24"/>
        <v>44672</v>
      </c>
      <c r="C71" s="154">
        <f t="shared" si="25"/>
        <v>44703</v>
      </c>
      <c r="D71" s="98">
        <f t="shared" si="29"/>
        <v>2901.361095890411</v>
      </c>
      <c r="E71" s="98">
        <f t="shared" si="30"/>
        <v>93.177863013698641</v>
      </c>
      <c r="F71" s="98">
        <f t="shared" si="31"/>
        <v>233.41922191780824</v>
      </c>
      <c r="G71" s="98">
        <f t="shared" si="32"/>
        <v>13</v>
      </c>
      <c r="H71" s="98"/>
      <c r="I71" s="162">
        <f t="shared" si="33"/>
        <v>3240.96</v>
      </c>
      <c r="J71" s="165">
        <f>IF(C71&lt;&gt;"",VLOOKUP(C71,Valeur_S[],2,TRUE),"")</f>
        <v>0</v>
      </c>
      <c r="K71" s="165">
        <f t="shared" si="26"/>
        <v>0</v>
      </c>
      <c r="L71" s="162">
        <f t="shared" si="27"/>
        <v>62236.99</v>
      </c>
      <c r="N71" s="181">
        <f t="shared" si="34"/>
        <v>65477.95</v>
      </c>
      <c r="O71" s="184">
        <f t="shared" si="28"/>
        <v>228.94388111888111</v>
      </c>
      <c r="Q71" s="169">
        <v>1</v>
      </c>
      <c r="S71" s="167"/>
      <c r="T71" s="167"/>
      <c r="U71"/>
    </row>
    <row r="72" spans="1:27">
      <c r="A72" s="41">
        <v>6</v>
      </c>
      <c r="B72" s="42">
        <f t="shared" si="24"/>
        <v>44704</v>
      </c>
      <c r="C72" s="154">
        <f t="shared" si="25"/>
        <v>44739</v>
      </c>
      <c r="D72" s="98">
        <f t="shared" si="29"/>
        <v>3264.0312328767122</v>
      </c>
      <c r="E72" s="98">
        <f t="shared" si="30"/>
        <v>104.82509589041098</v>
      </c>
      <c r="F72" s="98">
        <f t="shared" si="31"/>
        <v>262.59662465753428</v>
      </c>
      <c r="G72" s="98">
        <f t="shared" si="32"/>
        <v>13</v>
      </c>
      <c r="H72" s="98"/>
      <c r="I72" s="162">
        <f t="shared" si="33"/>
        <v>3644.45</v>
      </c>
      <c r="J72" s="165">
        <f>IF(C72&lt;&gt;"",VLOOKUP(C72,Valeur_S[],2,TRUE),"")</f>
        <v>0</v>
      </c>
      <c r="K72" s="165">
        <f t="shared" si="26"/>
        <v>0</v>
      </c>
      <c r="L72" s="162">
        <f t="shared" si="27"/>
        <v>60120.93</v>
      </c>
      <c r="N72" s="181">
        <f t="shared" si="34"/>
        <v>63765.38</v>
      </c>
      <c r="O72" s="184">
        <f t="shared" si="28"/>
        <v>222.95587412587412</v>
      </c>
      <c r="Q72" s="169">
        <v>1</v>
      </c>
      <c r="S72" s="167"/>
      <c r="T72" s="167"/>
      <c r="U72"/>
    </row>
    <row r="73" spans="1:27">
      <c r="A73" s="41">
        <v>7</v>
      </c>
      <c r="B73" s="42">
        <f t="shared" si="24"/>
        <v>44740</v>
      </c>
      <c r="C73" s="154">
        <f t="shared" si="25"/>
        <v>44761</v>
      </c>
      <c r="D73" s="98">
        <f t="shared" si="29"/>
        <v>1994.6857534246576</v>
      </c>
      <c r="E73" s="98">
        <f t="shared" si="30"/>
        <v>64.059780821917812</v>
      </c>
      <c r="F73" s="98">
        <f t="shared" si="31"/>
        <v>160.47571506849317</v>
      </c>
      <c r="G73" s="98">
        <f t="shared" si="32"/>
        <v>13</v>
      </c>
      <c r="H73" s="98"/>
      <c r="I73" s="162">
        <f t="shared" si="33"/>
        <v>2232.2199999999998</v>
      </c>
      <c r="J73" s="165">
        <f>IF(C73&lt;&gt;"",VLOOKUP(C73,Valeur_S[],2,TRUE),"")</f>
        <v>0</v>
      </c>
      <c r="K73" s="165">
        <f t="shared" si="26"/>
        <v>0</v>
      </c>
      <c r="L73" s="162">
        <f t="shared" si="27"/>
        <v>24445.42</v>
      </c>
      <c r="N73" s="181">
        <f t="shared" si="34"/>
        <v>26677.64</v>
      </c>
      <c r="O73" s="184">
        <f t="shared" si="28"/>
        <v>99.173382899628251</v>
      </c>
      <c r="Q73" s="169">
        <v>1</v>
      </c>
      <c r="S73" s="167"/>
      <c r="T73" s="167"/>
      <c r="U73"/>
    </row>
    <row r="74" spans="1:27">
      <c r="A74" s="41">
        <v>8</v>
      </c>
      <c r="B74" s="42">
        <f t="shared" si="24"/>
        <v>44762</v>
      </c>
      <c r="C74" s="154">
        <f t="shared" si="25"/>
        <v>44795</v>
      </c>
      <c r="D74" s="98">
        <f t="shared" si="29"/>
        <v>3082.6961643835621</v>
      </c>
      <c r="E74" s="98">
        <f t="shared" si="30"/>
        <v>99.001479452054809</v>
      </c>
      <c r="F74" s="98">
        <f t="shared" si="31"/>
        <v>248.00792328767125</v>
      </c>
      <c r="G74" s="98">
        <f t="shared" si="32"/>
        <v>13</v>
      </c>
      <c r="H74" s="98"/>
      <c r="I74" s="162">
        <f t="shared" si="33"/>
        <v>3442.71</v>
      </c>
      <c r="J74" s="165">
        <f>IF(C74&lt;&gt;"",VLOOKUP(C74,Valeur_S[],2,TRUE),"")</f>
        <v>0</v>
      </c>
      <c r="K74" s="165">
        <f t="shared" si="26"/>
        <v>0</v>
      </c>
      <c r="L74" s="162">
        <f t="shared" si="27"/>
        <v>59323.03</v>
      </c>
      <c r="N74" s="181">
        <f t="shared" si="34"/>
        <v>62765.74</v>
      </c>
      <c r="O74" s="184">
        <f t="shared" si="28"/>
        <v>162.60554404145077</v>
      </c>
      <c r="Q74" s="169">
        <v>1</v>
      </c>
      <c r="S74" s="167"/>
      <c r="T74" s="167"/>
      <c r="U74"/>
    </row>
    <row r="75" spans="1:27">
      <c r="A75" s="41">
        <v>9</v>
      </c>
      <c r="B75" s="42">
        <f t="shared" si="24"/>
        <v>44796</v>
      </c>
      <c r="C75" s="154">
        <f t="shared" si="25"/>
        <v>44826</v>
      </c>
      <c r="D75" s="98">
        <f t="shared" si="29"/>
        <v>2810.6935616438359</v>
      </c>
      <c r="E75" s="98">
        <f t="shared" si="30"/>
        <v>90.266054794520556</v>
      </c>
      <c r="F75" s="98">
        <f t="shared" si="31"/>
        <v>226.1248712328767</v>
      </c>
      <c r="G75" s="98">
        <f t="shared" si="32"/>
        <v>13</v>
      </c>
      <c r="H75" s="98"/>
      <c r="I75" s="162">
        <f t="shared" si="33"/>
        <v>3140.08</v>
      </c>
      <c r="J75" s="165">
        <f>IF(C75&lt;&gt;"",VLOOKUP(C75,Valeur_S[],2,TRUE),"")</f>
        <v>0</v>
      </c>
      <c r="K75" s="165">
        <f t="shared" ref="K75:K80" si="35">IF(C75&lt;&gt;"",VLOOKUP(C75,Valeur_M,2,TRUE),"")</f>
        <v>0</v>
      </c>
      <c r="L75" s="162">
        <f t="shared" si="27"/>
        <v>86847.87</v>
      </c>
      <c r="N75" s="181">
        <f t="shared" si="34"/>
        <v>89987.95</v>
      </c>
      <c r="O75" s="184">
        <f t="shared" si="28"/>
        <v>228.39581218274111</v>
      </c>
      <c r="Q75" s="169">
        <v>1</v>
      </c>
      <c r="S75" s="167"/>
      <c r="T75" s="167"/>
      <c r="U75"/>
    </row>
    <row r="76" spans="1:27">
      <c r="A76" s="41">
        <v>10</v>
      </c>
      <c r="B76" s="42">
        <f t="shared" si="24"/>
        <v>44827</v>
      </c>
      <c r="C76" s="154">
        <f t="shared" si="25"/>
        <v>44861</v>
      </c>
      <c r="D76" s="98">
        <f t="shared" si="29"/>
        <v>3173.3636986301372</v>
      </c>
      <c r="E76" s="98">
        <f t="shared" si="30"/>
        <v>101.91328767123288</v>
      </c>
      <c r="F76" s="98">
        <f t="shared" si="31"/>
        <v>255.30227397260273</v>
      </c>
      <c r="G76" s="98">
        <f t="shared" si="32"/>
        <v>13</v>
      </c>
      <c r="H76" s="98"/>
      <c r="I76" s="162">
        <f t="shared" si="33"/>
        <v>3543.58</v>
      </c>
      <c r="J76" s="165">
        <f>IF(C76&lt;&gt;"",VLOOKUP(C76,Valeur_S[],2,TRUE),"")</f>
        <v>0</v>
      </c>
      <c r="K76" s="165">
        <f t="shared" si="35"/>
        <v>0</v>
      </c>
      <c r="L76" s="162">
        <f t="shared" si="27"/>
        <v>91829.38</v>
      </c>
      <c r="N76" s="181">
        <f t="shared" si="34"/>
        <v>95372.96</v>
      </c>
      <c r="O76" s="184">
        <f t="shared" si="28"/>
        <v>701.27176470588245</v>
      </c>
      <c r="Q76" s="169">
        <v>1</v>
      </c>
      <c r="S76"/>
      <c r="T76"/>
      <c r="U76"/>
    </row>
    <row r="77" spans="1:27">
      <c r="A77" s="41">
        <v>11</v>
      </c>
      <c r="B77" s="42">
        <f t="shared" si="24"/>
        <v>44862</v>
      </c>
      <c r="C77" s="154">
        <f t="shared" si="25"/>
        <v>44887</v>
      </c>
      <c r="D77" s="98">
        <f t="shared" si="29"/>
        <v>2357.3558904109591</v>
      </c>
      <c r="E77" s="98">
        <f>IF(C77&lt;&gt;"",$D$43*((C77-B77+1)/365)*IF(SUM($C$54:$E$54)=0,1,ROUND(($C$54*$J77/$G$54+$D$54*$K77/$G$59+$E$54),5)),"")</f>
        <v>75.707013698630135</v>
      </c>
      <c r="F77" s="98">
        <f t="shared" si="31"/>
        <v>189.65311780821921</v>
      </c>
      <c r="G77" s="98">
        <f t="shared" si="32"/>
        <v>13</v>
      </c>
      <c r="H77" s="98"/>
      <c r="I77" s="162">
        <f t="shared" si="33"/>
        <v>2635.72</v>
      </c>
      <c r="J77" s="165">
        <f>IF(C77&lt;&gt;"",VLOOKUP(C77,Valeur_S[],2,TRUE),"")</f>
        <v>0</v>
      </c>
      <c r="K77" s="165">
        <f t="shared" si="35"/>
        <v>0</v>
      </c>
      <c r="L77" s="162">
        <f t="shared" si="27"/>
        <v>42273.02</v>
      </c>
      <c r="N77" s="181">
        <f t="shared" si="34"/>
        <v>44908.74</v>
      </c>
      <c r="O77" s="184">
        <f t="shared" si="28"/>
        <v>477.75255319148931</v>
      </c>
      <c r="Q77" s="169">
        <v>0</v>
      </c>
      <c r="S77"/>
      <c r="T77"/>
      <c r="U77"/>
    </row>
    <row r="78" spans="1:27">
      <c r="A78" s="41">
        <v>12</v>
      </c>
      <c r="B78" s="42" t="str">
        <f t="shared" si="24"/>
        <v/>
      </c>
      <c r="C78" s="154" t="str">
        <f t="shared" si="25"/>
        <v/>
      </c>
      <c r="D78" s="98" t="str">
        <f t="shared" si="29"/>
        <v/>
      </c>
      <c r="E78" s="98" t="str">
        <f t="shared" si="30"/>
        <v/>
      </c>
      <c r="F78" s="98" t="str">
        <f t="shared" si="31"/>
        <v/>
      </c>
      <c r="G78" s="98" t="str">
        <f t="shared" si="32"/>
        <v/>
      </c>
      <c r="H78" s="98"/>
      <c r="I78" s="162">
        <f t="shared" si="33"/>
        <v>0</v>
      </c>
      <c r="J78" s="165" t="str">
        <f>IF(C78&lt;&gt;"",VLOOKUP(C78,Valeur_S[],2,TRUE),"")</f>
        <v/>
      </c>
      <c r="K78" s="165" t="str">
        <f t="shared" si="35"/>
        <v/>
      </c>
      <c r="L78" s="162" t="str">
        <f t="shared" si="27"/>
        <v/>
      </c>
      <c r="N78" s="181" t="str">
        <f t="shared" si="34"/>
        <v/>
      </c>
      <c r="O78" s="184" t="str">
        <f t="shared" si="28"/>
        <v/>
      </c>
      <c r="Q78" s="169">
        <v>0</v>
      </c>
      <c r="S78"/>
      <c r="T78"/>
      <c r="U78"/>
    </row>
    <row r="79" spans="1:27">
      <c r="A79" s="41">
        <v>13</v>
      </c>
      <c r="B79" s="42" t="str">
        <f t="shared" ref="B79:B80" si="36">IFERROR(IF(VLOOKUP(A79,$A$6:$C$23,2,FALSE)=0,"",VLOOKUP(A79,$A$6:$C$23,2,FALSE)),"")</f>
        <v/>
      </c>
      <c r="C79" s="154" t="str">
        <f t="shared" ref="C79:C80" si="37">IFERROR(IF(VLOOKUP(A79,$A$6:$C$23,3,FALSE)=0,"",VLOOKUP(A79,$A$6:$C$23,3,FALSE)),"")</f>
        <v/>
      </c>
      <c r="D79" s="98" t="str">
        <f t="shared" ref="D79:D80" si="38">IF(C79&lt;&gt;"",$D$42*((C79-B79+1)/365)*IF(SUM($C$53:$E$53)=0,1,ROUND(($C$53*$J79/$G$54+$D$53*$K79/$G$59+$E$53),5)),"")</f>
        <v/>
      </c>
      <c r="E79" s="98" t="str">
        <f t="shared" ref="E79:E80" si="39">IF(C79&lt;&gt;"",$D$43*((C79-B79+1)/365)*IF(SUM($C$54:$E$54)=0,1,ROUND(($C$54*$J79/$G$54+$D$54*$K79/$G$59+$E$54),5)),"")</f>
        <v/>
      </c>
      <c r="F79" s="98" t="str">
        <f t="shared" ref="F79:F80" si="40">IF(C79&lt;&gt;"",$D$44*((C79-B79+1)/365)*IF(SUM($C$55:$E$55)=0,1,ROUND(($C$55*$J79/$G$54+$D$55*$K79/$G$59+$E$55),5)),"")</f>
        <v/>
      </c>
      <c r="G79" s="98" t="str">
        <f t="shared" ref="G79:G80" si="41">IF(C79&lt;&gt;"",$I$45*IF(SUM($C$56:$E$56)=0,1,ROUND(($C$56*$J79/$G$54+$D$56*$K79/$G$59+$E$56),5)),"")</f>
        <v/>
      </c>
      <c r="H79" s="98"/>
      <c r="I79" s="162">
        <f t="shared" ref="I79:I80" si="42">ROUND(SUM(D79:G79),2)</f>
        <v>0</v>
      </c>
      <c r="J79" s="165" t="str">
        <f>IF(C79&lt;&gt;"",VLOOKUP(C79,Valeur_S[],2,TRUE),"")</f>
        <v/>
      </c>
      <c r="K79" s="165" t="str">
        <f t="shared" si="35"/>
        <v/>
      </c>
      <c r="L79" s="162" t="str">
        <f t="shared" ref="L79:L80" si="43">IF(C79&lt;&gt;"",ROUND(((P19/I19)*K19)+(((I19-P19)/I19)*K19*(Y19/AA19)),2),"")</f>
        <v/>
      </c>
      <c r="N79" s="181" t="str">
        <f t="shared" ref="N79:N80" si="44">IF(C79&lt;&gt;"",I79+L79,"")</f>
        <v/>
      </c>
      <c r="O79" s="184" t="str">
        <f t="shared" ref="O79:O80" si="45">IF(C79&lt;&gt;"",N79/Y19,"")</f>
        <v/>
      </c>
      <c r="Q79" s="169">
        <v>0</v>
      </c>
      <c r="S79"/>
      <c r="T79"/>
      <c r="U79"/>
    </row>
    <row r="80" spans="1:27">
      <c r="A80" s="41">
        <v>14</v>
      </c>
      <c r="B80" s="42" t="str">
        <f t="shared" si="36"/>
        <v/>
      </c>
      <c r="C80" s="154" t="str">
        <f t="shared" si="37"/>
        <v/>
      </c>
      <c r="D80" s="98" t="str">
        <f t="shared" si="38"/>
        <v/>
      </c>
      <c r="E80" s="98" t="str">
        <f t="shared" si="39"/>
        <v/>
      </c>
      <c r="F80" s="98" t="str">
        <f t="shared" si="40"/>
        <v/>
      </c>
      <c r="G80" s="98" t="str">
        <f t="shared" si="41"/>
        <v/>
      </c>
      <c r="H80" s="98"/>
      <c r="I80" s="162">
        <f t="shared" si="42"/>
        <v>0</v>
      </c>
      <c r="J80" s="165" t="str">
        <f>IF(C80&lt;&gt;"",VLOOKUP(C80,Valeur_S[],2,TRUE),"")</f>
        <v/>
      </c>
      <c r="K80" s="165" t="str">
        <f t="shared" si="35"/>
        <v/>
      </c>
      <c r="L80" s="162" t="str">
        <f t="shared" si="43"/>
        <v/>
      </c>
      <c r="N80" s="181" t="str">
        <f t="shared" si="44"/>
        <v/>
      </c>
      <c r="O80" s="184" t="str">
        <f t="shared" si="45"/>
        <v/>
      </c>
      <c r="Q80" s="169">
        <v>0</v>
      </c>
      <c r="S80"/>
      <c r="T80"/>
      <c r="U80"/>
    </row>
    <row r="81" spans="1:21">
      <c r="A81" s="41"/>
      <c r="B81" s="42" t="str">
        <f>IFERROR(IF(VLOOKUP(A81,$A$6:$C$23,2,FALSE)=0,"",VLOOKUP(A81,$A$6:$C$23,2,FALSE)),"")</f>
        <v/>
      </c>
      <c r="C81" s="154" t="str">
        <f>IFERROR(IF(VLOOKUP(A81,$A$6:$C$23,3,FALSE)=0,"",VLOOKUP(A81,$A$6:$C$23,3,FALSE)),"")</f>
        <v/>
      </c>
      <c r="D81" s="98" t="str">
        <f t="shared" si="29"/>
        <v/>
      </c>
      <c r="E81" s="98" t="str">
        <f t="shared" si="30"/>
        <v/>
      </c>
      <c r="F81" s="98" t="str">
        <f t="shared" si="31"/>
        <v/>
      </c>
      <c r="G81" s="98" t="str">
        <f t="shared" si="32"/>
        <v/>
      </c>
      <c r="H81" s="98"/>
      <c r="I81" s="162">
        <f t="shared" si="33"/>
        <v>0</v>
      </c>
      <c r="J81" s="165" t="str">
        <f>IF(C81&lt;&gt;"",VLOOKUP(C81,Valeur_S[],2,TRUE),"")</f>
        <v/>
      </c>
      <c r="K81" s="165" t="str">
        <f t="shared" si="26"/>
        <v/>
      </c>
      <c r="L81" s="162" t="str">
        <f t="shared" ref="L81" si="46">IF(C81&lt;&gt;"",ROUND(((P23/I23)*K23)+(((I23-P23)/I23)*K23*(Y23/AA23)),2),"")</f>
        <v/>
      </c>
      <c r="N81" s="181" t="str">
        <f t="shared" si="34"/>
        <v/>
      </c>
      <c r="O81" s="184" t="str">
        <f t="shared" ref="O81" si="47">IF(C81&lt;&gt;"",N81/Y23,"")</f>
        <v/>
      </c>
      <c r="Q81" s="169">
        <v>0</v>
      </c>
      <c r="S81"/>
      <c r="T81"/>
      <c r="U81"/>
    </row>
  </sheetData>
  <mergeCells count="11">
    <mergeCell ref="A61:AA61"/>
    <mergeCell ref="S5:U5"/>
    <mergeCell ref="W5:Y5"/>
    <mergeCell ref="A3:AA3"/>
    <mergeCell ref="A26:AA26"/>
    <mergeCell ref="J32:J34"/>
    <mergeCell ref="N5:Q5"/>
    <mergeCell ref="A28:AA28"/>
    <mergeCell ref="A37:AA37"/>
    <mergeCell ref="A48:AA48"/>
    <mergeCell ref="A5:L5"/>
  </mergeCells>
  <pageMargins left="0.25" right="0.25" top="0.75" bottom="0.75" header="0.3" footer="0.3"/>
  <pageSetup paperSize="9" scale="51" fitToHeight="0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3F56B55-7E75-4D04-880C-2FA16DEDF9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Q67:Q81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E489-B136-4422-9F6F-5ACEB9FA0CC0}">
  <dimension ref="A1:T62"/>
  <sheetViews>
    <sheetView showGridLines="0" topLeftCell="A40" workbookViewId="0">
      <selection activeCell="E44" sqref="E44:E106"/>
    </sheetView>
  </sheetViews>
  <sheetFormatPr defaultColWidth="8.85546875" defaultRowHeight="14.45"/>
  <cols>
    <col min="1" max="2" width="10.7109375" customWidth="1"/>
    <col min="3" max="3" width="9.42578125" customWidth="1"/>
    <col min="4" max="5" width="10.7109375" customWidth="1"/>
    <col min="6" max="6" width="2.7109375" customWidth="1"/>
  </cols>
  <sheetData>
    <row r="1" spans="1:5" ht="14.45" customHeight="1">
      <c r="A1" s="141" t="s">
        <v>88</v>
      </c>
      <c r="B1" s="142"/>
      <c r="C1" s="142"/>
      <c r="D1" s="142"/>
      <c r="E1" s="142"/>
    </row>
    <row r="2" spans="1:5" s="151" customFormat="1" ht="14.45" customHeight="1">
      <c r="A2" s="143"/>
      <c r="B2" s="144"/>
      <c r="C2" s="144"/>
      <c r="D2" s="144"/>
      <c r="E2" s="144"/>
    </row>
    <row r="3" spans="1:5" s="151" customFormat="1" ht="14.45" customHeight="1">
      <c r="A3" s="145" t="s">
        <v>89</v>
      </c>
      <c r="B3" s="146" t="s">
        <v>90</v>
      </c>
      <c r="C3" s="144"/>
      <c r="D3" s="144"/>
      <c r="E3" s="144"/>
    </row>
    <row r="4" spans="1:5" s="151" customFormat="1" ht="14.45" customHeight="1">
      <c r="A4" s="145"/>
      <c r="B4" s="146" t="s">
        <v>91</v>
      </c>
      <c r="C4" s="144"/>
      <c r="D4" s="144"/>
      <c r="E4" s="144"/>
    </row>
    <row r="5" spans="1:5" s="151" customFormat="1" ht="14.45" customHeight="1" thickBot="1"/>
    <row r="6" spans="1:5" ht="14.45" customHeight="1" thickBot="1">
      <c r="A6" s="217" t="s">
        <v>92</v>
      </c>
      <c r="B6" s="218"/>
      <c r="D6" s="219" t="s">
        <v>93</v>
      </c>
      <c r="E6" s="220"/>
    </row>
    <row r="7" spans="1:5">
      <c r="A7" s="147" t="s">
        <v>94</v>
      </c>
      <c r="B7" s="147" t="s">
        <v>95</v>
      </c>
      <c r="D7" s="148" t="s">
        <v>94</v>
      </c>
      <c r="E7" s="148" t="s">
        <v>95</v>
      </c>
    </row>
    <row r="8" spans="1:5">
      <c r="A8" s="149">
        <v>42552</v>
      </c>
      <c r="B8" s="150">
        <v>29.890999999999998</v>
      </c>
      <c r="D8" s="149">
        <v>42522</v>
      </c>
      <c r="E8" s="150">
        <v>521.73299999999995</v>
      </c>
    </row>
    <row r="9" spans="1:5">
      <c r="A9" s="149">
        <v>42583</v>
      </c>
      <c r="B9" s="150">
        <v>29.890999999999998</v>
      </c>
      <c r="D9" s="149">
        <v>42552</v>
      </c>
      <c r="E9" s="150">
        <v>521.04100000000005</v>
      </c>
    </row>
    <row r="10" spans="1:5">
      <c r="A10" s="149">
        <v>42614</v>
      </c>
      <c r="B10" s="150">
        <v>29.890999999999998</v>
      </c>
      <c r="D10" s="149">
        <v>42583</v>
      </c>
      <c r="E10" s="150">
        <v>516.48199999999997</v>
      </c>
    </row>
    <row r="11" spans="1:5">
      <c r="A11" s="149">
        <v>42644</v>
      </c>
      <c r="B11" s="150">
        <v>30.047999999999998</v>
      </c>
      <c r="D11" s="149">
        <v>42614</v>
      </c>
      <c r="E11" s="150">
        <v>514.20500000000004</v>
      </c>
    </row>
    <row r="12" spans="1:5">
      <c r="A12" s="149">
        <v>42675</v>
      </c>
      <c r="B12" s="150">
        <v>30.047999999999998</v>
      </c>
      <c r="D12" s="149">
        <v>42644</v>
      </c>
      <c r="E12" s="150">
        <v>514.88199999999995</v>
      </c>
    </row>
    <row r="13" spans="1:5">
      <c r="A13" s="149">
        <v>42705</v>
      </c>
      <c r="B13" s="150">
        <v>30.047999999999998</v>
      </c>
      <c r="D13" s="149">
        <v>42675</v>
      </c>
      <c r="E13" s="150">
        <v>540.45600000000002</v>
      </c>
    </row>
    <row r="14" spans="1:5">
      <c r="A14" s="149">
        <v>42736</v>
      </c>
      <c r="B14" s="150">
        <v>30.064</v>
      </c>
      <c r="D14" s="149">
        <v>42705</v>
      </c>
      <c r="E14" s="150">
        <v>563.279</v>
      </c>
    </row>
    <row r="15" spans="1:5">
      <c r="A15" s="149">
        <v>42767</v>
      </c>
      <c r="B15" s="150">
        <v>30.077000000000002</v>
      </c>
      <c r="D15" s="149">
        <v>42736</v>
      </c>
      <c r="E15" s="150">
        <v>582.40899999999999</v>
      </c>
    </row>
    <row r="16" spans="1:5">
      <c r="A16" s="149">
        <v>42795</v>
      </c>
      <c r="B16" s="150">
        <v>30.077000000000002</v>
      </c>
      <c r="D16" s="149">
        <v>42767</v>
      </c>
      <c r="E16" s="150">
        <v>594.89700000000005</v>
      </c>
    </row>
    <row r="17" spans="1:5">
      <c r="A17" s="149">
        <v>42826</v>
      </c>
      <c r="B17" s="150">
        <v>30.193999999999999</v>
      </c>
      <c r="D17" s="149">
        <v>42795</v>
      </c>
      <c r="E17" s="150">
        <v>613.13099999999997</v>
      </c>
    </row>
    <row r="18" spans="1:5">
      <c r="A18" s="149">
        <v>42856</v>
      </c>
      <c r="B18" s="150">
        <v>30.193999999999999</v>
      </c>
      <c r="D18" s="149">
        <v>42826</v>
      </c>
      <c r="E18" s="150">
        <v>614.44500000000005</v>
      </c>
    </row>
    <row r="19" spans="1:5">
      <c r="A19" s="149">
        <v>42887</v>
      </c>
      <c r="B19" s="150">
        <v>30.193999999999999</v>
      </c>
      <c r="D19" s="149">
        <v>42856</v>
      </c>
      <c r="E19" s="150">
        <v>611.13900000000001</v>
      </c>
    </row>
    <row r="20" spans="1:5">
      <c r="A20" s="149">
        <v>42917</v>
      </c>
      <c r="B20" s="150">
        <v>30.77</v>
      </c>
      <c r="D20" s="149">
        <v>42887</v>
      </c>
      <c r="E20" s="150">
        <v>600.54999999999995</v>
      </c>
    </row>
    <row r="21" spans="1:5">
      <c r="A21" s="149">
        <v>42948</v>
      </c>
      <c r="B21" s="150">
        <v>30.77</v>
      </c>
      <c r="D21" s="149">
        <v>42917</v>
      </c>
      <c r="E21" s="150">
        <v>598.97299999999996</v>
      </c>
    </row>
    <row r="22" spans="1:5">
      <c r="A22" s="149">
        <v>42979</v>
      </c>
      <c r="B22" s="150">
        <v>30.77</v>
      </c>
      <c r="D22" s="149">
        <v>42948</v>
      </c>
      <c r="E22" s="150">
        <v>611.49099999999999</v>
      </c>
    </row>
    <row r="23" spans="1:5">
      <c r="A23" s="149">
        <v>43009</v>
      </c>
      <c r="B23" s="150">
        <v>30.84</v>
      </c>
      <c r="D23" s="149">
        <v>42979</v>
      </c>
      <c r="E23" s="150">
        <v>625.96500000000003</v>
      </c>
    </row>
    <row r="24" spans="1:5">
      <c r="A24" s="149">
        <v>43040</v>
      </c>
      <c r="B24" s="150">
        <v>30.84</v>
      </c>
      <c r="D24" s="149">
        <v>43009</v>
      </c>
      <c r="E24" s="150">
        <v>632.25800000000004</v>
      </c>
    </row>
    <row r="25" spans="1:5">
      <c r="A25" s="149">
        <v>43070</v>
      </c>
      <c r="B25" s="150">
        <v>30.84</v>
      </c>
      <c r="D25" s="149">
        <v>43040</v>
      </c>
      <c r="E25" s="150">
        <v>635.947</v>
      </c>
    </row>
    <row r="26" spans="1:5">
      <c r="A26" s="149">
        <v>43101</v>
      </c>
      <c r="B26" s="150">
        <v>30.780999999999999</v>
      </c>
      <c r="D26" s="149">
        <v>43070</v>
      </c>
      <c r="E26" s="150">
        <v>641.4</v>
      </c>
    </row>
    <row r="27" spans="1:5">
      <c r="A27" s="149">
        <v>43132</v>
      </c>
      <c r="B27" s="150">
        <v>30.780999999999999</v>
      </c>
      <c r="D27" s="149">
        <v>43101</v>
      </c>
      <c r="E27" s="150">
        <v>646.85400000000004</v>
      </c>
    </row>
    <row r="28" spans="1:5">
      <c r="A28" s="149">
        <v>43160</v>
      </c>
      <c r="B28" s="150">
        <v>30.780999999999999</v>
      </c>
      <c r="D28" s="149">
        <v>43132</v>
      </c>
      <c r="E28" s="150">
        <v>651.178</v>
      </c>
    </row>
    <row r="29" spans="1:5">
      <c r="A29" s="149">
        <v>43191</v>
      </c>
      <c r="B29" s="150">
        <v>30.628</v>
      </c>
      <c r="D29" s="149">
        <v>43160</v>
      </c>
      <c r="E29" s="150">
        <v>656.27</v>
      </c>
    </row>
    <row r="30" spans="1:5">
      <c r="A30" s="149">
        <v>43221</v>
      </c>
      <c r="B30" s="150">
        <v>30.628</v>
      </c>
      <c r="D30" s="149">
        <v>43191</v>
      </c>
      <c r="E30" s="150">
        <v>663.99199999999996</v>
      </c>
    </row>
    <row r="31" spans="1:5">
      <c r="A31" s="149">
        <v>43252</v>
      </c>
      <c r="B31" s="150">
        <v>30.628</v>
      </c>
      <c r="D31" s="149">
        <v>43221</v>
      </c>
      <c r="E31" s="150">
        <v>663.31799999999998</v>
      </c>
    </row>
    <row r="32" spans="1:5">
      <c r="A32" s="149">
        <v>43282</v>
      </c>
      <c r="B32" s="150">
        <v>30.782</v>
      </c>
      <c r="D32" s="149">
        <v>43252</v>
      </c>
      <c r="E32" s="150">
        <v>662.29399999999998</v>
      </c>
    </row>
    <row r="33" spans="1:20">
      <c r="A33" s="149">
        <v>43313</v>
      </c>
      <c r="B33" s="150">
        <v>30.782</v>
      </c>
      <c r="D33" s="149">
        <v>43282</v>
      </c>
      <c r="E33" s="150">
        <v>660.61699999999996</v>
      </c>
    </row>
    <row r="34" spans="1:20">
      <c r="A34" s="149">
        <v>43344</v>
      </c>
      <c r="B34" s="150">
        <v>30.782</v>
      </c>
      <c r="D34" s="149">
        <v>43313</v>
      </c>
      <c r="E34" s="150">
        <v>668.62199999999996</v>
      </c>
      <c r="L34" s="1"/>
      <c r="M34" s="1"/>
      <c r="N34" s="1"/>
      <c r="R34" s="1"/>
      <c r="S34" s="1"/>
      <c r="T34" s="1"/>
    </row>
    <row r="35" spans="1:20">
      <c r="A35" s="149">
        <v>43374</v>
      </c>
      <c r="B35" s="150">
        <v>30.91</v>
      </c>
      <c r="D35" s="149">
        <v>43344</v>
      </c>
      <c r="E35" s="150">
        <v>671.49199999999996</v>
      </c>
      <c r="L35" s="1"/>
      <c r="M35" s="1"/>
      <c r="N35" s="1"/>
      <c r="R35" s="1"/>
      <c r="S35" s="1"/>
      <c r="T35" s="1"/>
    </row>
    <row r="36" spans="1:20">
      <c r="A36" s="149">
        <v>43405</v>
      </c>
      <c r="B36" s="150">
        <v>30.91</v>
      </c>
      <c r="D36" s="149">
        <v>43374</v>
      </c>
      <c r="E36" s="150">
        <v>673.74800000000005</v>
      </c>
    </row>
    <row r="37" spans="1:20">
      <c r="A37" s="149">
        <v>43435</v>
      </c>
      <c r="B37" s="150">
        <v>30.91</v>
      </c>
      <c r="D37" s="149">
        <v>43405</v>
      </c>
      <c r="E37" s="150">
        <v>671.80600000000004</v>
      </c>
    </row>
    <row r="38" spans="1:20">
      <c r="A38" s="149">
        <v>43466</v>
      </c>
      <c r="B38" s="150">
        <v>31.039000000000001</v>
      </c>
      <c r="D38" s="149">
        <v>43435</v>
      </c>
      <c r="E38" s="150">
        <v>668.10699999999997</v>
      </c>
    </row>
    <row r="39" spans="1:20">
      <c r="A39" s="149">
        <v>43497</v>
      </c>
      <c r="B39" s="150">
        <v>31.044</v>
      </c>
      <c r="D39" s="149">
        <v>43466</v>
      </c>
      <c r="E39" s="150">
        <v>664.44500000000005</v>
      </c>
    </row>
    <row r="40" spans="1:20">
      <c r="A40" s="149">
        <v>43525</v>
      </c>
      <c r="B40" s="150">
        <v>31.044</v>
      </c>
      <c r="D40" s="149">
        <v>43497</v>
      </c>
      <c r="E40" s="150">
        <v>661.69799999999998</v>
      </c>
    </row>
    <row r="41" spans="1:20">
      <c r="A41" s="149">
        <v>43556</v>
      </c>
      <c r="B41" s="150">
        <v>31.225999999999999</v>
      </c>
      <c r="D41" s="149">
        <v>43525</v>
      </c>
      <c r="E41" s="150">
        <v>663.39300000000003</v>
      </c>
    </row>
    <row r="42" spans="1:20">
      <c r="A42" s="149">
        <v>43586</v>
      </c>
      <c r="B42" s="150">
        <v>31.225999999999999</v>
      </c>
      <c r="D42" s="149">
        <v>43556</v>
      </c>
      <c r="E42" s="150">
        <v>661.55899999999997</v>
      </c>
    </row>
    <row r="43" spans="1:20">
      <c r="A43" s="149">
        <v>43617</v>
      </c>
      <c r="B43" s="150">
        <v>31.225999999999999</v>
      </c>
      <c r="D43" s="149">
        <v>43586</v>
      </c>
      <c r="E43" s="150">
        <v>649.08900000000006</v>
      </c>
    </row>
    <row r="44" spans="1:20">
      <c r="A44" s="149">
        <v>43647</v>
      </c>
      <c r="B44" s="150">
        <v>31.372</v>
      </c>
      <c r="D44" s="149">
        <v>43617</v>
      </c>
      <c r="E44" s="150">
        <v>648.33699999999999</v>
      </c>
    </row>
    <row r="45" spans="1:20">
      <c r="A45" s="149">
        <v>43678</v>
      </c>
      <c r="B45" s="150">
        <v>31.372</v>
      </c>
      <c r="D45" s="149">
        <v>43647</v>
      </c>
      <c r="E45" s="150"/>
    </row>
    <row r="46" spans="1:20">
      <c r="A46" s="149">
        <v>43709</v>
      </c>
      <c r="B46" s="150">
        <v>31.372</v>
      </c>
      <c r="D46" s="149">
        <v>43678</v>
      </c>
      <c r="E46" s="150"/>
    </row>
    <row r="47" spans="1:20">
      <c r="A47" s="149">
        <v>43739</v>
      </c>
      <c r="B47" s="150"/>
      <c r="D47" s="149">
        <v>43709</v>
      </c>
      <c r="E47" s="150"/>
    </row>
    <row r="48" spans="1:20">
      <c r="A48" s="149">
        <v>43770</v>
      </c>
      <c r="B48" s="150"/>
      <c r="D48" s="149">
        <v>43739</v>
      </c>
      <c r="E48" s="150"/>
    </row>
    <row r="49" spans="1:5">
      <c r="A49" s="149">
        <v>43800</v>
      </c>
      <c r="B49" s="150"/>
      <c r="D49" s="149">
        <v>43770</v>
      </c>
      <c r="E49" s="150"/>
    </row>
    <row r="50" spans="1:5">
      <c r="A50" s="149">
        <v>43831</v>
      </c>
      <c r="B50" s="150"/>
      <c r="D50" s="149">
        <v>43800</v>
      </c>
      <c r="E50" s="150"/>
    </row>
    <row r="51" spans="1:5">
      <c r="A51" s="149">
        <v>43862</v>
      </c>
      <c r="B51" s="150"/>
      <c r="D51" s="149">
        <v>43831</v>
      </c>
      <c r="E51" s="150"/>
    </row>
    <row r="52" spans="1:5">
      <c r="A52" s="149">
        <v>43891</v>
      </c>
      <c r="B52" s="150"/>
      <c r="D52" s="149">
        <v>43862</v>
      </c>
      <c r="E52" s="150"/>
    </row>
    <row r="53" spans="1:5">
      <c r="A53" s="149">
        <v>43922</v>
      </c>
      <c r="B53" s="150"/>
      <c r="D53" s="149">
        <v>43891</v>
      </c>
      <c r="E53" s="150"/>
    </row>
    <row r="54" spans="1:5">
      <c r="A54" s="149">
        <v>43952</v>
      </c>
      <c r="B54" s="150"/>
      <c r="D54" s="149">
        <v>43922</v>
      </c>
      <c r="E54" s="150"/>
    </row>
    <row r="55" spans="1:5">
      <c r="A55" s="149">
        <v>43983</v>
      </c>
      <c r="B55" s="150"/>
      <c r="D55" s="149">
        <v>43952</v>
      </c>
      <c r="E55" s="150"/>
    </row>
    <row r="56" spans="1:5">
      <c r="A56" s="149">
        <v>44013</v>
      </c>
      <c r="B56" s="150"/>
      <c r="D56" s="149">
        <v>43983</v>
      </c>
      <c r="E56" s="150"/>
    </row>
    <row r="57" spans="1:5">
      <c r="A57" s="149">
        <v>44044</v>
      </c>
      <c r="B57" s="150"/>
      <c r="D57" s="149">
        <v>44013</v>
      </c>
      <c r="E57" s="150"/>
    </row>
    <row r="58" spans="1:5">
      <c r="A58" s="149">
        <v>44075</v>
      </c>
      <c r="B58" s="150"/>
      <c r="D58" s="149">
        <v>44044</v>
      </c>
      <c r="E58" s="150"/>
    </row>
    <row r="59" spans="1:5">
      <c r="A59" s="149">
        <v>44105</v>
      </c>
      <c r="B59" s="150"/>
      <c r="D59" s="149">
        <v>44075</v>
      </c>
      <c r="E59" s="150"/>
    </row>
    <row r="60" spans="1:5">
      <c r="A60" s="149">
        <v>44136</v>
      </c>
      <c r="B60" s="150"/>
      <c r="D60" s="149">
        <v>44105</v>
      </c>
      <c r="E60" s="150"/>
    </row>
    <row r="61" spans="1:5">
      <c r="A61" s="149">
        <v>44166</v>
      </c>
      <c r="B61" s="150"/>
      <c r="D61" s="149">
        <v>44136</v>
      </c>
      <c r="E61" s="150"/>
    </row>
    <row r="62" spans="1:5">
      <c r="D62" s="149">
        <v>44166</v>
      </c>
      <c r="E62" s="150"/>
    </row>
  </sheetData>
  <mergeCells count="2">
    <mergeCell ref="A6:B6"/>
    <mergeCell ref="D6:E6"/>
  </mergeCells>
  <hyperlinks>
    <hyperlink ref="B3" r:id="rId1" xr:uid="{A6F78254-516B-4102-A930-5A8AA3C55B24}"/>
    <hyperlink ref="B4" r:id="rId2" xr:uid="{2AE0CBB7-584A-46FB-A773-D5C06D1697CF}"/>
  </hyperlinks>
  <pageMargins left="0.7" right="0.7" top="0.75" bottom="0.75" header="0.3" footer="0.3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9ef324f-ab51-4f33-aa9e-ec5ca3f8e22b">
      <Terms xmlns="http://schemas.microsoft.com/office/infopath/2007/PartnerControls"/>
    </lcf76f155ced4ddcb4097134ff3c332f>
    <TaxCatchAll xmlns="17ff316e-271b-4fa0-8631-fc293adc0d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C048EF6414E641ACD239615BA8FE12" ma:contentTypeVersion="10" ma:contentTypeDescription="Een nieuw document maken." ma:contentTypeScope="" ma:versionID="d80f1b3cdd5cc422b7b117c1f56e5f39">
  <xsd:schema xmlns:xsd="http://www.w3.org/2001/XMLSchema" xmlns:xs="http://www.w3.org/2001/XMLSchema" xmlns:p="http://schemas.microsoft.com/office/2006/metadata/properties" xmlns:ns2="54401f5f-a8fa-493f-a501-2a9c583fd078" xmlns:ns3="99ef324f-ab51-4f33-aa9e-ec5ca3f8e22b" xmlns:ns4="17ff316e-271b-4fa0-8631-fc293adc0d90" targetNamespace="http://schemas.microsoft.com/office/2006/metadata/properties" ma:root="true" ma:fieldsID="64b17c98aa246e305761a3946f3ddcab" ns2:_="" ns3:_="" ns4:_="">
    <xsd:import namespace="54401f5f-a8fa-493f-a501-2a9c583fd078"/>
    <xsd:import namespace="99ef324f-ab51-4f33-aa9e-ec5ca3f8e22b"/>
    <xsd:import namespace="17ff316e-271b-4fa0-8631-fc293adc0d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f5f-a8fa-493f-a501-2a9c583fd0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ef324f-ab51-4f33-aa9e-ec5ca3f8e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9d9af33d-1c7e-4655-8224-df3a670842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f316e-271b-4fa0-8631-fc293adc0d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c9c2b50-bb69-4646-8623-dbbf3b55c6be}" ma:internalName="TaxCatchAll" ma:showField="CatchAllData" ma:web="17ff316e-271b-4fa0-8631-fc293adc0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337BF1-9F2A-492B-AB27-989D5201E855}"/>
</file>

<file path=customXml/itemProps2.xml><?xml version="1.0" encoding="utf-8"?>
<ds:datastoreItem xmlns:ds="http://schemas.openxmlformats.org/officeDocument/2006/customXml" ds:itemID="{34C46132-D017-4E1C-AB67-F7F08876D482}"/>
</file>

<file path=customXml/itemProps3.xml><?xml version="1.0" encoding="utf-8"?>
<ds:datastoreItem xmlns:ds="http://schemas.openxmlformats.org/officeDocument/2006/customXml" ds:itemID="{85466A11-9815-4361-93F7-ECD1D87B61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Brecht Marsoul</dc:creator>
  <cp:keywords/>
  <dc:description/>
  <cp:lastModifiedBy/>
  <cp:revision/>
  <dcterms:created xsi:type="dcterms:W3CDTF">2019-08-09T11:27:40Z</dcterms:created>
  <dcterms:modified xsi:type="dcterms:W3CDTF">2023-03-29T14:18:14Z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0x0101005BC048EF6414E641ACD239615BA8FE12</vt:lpwstr>
  </property>
  <property fmtid="{D5CDD505-2E9C-101B-9397-08002B2CF9AE}" pid="3" name="MediaServiceImageTags">
    <vt:lpwstr/>
  </property>
</Properties>
</file>