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westernsydneyedu.sharepoint.com/sites/ScholarshipsOperationsGroup/Shared Documents/Git/Scholarships/"/>
    </mc:Choice>
  </mc:AlternateContent>
  <xr:revisionPtr revIDLastSave="3" documentId="13_ncr:1_{891E6A58-1632-490F-A8B6-5FDA491183CF}" xr6:coauthVersionLast="47" xr6:coauthVersionMax="47" xr10:uidLastSave="{59F1490C-7DC7-475D-BDB1-6E1422CDF732}"/>
  <bookViews>
    <workbookView xWindow="-120" yWindow="-120" windowWidth="29040" windowHeight="15840" xr2:uid="{1CF3EDB6-384E-4233-A2F8-DD99A8F9DE7B}"/>
  </bookViews>
  <sheets>
    <sheet name="Sheet1" sheetId="1" r:id="rId1"/>
  </sheets>
  <externalReferences>
    <externalReference r:id="rId2"/>
  </externalReferences>
  <definedNames>
    <definedName name="_xlnm._FilterDatabase" localSheetId="0" hidden="1">Sheet1!$G$1:$G$176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1" l="1"/>
  <c r="B20" i="1"/>
  <c r="B171" i="1"/>
  <c r="B170" i="1"/>
  <c r="B169" i="1"/>
  <c r="B168" i="1"/>
  <c r="B167" i="1" l="1"/>
  <c r="B166" i="1"/>
  <c r="B165" i="1"/>
  <c r="B164" i="1"/>
  <c r="B163" i="1"/>
  <c r="B162" i="1" l="1"/>
  <c r="B161" i="1"/>
  <c r="B160" i="1"/>
  <c r="B159" i="1" l="1"/>
  <c r="B158" i="1"/>
  <c r="B157" i="1"/>
  <c r="B156" i="1"/>
  <c r="B155" i="1"/>
  <c r="B154" i="1"/>
  <c r="B153" i="1"/>
  <c r="B152" i="1"/>
  <c r="B151" i="1"/>
  <c r="B150" i="1"/>
  <c r="B149" i="1"/>
  <c r="B148" i="1"/>
  <c r="B147" i="1"/>
  <c r="B146" i="1"/>
  <c r="B145" i="1"/>
  <c r="B144" i="1"/>
  <c r="B141" i="1"/>
  <c r="B140" i="1"/>
  <c r="B143" i="1"/>
  <c r="B142" i="1"/>
  <c r="B139" i="1"/>
  <c r="B138" i="1"/>
  <c r="B137" i="1"/>
  <c r="B136" i="1"/>
  <c r="B135" i="1"/>
  <c r="B134" i="1"/>
  <c r="B172" i="1"/>
  <c r="B173" i="1"/>
  <c r="B174" i="1"/>
  <c r="B175" i="1"/>
  <c r="B176" i="1"/>
  <c r="B111" i="1"/>
  <c r="B110" i="1"/>
  <c r="B109" i="1"/>
  <c r="B108" i="1"/>
  <c r="B133" i="1"/>
  <c r="B112" i="1"/>
  <c r="B113" i="1"/>
  <c r="B114" i="1"/>
  <c r="B115" i="1"/>
  <c r="B116" i="1"/>
  <c r="B117" i="1"/>
  <c r="B118" i="1"/>
  <c r="B119" i="1"/>
  <c r="B120" i="1"/>
  <c r="B121" i="1"/>
  <c r="B122" i="1"/>
  <c r="B123" i="1"/>
  <c r="B124" i="1"/>
  <c r="B125" i="1"/>
  <c r="B126" i="1"/>
  <c r="B127" i="1"/>
  <c r="B128" i="1"/>
  <c r="B129" i="1"/>
  <c r="B130" i="1"/>
  <c r="B131" i="1"/>
  <c r="B132"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l="1"/>
  <c r="B43" i="1"/>
  <c r="B42" i="1"/>
  <c r="B41" i="1"/>
  <c r="B40" i="1"/>
  <c r="B39" i="1"/>
  <c r="B38" i="1"/>
  <c r="B37" i="1"/>
  <c r="B36" i="1"/>
  <c r="B35" i="1"/>
  <c r="B34" i="1" l="1"/>
  <c r="B33" i="1"/>
  <c r="B32" i="1"/>
  <c r="B31" i="1"/>
  <c r="B30" i="1"/>
  <c r="B29" i="1"/>
  <c r="B28" i="1"/>
  <c r="B27" i="1"/>
  <c r="B26" i="1"/>
  <c r="B25" i="1"/>
  <c r="B24" i="1"/>
  <c r="B23" i="1"/>
  <c r="B22" i="1"/>
  <c r="B21" i="1"/>
  <c r="B19" i="1"/>
  <c r="B17" i="1"/>
  <c r="B16" i="1"/>
  <c r="B15" i="1"/>
  <c r="B14" i="1"/>
  <c r="B13" i="1"/>
  <c r="B12" i="1"/>
  <c r="B11" i="1"/>
  <c r="B10" i="1"/>
  <c r="B9" i="1"/>
  <c r="B8" i="1"/>
  <c r="B7" i="1"/>
  <c r="B6" i="1"/>
  <c r="B2" i="1" l="1"/>
  <c r="B3" i="1"/>
  <c r="B4" i="1"/>
  <c r="B5" i="1"/>
</calcChain>
</file>

<file path=xl/sharedStrings.xml><?xml version="1.0" encoding="utf-8"?>
<sst xmlns="http://schemas.openxmlformats.org/spreadsheetml/2006/main" count="1035" uniqueCount="199">
  <si>
    <t>University</t>
  </si>
  <si>
    <t>Name</t>
  </si>
  <si>
    <t>Type</t>
  </si>
  <si>
    <t>Value</t>
  </si>
  <si>
    <t>Criteria</t>
  </si>
  <si>
    <t>Maquarie</t>
  </si>
  <si>
    <t>Charles Sturt University</t>
  </si>
  <si>
    <t>USYD</t>
  </si>
  <si>
    <t>University of Wollongong</t>
  </si>
  <si>
    <t>UTS</t>
  </si>
  <si>
    <t>University of Newcastle</t>
  </si>
  <si>
    <t>UNSW</t>
  </si>
  <si>
    <t>Study Level</t>
  </si>
  <si>
    <t>Duration (Years)</t>
  </si>
  <si>
    <t>UG</t>
  </si>
  <si>
    <t>Equity</t>
  </si>
  <si>
    <t>Indigenous</t>
  </si>
  <si>
    <t>Yes</t>
  </si>
  <si>
    <t>• Financial hardship</t>
  </si>
  <si>
    <t xml:space="preserve">• Financial hardship
• Rural </t>
  </si>
  <si>
    <t>Commonwealth</t>
  </si>
  <si>
    <t xml:space="preserve">• Financial and/or social hardship
• Rural </t>
  </si>
  <si>
    <t>Preference</t>
  </si>
  <si>
    <t>• Financial and/or social hardship
• Receiving support payments</t>
  </si>
  <si>
    <t>$3,000-$5,000</t>
  </si>
  <si>
    <t>One-off</t>
  </si>
  <si>
    <t>No</t>
  </si>
  <si>
    <t>• Relocating from rural area
• Very specific requirements</t>
  </si>
  <si>
    <t>High Potential</t>
  </si>
  <si>
    <t>• Female
• Studying Law
• Academic merit</t>
  </si>
  <si>
    <t>$5000-$10,000</t>
  </si>
  <si>
    <t>• Studying Business
• Academic merit</t>
  </si>
  <si>
    <t>Accommodation</t>
  </si>
  <si>
    <t>• Financial hardship
• Rural 
• Demonstrate leadership qualities</t>
  </si>
  <si>
    <t>• Early offer
• Community engagement
• Academic merit</t>
  </si>
  <si>
    <t>• Studying Physics or 
Astronomy and Astrophysics</t>
  </si>
  <si>
    <t>UG/PG</t>
  </si>
  <si>
    <t>• Faculty of Science and Engineering
• Academic merit</t>
  </si>
  <si>
    <t>• Female
• Faculty of Science and Engineering
• Academic merit</t>
  </si>
  <si>
    <t>• Female
• Academic merit
• Specific subjects</t>
  </si>
  <si>
    <t>• Female
• Academic merit
• Studying Business</t>
  </si>
  <si>
    <t>$800 (Max)</t>
  </si>
  <si>
    <t>Duration of degree</t>
  </si>
  <si>
    <t>• Financial hardship
• Studying Law
• Academic merit</t>
  </si>
  <si>
    <t>• Research</t>
  </si>
  <si>
    <t>• Secondary Education 
Degree
• Academic merit</t>
  </si>
  <si>
    <t>• Financial hardship
• Rural 
• Studying Business</t>
  </si>
  <si>
    <t>$20,000 (UG)
$40,000 (PG)</t>
  </si>
  <si>
    <t>• Teaching programs</t>
  </si>
  <si>
    <t xml:space="preserve">• Financial hardship or,
• Rural </t>
  </si>
  <si>
    <t>• Financial hardship
• UAC equity criteria
• Academic merit</t>
  </si>
  <si>
    <t>Honours/PG</t>
  </si>
  <si>
    <t>PG</t>
  </si>
  <si>
    <t>10% of course fee</t>
  </si>
  <si>
    <t>• Certain PG programs 
excluded</t>
  </si>
  <si>
    <t>10% of course fees</t>
  </si>
  <si>
    <t>25% of  course fees</t>
  </si>
  <si>
    <t>• Studying MBA
• Academic merit</t>
  </si>
  <si>
    <t>• Female
• UTS Wanago Program
• Studying Engineering or IT</t>
  </si>
  <si>
    <t>• UAC equity criteria
• Academic merit</t>
  </si>
  <si>
    <t>$7,500 </t>
  </si>
  <si>
    <t>• Female
• Studying engineering  or project management
• Academic merit</t>
  </si>
  <si>
    <t>• Bachelor of Construction Project management
• Academic merit</t>
  </si>
  <si>
    <t>• Bachelor of Design
• Academic merit</t>
  </si>
  <si>
    <t>• Female
• Selected programs in EDBE
• Academic merit</t>
  </si>
  <si>
    <t>• Selected Business programs 
• Academic merit</t>
  </si>
  <si>
    <t>• Bachelor of Design in Architecture
• Academic merit
• Portfolio</t>
  </si>
  <si>
    <t>• Female
• Bachelor of Construction Project Management
• Academic merit</t>
  </si>
  <si>
    <t>• Selected programs 
• Academic merit
• 19-29</t>
  </si>
  <si>
    <t>Diploma/UG</t>
  </si>
  <si>
    <t>• Selected engineering programs 
• Academic merit</t>
  </si>
  <si>
    <t>• Female
• Selected engineering programs 
• Academic merit</t>
  </si>
  <si>
    <t>• UAC equity criteria
• Selected engineering programs 
• Academic merit</t>
  </si>
  <si>
    <t>$6,000-$7,500</t>
  </si>
  <si>
    <t xml:space="preserve">• Selected engineering programs </t>
  </si>
  <si>
    <t>$24,000 - $39,000 </t>
  </si>
  <si>
    <t>0.5-1</t>
  </si>
  <si>
    <t>• Female
• Selected IT and Engineering programs
• Academic merit</t>
  </si>
  <si>
    <t>$25,000 - $39,000 </t>
  </si>
  <si>
    <t>0.5-0.75</t>
  </si>
  <si>
    <t>• Selected IT and Engineering programs
• Academic merit</t>
  </si>
  <si>
    <t>Placement</t>
  </si>
  <si>
    <t>• Faculty of Health
• Academic merit</t>
  </si>
  <si>
    <t>• Selected IT and CDMS programs
• Academic merit</t>
  </si>
  <si>
    <t>$49,500 (Yearly 
or total?)</t>
  </si>
  <si>
    <t>• Bachelor of Information Technology
• Academic merit</t>
  </si>
  <si>
    <t>• UAC equity criteria
• Studying Law</t>
  </si>
  <si>
    <t>• UAC equity criteria
• Studying Law
• Financial hardship</t>
  </si>
  <si>
    <t>• Studying Law
• Academic merit</t>
  </si>
  <si>
    <t>• UAC equity criteria
• Studying Law
• Preference for cetain disadvantages</t>
  </si>
  <si>
    <t>• Female
• Faculty of Science
• Academic merit</t>
  </si>
  <si>
    <t>• Faculty of Science
• Academic merit</t>
  </si>
  <si>
    <t>Diploma</t>
  </si>
  <si>
    <t>• Elite athlete
• Academic merit</t>
  </si>
  <si>
    <t>Certificate IV </t>
  </si>
  <si>
    <t>• Rural/semi rural
• Relocating</t>
  </si>
  <si>
    <t>$40,000 (Yearly 
or total?)</t>
  </si>
  <si>
    <t>• Under 23
• Academic merit</t>
  </si>
  <si>
    <t>$12,500 </t>
  </si>
  <si>
    <t>• UAC scholarship or EAS application
• Academic merit</t>
  </si>
  <si>
    <t>• Academic merit</t>
  </si>
  <si>
    <t>• Physical disability</t>
  </si>
  <si>
    <t>• Studying Business (economics)
• Academic merit</t>
  </si>
  <si>
    <t>• Studying Business (finance)
• Academic merit</t>
  </si>
  <si>
    <t xml:space="preserve">Honours </t>
  </si>
  <si>
    <t>• Studying Business 
honours
• Academic merit</t>
  </si>
  <si>
    <t>• Studying Marketing
honours
• Academic merit</t>
  </si>
  <si>
    <t>• Studying Accounting
honours
• Academic merit</t>
  </si>
  <si>
    <t>UG/Honours</t>
  </si>
  <si>
    <t>• Female
• Bachelor of Buniess (Finance) or Honours
• Academic merit</t>
  </si>
  <si>
    <t>$66,000 (Total?)</t>
  </si>
  <si>
    <t>$5,000 (tuition fees)</t>
  </si>
  <si>
    <t>• Starting MBA
• Academic merit</t>
  </si>
  <si>
    <t>$2,000 (tuition fees)</t>
  </si>
  <si>
    <t>$2,000 - $8,000</t>
  </si>
  <si>
    <t xml:space="preserve">• Studying Manufacturing </t>
  </si>
  <si>
    <t>• Master of Pharmacy
• Academic merit</t>
  </si>
  <si>
    <t>• Selected science programs
• Academic merit</t>
  </si>
  <si>
    <t>25% tuition fee</t>
  </si>
  <si>
    <t xml:space="preserve">• Master of Orthoptics
• Demonstrate disadvantaged. Oulined on page. </t>
  </si>
  <si>
    <t>$10,000 </t>
  </si>
  <si>
    <t xml:space="preserve">• Masters of Clinical Exercise Physiology
• Financial or educational disadvantages </t>
  </si>
  <si>
    <t>• Health or Business programs
• UAC equity criteria
• Culturally and Linguistically Diverse (C&amp;LD) background</t>
  </si>
  <si>
    <t>$2,500 - $5,000</t>
  </si>
  <si>
    <t>• Journalism  programs
• Academic merit</t>
  </si>
  <si>
    <t>• Faculty  of Health or Business
• Academic merit</t>
  </si>
  <si>
    <t>PG/Research</t>
  </si>
  <si>
    <t>$6,250 - $12,500</t>
  </si>
  <si>
    <t>• Business or Social Enterprise Management
• Financial hardship
• Academic merit</t>
  </si>
  <si>
    <t>$6,000 </t>
  </si>
  <si>
    <t>• Business programs
• Academic merit</t>
  </si>
  <si>
    <t>$400 - $5,000</t>
  </si>
  <si>
    <t>UG/PG/Research</t>
  </si>
  <si>
    <t>• UAC equity criteria</t>
  </si>
  <si>
    <t>$31,000  to $41,500</t>
  </si>
  <si>
    <t>0.75-1</t>
  </si>
  <si>
    <t>$35,000 (Total?)</t>
  </si>
  <si>
    <t xml:space="preserve">• Female
• Selected programs </t>
  </si>
  <si>
    <t>Honours</t>
  </si>
  <si>
    <t>• Finance Honours Program
• Academic merit</t>
  </si>
  <si>
    <t>• Selected economics programs
• Academic merit</t>
  </si>
  <si>
    <t>• Selected Desgin in Fashion programs
• Academic merit
• UAC equity criteria</t>
  </si>
  <si>
    <t>• Female
• Faculty of Engineering and IT
• Academic merit</t>
  </si>
  <si>
    <t>• Master of Orthoptics
• Academic merit</t>
  </si>
  <si>
    <t>• Master of Animation and Visualisation
• UAC equity criteria</t>
  </si>
  <si>
    <t>20% tuition fee</t>
  </si>
  <si>
    <t>• Studying Juris Doctor
• Academic merit</t>
  </si>
  <si>
    <t>30% tuition fee</t>
  </si>
  <si>
    <t>• Selected programs from the Faculty of Science
• Academic merit</t>
  </si>
  <si>
    <t>Humanitarian</t>
  </si>
  <si>
    <t>• Carer responsibilities or English language difficulty
• Refugee status (preference)</t>
  </si>
  <si>
    <t>• Resident Networker program
• A current resident of UTS Housing</t>
  </si>
  <si>
    <t>• Master of Engineering Science (Nuclear Engineering specialisation)
• Academic merit</t>
  </si>
  <si>
    <t>• Built Environment program
• Academic merit</t>
  </si>
  <si>
    <t>• Engineering and IT programs
• Academic merit</t>
  </si>
  <si>
    <t>$21,600 (Total?)</t>
  </si>
  <si>
    <t>Unspecified</t>
  </si>
  <si>
    <t>$5,000 </t>
  </si>
  <si>
    <t>• College of Engineering, Science and Environment programs
• Relocating to Newcastle
• Academic merit</t>
  </si>
  <si>
    <t>• Graduate Certificate of Business Administration or the Masters of Business Administration
• Academic merit</t>
  </si>
  <si>
    <t>• Female
• Engineering programs
• Academic merit</t>
  </si>
  <si>
    <t>One off</t>
  </si>
  <si>
    <t>• Bachelor of Physiotherapy
• UAC equity criteria
• Academic merit</t>
  </si>
  <si>
    <t>• Bachelor of Podiatric Medicine
• UAC equity criteria
• Academic merit</t>
  </si>
  <si>
    <t>• Female
• B Music
• Academic merit</t>
  </si>
  <si>
    <t>• Specific sporting 
requirements
• Academic merit</t>
  </si>
  <si>
    <t>• Bachelor of Construction Management (Building)(Honours)
• B Music
• Academic merit</t>
  </si>
  <si>
    <t>• Selected programs from engineering, business and IT
• Financial Hardship
• Academic merit</t>
  </si>
  <si>
    <t>• Identify as LGBTQIA+
• UAC equity criteria</t>
  </si>
  <si>
    <t>• On-campus accommodation with Student Living
• UAC equity criteria</t>
  </si>
  <si>
    <t>• Bachelor of Medical Science/Doctor of Medicine
• Academic merit</t>
  </si>
  <si>
    <t>• Selected allied health and medicine programs
• UAC equity criteria</t>
  </si>
  <si>
    <t>• Selected engineering programs
• UAC equity criteria</t>
  </si>
  <si>
    <t>• School of Environmental and Life Sciences
• Academic merit</t>
  </si>
  <si>
    <t>• Allied health or Psychology programs
• UAC equity criteria
• Academic merit</t>
  </si>
  <si>
    <t>• Bachelor of Civil Engineering (Honours) or Bachelor of Construction Management (Building) (Honours)
• Academic merit</t>
  </si>
  <si>
    <t>• Financial hardship or rural</t>
  </si>
  <si>
    <t>• UAC equity criteria
• Financial hardship</t>
  </si>
  <si>
    <t>$5,000
(100 available)</t>
  </si>
  <si>
    <t>• UAC equity criteria
• Academic merit
• Bachelor of Laws (Honours)</t>
  </si>
  <si>
    <t>• UAC equity criteria
• Bachelor of Nursing</t>
  </si>
  <si>
    <t>$2,000
(5 available)</t>
  </si>
  <si>
    <t>• Specific sporting 
requirements</t>
  </si>
  <si>
    <t>$4,000
(25 available)</t>
  </si>
  <si>
    <t>• College of Engineering, Science and Environment
• Academic merit</t>
  </si>
  <si>
    <t>$4,000
(20 available)</t>
  </si>
  <si>
    <t>• Female
• Selected College of Engineering, Science and Environment programs
• UAC equity criteria</t>
  </si>
  <si>
    <t>$7,000
(3 available)</t>
  </si>
  <si>
    <t>• UAC equity criteria
• Bachelor of Engineering</t>
  </si>
  <si>
    <t>• Bachelor of Engineering (Honours) 
• Academic merit</t>
  </si>
  <si>
    <t>• Bachelor of Science (Honours) 
• Academic merit
• Current Student</t>
  </si>
  <si>
    <t>• Female
• Selected Engineering and CDMS programs
• Academic merit</t>
  </si>
  <si>
    <t>• Bachelor of Construction Management (Building)(Honours)
• Academic merit
• Current Student</t>
  </si>
  <si>
    <t>• Selected CDMS programs
• Academic merit
• Current Student</t>
  </si>
  <si>
    <t>• STEM programs
• Academic merit
• Current Student</t>
  </si>
  <si>
    <t>• Female
• Selected STEM programs</t>
  </si>
  <si>
    <t xml:space="preserve">• UAC equity criteria
• Bachelor of Speech Pathology (Honours) </t>
  </si>
  <si>
    <t>• Female
• Selected Engineering programs
• Academic merit
• Current Student</t>
  </si>
  <si>
    <t>• Ongoing disability
• Academic merit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</si>
</sst>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10">
    <fill>
      <patternFill patternType="none"/>
    </fill>
    <fill>
      <patternFill patternType="gray125"/>
    </fill>
    <fill>
      <patternFill patternType="solid">
        <fgColor rgb="FFA5A5A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E1FF"/>
        <bgColor indexed="64"/>
      </patternFill>
    </fill>
    <fill>
      <patternFill patternType="solid">
        <fgColor rgb="FFFFC1C2"/>
        <bgColor indexed="64"/>
      </patternFill>
    </fill>
    <fill>
      <patternFill patternType="solid">
        <fgColor rgb="FFE2FDFE"/>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4">
    <xf numFmtId="0" fontId="0" fillId="0" borderId="0" xfId="0"/>
    <xf numFmtId="0" fontId="1" fillId="2" borderId="1" xfId="1" applyAlignment="1">
      <alignment horizontal="left"/>
    </xf>
    <xf numFmtId="0" fontId="0" fillId="8" borderId="0" xfId="0" applyFill="1" applyAlignment="1">
      <alignment horizontal="left"/>
    </xf>
    <xf numFmtId="0" fontId="0" fillId="4" borderId="0" xfId="0"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7" borderId="0" xfId="0" applyFill="1" applyAlignment="1">
      <alignment horizontal="left"/>
    </xf>
    <xf numFmtId="0" fontId="0" fillId="9" borderId="0" xfId="0" applyFill="1" applyAlignment="1">
      <alignment horizontal="left"/>
    </xf>
    <xf numFmtId="0" fontId="0" fillId="3" borderId="0" xfId="0" applyFill="1" applyAlignment="1">
      <alignment horizontal="left"/>
    </xf>
    <xf numFmtId="0" fontId="0" fillId="0" borderId="0" xfId="0" applyAlignment="1">
      <alignment horizontal="left"/>
    </xf>
    <xf numFmtId="0" fontId="2" fillId="0" borderId="0" xfId="2" applyAlignment="1">
      <alignment horizontal="left"/>
    </xf>
    <xf numFmtId="6" fontId="0" fillId="0" borderId="0" xfId="0" applyNumberFormat="1" applyAlignment="1">
      <alignment horizontal="left"/>
    </xf>
    <xf numFmtId="0" fontId="0" fillId="0" borderId="0" xfId="0" applyAlignment="1">
      <alignment horizontal="left" wrapText="1"/>
    </xf>
    <xf numFmtId="6" fontId="0" fillId="0" borderId="0" xfId="0" applyNumberFormat="1" applyAlignment="1">
      <alignment horizontal="left" wrapText="1"/>
    </xf>
  </cellXfs>
  <cellStyles count="3">
    <cellStyle name="Check Cell" xfId="1" builtinId="23"/>
    <cellStyle name="Hyperlink" xfId="2" builtinId="8"/>
    <cellStyle name="Normal" xfId="0" builtinId="0"/>
  </cellStyles>
  <dxfs count="0"/>
  <tableStyles count="0" defaultTableStyle="TableStyleMedium2" defaultPivotStyle="PivotStyleLight16"/>
  <colors>
    <mruColors>
      <color rgb="FFE2FDFE"/>
      <color rgb="FFFFC1C2"/>
      <color rgb="FFD2B9FF"/>
      <color rgb="FFEBD1F9"/>
      <color rgb="FFFFE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ad.uws.edu.au\dfshare\HomesCMB$\30064037\My%20Documents\Code\scraped_UNSW_data.xlsx" TargetMode="External"/><Relationship Id="rId1" Type="http://schemas.openxmlformats.org/officeDocument/2006/relationships/externalLinkPath" Target="file:///\\ad.uws.edu.au\dfshare\HomesCMB$\30064037\My%20Documents\Code\scraped_UNSW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sheetDataSet>
      <sheetData sheetId="0">
        <row r="2">
          <cell r="F2" t="str">
            <v>['2nd or 3rd Year in the School of Mechanical and Manufacturing Engineering in the following areas:', 'Mechanical and Manufacturing EngineeringMechanical EngineeringRobotics and Mechatronics Engineering', 'Mechanical EngineeringRobotics and Mechatronics Engineering', 'Robotics and Mechatronics Engineering', '2nd or 3rd Year in the School of Electrical Engineering and Telecommunications in the following areas:Electrical EngineeringTelecommunications', 'Electrical EngineeringTelecommunications', 'Telecommunications', '2nd or 3rd in the Year School of Computer Science and Engineering in the following areas:Computer ScienceSoftware Engineering', 'Computer ScienceSoftware Engineering', 'Software Engineering', '3rd Year in Industrial Design']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3BD61-A8F4-4ACA-BB03-11DEBD312DAE}">
  <dimension ref="A1:I176"/>
  <sheetViews>
    <sheetView tabSelected="1" topLeftCell="A164" workbookViewId="0">
      <selection activeCell="I5" sqref="I5"/>
    </sheetView>
  </sheetViews>
  <sheetFormatPr defaultRowHeight="15" x14ac:dyDescent="0.25"/>
  <cols>
    <col min="1" max="1" width="22.85546875" style="9" customWidth="1"/>
    <col min="2" max="2" width="84.42578125" style="9" customWidth="1"/>
    <col min="3" max="3" width="16.42578125" style="9" customWidth="1"/>
    <col min="4" max="4" width="19.28515625" style="9" customWidth="1"/>
    <col min="5" max="5" width="18.28515625" style="9" customWidth="1"/>
    <col min="6" max="6" width="15.85546875" style="9" customWidth="1"/>
    <col min="7" max="7" width="21.42578125" style="9" customWidth="1"/>
    <col min="8" max="8" width="14.42578125" customWidth="1"/>
    <col min="9" max="9" width="20.5703125" customWidth="1"/>
  </cols>
  <sheetData>
    <row r="1" spans="1:9" ht="16.5" thickTop="1" thickBot="1" x14ac:dyDescent="0.3">
      <c r="A1" s="1" t="s">
        <v>0</v>
      </c>
      <c r="B1" s="1" t="s">
        <v>1</v>
      </c>
      <c r="C1" s="1" t="s">
        <v>2</v>
      </c>
      <c r="D1" s="1" t="s">
        <v>3</v>
      </c>
      <c r="E1" s="1" t="s">
        <v>13</v>
      </c>
      <c r="F1" s="1" t="s">
        <v>12</v>
      </c>
      <c r="G1" s="1" t="s">
        <v>4</v>
      </c>
      <c r="H1" s="1" t="s">
        <v>16</v>
      </c>
      <c r="I1" s="1" t="s">
        <v>81</v>
      </c>
    </row>
    <row r="2" spans="1:9" ht="15.75" thickTop="1" x14ac:dyDescent="0.25">
      <c r="A2" s="3" t="s">
        <v>6</v>
      </c>
      <c r="B2" s="10" t="str">
        <f t="shared" ref="B2:B5" si="0">HYPERLINK("Test")</f>
        <v>Test</v>
      </c>
    </row>
    <row r="3" spans="1:9" x14ac:dyDescent="0.25">
      <c r="A3" s="4" t="s">
        <v>7</v>
      </c>
      <c r="B3" s="10" t="str">
        <f t="shared" si="0"/>
        <v>Test</v>
      </c>
    </row>
    <row r="4" spans="1:9" x14ac:dyDescent="0.25">
      <c r="A4" s="5" t="s">
        <v>8</v>
      </c>
      <c r="B4" s="10" t="str">
        <f t="shared" si="0"/>
        <v>Test</v>
      </c>
    </row>
    <row r="5" spans="1:9" x14ac:dyDescent="0.25">
      <c r="A5" s="7" t="s">
        <v>10</v>
      </c>
      <c r="B5" s="10" t="str">
        <f t="shared" si="0"/>
        <v>Test</v>
      </c>
    </row>
    <row r="6" spans="1:9" x14ac:dyDescent="0.25">
      <c r="A6" s="8" t="s">
        <v>5</v>
      </c>
      <c r="B6" s="10" t="str">
        <f>HYPERLINK("https://www.mq.edu.au/study/admissions-and-entry/scholarships/domestic/indigenous-education-costs-scholarship","Indigenous Education Costs Scholarship")</f>
        <v>Indigenous Education Costs Scholarship</v>
      </c>
      <c r="C6" s="9" t="s">
        <v>15</v>
      </c>
      <c r="D6" s="11">
        <v>3000</v>
      </c>
      <c r="E6" s="9">
        <v>4</v>
      </c>
      <c r="F6" s="9" t="s">
        <v>14</v>
      </c>
      <c r="G6" s="9" t="s">
        <v>18</v>
      </c>
      <c r="H6" t="s">
        <v>17</v>
      </c>
      <c r="I6" s="9" t="s">
        <v>26</v>
      </c>
    </row>
    <row r="7" spans="1:9" ht="30" x14ac:dyDescent="0.25">
      <c r="A7" s="8" t="s">
        <v>5</v>
      </c>
      <c r="B7" s="10" t="str">
        <f>HYPERLINK(" https://www.mq.edu.au/study/admissions-and-entry/scholarships/domestic/indigenous-commonwealth-assistance-scholarship", "Indigenous Commonwealth Assistance Scholarship")</f>
        <v>Indigenous Commonwealth Assistance Scholarship</v>
      </c>
      <c r="C7" s="9" t="s">
        <v>20</v>
      </c>
      <c r="D7" s="11">
        <v>6000</v>
      </c>
      <c r="E7" s="9">
        <v>4</v>
      </c>
      <c r="F7" s="9" t="s">
        <v>14</v>
      </c>
      <c r="G7" s="12" t="s">
        <v>19</v>
      </c>
      <c r="H7" t="s">
        <v>17</v>
      </c>
      <c r="I7" s="9" t="s">
        <v>26</v>
      </c>
    </row>
    <row r="8" spans="1:9" ht="45" x14ac:dyDescent="0.25">
      <c r="A8" s="8" t="s">
        <v>5</v>
      </c>
      <c r="B8" s="10" t="str">
        <f>HYPERLINK(" https://www.mq.edu.au/study/admissions-and-entry/scholarships/domestic/macquarie-regional-and-remote-support-scholarship", "Macquarie Regional and Remote Support Scholarship")</f>
        <v>Macquarie Regional and Remote Support Scholarship</v>
      </c>
      <c r="C8" s="9" t="s">
        <v>15</v>
      </c>
      <c r="D8" s="11">
        <v>10000</v>
      </c>
      <c r="E8" s="9">
        <v>4</v>
      </c>
      <c r="F8" s="9" t="s">
        <v>14</v>
      </c>
      <c r="G8" s="12" t="s">
        <v>21</v>
      </c>
      <c r="H8" s="9" t="s">
        <v>22</v>
      </c>
      <c r="I8" s="9" t="s">
        <v>26</v>
      </c>
    </row>
    <row r="9" spans="1:9" ht="60" x14ac:dyDescent="0.25">
      <c r="A9" s="8" t="s">
        <v>5</v>
      </c>
      <c r="B9" s="10" t="str">
        <f>HYPERLINK(" https://www.mq.edu.au/study/admissions-and-entry/scholarships/domestic/macquarie-education-costs-scholarship", "Macquarie Education Costs Scholarship")</f>
        <v>Macquarie Education Costs Scholarship</v>
      </c>
      <c r="C9" s="9" t="s">
        <v>15</v>
      </c>
      <c r="D9" s="11">
        <v>6000</v>
      </c>
      <c r="E9" s="9">
        <v>4</v>
      </c>
      <c r="F9" s="9" t="s">
        <v>14</v>
      </c>
      <c r="G9" s="12" t="s">
        <v>23</v>
      </c>
      <c r="H9" s="9" t="s">
        <v>22</v>
      </c>
      <c r="I9" s="9" t="s">
        <v>26</v>
      </c>
    </row>
    <row r="10" spans="1:9" ht="60" x14ac:dyDescent="0.25">
      <c r="A10" s="8" t="s">
        <v>5</v>
      </c>
      <c r="B10" s="10" t="str">
        <f>HYPERLINK(" https://www.mq.edu.au/study/admissions-and-entry/scholarships/domestic/tertiary-access-payment", "Tertiary Access Payment")</f>
        <v>Tertiary Access Payment</v>
      </c>
      <c r="C10" s="9" t="s">
        <v>15</v>
      </c>
      <c r="D10" s="9" t="s">
        <v>24</v>
      </c>
      <c r="E10" s="9" t="s">
        <v>25</v>
      </c>
      <c r="F10" s="9" t="s">
        <v>14</v>
      </c>
      <c r="G10" s="12" t="s">
        <v>27</v>
      </c>
      <c r="H10" s="9" t="s">
        <v>26</v>
      </c>
      <c r="I10" s="9" t="s">
        <v>26</v>
      </c>
    </row>
    <row r="11" spans="1:9" ht="45" x14ac:dyDescent="0.25">
      <c r="A11" s="8" t="s">
        <v>5</v>
      </c>
      <c r="B11" s="10" t="str">
        <f>HYPERLINK(" https://www.mq.edu.au/study/admissions-and-entry/scholarships/domestic/jennifer-barton-memorial-law-scholarship", "
Jennifer Barton Memorial Law Scholarship")</f>
        <v xml:space="preserve">
Jennifer Barton Memorial Law Scholarship</v>
      </c>
      <c r="C11" s="9" t="s">
        <v>28</v>
      </c>
      <c r="D11" s="11">
        <v>10000</v>
      </c>
      <c r="E11" s="9">
        <v>1</v>
      </c>
      <c r="F11" s="9" t="s">
        <v>14</v>
      </c>
      <c r="G11" s="12" t="s">
        <v>29</v>
      </c>
      <c r="H11" s="9" t="s">
        <v>26</v>
      </c>
      <c r="I11" s="9" t="s">
        <v>26</v>
      </c>
    </row>
    <row r="12" spans="1:9" ht="30" x14ac:dyDescent="0.25">
      <c r="A12" s="8" t="s">
        <v>5</v>
      </c>
      <c r="B12" s="10" t="str">
        <f>HYPERLINK("https://www.mq.edu.au/study/admissions-and-entry/scholarships/domestic/macquarie-business-school-academic-excellence-scholarship", "Macquarie Business School Academic Excellence Scholarship")</f>
        <v>Macquarie Business School Academic Excellence Scholarship</v>
      </c>
      <c r="C12" s="9" t="s">
        <v>28</v>
      </c>
      <c r="D12" s="9" t="s">
        <v>30</v>
      </c>
      <c r="E12" s="9">
        <v>4</v>
      </c>
      <c r="F12" s="9" t="s">
        <v>14</v>
      </c>
      <c r="G12" s="12" t="s">
        <v>31</v>
      </c>
      <c r="H12" s="9" t="s">
        <v>26</v>
      </c>
      <c r="I12" s="9" t="s">
        <v>26</v>
      </c>
    </row>
    <row r="13" spans="1:9" ht="30" x14ac:dyDescent="0.25">
      <c r="A13" s="8" t="s">
        <v>5</v>
      </c>
      <c r="B13" s="10" t="str">
        <f>HYPERLINK(" https://www.mq.edu.au/study/admissions-and-entry/scholarships/domestic/macquarie-advantage-accommodation-scholarship-dunmore-lang-college", "Macquarie Advantage Accommodation Scholarship (Dunmore Lang College)")</f>
        <v>Macquarie Advantage Accommodation Scholarship (Dunmore Lang College)</v>
      </c>
      <c r="C13" s="9" t="s">
        <v>15</v>
      </c>
      <c r="D13" s="9" t="s">
        <v>32</v>
      </c>
      <c r="E13" s="9">
        <v>4</v>
      </c>
      <c r="F13" s="9" t="s">
        <v>14</v>
      </c>
      <c r="G13" s="12" t="s">
        <v>19</v>
      </c>
      <c r="H13" s="9" t="s">
        <v>22</v>
      </c>
      <c r="I13" s="9" t="s">
        <v>26</v>
      </c>
    </row>
    <row r="14" spans="1:9" ht="60" x14ac:dyDescent="0.25">
      <c r="A14" s="8" t="s">
        <v>5</v>
      </c>
      <c r="B14" s="10" t="str">
        <f>HYPERLINK(" https://www.mq.edu.au/study/admissions-and-entry/scholarships/domestic/macquarie-advantage-accommodation-scholarship-robert-menzies-college", "Macquarie Advantage Accommodation Scholarship (Robert Menzies College)")</f>
        <v>Macquarie Advantage Accommodation Scholarship (Robert Menzies College)</v>
      </c>
      <c r="C14" s="9" t="s">
        <v>15</v>
      </c>
      <c r="D14" s="9" t="s">
        <v>32</v>
      </c>
      <c r="E14" s="9">
        <v>1</v>
      </c>
      <c r="F14" s="9" t="s">
        <v>14</v>
      </c>
      <c r="G14" s="12" t="s">
        <v>33</v>
      </c>
      <c r="H14" s="9" t="s">
        <v>22</v>
      </c>
      <c r="I14" s="9" t="s">
        <v>26</v>
      </c>
    </row>
    <row r="15" spans="1:9" ht="60" x14ac:dyDescent="0.25">
      <c r="A15" s="8" t="s">
        <v>5</v>
      </c>
      <c r="B15" s="10" t="str">
        <f>HYPERLINK(" https://www.mq.edu.au/study/admissions-and-entry/scholarships/domestic/macquarie-leaders-and-achievers-scholarship", "Macquarie Leaders and Achievers Scholarship")</f>
        <v>Macquarie Leaders and Achievers Scholarship</v>
      </c>
      <c r="C15" s="9" t="s">
        <v>28</v>
      </c>
      <c r="D15" s="11">
        <v>10000</v>
      </c>
      <c r="E15" s="9">
        <v>5</v>
      </c>
      <c r="F15" s="9" t="s">
        <v>14</v>
      </c>
      <c r="G15" s="12" t="s">
        <v>34</v>
      </c>
      <c r="H15" s="9" t="s">
        <v>26</v>
      </c>
      <c r="I15" s="9" t="s">
        <v>26</v>
      </c>
    </row>
    <row r="16" spans="1:9" ht="45" x14ac:dyDescent="0.25">
      <c r="A16" s="8" t="s">
        <v>5</v>
      </c>
      <c r="B16" s="10" t="str">
        <f>HYPERLINK(" https://www.mq.edu.au/study/admissions-and-entry/scholarships/domestic/dr-arthur-pryor-scholarship", "Dr Arthur Pryor Scholarship")</f>
        <v>Dr Arthur Pryor Scholarship</v>
      </c>
      <c r="C16" s="9" t="s">
        <v>28</v>
      </c>
      <c r="D16" s="11">
        <v>5000</v>
      </c>
      <c r="E16" s="9">
        <v>3</v>
      </c>
      <c r="F16" s="9" t="s">
        <v>14</v>
      </c>
      <c r="G16" s="12" t="s">
        <v>35</v>
      </c>
      <c r="H16" s="9" t="s">
        <v>26</v>
      </c>
      <c r="I16" s="9" t="s">
        <v>26</v>
      </c>
    </row>
    <row r="17" spans="1:9" ht="45" x14ac:dyDescent="0.25">
      <c r="A17" s="8" t="s">
        <v>5</v>
      </c>
      <c r="B17" s="10" t="str">
        <f>HYPERLINK("https://www.mq.edu.au/study/admissions-and-entry/scholarships/domestic/faculty-of-science-and-engineering-sustainability-scholarship", "Faculty of Science and Engineering Sustainability Scholarship")</f>
        <v>Faculty of Science and Engineering Sustainability Scholarship</v>
      </c>
      <c r="C17" s="9" t="s">
        <v>28</v>
      </c>
      <c r="D17" s="11">
        <v>5000</v>
      </c>
      <c r="E17" s="9">
        <v>4</v>
      </c>
      <c r="F17" s="9" t="s">
        <v>36</v>
      </c>
      <c r="G17" s="12" t="s">
        <v>37</v>
      </c>
      <c r="H17" s="9" t="s">
        <v>26</v>
      </c>
      <c r="I17" s="9" t="s">
        <v>26</v>
      </c>
    </row>
    <row r="18" spans="1:9" ht="60" x14ac:dyDescent="0.25">
      <c r="A18" s="8" t="s">
        <v>5</v>
      </c>
      <c r="B18" s="10" t="str">
        <f>HYPERLINK(" https://www.mq.edu.au/study/admissions-and-entry/scholarships/domestic/faculty-of-science-and-engineering-women-in-stem-scholarship", "Faculty of Science and Engineering Women in STEM Scholarship")</f>
        <v>Faculty of Science and Engineering Women in STEM Scholarship</v>
      </c>
      <c r="C18" s="9" t="s">
        <v>28</v>
      </c>
      <c r="D18" s="11">
        <v>5000</v>
      </c>
      <c r="E18" s="9">
        <v>4</v>
      </c>
      <c r="F18" s="9" t="s">
        <v>36</v>
      </c>
      <c r="G18" s="12" t="s">
        <v>38</v>
      </c>
      <c r="H18" s="9" t="s">
        <v>26</v>
      </c>
      <c r="I18" s="9" t="s">
        <v>26</v>
      </c>
    </row>
    <row r="19" spans="1:9" ht="45" x14ac:dyDescent="0.25">
      <c r="A19" s="8" t="s">
        <v>5</v>
      </c>
      <c r="B19" s="10" t="str">
        <f>HYPERLINK("https://www.mq.edu.au/study/admissions-and-entry/scholarships/domestic/dr-melanie-beresford-scholarship", "Dr Melanie Beresford Scholarship")</f>
        <v>Dr Melanie Beresford Scholarship</v>
      </c>
      <c r="C19" s="9" t="s">
        <v>28</v>
      </c>
      <c r="D19" s="11">
        <v>7500</v>
      </c>
      <c r="E19" s="9" t="s">
        <v>25</v>
      </c>
      <c r="F19" s="9" t="s">
        <v>36</v>
      </c>
      <c r="G19" s="12" t="s">
        <v>39</v>
      </c>
      <c r="H19" s="9" t="s">
        <v>26</v>
      </c>
      <c r="I19" s="9" t="s">
        <v>26</v>
      </c>
    </row>
    <row r="20" spans="1:9" ht="45" x14ac:dyDescent="0.25">
      <c r="A20" s="8" t="s">
        <v>5</v>
      </c>
      <c r="B20" s="10" t="str">
        <f>[1]Sheet1!$F$2</f>
        <v>['2nd or 3rd Year in the School of Mechanical and Manufacturing Engineering in the following areas:', 'Mechanical and Manufacturing EngineeringMechanical EngineeringRobotics and Mechatronics Engineering', 'Mechanical EngineeringRobotics and Mechatronics Engineering', 'Robotics and Mechatronics Engineering', '2nd or 3rd Year in the School of Electrical Engineering and Telecommunications in the following areas:Electrical EngineeringTelecommunications', 'Electrical EngineeringTelecommunications', 'Telecommunications', '2nd or 3rd in the Year School of Computer Science and Engineering in the following areas:Computer ScienceSoftware Engineering', 'Computer ScienceSoftware Engineering', 'Software Engineering', '3rd Year in Industrial Design']</v>
      </c>
      <c r="C20" s="9" t="s">
        <v>28</v>
      </c>
      <c r="D20" s="11">
        <v>10000</v>
      </c>
      <c r="E20" s="9" t="s">
        <v>25</v>
      </c>
      <c r="F20" s="9" t="s">
        <v>14</v>
      </c>
      <c r="G20" s="12" t="s">
        <v>40</v>
      </c>
      <c r="H20" s="9" t="s">
        <v>26</v>
      </c>
      <c r="I20" s="9" t="s">
        <v>26</v>
      </c>
    </row>
    <row r="21" spans="1:9" ht="30" x14ac:dyDescent="0.25">
      <c r="A21" s="8" t="s">
        <v>5</v>
      </c>
      <c r="B21" s="10" t="str">
        <f>HYPERLINK("https://www.mq.edu.au/study/admissions-and-entry/scholarships/domestic/sports-scholarship", "Sports Scholarship")</f>
        <v>Sports Scholarship</v>
      </c>
      <c r="C21" s="9" t="s">
        <v>28</v>
      </c>
      <c r="D21" s="9" t="s">
        <v>41</v>
      </c>
      <c r="E21" s="9">
        <v>1</v>
      </c>
      <c r="F21" s="9" t="s">
        <v>36</v>
      </c>
      <c r="G21" s="12" t="s">
        <v>182</v>
      </c>
      <c r="H21" s="9" t="s">
        <v>26</v>
      </c>
      <c r="I21" s="9" t="s">
        <v>26</v>
      </c>
    </row>
    <row r="22" spans="1:9" ht="45" x14ac:dyDescent="0.25">
      <c r="A22" s="8" t="s">
        <v>5</v>
      </c>
      <c r="B22" s="10" t="str">
        <f>HYPERLINK(" https://www.mq.edu.au/study/admissions-and-entry/scholarships/domestic/the-mark-pezzano-memorial-scholarship-in-law", "The Mark Pezzano Memorial Scholarship in Law")</f>
        <v>The Mark Pezzano Memorial Scholarship in Law</v>
      </c>
      <c r="C22" s="9" t="s">
        <v>15</v>
      </c>
      <c r="D22" s="11">
        <v>10000</v>
      </c>
      <c r="E22" s="9" t="s">
        <v>42</v>
      </c>
      <c r="F22" s="9" t="s">
        <v>14</v>
      </c>
      <c r="G22" s="12" t="s">
        <v>43</v>
      </c>
      <c r="H22" s="9" t="s">
        <v>26</v>
      </c>
      <c r="I22" s="9" t="s">
        <v>26</v>
      </c>
    </row>
    <row r="23" spans="1:9" ht="60" x14ac:dyDescent="0.25">
      <c r="A23" s="8" t="s">
        <v>5</v>
      </c>
      <c r="B23" s="10" t="str">
        <f>HYPERLINK(" https://www.mq.edu.au/study/admissions-and-entry/scholarships/domestic/macquarie-university-accommodation-sustainability-scholarship", "Macquarie University Accommodation Sustainability Scholarship")</f>
        <v>Macquarie University Accommodation Sustainability Scholarship</v>
      </c>
      <c r="C23" s="9" t="s">
        <v>15</v>
      </c>
      <c r="D23" s="9" t="s">
        <v>32</v>
      </c>
      <c r="E23" s="9">
        <v>3</v>
      </c>
      <c r="F23" s="9" t="s">
        <v>14</v>
      </c>
      <c r="G23" s="12" t="s">
        <v>23</v>
      </c>
      <c r="H23" s="9" t="s">
        <v>26</v>
      </c>
      <c r="I23" s="9" t="s">
        <v>26</v>
      </c>
    </row>
    <row r="24" spans="1:9" x14ac:dyDescent="0.25">
      <c r="A24" s="8" t="s">
        <v>5</v>
      </c>
      <c r="B24" s="10" t="str">
        <f>HYPERLINK("https://www.mq.edu.au/study/admissions-and-entry/scholarships/domestic/sqa-undergraduate-research-scholarship", "
SQA Undergraduate Research Scholarship")</f>
        <v xml:space="preserve">
SQA Undergraduate Research Scholarship</v>
      </c>
      <c r="C24" s="9" t="s">
        <v>28</v>
      </c>
      <c r="D24" s="11">
        <v>3333</v>
      </c>
      <c r="E24" s="9" t="s">
        <v>25</v>
      </c>
      <c r="F24" s="9" t="s">
        <v>14</v>
      </c>
      <c r="G24" s="9" t="s">
        <v>44</v>
      </c>
      <c r="H24" s="9" t="s">
        <v>26</v>
      </c>
      <c r="I24" s="9" t="s">
        <v>26</v>
      </c>
    </row>
    <row r="25" spans="1:9" ht="45" x14ac:dyDescent="0.25">
      <c r="A25" s="8" t="s">
        <v>5</v>
      </c>
      <c r="B25" s="10" t="str">
        <f>HYPERLINK(" https://www.mq.edu.au/study/admissions-and-entry/scholarships/domestic/knox-grammar-school-teacher-education-scholarship", "Knox Grammar School Teacher Education Scholarship")</f>
        <v>Knox Grammar School Teacher Education Scholarship</v>
      </c>
      <c r="C25" s="9" t="s">
        <v>28</v>
      </c>
      <c r="D25" s="11">
        <v>8000</v>
      </c>
      <c r="E25" s="9">
        <v>1</v>
      </c>
      <c r="F25" s="9" t="s">
        <v>36</v>
      </c>
      <c r="G25" s="12" t="s">
        <v>45</v>
      </c>
      <c r="H25" s="9" t="s">
        <v>26</v>
      </c>
      <c r="I25" s="9" t="s">
        <v>26</v>
      </c>
    </row>
    <row r="26" spans="1:9" ht="45" x14ac:dyDescent="0.25">
      <c r="A26" s="8" t="s">
        <v>5</v>
      </c>
      <c r="B26" s="10" t="str">
        <f>HYPERLINK("https://www.mq.edu.au/study/admissions-and-entry/scholarships/domestic/the-goodacre-scholarship", "The Goodacre Scholarship")</f>
        <v>The Goodacre Scholarship</v>
      </c>
      <c r="C26" s="9" t="s">
        <v>15</v>
      </c>
      <c r="D26" s="11">
        <v>10000</v>
      </c>
      <c r="E26" s="9">
        <v>1</v>
      </c>
      <c r="F26" s="9" t="s">
        <v>14</v>
      </c>
      <c r="G26" s="12" t="s">
        <v>46</v>
      </c>
      <c r="H26" t="s">
        <v>17</v>
      </c>
      <c r="I26" s="9" t="s">
        <v>26</v>
      </c>
    </row>
    <row r="27" spans="1:9" ht="30" x14ac:dyDescent="0.25">
      <c r="A27" s="8" t="s">
        <v>5</v>
      </c>
      <c r="B27" s="10" t="str">
        <f>HYPERLINK(" https://www.mq.edu.au/study/admissions-and-entry/scholarships/domestic/commonwealth-teaching-scholarships", "Commonwealth Teaching Scholarships")</f>
        <v>Commonwealth Teaching Scholarships</v>
      </c>
      <c r="C27" s="9" t="s">
        <v>28</v>
      </c>
      <c r="D27" s="13" t="s">
        <v>47</v>
      </c>
      <c r="E27" s="9" t="s">
        <v>42</v>
      </c>
      <c r="F27" s="9" t="s">
        <v>36</v>
      </c>
      <c r="G27" s="9" t="s">
        <v>48</v>
      </c>
      <c r="H27" s="9" t="s">
        <v>26</v>
      </c>
      <c r="I27" s="9" t="s">
        <v>26</v>
      </c>
    </row>
    <row r="28" spans="1:9" ht="45" x14ac:dyDescent="0.25">
      <c r="A28" s="8" t="s">
        <v>5</v>
      </c>
      <c r="B28" s="10" t="str">
        <f>HYPERLINK(" https://www.mq.edu.au/study/admissions-and-entry/scholarships/domestic/bertha-mckenzie-endowment-scholarship", "Bertha McKenzie Endowment Scholarship")</f>
        <v>Bertha McKenzie Endowment Scholarship</v>
      </c>
      <c r="C28" s="9" t="s">
        <v>15</v>
      </c>
      <c r="D28" s="11">
        <v>5058</v>
      </c>
      <c r="E28" s="9" t="s">
        <v>25</v>
      </c>
      <c r="F28" s="9" t="s">
        <v>14</v>
      </c>
      <c r="G28" s="12" t="s">
        <v>49</v>
      </c>
      <c r="H28" s="9" t="s">
        <v>26</v>
      </c>
      <c r="I28" s="9" t="s">
        <v>26</v>
      </c>
    </row>
    <row r="29" spans="1:9" x14ac:dyDescent="0.25">
      <c r="A29" s="8" t="s">
        <v>5</v>
      </c>
      <c r="B29" s="10" t="str">
        <f>HYPERLINK(" https://www.mq.edu.au/study/admissions-and-entry/scholarships/domestic/dr-john-waters-equity-scholarship", "Dr John Waters Equity Scholarship")</f>
        <v>Dr John Waters Equity Scholarship</v>
      </c>
      <c r="C29" s="9" t="s">
        <v>15</v>
      </c>
      <c r="D29" s="11">
        <v>10000</v>
      </c>
      <c r="E29" s="9" t="s">
        <v>25</v>
      </c>
      <c r="F29" s="9" t="s">
        <v>14</v>
      </c>
      <c r="G29" s="9" t="s">
        <v>18</v>
      </c>
      <c r="H29" s="9" t="s">
        <v>26</v>
      </c>
      <c r="I29" s="9" t="s">
        <v>26</v>
      </c>
    </row>
    <row r="30" spans="1:9" ht="45" x14ac:dyDescent="0.25">
      <c r="A30" s="8" t="s">
        <v>5</v>
      </c>
      <c r="B30" s="10" t="str">
        <f>HYPERLINK(" https://www.mq.edu.au/study/admissions-and-entry/scholarships/domestic/macquarie-university-higher-study-scholarship-full-time-rate", "Macquarie University Higher Study Scholarship - Full time rate")</f>
        <v>Macquarie University Higher Study Scholarship - Full time rate</v>
      </c>
      <c r="C30" s="9" t="s">
        <v>15</v>
      </c>
      <c r="D30" s="11">
        <v>12000</v>
      </c>
      <c r="E30" s="9" t="s">
        <v>42</v>
      </c>
      <c r="F30" s="9" t="s">
        <v>51</v>
      </c>
      <c r="G30" s="12" t="s">
        <v>50</v>
      </c>
      <c r="H30" t="s">
        <v>22</v>
      </c>
      <c r="I30" s="9" t="s">
        <v>26</v>
      </c>
    </row>
    <row r="31" spans="1:9" ht="30" x14ac:dyDescent="0.25">
      <c r="A31" s="8" t="s">
        <v>5</v>
      </c>
      <c r="B31" s="10" t="str">
        <f>HYPERLINK(" https://www.mq.edu.au/study/admissions-and-entry/scholarships/domestic/macquarie-university-postgraduate-loyalty-scheme-10-sponsorship", "
Macquarie University Postgraduate Loyalty Scheme 10% sponsorship")</f>
        <v xml:space="preserve">
Macquarie University Postgraduate Loyalty Scheme 10% sponsorship</v>
      </c>
      <c r="C31" s="9" t="s">
        <v>28</v>
      </c>
      <c r="D31" s="9" t="s">
        <v>53</v>
      </c>
      <c r="E31" s="9" t="s">
        <v>42</v>
      </c>
      <c r="F31" s="9" t="s">
        <v>52</v>
      </c>
      <c r="G31" s="12" t="s">
        <v>54</v>
      </c>
      <c r="H31" t="s">
        <v>26</v>
      </c>
      <c r="I31" s="9" t="s">
        <v>26</v>
      </c>
    </row>
    <row r="32" spans="1:9" x14ac:dyDescent="0.25">
      <c r="A32" s="8" t="s">
        <v>5</v>
      </c>
      <c r="B32" s="10" t="str">
        <f>HYPERLINK(" https://www.mq.edu.au/study/admissions-and-entry/scholarships/domestic/macquarie-university-higher-study-scholarship-part-time-rate", "Macquarie University Higher Study Scholarship - Part time rate")</f>
        <v>Macquarie University Higher Study Scholarship - Part time rate</v>
      </c>
      <c r="C32" s="9" t="s">
        <v>15</v>
      </c>
      <c r="D32" s="11">
        <v>6000</v>
      </c>
      <c r="E32" s="9" t="s">
        <v>42</v>
      </c>
      <c r="F32" s="9" t="s">
        <v>51</v>
      </c>
      <c r="G32" s="9" t="s">
        <v>18</v>
      </c>
      <c r="H32" t="s">
        <v>26</v>
      </c>
      <c r="I32" s="9" t="s">
        <v>26</v>
      </c>
    </row>
    <row r="33" spans="1:9" ht="30" x14ac:dyDescent="0.25">
      <c r="A33" s="8" t="s">
        <v>5</v>
      </c>
      <c r="B33" s="10" t="str">
        <f>HYPERLINK(" https://www.mq.edu.au/study/admissions-and-entry/scholarships/domestic/macquarie-university-anu-alumni-postgraduate-support-scheme", "Macquarie University-ANU Alumni Postgraduate Support Scheme")</f>
        <v>Macquarie University-ANU Alumni Postgraduate Support Scheme</v>
      </c>
      <c r="C33" s="9" t="s">
        <v>28</v>
      </c>
      <c r="D33" s="9" t="s">
        <v>55</v>
      </c>
      <c r="E33" s="9" t="s">
        <v>42</v>
      </c>
      <c r="F33" s="9" t="s">
        <v>52</v>
      </c>
      <c r="G33" s="12" t="s">
        <v>54</v>
      </c>
      <c r="H33" t="s">
        <v>26</v>
      </c>
      <c r="I33" s="9" t="s">
        <v>26</v>
      </c>
    </row>
    <row r="34" spans="1:9" ht="30" x14ac:dyDescent="0.25">
      <c r="A34" s="8" t="s">
        <v>5</v>
      </c>
      <c r="B34" s="10" t="str">
        <f>HYPERLINK(" https://www.mq.edu.au/study/admissions-and-entry/scholarships/domestic/the-sir-theo-kelly-sustainable-leadership-scholarship", "The Sir Theo Kelly Sustainable Leadership Scholarship")</f>
        <v>The Sir Theo Kelly Sustainable Leadership Scholarship</v>
      </c>
      <c r="C34" s="9" t="s">
        <v>28</v>
      </c>
      <c r="D34" s="11" t="s">
        <v>56</v>
      </c>
      <c r="E34" s="9">
        <v>3</v>
      </c>
      <c r="F34" s="9" t="s">
        <v>52</v>
      </c>
      <c r="G34" s="12" t="s">
        <v>57</v>
      </c>
      <c r="H34" t="s">
        <v>26</v>
      </c>
      <c r="I34" s="9" t="s">
        <v>26</v>
      </c>
    </row>
    <row r="35" spans="1:9" ht="75" x14ac:dyDescent="0.25">
      <c r="A35" s="6" t="s">
        <v>9</v>
      </c>
      <c r="B35" s="10" t="str">
        <f>HYPERLINK(" https://www.uts.edu.au/scholarship/wanago-access-scholarship-young-women", "The Wanago Access Scholarship for Young Women")</f>
        <v>The Wanago Access Scholarship for Young Women</v>
      </c>
      <c r="C35" s="9" t="s">
        <v>15</v>
      </c>
      <c r="D35" s="11">
        <v>10000</v>
      </c>
      <c r="E35" s="9">
        <v>5</v>
      </c>
      <c r="F35" s="9" t="s">
        <v>14</v>
      </c>
      <c r="G35" s="12" t="s">
        <v>58</v>
      </c>
      <c r="H35" t="s">
        <v>26</v>
      </c>
      <c r="I35" s="9" t="s">
        <v>26</v>
      </c>
    </row>
    <row r="36" spans="1:9" ht="30" x14ac:dyDescent="0.25">
      <c r="A36" s="6" t="s">
        <v>9</v>
      </c>
      <c r="B36" s="10" t="str">
        <f>HYPERLINK(" https://www.uts.edu.au/scholarship/business-deans-scholarship", "Business Dean's Scholarship")</f>
        <v>Business Dean's Scholarship</v>
      </c>
      <c r="C36" s="9" t="s">
        <v>28</v>
      </c>
      <c r="D36" s="11">
        <v>10000</v>
      </c>
      <c r="E36" s="9">
        <v>3</v>
      </c>
      <c r="F36" s="9" t="s">
        <v>14</v>
      </c>
      <c r="G36" s="12" t="s">
        <v>31</v>
      </c>
      <c r="H36" t="s">
        <v>26</v>
      </c>
      <c r="I36" s="9" t="s">
        <v>26</v>
      </c>
    </row>
    <row r="37" spans="1:9" ht="30" x14ac:dyDescent="0.25">
      <c r="A37" s="6" t="s">
        <v>9</v>
      </c>
      <c r="B37" s="10" t="str">
        <f>HYPERLINK("https://www.uts.edu.au/scholarship/faculty-arts-and-social-sciences-undergraduate-student-merit-scholarship", "Faculty of Arts and Social Sciences Undergraduate Student Merit Scholarship")</f>
        <v>Faculty of Arts and Social Sciences Undergraduate Student Merit Scholarship</v>
      </c>
      <c r="C37" s="9" t="s">
        <v>15</v>
      </c>
      <c r="D37" s="11">
        <v>5000</v>
      </c>
      <c r="E37" s="9">
        <v>1</v>
      </c>
      <c r="F37" s="9" t="s">
        <v>14</v>
      </c>
      <c r="G37" s="12" t="s">
        <v>59</v>
      </c>
      <c r="H37" t="s">
        <v>22</v>
      </c>
      <c r="I37" s="9" t="s">
        <v>26</v>
      </c>
    </row>
    <row r="38" spans="1:9" ht="75" x14ac:dyDescent="0.25">
      <c r="A38" s="6" t="s">
        <v>9</v>
      </c>
      <c r="B38" s="10" t="str">
        <f>HYPERLINK(" https://www.uts.edu.au/scholarship/hansen-yuncken-scholarship-women-construction-and-engineering", "Hansen Yuncken Scholarship for Women in Construction and Engineering")</f>
        <v>Hansen Yuncken Scholarship for Women in Construction and Engineering</v>
      </c>
      <c r="C38" s="9" t="s">
        <v>28</v>
      </c>
      <c r="D38" s="9" t="s">
        <v>60</v>
      </c>
      <c r="E38" s="9">
        <v>1</v>
      </c>
      <c r="F38" s="9" t="s">
        <v>14</v>
      </c>
      <c r="G38" s="12" t="s">
        <v>61</v>
      </c>
      <c r="H38" t="s">
        <v>26</v>
      </c>
      <c r="I38" s="9" t="s">
        <v>17</v>
      </c>
    </row>
    <row r="39" spans="1:9" ht="60" x14ac:dyDescent="0.25">
      <c r="A39" s="6" t="s">
        <v>9</v>
      </c>
      <c r="B39" s="10" t="str">
        <f>HYPERLINK(" https://www.uts.edu.au/scholarship/essence-project-management-scholarship", "Essence Project Management Scholarship")</f>
        <v>Essence Project Management Scholarship</v>
      </c>
      <c r="C39" s="9" t="s">
        <v>28</v>
      </c>
      <c r="D39" s="11">
        <v>10000</v>
      </c>
      <c r="E39" s="9">
        <v>1</v>
      </c>
      <c r="F39" s="9" t="s">
        <v>14</v>
      </c>
      <c r="G39" s="12" t="s">
        <v>62</v>
      </c>
      <c r="H39" t="s">
        <v>26</v>
      </c>
      <c r="I39" t="s">
        <v>17</v>
      </c>
    </row>
    <row r="40" spans="1:9" ht="30" x14ac:dyDescent="0.25">
      <c r="A40" s="6" t="s">
        <v>9</v>
      </c>
      <c r="B40" s="10" t="str">
        <f>HYPERLINK(" https://www.uts.edu.au/scholarship/carl-nielsen-professional-development-scholarship", "Carl Nielsen Professional Development Scholarship")</f>
        <v>Carl Nielsen Professional Development Scholarship</v>
      </c>
      <c r="C40" s="9" t="s">
        <v>28</v>
      </c>
      <c r="D40" s="11">
        <v>5000</v>
      </c>
      <c r="E40" s="9">
        <v>1</v>
      </c>
      <c r="F40" s="9" t="s">
        <v>14</v>
      </c>
      <c r="G40" s="12" t="s">
        <v>63</v>
      </c>
      <c r="H40" t="s">
        <v>26</v>
      </c>
      <c r="I40" t="s">
        <v>26</v>
      </c>
    </row>
    <row r="41" spans="1:9" ht="30" x14ac:dyDescent="0.25">
      <c r="A41" s="6" t="s">
        <v>9</v>
      </c>
      <c r="B41" s="10" t="str">
        <f>HYPERLINK(" https://www.uts.edu.au/scholarship/garth-barnett-scholarship", "Garth Barnett Scholarship")</f>
        <v>Garth Barnett Scholarship</v>
      </c>
      <c r="C41" s="9" t="s">
        <v>28</v>
      </c>
      <c r="D41" s="11">
        <v>9000</v>
      </c>
      <c r="E41" s="9">
        <v>2</v>
      </c>
      <c r="F41" s="9" t="s">
        <v>14</v>
      </c>
      <c r="G41" s="12" t="s">
        <v>63</v>
      </c>
      <c r="H41" t="s">
        <v>26</v>
      </c>
      <c r="I41" t="s">
        <v>26</v>
      </c>
    </row>
    <row r="42" spans="1:9" ht="60" x14ac:dyDescent="0.25">
      <c r="A42" s="6" t="s">
        <v>9</v>
      </c>
      <c r="B42" s="10" t="str">
        <f>HYPERLINK("https://www.uts.edu.au/scholarship/richard-crookes-constructions-merit-scholarship-women", "Richard Crookes Constructions Merit Scholarship for Women")</f>
        <v>Richard Crookes Constructions Merit Scholarship for Women</v>
      </c>
      <c r="C42" s="9" t="s">
        <v>28</v>
      </c>
      <c r="D42" s="11">
        <v>5000</v>
      </c>
      <c r="E42" s="9">
        <v>2</v>
      </c>
      <c r="F42" s="9" t="s">
        <v>14</v>
      </c>
      <c r="G42" s="12" t="s">
        <v>64</v>
      </c>
      <c r="H42" t="s">
        <v>26</v>
      </c>
      <c r="I42" t="s">
        <v>17</v>
      </c>
    </row>
    <row r="43" spans="1:9" ht="45" x14ac:dyDescent="0.25">
      <c r="A43" s="6" t="s">
        <v>9</v>
      </c>
      <c r="B43" s="10" t="str">
        <f>HYPERLINK(" https://www.uts.edu.au/scholarship/charter-hall-property-economics-scholarship", "Charter Hall Property Economics Scholarship")</f>
        <v>Charter Hall Property Economics Scholarship</v>
      </c>
      <c r="C43" s="9" t="s">
        <v>28</v>
      </c>
      <c r="D43" s="11">
        <v>10000</v>
      </c>
      <c r="E43" s="9">
        <v>1</v>
      </c>
      <c r="F43" s="9" t="s">
        <v>14</v>
      </c>
      <c r="G43" s="12" t="s">
        <v>65</v>
      </c>
      <c r="H43" t="s">
        <v>22</v>
      </c>
      <c r="I43" t="s">
        <v>17</v>
      </c>
    </row>
    <row r="44" spans="1:9" ht="60" x14ac:dyDescent="0.25">
      <c r="A44" s="6" t="s">
        <v>9</v>
      </c>
      <c r="B44" s="10" t="str">
        <f>HYPERLINK(" https://www.uts.edu.au/scholarship/cox-architecture-scholarship", "Cox Architecture Scholarship")</f>
        <v>Cox Architecture Scholarship</v>
      </c>
      <c r="C44" s="9" t="s">
        <v>28</v>
      </c>
      <c r="D44" s="11">
        <v>10000</v>
      </c>
      <c r="E44" s="9">
        <v>1</v>
      </c>
      <c r="F44" s="9" t="s">
        <v>14</v>
      </c>
      <c r="G44" s="12" t="s">
        <v>66</v>
      </c>
      <c r="H44" t="s">
        <v>26</v>
      </c>
      <c r="I44" t="s">
        <v>17</v>
      </c>
    </row>
    <row r="45" spans="1:9" ht="75" x14ac:dyDescent="0.25">
      <c r="A45" s="6" t="s">
        <v>9</v>
      </c>
      <c r="B45" s="10" t="str">
        <f>HYPERLINK(" https://www.uts.edu.au/scholarship/mirvac-group-merit-scholarship-women-construction", "Mirvac Group Merit Scholarship for Women in Construction")</f>
        <v>Mirvac Group Merit Scholarship for Women in Construction</v>
      </c>
      <c r="C45" s="9" t="s">
        <v>28</v>
      </c>
      <c r="D45" s="11">
        <v>15000</v>
      </c>
      <c r="E45" s="9">
        <v>1</v>
      </c>
      <c r="F45" s="9" t="s">
        <v>14</v>
      </c>
      <c r="G45" s="12" t="s">
        <v>67</v>
      </c>
      <c r="H45" t="s">
        <v>26</v>
      </c>
      <c r="I45" t="s">
        <v>17</v>
      </c>
    </row>
    <row r="46" spans="1:9" ht="45" x14ac:dyDescent="0.25">
      <c r="A46" s="6" t="s">
        <v>9</v>
      </c>
      <c r="B46" s="10" t="str">
        <f>HYPERLINK("https://www.uts.edu.au/scholarship/order-australia-association-foundation-scholarship", "The Order of Australia Association Foundation Scholarship")</f>
        <v>The Order of Australia Association Foundation Scholarship</v>
      </c>
      <c r="C46" s="9" t="s">
        <v>28</v>
      </c>
      <c r="D46" s="11">
        <v>40000</v>
      </c>
      <c r="E46" s="9">
        <v>2</v>
      </c>
      <c r="F46" s="9" t="s">
        <v>14</v>
      </c>
      <c r="G46" s="12" t="s">
        <v>68</v>
      </c>
      <c r="H46" t="s">
        <v>26</v>
      </c>
      <c r="I46" t="s">
        <v>26</v>
      </c>
    </row>
    <row r="47" spans="1:9" ht="45" x14ac:dyDescent="0.25">
      <c r="A47" s="6" t="s">
        <v>9</v>
      </c>
      <c r="B47" s="10" t="str">
        <f>HYPERLINK("https://www.uts.edu.au/scholarship/toshiba-nathan-godby-engineering-scholarship", "Toshiba Nathan Godby Engineering Scholarship")</f>
        <v>Toshiba Nathan Godby Engineering Scholarship</v>
      </c>
      <c r="C47" s="9" t="s">
        <v>28</v>
      </c>
      <c r="D47" s="11">
        <v>25000</v>
      </c>
      <c r="E47" s="9">
        <v>0.5</v>
      </c>
      <c r="F47" s="9" t="s">
        <v>69</v>
      </c>
      <c r="G47" s="12" t="s">
        <v>70</v>
      </c>
      <c r="H47" t="s">
        <v>26</v>
      </c>
      <c r="I47" s="9" t="s">
        <v>17</v>
      </c>
    </row>
    <row r="48" spans="1:9" ht="60" x14ac:dyDescent="0.25">
      <c r="A48" s="6" t="s">
        <v>9</v>
      </c>
      <c r="B48" s="10" t="str">
        <f>HYPERLINK("https://www.uts.edu.au/scholarship/john-heine-memorial-scholarship-women-engineering", "John Heine Memorial Scholarship for Women in Engineering")</f>
        <v>John Heine Memorial Scholarship for Women in Engineering</v>
      </c>
      <c r="C48" s="9" t="s">
        <v>28</v>
      </c>
      <c r="D48" s="11">
        <v>23000</v>
      </c>
      <c r="E48" s="9">
        <v>5</v>
      </c>
      <c r="F48" s="9" t="s">
        <v>69</v>
      </c>
      <c r="G48" s="12" t="s">
        <v>71</v>
      </c>
      <c r="H48" t="s">
        <v>26</v>
      </c>
      <c r="I48" t="s">
        <v>26</v>
      </c>
    </row>
    <row r="49" spans="1:9" ht="60" x14ac:dyDescent="0.25">
      <c r="A49" s="6" t="s">
        <v>9</v>
      </c>
      <c r="B49" s="10" t="str">
        <f>HYPERLINK("https://www.uts.edu.au/scholarship/wj-lm-sinclair-scholarship-engineering", "WJ &amp; LM Sinclair Scholarship in Engineering")</f>
        <v>WJ &amp; LM Sinclair Scholarship in Engineering</v>
      </c>
      <c r="C49" s="9" t="s">
        <v>15</v>
      </c>
      <c r="D49" s="11">
        <v>20000</v>
      </c>
      <c r="E49" s="9">
        <v>5</v>
      </c>
      <c r="F49" s="9" t="s">
        <v>69</v>
      </c>
      <c r="G49" s="12" t="s">
        <v>72</v>
      </c>
      <c r="H49" t="s">
        <v>22</v>
      </c>
      <c r="I49" s="9" t="s">
        <v>26</v>
      </c>
    </row>
    <row r="50" spans="1:9" ht="45" x14ac:dyDescent="0.25">
      <c r="A50" s="6" t="s">
        <v>9</v>
      </c>
      <c r="B50" s="10" t="str">
        <f>HYPERLINK("https://www.uts.edu.au/scholarship/canon-medical-systems-uts-engineering-scholarship", "Canon Medical Systems – UTS Engineering Scholarship")</f>
        <v>Canon Medical Systems – UTS Engineering Scholarship</v>
      </c>
      <c r="C50" s="9" t="s">
        <v>28</v>
      </c>
      <c r="D50" s="11">
        <v>29000</v>
      </c>
      <c r="E50" s="9">
        <v>1</v>
      </c>
      <c r="F50" s="9" t="s">
        <v>69</v>
      </c>
      <c r="G50" s="12" t="s">
        <v>70</v>
      </c>
      <c r="H50" t="s">
        <v>26</v>
      </c>
      <c r="I50" s="9" t="s">
        <v>17</v>
      </c>
    </row>
    <row r="51" spans="1:9" ht="30" x14ac:dyDescent="0.25">
      <c r="A51" s="6" t="s">
        <v>9</v>
      </c>
      <c r="B51" s="10" t="str">
        <f>HYPERLINK("https://www.uts.edu.au/scholarship/eleanor-dunn-scholarship-engineering", "The Eleanor Dunn Scholarship in Engineering")</f>
        <v>The Eleanor Dunn Scholarship in Engineering</v>
      </c>
      <c r="C51" s="9" t="s">
        <v>15</v>
      </c>
      <c r="D51" s="9" t="s">
        <v>73</v>
      </c>
      <c r="E51" s="9">
        <v>5</v>
      </c>
      <c r="F51" s="9" t="s">
        <v>69</v>
      </c>
      <c r="G51" s="12" t="s">
        <v>74</v>
      </c>
      <c r="H51" t="s">
        <v>26</v>
      </c>
      <c r="I51" s="9" t="s">
        <v>26</v>
      </c>
    </row>
    <row r="52" spans="1:9" ht="60" x14ac:dyDescent="0.25">
      <c r="A52" s="6" t="s">
        <v>9</v>
      </c>
      <c r="B52" s="10" t="str">
        <f>HYPERLINK("https://www.uts.edu.au/scholarship/ericsson-scholarship-women-ict-and-engineering", "Ericsson Scholarship for Women in ICT and Engineering")</f>
        <v>Ericsson Scholarship for Women in ICT and Engineering</v>
      </c>
      <c r="C52" s="9" t="s">
        <v>28</v>
      </c>
      <c r="D52" s="9" t="s">
        <v>75</v>
      </c>
      <c r="E52" s="9" t="s">
        <v>76</v>
      </c>
      <c r="F52" s="9" t="s">
        <v>69</v>
      </c>
      <c r="G52" s="12" t="s">
        <v>77</v>
      </c>
      <c r="H52" t="s">
        <v>26</v>
      </c>
      <c r="I52" s="9" t="s">
        <v>17</v>
      </c>
    </row>
    <row r="53" spans="1:9" ht="45" x14ac:dyDescent="0.25">
      <c r="A53" s="6" t="s">
        <v>9</v>
      </c>
      <c r="B53" s="10" t="str">
        <f>HYPERLINK("https://www.uts.edu.au/scholarship/thales-senior-cooperative-scholarship", "The Thales Senior Cooperative Scholarship")</f>
        <v>The Thales Senior Cooperative Scholarship</v>
      </c>
      <c r="C53" s="9" t="s">
        <v>28</v>
      </c>
      <c r="D53" s="9" t="s">
        <v>78</v>
      </c>
      <c r="E53" s="9" t="s">
        <v>79</v>
      </c>
      <c r="F53" s="9" t="s">
        <v>69</v>
      </c>
      <c r="G53" s="12" t="s">
        <v>80</v>
      </c>
      <c r="H53" t="s">
        <v>26</v>
      </c>
      <c r="I53" s="9" t="s">
        <v>17</v>
      </c>
    </row>
    <row r="54" spans="1:9" ht="60" x14ac:dyDescent="0.25">
      <c r="A54" s="6" t="s">
        <v>9</v>
      </c>
      <c r="B54" s="10" t="str">
        <f>HYPERLINK("https://www.uts.edu.au/scholarship/linden-little-engineering-equity-scholarship", "Linden Little Engineering Equity Scholarship")</f>
        <v>Linden Little Engineering Equity Scholarship</v>
      </c>
      <c r="C54" s="9" t="s">
        <v>15</v>
      </c>
      <c r="D54" s="11">
        <v>17500</v>
      </c>
      <c r="E54" s="9">
        <v>2</v>
      </c>
      <c r="F54" s="9" t="s">
        <v>69</v>
      </c>
      <c r="G54" s="12" t="s">
        <v>72</v>
      </c>
      <c r="H54" t="s">
        <v>26</v>
      </c>
      <c r="I54" t="s">
        <v>26</v>
      </c>
    </row>
    <row r="55" spans="1:9" ht="60" x14ac:dyDescent="0.25">
      <c r="A55" s="6" t="s">
        <v>9</v>
      </c>
      <c r="B55" s="10" t="str">
        <f>HYPERLINK("https://www.uts.edu.au/scholarship/john-heine-memorial-scholarship-engineering", "John Heine Memorial Scholarship in Engineering")</f>
        <v>John Heine Memorial Scholarship in Engineering</v>
      </c>
      <c r="C55" s="9" t="s">
        <v>15</v>
      </c>
      <c r="D55" s="11">
        <v>23000</v>
      </c>
      <c r="E55" s="9">
        <v>5</v>
      </c>
      <c r="F55" s="9" t="s">
        <v>69</v>
      </c>
      <c r="G55" s="12" t="s">
        <v>72</v>
      </c>
      <c r="H55" t="s">
        <v>26</v>
      </c>
      <c r="I55" t="s">
        <v>26</v>
      </c>
    </row>
    <row r="56" spans="1:9" ht="45" x14ac:dyDescent="0.25">
      <c r="A56" s="6" t="s">
        <v>9</v>
      </c>
      <c r="B56" s="10" t="str">
        <f>HYPERLINK("https://www.uts.edu.au/scholarship/engineering-and-information-technology-deans-scholarship", "Engineering and Information Technology Dean’s Scholarship")</f>
        <v>Engineering and Information Technology Dean’s Scholarship</v>
      </c>
      <c r="C56" s="9" t="s">
        <v>28</v>
      </c>
      <c r="D56" s="11">
        <v>30000</v>
      </c>
      <c r="E56" s="9">
        <v>2</v>
      </c>
      <c r="F56" s="9" t="s">
        <v>14</v>
      </c>
      <c r="G56" s="12" t="s">
        <v>80</v>
      </c>
      <c r="H56" t="s">
        <v>26</v>
      </c>
      <c r="I56" t="s">
        <v>26</v>
      </c>
    </row>
    <row r="57" spans="1:9" ht="30" x14ac:dyDescent="0.25">
      <c r="A57" s="6" t="s">
        <v>9</v>
      </c>
      <c r="B57" s="10" t="str">
        <f>HYPERLINK("https://www.uts.edu.au/scholarship/health-deans-scholarship", "Health Dean’s Scholarship")</f>
        <v>Health Dean’s Scholarship</v>
      </c>
      <c r="C57" s="9" t="s">
        <v>28</v>
      </c>
      <c r="D57" s="11">
        <v>10000</v>
      </c>
      <c r="E57" s="9">
        <v>1</v>
      </c>
      <c r="F57" s="9" t="s">
        <v>14</v>
      </c>
      <c r="G57" s="12" t="s">
        <v>82</v>
      </c>
      <c r="H57" t="s">
        <v>26</v>
      </c>
      <c r="I57" t="s">
        <v>26</v>
      </c>
    </row>
    <row r="58" spans="1:9" ht="45" x14ac:dyDescent="0.25">
      <c r="A58" s="6" t="s">
        <v>9</v>
      </c>
      <c r="B58" s="10" t="str">
        <f>HYPERLINK("https://www.uts.edu.au/scholarship/challenger-it-scholarship", "Challenger IT Scholarship")</f>
        <v>Challenger IT Scholarship</v>
      </c>
      <c r="C58" s="9" t="s">
        <v>28</v>
      </c>
      <c r="D58" s="11">
        <v>43000</v>
      </c>
      <c r="E58" s="9">
        <v>1</v>
      </c>
      <c r="F58" s="9" t="s">
        <v>69</v>
      </c>
      <c r="G58" s="12" t="s">
        <v>83</v>
      </c>
      <c r="H58" t="s">
        <v>26</v>
      </c>
      <c r="I58" s="9" t="s">
        <v>17</v>
      </c>
    </row>
    <row r="59" spans="1:9" ht="60" x14ac:dyDescent="0.25">
      <c r="A59" s="6" t="s">
        <v>9</v>
      </c>
      <c r="B59" s="10" t="str">
        <f>HYPERLINK("https://www.uts.edu.au/scholarship/bachelor-information-technology-co-operative-scholarship-program", "Bachelor of Information Technology Co-operative Scholarship Program")</f>
        <v>Bachelor of Information Technology Co-operative Scholarship Program</v>
      </c>
      <c r="C59" s="9" t="s">
        <v>28</v>
      </c>
      <c r="D59" s="13" t="s">
        <v>84</v>
      </c>
      <c r="E59" s="9">
        <v>3</v>
      </c>
      <c r="F59" s="9" t="s">
        <v>14</v>
      </c>
      <c r="G59" s="12" t="s">
        <v>85</v>
      </c>
      <c r="H59" t="s">
        <v>26</v>
      </c>
      <c r="I59" s="9" t="s">
        <v>17</v>
      </c>
    </row>
    <row r="60" spans="1:9" ht="30" x14ac:dyDescent="0.25">
      <c r="A60" s="6" t="s">
        <v>9</v>
      </c>
      <c r="B60" s="10" t="str">
        <f>HYPERLINK("https://www.uts.edu.au/scholarship/law-equity-scholarship", "Law Equity Scholarship")</f>
        <v>Law Equity Scholarship</v>
      </c>
      <c r="C60" s="9" t="s">
        <v>15</v>
      </c>
      <c r="D60" s="11">
        <v>5000</v>
      </c>
      <c r="E60" s="9">
        <v>4</v>
      </c>
      <c r="F60" s="9" t="s">
        <v>14</v>
      </c>
      <c r="G60" s="12" t="s">
        <v>86</v>
      </c>
      <c r="H60" t="s">
        <v>26</v>
      </c>
      <c r="I60" t="s">
        <v>26</v>
      </c>
    </row>
    <row r="61" spans="1:9" ht="45" x14ac:dyDescent="0.25">
      <c r="A61" s="6" t="s">
        <v>9</v>
      </c>
      <c r="B61" s="10" t="str">
        <f>HYPERLINK("https://www.uts.edu.au/scholarship/ezekiel-solomon-scholarship", "Ezekiel Solomon Scholarship")</f>
        <v>Ezekiel Solomon Scholarship</v>
      </c>
      <c r="C61" s="9" t="s">
        <v>15</v>
      </c>
      <c r="D61" s="11">
        <v>5000</v>
      </c>
      <c r="E61" s="9">
        <v>1</v>
      </c>
      <c r="F61" s="9" t="s">
        <v>14</v>
      </c>
      <c r="G61" s="12" t="s">
        <v>87</v>
      </c>
      <c r="H61" t="s">
        <v>26</v>
      </c>
      <c r="I61" t="s">
        <v>26</v>
      </c>
    </row>
    <row r="62" spans="1:9" ht="45" x14ac:dyDescent="0.25">
      <c r="A62" s="6" t="s">
        <v>9</v>
      </c>
      <c r="B62" s="10" t="str">
        <f>HYPERLINK("https://www.uts.edu.au/scholarship/eric-dreikurs-scholarship", "Eric Dreikurs Scholarship")</f>
        <v>Eric Dreikurs Scholarship</v>
      </c>
      <c r="C62" s="9" t="s">
        <v>15</v>
      </c>
      <c r="D62" s="11">
        <v>6000</v>
      </c>
      <c r="E62" s="9">
        <v>1</v>
      </c>
      <c r="F62" s="9" t="s">
        <v>14</v>
      </c>
      <c r="G62" s="12" t="s">
        <v>87</v>
      </c>
      <c r="H62" t="s">
        <v>26</v>
      </c>
      <c r="I62" t="s">
        <v>26</v>
      </c>
    </row>
    <row r="63" spans="1:9" ht="30" x14ac:dyDescent="0.25">
      <c r="A63" s="6" t="s">
        <v>9</v>
      </c>
      <c r="B63" s="10" t="str">
        <f>HYPERLINK("https://www.uts.edu.au/scholarship/law-deans-scholarship", "Law Dean’s Scholarship")</f>
        <v>Law Dean’s Scholarship</v>
      </c>
      <c r="C63" s="9" t="s">
        <v>28</v>
      </c>
      <c r="D63" s="11">
        <v>10000</v>
      </c>
      <c r="E63" s="9">
        <v>1</v>
      </c>
      <c r="F63" s="9" t="s">
        <v>14</v>
      </c>
      <c r="G63" s="12" t="s">
        <v>88</v>
      </c>
      <c r="H63" t="s">
        <v>26</v>
      </c>
      <c r="I63" t="s">
        <v>26</v>
      </c>
    </row>
    <row r="64" spans="1:9" ht="60" x14ac:dyDescent="0.25">
      <c r="A64" s="6" t="s">
        <v>9</v>
      </c>
      <c r="B64" s="10" t="str">
        <f>HYPERLINK("https://www.uts.edu.au/scholarship/law-diversity-and-equity-scholarship", "Law Diversity and Equity Scholarship")</f>
        <v>Law Diversity and Equity Scholarship</v>
      </c>
      <c r="C64" s="9" t="s">
        <v>15</v>
      </c>
      <c r="D64" s="11">
        <v>10000</v>
      </c>
      <c r="E64" s="9">
        <v>1</v>
      </c>
      <c r="F64" s="9" t="s">
        <v>14</v>
      </c>
      <c r="G64" s="12" t="s">
        <v>89</v>
      </c>
      <c r="H64" t="s">
        <v>22</v>
      </c>
      <c r="I64" t="s">
        <v>26</v>
      </c>
    </row>
    <row r="65" spans="1:9" ht="30" x14ac:dyDescent="0.25">
      <c r="A65" s="6" t="s">
        <v>9</v>
      </c>
      <c r="B65" s="10" t="str">
        <f>HYPERLINK("https://www.uts.edu.au/scholarship/science-deans-scholarship", "Science Dean's Scholarship")</f>
        <v>Science Dean's Scholarship</v>
      </c>
      <c r="C65" s="9" t="s">
        <v>28</v>
      </c>
      <c r="D65" s="11">
        <v>15000</v>
      </c>
      <c r="E65" s="9">
        <v>3</v>
      </c>
      <c r="F65" s="9" t="s">
        <v>14</v>
      </c>
      <c r="G65" s="12" t="s">
        <v>91</v>
      </c>
      <c r="H65" t="s">
        <v>26</v>
      </c>
      <c r="I65" t="s">
        <v>26</v>
      </c>
    </row>
    <row r="66" spans="1:9" ht="45" x14ac:dyDescent="0.25">
      <c r="A66" s="6" t="s">
        <v>9</v>
      </c>
      <c r="B66" s="10" t="str">
        <f>HYPERLINK(" https://www.uts.edu.au/scholarship/science-deans-scholarship-women", "Science Dean’s Scholarship for Women")</f>
        <v>Science Dean’s Scholarship for Women</v>
      </c>
      <c r="C66" s="9" t="s">
        <v>28</v>
      </c>
      <c r="D66" s="11">
        <v>15000</v>
      </c>
      <c r="E66" s="9">
        <v>3</v>
      </c>
      <c r="F66" s="9" t="s">
        <v>14</v>
      </c>
      <c r="G66" s="12" t="s">
        <v>90</v>
      </c>
      <c r="H66" t="s">
        <v>26</v>
      </c>
      <c r="I66" t="s">
        <v>26</v>
      </c>
    </row>
    <row r="67" spans="1:9" ht="45" x14ac:dyDescent="0.25">
      <c r="A67" s="6" t="s">
        <v>9</v>
      </c>
      <c r="B67" s="10" t="str">
        <f>HYPERLINK("https://www.uts.edu.au/scholarship/uts-science-high-achievers-scholarship-0", "UTS Science High Achiever’s Scholarship")</f>
        <v>UTS Science High Achiever’s Scholarship</v>
      </c>
      <c r="C67" s="9" t="s">
        <v>28</v>
      </c>
      <c r="D67" s="11">
        <v>6000</v>
      </c>
      <c r="E67" s="9">
        <v>3</v>
      </c>
      <c r="F67" s="9" t="s">
        <v>14</v>
      </c>
      <c r="G67" s="12" t="s">
        <v>90</v>
      </c>
      <c r="H67" t="s">
        <v>26</v>
      </c>
      <c r="I67" t="s">
        <v>26</v>
      </c>
    </row>
    <row r="68" spans="1:9" ht="30" x14ac:dyDescent="0.25">
      <c r="A68" s="6" t="s">
        <v>9</v>
      </c>
      <c r="B68" s="10" t="str">
        <f>HYPERLINK("https://www.uts.edu.au/scholarship/ross-milbourne-elite-athlete-scholarship", "Ross Milbourne Elite Athlete Scholarship")</f>
        <v>Ross Milbourne Elite Athlete Scholarship</v>
      </c>
      <c r="C68" s="9" t="s">
        <v>28</v>
      </c>
      <c r="D68" s="11">
        <v>5000</v>
      </c>
      <c r="E68" s="9">
        <v>1</v>
      </c>
      <c r="F68" s="9" t="s">
        <v>92</v>
      </c>
      <c r="G68" s="12" t="s">
        <v>93</v>
      </c>
      <c r="H68" t="s">
        <v>26</v>
      </c>
      <c r="I68" t="s">
        <v>26</v>
      </c>
    </row>
    <row r="69" spans="1:9" ht="30" x14ac:dyDescent="0.25">
      <c r="A69" s="6" t="s">
        <v>9</v>
      </c>
      <c r="B69" s="10" t="str">
        <f>HYPERLINK("https://www.uts.edu.au/scholarship/tertiary-access-payment-tap", "Tertiary Access Payment (TAP)")</f>
        <v>Tertiary Access Payment (TAP)</v>
      </c>
      <c r="C69" s="9" t="s">
        <v>15</v>
      </c>
      <c r="D69" s="11" t="s">
        <v>24</v>
      </c>
      <c r="E69" s="9">
        <v>1</v>
      </c>
      <c r="F69" s="9" t="s">
        <v>94</v>
      </c>
      <c r="G69" s="12" t="s">
        <v>95</v>
      </c>
      <c r="H69" t="s">
        <v>26</v>
      </c>
      <c r="I69" t="s">
        <v>26</v>
      </c>
    </row>
    <row r="70" spans="1:9" ht="30" x14ac:dyDescent="0.25">
      <c r="A70" s="6" t="s">
        <v>9</v>
      </c>
      <c r="B70" s="10" t="str">
        <f>HYPERLINK("https://www.uts.edu.au/scholarship/gradwell-brungs-scholarship", "The Gradwell Brungs Scholarship")</f>
        <v>The Gradwell Brungs Scholarship</v>
      </c>
      <c r="C70" s="9" t="s">
        <v>28</v>
      </c>
      <c r="D70" s="13" t="s">
        <v>96</v>
      </c>
      <c r="E70" s="9">
        <v>4</v>
      </c>
      <c r="F70" s="9" t="s">
        <v>14</v>
      </c>
      <c r="G70" s="12" t="s">
        <v>97</v>
      </c>
      <c r="H70" t="s">
        <v>26</v>
      </c>
      <c r="I70" t="s">
        <v>26</v>
      </c>
    </row>
    <row r="71" spans="1:9" ht="45" x14ac:dyDescent="0.25">
      <c r="A71" s="6" t="s">
        <v>9</v>
      </c>
      <c r="B71" s="10" t="str">
        <f>HYPERLINK("https://www.uts.edu.au/scholarship/vice-chancellors-merit-scholarship", "Vice-Chancellor's Merit Scholarship")</f>
        <v>Vice-Chancellor's Merit Scholarship</v>
      </c>
      <c r="C71" s="9" t="s">
        <v>15</v>
      </c>
      <c r="D71" s="13" t="s">
        <v>98</v>
      </c>
      <c r="E71" s="9" t="s">
        <v>42</v>
      </c>
      <c r="F71" s="9" t="s">
        <v>14</v>
      </c>
      <c r="G71" s="12" t="s">
        <v>99</v>
      </c>
      <c r="H71" t="s">
        <v>26</v>
      </c>
      <c r="I71" t="s">
        <v>26</v>
      </c>
    </row>
    <row r="72" spans="1:9" x14ac:dyDescent="0.25">
      <c r="A72" s="6" t="s">
        <v>9</v>
      </c>
      <c r="B72" s="10" t="str">
        <f>HYPERLINK("https://www.uts.edu.au/scholarship/vice-chancellors-outstanding-achievement-scholarship", "Vice-Chancellor's Outstanding Achievement Scholarship")</f>
        <v>Vice-Chancellor's Outstanding Achievement Scholarship</v>
      </c>
      <c r="C72" s="9" t="s">
        <v>28</v>
      </c>
      <c r="D72" s="13" t="s">
        <v>98</v>
      </c>
      <c r="E72" s="9" t="s">
        <v>42</v>
      </c>
      <c r="F72" s="9" t="s">
        <v>14</v>
      </c>
      <c r="G72" s="9" t="s">
        <v>100</v>
      </c>
      <c r="H72" t="s">
        <v>26</v>
      </c>
      <c r="I72" t="s">
        <v>26</v>
      </c>
    </row>
    <row r="73" spans="1:9" x14ac:dyDescent="0.25">
      <c r="A73" s="6" t="s">
        <v>9</v>
      </c>
      <c r="B73" s="10" t="str">
        <f>HYPERLINK("https://www.uts.edu.au/scholarship/lawrence-vidoni-memorial-scholarship-0", "Lawrence Vidoni Memorial Scholarship")</f>
        <v>Lawrence Vidoni Memorial Scholarship</v>
      </c>
      <c r="C73" s="9" t="s">
        <v>15</v>
      </c>
      <c r="D73" s="11">
        <v>9000</v>
      </c>
      <c r="E73" s="9">
        <v>3</v>
      </c>
      <c r="F73" s="9" t="s">
        <v>14</v>
      </c>
      <c r="G73" s="9" t="s">
        <v>101</v>
      </c>
      <c r="H73" t="s">
        <v>26</v>
      </c>
      <c r="I73" t="s">
        <v>26</v>
      </c>
    </row>
    <row r="74" spans="1:9" ht="45" x14ac:dyDescent="0.25">
      <c r="A74" s="6" t="s">
        <v>9</v>
      </c>
      <c r="B74" s="10" t="str">
        <f>HYPERLINK("https://www.uts.edu.au/scholarship/uts-economics-discipline-group-honours-scholarship", "UTS Business School Economics Honours Scholarship")</f>
        <v>UTS Business School Economics Honours Scholarship</v>
      </c>
      <c r="C74" s="9" t="s">
        <v>28</v>
      </c>
      <c r="D74" s="11">
        <v>5000</v>
      </c>
      <c r="E74" s="9">
        <v>1</v>
      </c>
      <c r="F74" s="9" t="s">
        <v>14</v>
      </c>
      <c r="G74" s="12" t="s">
        <v>102</v>
      </c>
      <c r="H74" t="s">
        <v>26</v>
      </c>
      <c r="I74" t="s">
        <v>26</v>
      </c>
    </row>
    <row r="75" spans="1:9" ht="45" x14ac:dyDescent="0.25">
      <c r="A75" s="6" t="s">
        <v>9</v>
      </c>
      <c r="B75" s="10" t="str">
        <f>HYPERLINK("https://www.uts.edu.au/scholarship/refinitiv-finance-honours-scholarship", "Refinitiv Finance Honours Scholarship")</f>
        <v>Refinitiv Finance Honours Scholarship</v>
      </c>
      <c r="C75" s="9" t="s">
        <v>28</v>
      </c>
      <c r="D75" s="11">
        <v>5000</v>
      </c>
      <c r="E75" s="9">
        <v>2</v>
      </c>
      <c r="F75" s="9" t="s">
        <v>14</v>
      </c>
      <c r="G75" s="12" t="s">
        <v>103</v>
      </c>
      <c r="H75" t="s">
        <v>26</v>
      </c>
      <c r="I75" t="s">
        <v>26</v>
      </c>
    </row>
    <row r="76" spans="1:9" ht="45" x14ac:dyDescent="0.25">
      <c r="A76" s="6" t="s">
        <v>9</v>
      </c>
      <c r="B76" s="10" t="str">
        <f>HYPERLINK("https://www.uts.edu.au/scholarship/uts-business-school-honours-scholarship", "UTS Business School Honours Scholarship")</f>
        <v>UTS Business School Honours Scholarship</v>
      </c>
      <c r="C76" s="9" t="s">
        <v>28</v>
      </c>
      <c r="D76" s="11">
        <v>5000</v>
      </c>
      <c r="E76" s="9">
        <v>1</v>
      </c>
      <c r="F76" s="9" t="s">
        <v>104</v>
      </c>
      <c r="G76" s="12" t="s">
        <v>105</v>
      </c>
      <c r="H76" t="s">
        <v>26</v>
      </c>
      <c r="I76" t="s">
        <v>26</v>
      </c>
    </row>
    <row r="77" spans="1:9" ht="45" x14ac:dyDescent="0.25">
      <c r="A77" s="6" t="s">
        <v>9</v>
      </c>
      <c r="B77" s="10" t="str">
        <f>HYPERLINK(" https://www.uts.edu.au/scholarship/marketing-honours-scholarship", "Marketing Honours Scholarship")</f>
        <v>Marketing Honours Scholarship</v>
      </c>
      <c r="C77" s="9" t="s">
        <v>28</v>
      </c>
      <c r="D77" s="11">
        <v>5000</v>
      </c>
      <c r="E77" s="9">
        <v>1</v>
      </c>
      <c r="F77" s="9" t="s">
        <v>104</v>
      </c>
      <c r="G77" s="12" t="s">
        <v>106</v>
      </c>
      <c r="H77" t="s">
        <v>26</v>
      </c>
      <c r="I77" t="s">
        <v>26</v>
      </c>
    </row>
    <row r="78" spans="1:9" ht="45" x14ac:dyDescent="0.25">
      <c r="A78" s="6" t="s">
        <v>9</v>
      </c>
      <c r="B78" s="10" t="str">
        <f>HYPERLINK("https://www.uts.edu.au/scholarship/accounting-honours-scholarship", "Accounting Honours Scholarship")</f>
        <v>Accounting Honours Scholarship</v>
      </c>
      <c r="C78" s="9" t="s">
        <v>28</v>
      </c>
      <c r="D78" s="11">
        <v>5000</v>
      </c>
      <c r="E78" s="9">
        <v>1</v>
      </c>
      <c r="F78" s="9" t="s">
        <v>104</v>
      </c>
      <c r="G78" s="12" t="s">
        <v>107</v>
      </c>
      <c r="H78" t="s">
        <v>26</v>
      </c>
      <c r="I78" t="s">
        <v>26</v>
      </c>
    </row>
    <row r="79" spans="1:9" ht="60" x14ac:dyDescent="0.25">
      <c r="A79" s="6" t="s">
        <v>9</v>
      </c>
      <c r="B79" s="10" t="str">
        <f>HYPERLINK("https://www.uts.edu.au/scholarship/plato-investment-management-scholarship-women-finance", "The Plato Investment Management Scholarship for Women in Finance")</f>
        <v>The Plato Investment Management Scholarship for Women in Finance</v>
      </c>
      <c r="C79" s="9" t="s">
        <v>28</v>
      </c>
      <c r="D79" s="11">
        <v>5000</v>
      </c>
      <c r="E79" s="9">
        <v>1</v>
      </c>
      <c r="F79" s="9" t="s">
        <v>108</v>
      </c>
      <c r="G79" s="12" t="s">
        <v>109</v>
      </c>
      <c r="H79" t="s">
        <v>26</v>
      </c>
      <c r="I79" t="s">
        <v>26</v>
      </c>
    </row>
    <row r="80" spans="1:9" ht="60" x14ac:dyDescent="0.25">
      <c r="A80" s="6" t="s">
        <v>9</v>
      </c>
      <c r="B80" s="10" t="str">
        <f>HYPERLINK("https://www.uts.edu.au/scholarship/women-engineering-and-it-cooperative-scholarship", "Women in Engineering and IT Cooperative Scholarship")</f>
        <v>Women in Engineering and IT Cooperative Scholarship</v>
      </c>
      <c r="C80" s="9" t="s">
        <v>28</v>
      </c>
      <c r="D80" s="11" t="s">
        <v>110</v>
      </c>
      <c r="E80" s="9">
        <v>4</v>
      </c>
      <c r="F80" s="9" t="s">
        <v>69</v>
      </c>
      <c r="G80" s="12" t="s">
        <v>71</v>
      </c>
      <c r="H80" t="s">
        <v>26</v>
      </c>
      <c r="I80" t="s">
        <v>17</v>
      </c>
    </row>
    <row r="81" spans="1:9" ht="30" x14ac:dyDescent="0.25">
      <c r="A81" s="6" t="s">
        <v>9</v>
      </c>
      <c r="B81" s="10" t="str">
        <f>HYPERLINK("https://www.uts.edu.au/scholarship/mba-scholarship-outstanding-students-commencing", "MBA Scholarship for Outstanding Students (Commencing)")</f>
        <v>MBA Scholarship for Outstanding Students (Commencing)</v>
      </c>
      <c r="C81" s="9" t="s">
        <v>28</v>
      </c>
      <c r="D81" s="11" t="s">
        <v>111</v>
      </c>
      <c r="E81" s="9">
        <v>1</v>
      </c>
      <c r="F81" s="9" t="s">
        <v>52</v>
      </c>
      <c r="G81" s="12" t="s">
        <v>112</v>
      </c>
      <c r="H81" t="s">
        <v>26</v>
      </c>
      <c r="I81" t="s">
        <v>26</v>
      </c>
    </row>
    <row r="82" spans="1:9" ht="30" x14ac:dyDescent="0.25">
      <c r="A82" s="6" t="s">
        <v>9</v>
      </c>
      <c r="B82" s="10" t="str">
        <f>HYPERLINK("https://www.uts.edu.au/scholarship/mba-scholarship-outstanding-students-current", "MBA Scholarship for Outstanding Students (Current)")</f>
        <v>MBA Scholarship for Outstanding Students (Current)</v>
      </c>
      <c r="C82" s="9" t="s">
        <v>28</v>
      </c>
      <c r="D82" s="11" t="s">
        <v>113</v>
      </c>
      <c r="E82" s="9">
        <v>1</v>
      </c>
      <c r="F82" s="9" t="s">
        <v>52</v>
      </c>
      <c r="G82" s="12" t="s">
        <v>57</v>
      </c>
      <c r="H82" t="s">
        <v>26</v>
      </c>
      <c r="I82" t="s">
        <v>26</v>
      </c>
    </row>
    <row r="83" spans="1:9" ht="30" x14ac:dyDescent="0.25">
      <c r="A83" s="6" t="s">
        <v>9</v>
      </c>
      <c r="B83" s="10" t="str">
        <f>HYPERLINK("https://www.uts.edu.au/scholarship/seerpharma-scholarship", "The SeerPharma Scholarship")</f>
        <v>The SeerPharma Scholarship</v>
      </c>
      <c r="C83" s="9" t="s">
        <v>28</v>
      </c>
      <c r="D83" s="9" t="s">
        <v>114</v>
      </c>
      <c r="E83" s="9">
        <v>1</v>
      </c>
      <c r="F83" s="9" t="s">
        <v>52</v>
      </c>
      <c r="G83" s="12" t="s">
        <v>115</v>
      </c>
      <c r="H83" t="s">
        <v>26</v>
      </c>
      <c r="I83" t="s">
        <v>26</v>
      </c>
    </row>
    <row r="84" spans="1:9" ht="30" x14ac:dyDescent="0.25">
      <c r="A84" s="6" t="s">
        <v>9</v>
      </c>
      <c r="B84" s="10" t="str">
        <f>HYPERLINK("https://www.uts.edu.au/scholarship/andrew-and-lina-gullotta-uts-pharmacy-scholarship", "Andrew and Lina Gullotta UTS Pharmacy Scholarship")</f>
        <v>Andrew and Lina Gullotta UTS Pharmacy Scholarship</v>
      </c>
      <c r="C84" s="9" t="s">
        <v>28</v>
      </c>
      <c r="D84" s="11">
        <v>1500</v>
      </c>
      <c r="E84" s="9">
        <v>1</v>
      </c>
      <c r="F84" s="9" t="s">
        <v>52</v>
      </c>
      <c r="G84" s="12" t="s">
        <v>116</v>
      </c>
      <c r="H84" t="s">
        <v>26</v>
      </c>
      <c r="I84" t="s">
        <v>26</v>
      </c>
    </row>
    <row r="85" spans="1:9" ht="45" x14ac:dyDescent="0.25">
      <c r="A85" s="6" t="s">
        <v>9</v>
      </c>
      <c r="B85" s="10" t="str">
        <f>HYPERLINK("https://www.uts.edu.au/scholarship/uts-science-postgraduate-academic-merit-scholarship", "UTS Science Postgraduate Academic Merit Scholarship")</f>
        <v>UTS Science Postgraduate Academic Merit Scholarship</v>
      </c>
      <c r="C85" s="9" t="s">
        <v>28</v>
      </c>
      <c r="D85" s="9" t="s">
        <v>118</v>
      </c>
      <c r="E85" s="9" t="s">
        <v>42</v>
      </c>
      <c r="F85" s="9" t="s">
        <v>52</v>
      </c>
      <c r="G85" s="12" t="s">
        <v>117</v>
      </c>
      <c r="H85" t="s">
        <v>26</v>
      </c>
      <c r="I85" t="s">
        <v>26</v>
      </c>
    </row>
    <row r="86" spans="1:9" ht="60" x14ac:dyDescent="0.25">
      <c r="A86" s="6" t="s">
        <v>9</v>
      </c>
      <c r="B86" s="10" t="str">
        <f>HYPERLINK("https://www.uts.edu.au/scholarship/uts-dr-con-moshegov-orthoptics-scholarship", "UTS Dr Con Moshegov Orthoptics Scholarship")</f>
        <v>UTS Dr Con Moshegov Orthoptics Scholarship</v>
      </c>
      <c r="C86" s="9" t="s">
        <v>15</v>
      </c>
      <c r="D86" s="11">
        <v>5000</v>
      </c>
      <c r="E86" s="9">
        <v>2</v>
      </c>
      <c r="F86" s="9" t="s">
        <v>52</v>
      </c>
      <c r="G86" s="12" t="s">
        <v>119</v>
      </c>
      <c r="H86" t="s">
        <v>26</v>
      </c>
      <c r="I86" t="s">
        <v>26</v>
      </c>
    </row>
    <row r="87" spans="1:9" ht="75" x14ac:dyDescent="0.25">
      <c r="A87" s="6" t="s">
        <v>9</v>
      </c>
      <c r="B87" s="10" t="str">
        <f>HYPERLINK("https://www.uts.edu.au/scholarship/longevity-pt-scholarship-masters-clinical-exercise-physiology", "Longevity PT Scholarship (Masters of Clinical Exercise Physiology)")</f>
        <v>Longevity PT Scholarship (Masters of Clinical Exercise Physiology)</v>
      </c>
      <c r="C87" s="9" t="s">
        <v>15</v>
      </c>
      <c r="D87" s="9" t="s">
        <v>120</v>
      </c>
      <c r="E87" s="9">
        <v>1</v>
      </c>
      <c r="F87" s="9" t="s">
        <v>52</v>
      </c>
      <c r="G87" s="12" t="s">
        <v>121</v>
      </c>
      <c r="H87" t="s">
        <v>22</v>
      </c>
      <c r="I87" t="s">
        <v>26</v>
      </c>
    </row>
    <row r="88" spans="1:9" ht="90" x14ac:dyDescent="0.25">
      <c r="A88" s="6" t="s">
        <v>9</v>
      </c>
      <c r="B88" s="10" t="str">
        <f>HYPERLINK("https://www.uts.edu.au/scholarship/doctors-co-scholarship", "Doctors &amp; Co Scholarship")</f>
        <v>Doctors &amp; Co Scholarship</v>
      </c>
      <c r="C88" s="9" t="s">
        <v>15</v>
      </c>
      <c r="D88" s="11">
        <v>5000</v>
      </c>
      <c r="E88" s="9">
        <v>1</v>
      </c>
      <c r="F88" s="9" t="s">
        <v>36</v>
      </c>
      <c r="G88" s="12" t="s">
        <v>122</v>
      </c>
      <c r="H88" t="s">
        <v>26</v>
      </c>
      <c r="I88" t="s">
        <v>26</v>
      </c>
    </row>
    <row r="89" spans="1:9" ht="45" x14ac:dyDescent="0.25">
      <c r="A89" s="6" t="s">
        <v>9</v>
      </c>
      <c r="B89" s="10" t="str">
        <f>HYPERLINK("https://www.uts.edu.au/scholarship/wanda-jamrozik-scholarship-journalism", "The Wanda Jamrozik Scholarship in Journalism")</f>
        <v>The Wanda Jamrozik Scholarship in Journalism</v>
      </c>
      <c r="C89" s="9" t="s">
        <v>28</v>
      </c>
      <c r="D89" s="11" t="s">
        <v>123</v>
      </c>
      <c r="E89" s="9">
        <v>0.5</v>
      </c>
      <c r="F89" s="9" t="s">
        <v>36</v>
      </c>
      <c r="G89" s="12" t="s">
        <v>124</v>
      </c>
      <c r="H89" t="s">
        <v>26</v>
      </c>
      <c r="I89" t="s">
        <v>26</v>
      </c>
    </row>
    <row r="90" spans="1:9" ht="45" x14ac:dyDescent="0.25">
      <c r="A90" s="6" t="s">
        <v>9</v>
      </c>
      <c r="B90" s="10" t="str">
        <f>HYPERLINK("https://www.uts.edu.au/scholarship/gordon-young-memorial-scholarship", "https://www.uts.edu.au/scholarship/gordon-young-memorial-scholarship")</f>
        <v>https://www.uts.edu.au/scholarship/gordon-young-memorial-scholarship</v>
      </c>
      <c r="C90" s="9" t="s">
        <v>28</v>
      </c>
      <c r="D90" s="9" t="s">
        <v>127</v>
      </c>
      <c r="E90" s="9">
        <v>1</v>
      </c>
      <c r="F90" s="9" t="s">
        <v>126</v>
      </c>
      <c r="G90" s="12" t="s">
        <v>125</v>
      </c>
      <c r="H90" t="s">
        <v>26</v>
      </c>
      <c r="I90" t="s">
        <v>26</v>
      </c>
    </row>
    <row r="91" spans="1:9" ht="75" x14ac:dyDescent="0.25">
      <c r="A91" s="6" t="s">
        <v>9</v>
      </c>
      <c r="B91" s="10" t="str">
        <f>HYPERLINK("https://www.uts.edu.au/scholarship/mark-lyons-not-profit-and-social-enterprise-management-scholarship", "Mark Lyons Not-for-Profit and Social Enterprise Management Scholarship")</f>
        <v>Mark Lyons Not-for-Profit and Social Enterprise Management Scholarship</v>
      </c>
      <c r="C91" s="9" t="s">
        <v>15</v>
      </c>
      <c r="D91" s="11">
        <v>5000</v>
      </c>
      <c r="E91" s="9">
        <v>1</v>
      </c>
      <c r="F91" s="9" t="s">
        <v>52</v>
      </c>
      <c r="G91" s="12" t="s">
        <v>128</v>
      </c>
      <c r="H91" t="s">
        <v>26</v>
      </c>
      <c r="I91" t="s">
        <v>26</v>
      </c>
    </row>
    <row r="92" spans="1:9" ht="30" x14ac:dyDescent="0.25">
      <c r="A92" s="6" t="s">
        <v>9</v>
      </c>
      <c r="B92" s="10" t="str">
        <f>HYPERLINK("https://www.uts.edu.au/scholarship/postgraduate-business-alumni-scholarship", "Postgraduate Business Alumni Scholarship")</f>
        <v>Postgraduate Business Alumni Scholarship</v>
      </c>
      <c r="C92" s="9" t="s">
        <v>28</v>
      </c>
      <c r="D92" s="9" t="s">
        <v>129</v>
      </c>
      <c r="E92" s="9">
        <v>1</v>
      </c>
      <c r="F92" s="9" t="s">
        <v>52</v>
      </c>
      <c r="G92" s="12" t="s">
        <v>130</v>
      </c>
      <c r="H92" t="s">
        <v>26</v>
      </c>
      <c r="I92" t="s">
        <v>26</v>
      </c>
    </row>
    <row r="93" spans="1:9" x14ac:dyDescent="0.25">
      <c r="A93" s="6" t="s">
        <v>9</v>
      </c>
      <c r="B93" s="10" t="str">
        <f>HYPERLINK("https://www.uts.edu.au/scholarship/equal-access-scholarship-institution-equity-scholarship", "Equal Access Scholarship (Institution Equity Scholarship)")</f>
        <v>Equal Access Scholarship (Institution Equity Scholarship)</v>
      </c>
      <c r="C93" s="9" t="s">
        <v>15</v>
      </c>
      <c r="D93" s="9" t="s">
        <v>131</v>
      </c>
      <c r="E93" s="9">
        <v>1</v>
      </c>
      <c r="F93" s="9" t="s">
        <v>132</v>
      </c>
      <c r="G93" s="9" t="s">
        <v>133</v>
      </c>
      <c r="H93" t="s">
        <v>26</v>
      </c>
      <c r="I93" t="s">
        <v>26</v>
      </c>
    </row>
    <row r="94" spans="1:9" ht="45" x14ac:dyDescent="0.25">
      <c r="A94" s="6" t="s">
        <v>9</v>
      </c>
      <c r="B94" s="10" t="str">
        <f>HYPERLINK("https://www.uts.edu.au/scholarship/ericsson-technology-scholarship", "Ericsson Technology Scholarship")</f>
        <v>Ericsson Technology Scholarship</v>
      </c>
      <c r="C94" s="9" t="s">
        <v>28</v>
      </c>
      <c r="D94" s="11">
        <v>24000</v>
      </c>
      <c r="E94" s="9">
        <v>0.5</v>
      </c>
      <c r="F94" s="9" t="s">
        <v>69</v>
      </c>
      <c r="G94" s="12" t="s">
        <v>80</v>
      </c>
      <c r="H94" t="s">
        <v>26</v>
      </c>
      <c r="I94" t="s">
        <v>17</v>
      </c>
    </row>
    <row r="95" spans="1:9" ht="45" x14ac:dyDescent="0.25">
      <c r="A95" s="6" t="s">
        <v>9</v>
      </c>
      <c r="B95" s="10" t="str">
        <f>HYPERLINK("https://www.uts.edu.au/scholarship/telstra-enterprise-certitude-scholarship", "Telstra Enterprise Certitude Scholarship")</f>
        <v>Telstra Enterprise Certitude Scholarship</v>
      </c>
      <c r="C95" s="9" t="s">
        <v>28</v>
      </c>
      <c r="D95" s="9" t="s">
        <v>134</v>
      </c>
      <c r="E95" s="9" t="s">
        <v>135</v>
      </c>
      <c r="F95" s="9" t="s">
        <v>69</v>
      </c>
      <c r="G95" s="12" t="s">
        <v>83</v>
      </c>
      <c r="H95" t="s">
        <v>26</v>
      </c>
      <c r="I95" t="s">
        <v>17</v>
      </c>
    </row>
    <row r="96" spans="1:9" ht="30" x14ac:dyDescent="0.25">
      <c r="A96" s="6" t="s">
        <v>9</v>
      </c>
      <c r="B96" s="10" t="str">
        <f>HYPERLINK("https://www.uts.edu.au/scholarship/levo-scholarship-women-technology", "LEVO Scholarship for Women in Technology")</f>
        <v>LEVO Scholarship for Women in Technology</v>
      </c>
      <c r="C96" s="9" t="s">
        <v>28</v>
      </c>
      <c r="D96" s="9" t="s">
        <v>136</v>
      </c>
      <c r="E96" s="9">
        <v>4</v>
      </c>
      <c r="F96" s="9" t="s">
        <v>69</v>
      </c>
      <c r="G96" s="12" t="s">
        <v>137</v>
      </c>
      <c r="H96" t="s">
        <v>26</v>
      </c>
      <c r="I96" t="s">
        <v>17</v>
      </c>
    </row>
    <row r="97" spans="1:9" ht="45" x14ac:dyDescent="0.25">
      <c r="A97" s="6" t="s">
        <v>9</v>
      </c>
      <c r="B97" s="10" t="str">
        <f>HYPERLINK("https://www.uts.edu.au/scholarship/pendal-group-finance-honours-scholarship", "The Pendal Group Finance Honours Scholarship")</f>
        <v>The Pendal Group Finance Honours Scholarship</v>
      </c>
      <c r="C97" s="9" t="s">
        <v>28</v>
      </c>
      <c r="D97" s="11">
        <v>10000</v>
      </c>
      <c r="E97" s="9">
        <v>1</v>
      </c>
      <c r="F97" s="9" t="s">
        <v>138</v>
      </c>
      <c r="G97" s="12" t="s">
        <v>139</v>
      </c>
      <c r="H97" t="s">
        <v>26</v>
      </c>
      <c r="I97" t="s">
        <v>26</v>
      </c>
    </row>
    <row r="98" spans="1:9" ht="45" x14ac:dyDescent="0.25">
      <c r="A98" s="6" t="s">
        <v>9</v>
      </c>
      <c r="B98" s="10" t="str">
        <f>HYPERLINK("https://www.uts.edu.au/scholarship/richard-butler-scholarship", "Richard Butler Scholarship")</f>
        <v>Richard Butler Scholarship</v>
      </c>
      <c r="C98" s="9" t="s">
        <v>28</v>
      </c>
      <c r="D98" s="11">
        <v>10000</v>
      </c>
      <c r="E98" s="9">
        <v>1</v>
      </c>
      <c r="F98" s="9" t="s">
        <v>14</v>
      </c>
      <c r="G98" s="12" t="s">
        <v>140</v>
      </c>
      <c r="H98" t="s">
        <v>26</v>
      </c>
      <c r="I98" t="s">
        <v>26</v>
      </c>
    </row>
    <row r="99" spans="1:9" ht="75" x14ac:dyDescent="0.25">
      <c r="A99" s="6" t="s">
        <v>9</v>
      </c>
      <c r="B99" s="10" t="str">
        <f>HYPERLINK("https://www.uts.edu.au/scholarship/epm-projects-scholarship", "EPM Projects Scholarship")</f>
        <v>EPM Projects Scholarship</v>
      </c>
      <c r="C99" s="9" t="s">
        <v>28</v>
      </c>
      <c r="D99" s="11">
        <v>10000</v>
      </c>
      <c r="E99" s="9">
        <v>1</v>
      </c>
      <c r="F99" s="9" t="s">
        <v>14</v>
      </c>
      <c r="G99" s="12" t="s">
        <v>67</v>
      </c>
      <c r="H99" t="s">
        <v>26</v>
      </c>
      <c r="I99" t="s">
        <v>17</v>
      </c>
    </row>
    <row r="100" spans="1:9" ht="60" x14ac:dyDescent="0.25">
      <c r="A100" s="6" t="s">
        <v>9</v>
      </c>
      <c r="B100" s="10" t="str">
        <f>HYPERLINK("https://www.uts.edu.au/scholarship/magdalena-mauchle-fashion-textiles-scholarship", "The Magdalena Mauchle Fashion &amp; Textiles Scholarship")</f>
        <v>The Magdalena Mauchle Fashion &amp; Textiles Scholarship</v>
      </c>
      <c r="C100" s="9" t="s">
        <v>15</v>
      </c>
      <c r="D100" s="11">
        <v>5000</v>
      </c>
      <c r="E100" s="9">
        <v>1</v>
      </c>
      <c r="F100" s="9" t="s">
        <v>14</v>
      </c>
      <c r="G100" s="12" t="s">
        <v>141</v>
      </c>
      <c r="H100" t="s">
        <v>26</v>
      </c>
      <c r="I100" t="s">
        <v>26</v>
      </c>
    </row>
    <row r="101" spans="1:9" ht="60" x14ac:dyDescent="0.25">
      <c r="A101" s="6" t="s">
        <v>9</v>
      </c>
      <c r="B101" s="10" t="str">
        <f>HYPERLINK("https://www.uts.edu.au/scholarship/feit-women-engineering-and-it-scholarship", "The FEIT Women in Engineering and IT Scholarship")</f>
        <v>The FEIT Women in Engineering and IT Scholarship</v>
      </c>
      <c r="C101" s="9" t="s">
        <v>28</v>
      </c>
      <c r="D101" s="11">
        <v>10000</v>
      </c>
      <c r="E101" s="9">
        <v>1</v>
      </c>
      <c r="F101" s="9" t="s">
        <v>14</v>
      </c>
      <c r="G101" s="12" t="s">
        <v>142</v>
      </c>
      <c r="H101" t="s">
        <v>26</v>
      </c>
      <c r="I101" t="s">
        <v>26</v>
      </c>
    </row>
    <row r="102" spans="1:9" ht="30" x14ac:dyDescent="0.25">
      <c r="A102" s="6" t="s">
        <v>9</v>
      </c>
      <c r="B102" s="10" t="str">
        <f>HYPERLINK("https://www.uts.edu.au/scholarship/frank-martin-orthoptics-scholarship", "Frank Martin Orthoptics Scholarship")</f>
        <v>Frank Martin Orthoptics Scholarship</v>
      </c>
      <c r="C102" s="9" t="s">
        <v>28</v>
      </c>
      <c r="D102" s="11">
        <v>3000</v>
      </c>
      <c r="E102" s="9">
        <v>2</v>
      </c>
      <c r="F102" s="9" t="s">
        <v>52</v>
      </c>
      <c r="G102" s="12" t="s">
        <v>143</v>
      </c>
      <c r="H102" t="s">
        <v>26</v>
      </c>
      <c r="I102" t="s">
        <v>26</v>
      </c>
    </row>
    <row r="103" spans="1:9" ht="45" x14ac:dyDescent="0.25">
      <c r="A103" s="6" t="s">
        <v>9</v>
      </c>
      <c r="B103" s="10" t="str">
        <f>HYPERLINK("https://www.uts.edu.au/scholarship/animal-logic-scholarship", "The Animal Logic Scholarship")</f>
        <v>The Animal Logic Scholarship</v>
      </c>
      <c r="C103" s="9" t="s">
        <v>15</v>
      </c>
      <c r="D103" s="11">
        <v>18000</v>
      </c>
      <c r="E103" s="9">
        <v>1</v>
      </c>
      <c r="F103" s="9" t="s">
        <v>52</v>
      </c>
      <c r="G103" s="12" t="s">
        <v>144</v>
      </c>
      <c r="H103" t="s">
        <v>26</v>
      </c>
      <c r="I103" t="s">
        <v>26</v>
      </c>
    </row>
    <row r="104" spans="1:9" ht="30" x14ac:dyDescent="0.25">
      <c r="A104" s="6" t="s">
        <v>9</v>
      </c>
      <c r="B104" s="10" t="str">
        <f>HYPERLINK("https://www.uts.edu.au/scholarship/deans-academic-merit-scholarship-juris-doctor", "Dean's Academic Merit Scholarship Juris Doctor")</f>
        <v>Dean's Academic Merit Scholarship Juris Doctor</v>
      </c>
      <c r="C104" s="9" t="s">
        <v>28</v>
      </c>
      <c r="D104" s="9" t="s">
        <v>145</v>
      </c>
      <c r="E104" s="9" t="s">
        <v>42</v>
      </c>
      <c r="F104" s="9" t="s">
        <v>52</v>
      </c>
      <c r="G104" s="12" t="s">
        <v>146</v>
      </c>
      <c r="H104" t="s">
        <v>26</v>
      </c>
      <c r="I104" t="s">
        <v>26</v>
      </c>
    </row>
    <row r="105" spans="1:9" ht="60" x14ac:dyDescent="0.25">
      <c r="A105" s="6" t="s">
        <v>9</v>
      </c>
      <c r="B105" s="10" t="str">
        <f>HYPERLINK("https://www.uts.edu.au/scholarship/uts-quantitative-finance-postgraduate-scholarship", "UTS Quantitative Finance Postgraduate Scholarship")</f>
        <v>UTS Quantitative Finance Postgraduate Scholarship</v>
      </c>
      <c r="C105" s="9" t="s">
        <v>28</v>
      </c>
      <c r="D105" s="9" t="s">
        <v>147</v>
      </c>
      <c r="E105" s="9" t="s">
        <v>42</v>
      </c>
      <c r="F105" s="9" t="s">
        <v>52</v>
      </c>
      <c r="G105" s="12" t="s">
        <v>148</v>
      </c>
      <c r="H105" t="s">
        <v>26</v>
      </c>
      <c r="I105" t="s">
        <v>26</v>
      </c>
    </row>
    <row r="106" spans="1:9" ht="90" x14ac:dyDescent="0.25">
      <c r="A106" s="6" t="s">
        <v>9</v>
      </c>
      <c r="B106" s="10" t="str">
        <f>HYPERLINK("https://www.uts.edu.au/scholarship/crescent-leadership-scholarship", "Crescent Leadership Scholarship")</f>
        <v>Crescent Leadership Scholarship</v>
      </c>
      <c r="C106" s="9" t="s">
        <v>149</v>
      </c>
      <c r="D106" s="11">
        <v>5000</v>
      </c>
      <c r="E106" s="9">
        <v>1</v>
      </c>
      <c r="F106" s="9" t="s">
        <v>36</v>
      </c>
      <c r="G106" s="12" t="s">
        <v>150</v>
      </c>
      <c r="H106" t="s">
        <v>26</v>
      </c>
      <c r="I106" t="s">
        <v>26</v>
      </c>
    </row>
    <row r="107" spans="1:9" ht="60" x14ac:dyDescent="0.25">
      <c r="A107" s="6" t="s">
        <v>9</v>
      </c>
      <c r="B107" s="10" t="str">
        <f>HYPERLINK("https://www.uts.edu.au/scholarship/uts-housing-resident-networker-scholarship", "UTS Housing Resident Networker Scholarship")</f>
        <v>UTS Housing Resident Networker Scholarship</v>
      </c>
      <c r="C107" s="9" t="s">
        <v>28</v>
      </c>
      <c r="D107" s="11">
        <v>5500</v>
      </c>
      <c r="E107" s="9">
        <v>1</v>
      </c>
      <c r="F107" s="9" t="s">
        <v>132</v>
      </c>
      <c r="G107" s="12" t="s">
        <v>151</v>
      </c>
      <c r="H107" t="s">
        <v>26</v>
      </c>
      <c r="I107" t="s">
        <v>26</v>
      </c>
    </row>
    <row r="108" spans="1:9" ht="75" x14ac:dyDescent="0.25">
      <c r="A108" s="2" t="s">
        <v>11</v>
      </c>
      <c r="B108" s="10" t="str">
        <f>HYPERLINK("https://www.scholarships.unsw.edu.au/scholarships/id/1593/6541", "Tyree Nuclear Masters by Coursework Scholarship")</f>
        <v>Tyree Nuclear Masters by Coursework Scholarship</v>
      </c>
      <c r="C108" s="9" t="s">
        <v>28</v>
      </c>
      <c r="D108" s="11">
        <v>8000</v>
      </c>
      <c r="E108" s="9" t="s">
        <v>42</v>
      </c>
      <c r="F108" s="9" t="s">
        <v>52</v>
      </c>
      <c r="G108" s="12" t="s">
        <v>152</v>
      </c>
      <c r="H108" t="s">
        <v>26</v>
      </c>
      <c r="I108" t="s">
        <v>26</v>
      </c>
    </row>
    <row r="109" spans="1:9" ht="45" x14ac:dyDescent="0.25">
      <c r="A109" s="2" t="s">
        <v>11</v>
      </c>
      <c r="B109" s="10" t="str">
        <f>HYPERLINK("https://www.scholarships.unsw.edu.au/scholarships/id/1102/6527", "Elias Duek-Cohen Urban Design Award")</f>
        <v>Elias Duek-Cohen Urban Design Award</v>
      </c>
      <c r="C109" s="9" t="s">
        <v>28</v>
      </c>
      <c r="D109" s="11">
        <v>5000</v>
      </c>
      <c r="E109" s="9">
        <v>1</v>
      </c>
      <c r="F109" s="9" t="s">
        <v>138</v>
      </c>
      <c r="G109" s="12" t="s">
        <v>153</v>
      </c>
      <c r="H109" t="s">
        <v>26</v>
      </c>
      <c r="I109" t="s">
        <v>26</v>
      </c>
    </row>
    <row r="110" spans="1:9" ht="45" x14ac:dyDescent="0.25">
      <c r="A110" s="2" t="s">
        <v>11</v>
      </c>
      <c r="B110" s="10" t="str">
        <f>HYPERLINK("https://www.scholarships.unsw.edu.au/scholarships/id/1797/6525", "RODE Microphones")</f>
        <v>RODE Microphones</v>
      </c>
      <c r="C110" s="9" t="s">
        <v>28</v>
      </c>
      <c r="D110" s="11">
        <v>10000</v>
      </c>
      <c r="E110" s="9">
        <v>2</v>
      </c>
      <c r="F110" s="9" t="s">
        <v>14</v>
      </c>
      <c r="G110" s="12" t="s">
        <v>154</v>
      </c>
      <c r="H110" t="s">
        <v>26</v>
      </c>
      <c r="I110" t="s">
        <v>26</v>
      </c>
    </row>
    <row r="111" spans="1:9" x14ac:dyDescent="0.25">
      <c r="A111" s="2" t="s">
        <v>11</v>
      </c>
      <c r="B111" s="10" t="str">
        <f>HYPERLINK("https://www.scholarships.unsw.edu.au/scholarships/id/126/6351", "UNSW Co-op Program")</f>
        <v>UNSW Co-op Program</v>
      </c>
      <c r="C111" s="9" t="s">
        <v>156</v>
      </c>
      <c r="D111" s="11" t="s">
        <v>155</v>
      </c>
      <c r="E111" s="9">
        <v>4</v>
      </c>
      <c r="F111" s="9" t="s">
        <v>156</v>
      </c>
      <c r="G111" s="9" t="s">
        <v>156</v>
      </c>
      <c r="H111" t="s">
        <v>26</v>
      </c>
      <c r="I111" t="s">
        <v>26</v>
      </c>
    </row>
    <row r="112" spans="1:9" x14ac:dyDescent="0.25">
      <c r="A112" s="2" t="s">
        <v>11</v>
      </c>
      <c r="B112" s="10" t="str">
        <f t="shared" ref="B112:B133" si="1">HYPERLINK(" B23", "Test")</f>
        <v>Test</v>
      </c>
      <c r="H112" t="s">
        <v>26</v>
      </c>
      <c r="I112" t="s">
        <v>26</v>
      </c>
    </row>
    <row r="113" spans="1:9" x14ac:dyDescent="0.25">
      <c r="A113" s="2" t="s">
        <v>11</v>
      </c>
      <c r="B113" s="10" t="str">
        <f t="shared" si="1"/>
        <v>Test</v>
      </c>
      <c r="H113" t="s">
        <v>26</v>
      </c>
      <c r="I113" t="s">
        <v>26</v>
      </c>
    </row>
    <row r="114" spans="1:9" x14ac:dyDescent="0.25">
      <c r="A114" s="2" t="s">
        <v>11</v>
      </c>
      <c r="B114" s="10" t="str">
        <f t="shared" si="1"/>
        <v>Test</v>
      </c>
      <c r="H114" t="s">
        <v>26</v>
      </c>
      <c r="I114" t="s">
        <v>26</v>
      </c>
    </row>
    <row r="115" spans="1:9" x14ac:dyDescent="0.25">
      <c r="A115" s="2" t="s">
        <v>11</v>
      </c>
      <c r="B115" s="10" t="str">
        <f t="shared" si="1"/>
        <v>Test</v>
      </c>
      <c r="H115" t="s">
        <v>26</v>
      </c>
      <c r="I115" t="s">
        <v>26</v>
      </c>
    </row>
    <row r="116" spans="1:9" x14ac:dyDescent="0.25">
      <c r="A116" s="2" t="s">
        <v>11</v>
      </c>
      <c r="B116" s="10" t="str">
        <f t="shared" si="1"/>
        <v>Test</v>
      </c>
      <c r="H116" t="s">
        <v>26</v>
      </c>
      <c r="I116" t="s">
        <v>26</v>
      </c>
    </row>
    <row r="117" spans="1:9" x14ac:dyDescent="0.25">
      <c r="A117" s="2" t="s">
        <v>11</v>
      </c>
      <c r="B117" s="10" t="str">
        <f t="shared" si="1"/>
        <v>Test</v>
      </c>
      <c r="H117" t="s">
        <v>26</v>
      </c>
      <c r="I117" t="s">
        <v>26</v>
      </c>
    </row>
    <row r="118" spans="1:9" x14ac:dyDescent="0.25">
      <c r="A118" s="2" t="s">
        <v>11</v>
      </c>
      <c r="B118" s="10" t="str">
        <f t="shared" si="1"/>
        <v>Test</v>
      </c>
      <c r="H118" t="s">
        <v>26</v>
      </c>
      <c r="I118" t="s">
        <v>26</v>
      </c>
    </row>
    <row r="119" spans="1:9" x14ac:dyDescent="0.25">
      <c r="A119" s="2" t="s">
        <v>11</v>
      </c>
      <c r="B119" s="10" t="str">
        <f t="shared" si="1"/>
        <v>Test</v>
      </c>
      <c r="H119" t="s">
        <v>26</v>
      </c>
      <c r="I119" t="s">
        <v>26</v>
      </c>
    </row>
    <row r="120" spans="1:9" x14ac:dyDescent="0.25">
      <c r="A120" s="2" t="s">
        <v>11</v>
      </c>
      <c r="B120" s="10" t="str">
        <f t="shared" si="1"/>
        <v>Test</v>
      </c>
      <c r="H120" t="s">
        <v>26</v>
      </c>
      <c r="I120" t="s">
        <v>26</v>
      </c>
    </row>
    <row r="121" spans="1:9" x14ac:dyDescent="0.25">
      <c r="A121" s="2" t="s">
        <v>11</v>
      </c>
      <c r="B121" s="10" t="str">
        <f t="shared" si="1"/>
        <v>Test</v>
      </c>
      <c r="H121" t="s">
        <v>26</v>
      </c>
      <c r="I121" t="s">
        <v>26</v>
      </c>
    </row>
    <row r="122" spans="1:9" x14ac:dyDescent="0.25">
      <c r="A122" s="2" t="s">
        <v>11</v>
      </c>
      <c r="B122" s="10" t="str">
        <f t="shared" si="1"/>
        <v>Test</v>
      </c>
      <c r="H122" t="s">
        <v>26</v>
      </c>
      <c r="I122" t="s">
        <v>26</v>
      </c>
    </row>
    <row r="123" spans="1:9" x14ac:dyDescent="0.25">
      <c r="A123" s="2" t="s">
        <v>11</v>
      </c>
      <c r="B123" s="10" t="str">
        <f t="shared" si="1"/>
        <v>Test</v>
      </c>
      <c r="H123" t="s">
        <v>26</v>
      </c>
      <c r="I123" t="s">
        <v>26</v>
      </c>
    </row>
    <row r="124" spans="1:9" x14ac:dyDescent="0.25">
      <c r="A124" s="2" t="s">
        <v>11</v>
      </c>
      <c r="B124" s="10" t="str">
        <f t="shared" si="1"/>
        <v>Test</v>
      </c>
      <c r="H124" t="s">
        <v>26</v>
      </c>
      <c r="I124" t="s">
        <v>26</v>
      </c>
    </row>
    <row r="125" spans="1:9" x14ac:dyDescent="0.25">
      <c r="A125" s="2" t="s">
        <v>11</v>
      </c>
      <c r="B125" s="10" t="str">
        <f t="shared" si="1"/>
        <v>Test</v>
      </c>
      <c r="H125" t="s">
        <v>26</v>
      </c>
      <c r="I125" t="s">
        <v>26</v>
      </c>
    </row>
    <row r="126" spans="1:9" x14ac:dyDescent="0.25">
      <c r="A126" s="2" t="s">
        <v>11</v>
      </c>
      <c r="B126" s="10" t="str">
        <f t="shared" si="1"/>
        <v>Test</v>
      </c>
      <c r="H126" t="s">
        <v>26</v>
      </c>
      <c r="I126" t="s">
        <v>26</v>
      </c>
    </row>
    <row r="127" spans="1:9" x14ac:dyDescent="0.25">
      <c r="A127" s="2" t="s">
        <v>11</v>
      </c>
      <c r="B127" s="10" t="str">
        <f t="shared" si="1"/>
        <v>Test</v>
      </c>
      <c r="H127" t="s">
        <v>26</v>
      </c>
      <c r="I127" t="s">
        <v>26</v>
      </c>
    </row>
    <row r="128" spans="1:9" x14ac:dyDescent="0.25">
      <c r="A128" s="2" t="s">
        <v>11</v>
      </c>
      <c r="B128" s="10" t="str">
        <f t="shared" si="1"/>
        <v>Test</v>
      </c>
      <c r="H128" t="s">
        <v>26</v>
      </c>
      <c r="I128" t="s">
        <v>26</v>
      </c>
    </row>
    <row r="129" spans="1:9" x14ac:dyDescent="0.25">
      <c r="A129" s="2" t="s">
        <v>11</v>
      </c>
      <c r="B129" s="10" t="str">
        <f t="shared" si="1"/>
        <v>Test</v>
      </c>
      <c r="H129" t="s">
        <v>26</v>
      </c>
      <c r="I129" t="s">
        <v>26</v>
      </c>
    </row>
    <row r="130" spans="1:9" x14ac:dyDescent="0.25">
      <c r="A130" s="2" t="s">
        <v>11</v>
      </c>
      <c r="B130" s="10" t="str">
        <f t="shared" si="1"/>
        <v>Test</v>
      </c>
      <c r="H130" t="s">
        <v>26</v>
      </c>
      <c r="I130" t="s">
        <v>26</v>
      </c>
    </row>
    <row r="131" spans="1:9" x14ac:dyDescent="0.25">
      <c r="A131" s="2" t="s">
        <v>11</v>
      </c>
      <c r="B131" s="10" t="str">
        <f t="shared" si="1"/>
        <v>Test</v>
      </c>
      <c r="H131" t="s">
        <v>26</v>
      </c>
      <c r="I131" t="s">
        <v>26</v>
      </c>
    </row>
    <row r="132" spans="1:9" x14ac:dyDescent="0.25">
      <c r="A132" s="2" t="s">
        <v>11</v>
      </c>
      <c r="B132" s="10" t="str">
        <f t="shared" si="1"/>
        <v>Test</v>
      </c>
      <c r="H132" t="s">
        <v>26</v>
      </c>
      <c r="I132" t="s">
        <v>26</v>
      </c>
    </row>
    <row r="133" spans="1:9" x14ac:dyDescent="0.25">
      <c r="A133" s="2" t="s">
        <v>11</v>
      </c>
      <c r="B133" s="10" t="str">
        <f t="shared" si="1"/>
        <v>Test</v>
      </c>
      <c r="H133" t="s">
        <v>26</v>
      </c>
      <c r="I133" t="s">
        <v>26</v>
      </c>
    </row>
    <row r="134" spans="1:9" ht="105" x14ac:dyDescent="0.25">
      <c r="A134" s="7" t="s">
        <v>10</v>
      </c>
      <c r="B134" s="10" t="str">
        <f>HYPERLINK("https://www.newcastle.edu.au/scholarships/CESE_04", "College of Engineering, Science and Environment Relocation Scholarship")</f>
        <v>College of Engineering, Science and Environment Relocation Scholarship</v>
      </c>
      <c r="C134" s="9" t="s">
        <v>28</v>
      </c>
      <c r="D134" s="11">
        <v>5000</v>
      </c>
      <c r="E134" s="9">
        <v>2</v>
      </c>
      <c r="F134" s="9" t="s">
        <v>14</v>
      </c>
      <c r="G134" s="12" t="s">
        <v>158</v>
      </c>
      <c r="H134" t="s">
        <v>22</v>
      </c>
      <c r="I134" t="s">
        <v>26</v>
      </c>
    </row>
    <row r="135" spans="1:9" ht="90" x14ac:dyDescent="0.25">
      <c r="A135" s="7" t="s">
        <v>10</v>
      </c>
      <c r="B135" s="10" t="str">
        <f>HYPERLINK("https://www.newcastle.edu.au/scholarships/BUSLAW_012", "Neville Sawyer AM Scholarship")</f>
        <v>Neville Sawyer AM Scholarship</v>
      </c>
      <c r="C135" s="9" t="s">
        <v>28</v>
      </c>
      <c r="D135" s="11">
        <v>10000</v>
      </c>
      <c r="E135" s="9">
        <v>1</v>
      </c>
      <c r="F135" s="9" t="s">
        <v>52</v>
      </c>
      <c r="G135" s="12" t="s">
        <v>159</v>
      </c>
      <c r="H135" t="s">
        <v>26</v>
      </c>
      <c r="I135" t="s">
        <v>26</v>
      </c>
    </row>
    <row r="136" spans="1:9" ht="60" x14ac:dyDescent="0.25">
      <c r="A136" s="7" t="s">
        <v>10</v>
      </c>
      <c r="B136" s="10" t="str">
        <f>HYPERLINK("https://www.newcastle.edu.au/scholarships/ENGB_070", "CSIRO Women in Energy Scholarship")</f>
        <v>CSIRO Women in Energy Scholarship</v>
      </c>
      <c r="C136" s="9" t="s">
        <v>28</v>
      </c>
      <c r="D136" s="11">
        <v>10000</v>
      </c>
      <c r="E136" s="9">
        <v>4</v>
      </c>
      <c r="F136" s="9" t="s">
        <v>14</v>
      </c>
      <c r="G136" s="12" t="s">
        <v>160</v>
      </c>
      <c r="H136" t="s">
        <v>26</v>
      </c>
      <c r="I136" t="s">
        <v>26</v>
      </c>
    </row>
    <row r="137" spans="1:9" ht="60" x14ac:dyDescent="0.25">
      <c r="A137" s="7" t="s">
        <v>10</v>
      </c>
      <c r="B137" s="10" t="str">
        <f>HYPERLINK("https://www.newcastle.edu.au/scholarships/EXT_068", "Lewis Ewart Lewis Physiotherapy Scholarship")</f>
        <v>Lewis Ewart Lewis Physiotherapy Scholarship</v>
      </c>
      <c r="C137" s="9" t="s">
        <v>15</v>
      </c>
      <c r="D137" s="9" t="s">
        <v>157</v>
      </c>
      <c r="E137" s="9" t="s">
        <v>161</v>
      </c>
      <c r="F137" s="9" t="s">
        <v>14</v>
      </c>
      <c r="G137" s="12" t="s">
        <v>162</v>
      </c>
      <c r="H137" t="s">
        <v>26</v>
      </c>
      <c r="I137" t="s">
        <v>26</v>
      </c>
    </row>
    <row r="138" spans="1:9" ht="60" x14ac:dyDescent="0.25">
      <c r="A138" s="7" t="s">
        <v>10</v>
      </c>
      <c r="B138" s="10" t="str">
        <f>HYPERLINK("https://www.newcastle.edu.au/scholarships/EXT_131", "Ingrid and Ryszard Knopf Podiatric Medicine Scholarship")</f>
        <v>Ingrid and Ryszard Knopf Podiatric Medicine Scholarship</v>
      </c>
      <c r="C138" s="9" t="s">
        <v>15</v>
      </c>
      <c r="D138" s="11">
        <v>5000</v>
      </c>
      <c r="E138" s="9" t="s">
        <v>161</v>
      </c>
      <c r="F138" s="9" t="s">
        <v>14</v>
      </c>
      <c r="G138" s="12" t="s">
        <v>163</v>
      </c>
      <c r="H138" t="s">
        <v>26</v>
      </c>
      <c r="I138" t="s">
        <v>26</v>
      </c>
    </row>
    <row r="139" spans="1:9" ht="30" x14ac:dyDescent="0.25">
      <c r="A139" s="7" t="s">
        <v>10</v>
      </c>
      <c r="B139" s="10" t="str">
        <f>HYPERLINK("https://www.newcastle.edu.au/scholarships/EXT_140", "Shaping Futures Scholarships")</f>
        <v>Shaping Futures Scholarships</v>
      </c>
      <c r="C139" s="9" t="s">
        <v>15</v>
      </c>
      <c r="D139" s="9" t="s">
        <v>157</v>
      </c>
      <c r="E139" s="9" t="s">
        <v>161</v>
      </c>
      <c r="F139" s="9" t="s">
        <v>14</v>
      </c>
      <c r="G139" s="12" t="s">
        <v>59</v>
      </c>
      <c r="H139" t="s">
        <v>26</v>
      </c>
      <c r="I139" t="s">
        <v>26</v>
      </c>
    </row>
    <row r="140" spans="1:9" ht="90" x14ac:dyDescent="0.25">
      <c r="A140" s="7" t="s">
        <v>10</v>
      </c>
      <c r="B140" s="10" t="str">
        <f>HYPERLINK("https://www.newcastle.edu.au/scholarships/EXT_238", "MBC Group Construction Management Scholarship")</f>
        <v>MBC Group Construction Management Scholarship</v>
      </c>
      <c r="C140" s="9" t="s">
        <v>15</v>
      </c>
      <c r="D140" s="11">
        <v>5000</v>
      </c>
      <c r="E140" s="9">
        <v>2</v>
      </c>
      <c r="F140" s="9" t="s">
        <v>14</v>
      </c>
      <c r="G140" s="12" t="s">
        <v>166</v>
      </c>
      <c r="H140" t="s">
        <v>26</v>
      </c>
      <c r="I140" t="s">
        <v>26</v>
      </c>
    </row>
    <row r="141" spans="1:9" ht="75" x14ac:dyDescent="0.25">
      <c r="A141" s="7" t="s">
        <v>10</v>
      </c>
      <c r="B141" s="10" t="str">
        <f>HYPERLINK("https://www.newcastle.edu.au/scholarships/EXT_241", "The Bloomfield Group Foundation Scholarship")</f>
        <v>The Bloomfield Group Foundation Scholarship</v>
      </c>
      <c r="C141" s="9" t="s">
        <v>15</v>
      </c>
      <c r="D141" s="11">
        <v>5000</v>
      </c>
      <c r="E141" s="9">
        <v>1</v>
      </c>
      <c r="F141" s="9" t="s">
        <v>14</v>
      </c>
      <c r="G141" s="12" t="s">
        <v>167</v>
      </c>
      <c r="H141" t="s">
        <v>26</v>
      </c>
      <c r="I141" t="s">
        <v>26</v>
      </c>
    </row>
    <row r="142" spans="1:9" ht="45" x14ac:dyDescent="0.25">
      <c r="A142" s="7" t="s">
        <v>10</v>
      </c>
      <c r="B142" s="10" t="str">
        <f>HYPERLINK("https://www.newcastle.edu.au/scholarships/EXT_196", "Valasi Bleazard Memorial Scholarship in Music")</f>
        <v>Valasi Bleazard Memorial Scholarship in Music</v>
      </c>
      <c r="C142" s="9" t="s">
        <v>28</v>
      </c>
      <c r="D142" s="11">
        <v>12500</v>
      </c>
      <c r="E142" s="9">
        <v>1</v>
      </c>
      <c r="F142" s="9" t="s">
        <v>14</v>
      </c>
      <c r="G142" s="12" t="s">
        <v>164</v>
      </c>
      <c r="H142" t="s">
        <v>26</v>
      </c>
      <c r="I142" t="s">
        <v>26</v>
      </c>
    </row>
    <row r="143" spans="1:9" ht="45" x14ac:dyDescent="0.25">
      <c r="A143" s="7" t="s">
        <v>10</v>
      </c>
      <c r="B143" s="10" t="str">
        <f>HYPERLINK("https://www.newcastle.edu.au/scholarships/EXT_199", "Friends of the University Sport Scholarship")</f>
        <v>Friends of the University Sport Scholarship</v>
      </c>
      <c r="C143" s="9" t="s">
        <v>28</v>
      </c>
      <c r="D143" s="11">
        <v>5000</v>
      </c>
      <c r="E143" s="9" t="s">
        <v>161</v>
      </c>
      <c r="F143" s="9" t="s">
        <v>14</v>
      </c>
      <c r="G143" s="12" t="s">
        <v>165</v>
      </c>
      <c r="H143" t="s">
        <v>26</v>
      </c>
      <c r="I143" t="s">
        <v>26</v>
      </c>
    </row>
    <row r="144" spans="1:9" ht="60" x14ac:dyDescent="0.25">
      <c r="A144" s="7" t="s">
        <v>10</v>
      </c>
      <c r="B144" s="10" t="str">
        <f>HYPERLINK("https://www.newcastle.edu.au/scholarships/EXT_251", "Student Residences Scholarship")</f>
        <v>Student Residences Scholarship</v>
      </c>
      <c r="C144" s="9" t="s">
        <v>15</v>
      </c>
      <c r="D144" s="11">
        <v>5000</v>
      </c>
      <c r="E144" s="9" t="s">
        <v>161</v>
      </c>
      <c r="F144" s="9" t="s">
        <v>14</v>
      </c>
      <c r="G144" s="12" t="s">
        <v>169</v>
      </c>
      <c r="H144" t="s">
        <v>26</v>
      </c>
      <c r="I144" t="s">
        <v>26</v>
      </c>
    </row>
    <row r="145" spans="1:9" ht="30" x14ac:dyDescent="0.25">
      <c r="A145" s="7" t="s">
        <v>10</v>
      </c>
      <c r="B145" s="10" t="str">
        <f>HYPERLINK("https://www.newcastle.edu.au/scholarships/EXT_252", "LGBTQIA+ Shaping Futures Scholarship")</f>
        <v>LGBTQIA+ Shaping Futures Scholarship</v>
      </c>
      <c r="C145" s="9" t="s">
        <v>15</v>
      </c>
      <c r="D145" s="11">
        <v>5000</v>
      </c>
      <c r="E145" s="9" t="s">
        <v>161</v>
      </c>
      <c r="F145" s="9" t="s">
        <v>14</v>
      </c>
      <c r="G145" s="12" t="s">
        <v>168</v>
      </c>
      <c r="H145" t="s">
        <v>26</v>
      </c>
      <c r="I145" t="s">
        <v>26</v>
      </c>
    </row>
    <row r="146" spans="1:9" ht="60" x14ac:dyDescent="0.25">
      <c r="A146" s="7" t="s">
        <v>10</v>
      </c>
      <c r="B146" s="10" t="str">
        <f>HYPERLINK("https://www.newcastle.edu.au/scholarships/EXT_257", "Betty Josephine Fyffe Rural Medical Excellence Scholarship")</f>
        <v>Betty Josephine Fyffe Rural Medical Excellence Scholarship</v>
      </c>
      <c r="C146" s="9" t="s">
        <v>28</v>
      </c>
      <c r="D146" s="11">
        <v>10000</v>
      </c>
      <c r="E146" s="9">
        <v>5</v>
      </c>
      <c r="F146" s="9" t="s">
        <v>14</v>
      </c>
      <c r="G146" s="12" t="s">
        <v>170</v>
      </c>
      <c r="H146" t="s">
        <v>26</v>
      </c>
      <c r="I146" t="s">
        <v>26</v>
      </c>
    </row>
    <row r="147" spans="1:9" ht="60" x14ac:dyDescent="0.25">
      <c r="A147" s="7" t="s">
        <v>10</v>
      </c>
      <c r="B147" s="10" t="str">
        <f>HYPERLINK("https://www.newcastle.edu.au/scholarships/EXT_258", "Betty Josephine Fyffe Rural Equity Scholarships")</f>
        <v>Betty Josephine Fyffe Rural Equity Scholarships</v>
      </c>
      <c r="C147" s="9" t="s">
        <v>15</v>
      </c>
      <c r="D147" s="11">
        <v>10000</v>
      </c>
      <c r="E147" s="9">
        <v>5</v>
      </c>
      <c r="F147" s="9" t="s">
        <v>14</v>
      </c>
      <c r="G147" s="12" t="s">
        <v>171</v>
      </c>
      <c r="H147" t="s">
        <v>26</v>
      </c>
      <c r="I147" t="s">
        <v>26</v>
      </c>
    </row>
    <row r="148" spans="1:9" ht="45" x14ac:dyDescent="0.25">
      <c r="A148" s="7" t="s">
        <v>10</v>
      </c>
      <c r="B148" s="10" t="str">
        <f>HYPERLINK("https://www.newcastle.edu.au/scholarships/EXT_262", "Idemitsu Australia Scholarship")</f>
        <v>Idemitsu Australia Scholarship</v>
      </c>
      <c r="C148" s="9" t="s">
        <v>15</v>
      </c>
      <c r="D148" s="11">
        <v>10000</v>
      </c>
      <c r="E148" s="9">
        <v>1</v>
      </c>
      <c r="F148" s="9" t="s">
        <v>14</v>
      </c>
      <c r="G148" s="12" t="s">
        <v>172</v>
      </c>
      <c r="H148" t="s">
        <v>26</v>
      </c>
      <c r="I148" t="s">
        <v>26</v>
      </c>
    </row>
    <row r="149" spans="1:9" x14ac:dyDescent="0.25">
      <c r="A149" s="7" t="s">
        <v>10</v>
      </c>
      <c r="B149" s="10" t="str">
        <f>HYPERLINK("https://www.newcastle.edu.au/scholarships/EXT_272", "Shaping Futures Postgraduate Scholarship")</f>
        <v>Shaping Futures Postgraduate Scholarship</v>
      </c>
      <c r="C149" s="9" t="s">
        <v>15</v>
      </c>
      <c r="D149" s="11">
        <v>5000</v>
      </c>
      <c r="E149" s="9" t="s">
        <v>161</v>
      </c>
      <c r="F149" s="9" t="s">
        <v>52</v>
      </c>
      <c r="G149" s="12" t="s">
        <v>133</v>
      </c>
      <c r="H149" t="s">
        <v>26</v>
      </c>
      <c r="I149" t="s">
        <v>26</v>
      </c>
    </row>
    <row r="150" spans="1:9" ht="60" x14ac:dyDescent="0.25">
      <c r="A150" s="7" t="s">
        <v>10</v>
      </c>
      <c r="B150" s="10" t="str">
        <f>HYPERLINK("https://www.newcastle.edu.au/scholarships/EXT_283", "Crystalbrook Kingsley Environmental Scholarship")</f>
        <v>Crystalbrook Kingsley Environmental Scholarship</v>
      </c>
      <c r="C150" s="9" t="s">
        <v>28</v>
      </c>
      <c r="D150" s="11">
        <v>5000</v>
      </c>
      <c r="E150" s="9" t="s">
        <v>161</v>
      </c>
      <c r="F150" s="9" t="s">
        <v>108</v>
      </c>
      <c r="G150" s="12" t="s">
        <v>173</v>
      </c>
      <c r="H150" t="s">
        <v>26</v>
      </c>
      <c r="I150" t="s">
        <v>26</v>
      </c>
    </row>
    <row r="151" spans="1:9" ht="60" x14ac:dyDescent="0.25">
      <c r="A151" s="7" t="s">
        <v>10</v>
      </c>
      <c r="B151" s="10" t="str">
        <f>HYPERLINK("https://www.newcastle.edu.au/scholarships/EXT_311", "Friends of the University Lorna George Memorial Scholarship for Allied Health and Psychology")</f>
        <v>Friends of the University Lorna George Memorial Scholarship for Allied Health and Psychology</v>
      </c>
      <c r="C151" s="9" t="s">
        <v>15</v>
      </c>
      <c r="D151" s="11">
        <v>5000</v>
      </c>
      <c r="E151" s="9">
        <v>1</v>
      </c>
      <c r="F151" s="9" t="s">
        <v>14</v>
      </c>
      <c r="G151" s="12" t="s">
        <v>174</v>
      </c>
      <c r="H151" t="s">
        <v>26</v>
      </c>
      <c r="I151" t="s">
        <v>26</v>
      </c>
    </row>
    <row r="152" spans="1:9" ht="105" x14ac:dyDescent="0.25">
      <c r="A152" s="7" t="s">
        <v>10</v>
      </c>
      <c r="B152" s="10" t="str">
        <f>HYPERLINK("https://www.newcastle.edu.au/scholarships/EXT_318", "Western Earthmoving Scholarship for Construction and Engineering")</f>
        <v>Western Earthmoving Scholarship for Construction and Engineering</v>
      </c>
      <c r="C152" s="9" t="s">
        <v>28</v>
      </c>
      <c r="D152" s="11">
        <v>15000</v>
      </c>
      <c r="E152" s="9">
        <v>1</v>
      </c>
      <c r="F152" s="9" t="s">
        <v>14</v>
      </c>
      <c r="G152" s="12" t="s">
        <v>175</v>
      </c>
      <c r="H152" t="s">
        <v>26</v>
      </c>
      <c r="I152" t="s">
        <v>26</v>
      </c>
    </row>
    <row r="153" spans="1:9" ht="30" x14ac:dyDescent="0.25">
      <c r="A153" s="7" t="s">
        <v>10</v>
      </c>
      <c r="B153" s="10" t="str">
        <f>HYPERLINK("https://www.newcastle.edu.au/scholarships/EXT_332", "Greater Charitable Foundation Equity Scholarship")</f>
        <v>Greater Charitable Foundation Equity Scholarship</v>
      </c>
      <c r="C153" s="9" t="s">
        <v>15</v>
      </c>
      <c r="D153" s="11">
        <v>10000</v>
      </c>
      <c r="E153" s="9">
        <v>3</v>
      </c>
      <c r="F153" s="9" t="s">
        <v>14</v>
      </c>
      <c r="G153" s="12" t="s">
        <v>176</v>
      </c>
      <c r="H153" t="s">
        <v>26</v>
      </c>
      <c r="I153" t="s">
        <v>26</v>
      </c>
    </row>
    <row r="154" spans="1:9" x14ac:dyDescent="0.25">
      <c r="A154" s="7" t="s">
        <v>10</v>
      </c>
      <c r="B154" s="10" t="str">
        <f>HYPERLINK("https://www.newcastle.edu.au/scholarships/EXT_333", "Shamila, Ravendra and Roneal Naidu Scholarship")</f>
        <v>Shamila, Ravendra and Roneal Naidu Scholarship</v>
      </c>
      <c r="C154" s="9" t="s">
        <v>15</v>
      </c>
      <c r="D154" s="11">
        <v>8000</v>
      </c>
      <c r="E154" s="9">
        <v>4</v>
      </c>
      <c r="F154" s="9" t="s">
        <v>14</v>
      </c>
      <c r="G154" s="12" t="s">
        <v>133</v>
      </c>
      <c r="H154" t="s">
        <v>22</v>
      </c>
      <c r="I154" t="s">
        <v>26</v>
      </c>
    </row>
    <row r="155" spans="1:9" ht="30" x14ac:dyDescent="0.25">
      <c r="A155" s="7" t="s">
        <v>10</v>
      </c>
      <c r="B155" s="10" t="str">
        <f>HYPERLINK(" https://www.newcastle.edu.au/scholarships/ESSUN_3000", "Equity Scholarships Scheme University of Newcastle (ESSUN)")</f>
        <v>Equity Scholarships Scheme University of Newcastle (ESSUN)</v>
      </c>
      <c r="C155" s="9" t="s">
        <v>15</v>
      </c>
      <c r="D155" s="13" t="s">
        <v>178</v>
      </c>
      <c r="E155" s="9">
        <v>1</v>
      </c>
      <c r="F155" s="9" t="s">
        <v>14</v>
      </c>
      <c r="G155" s="12" t="s">
        <v>177</v>
      </c>
      <c r="H155" t="s">
        <v>26</v>
      </c>
      <c r="I155" t="s">
        <v>26</v>
      </c>
    </row>
    <row r="156" spans="1:9" ht="60" x14ac:dyDescent="0.25">
      <c r="A156" s="7" t="s">
        <v>10</v>
      </c>
      <c r="B156" s="10" t="str">
        <f>HYPERLINK("https://www.newcastle.edu.au/scholarships/EXT_336", "Sparke Helmore Law Scholarship")</f>
        <v>Sparke Helmore Law Scholarship</v>
      </c>
      <c r="C156" s="9" t="s">
        <v>15</v>
      </c>
      <c r="D156" s="11">
        <v>5000</v>
      </c>
      <c r="E156" s="9" t="s">
        <v>161</v>
      </c>
      <c r="F156" s="9" t="s">
        <v>138</v>
      </c>
      <c r="G156" s="12" t="s">
        <v>179</v>
      </c>
      <c r="H156" t="s">
        <v>26</v>
      </c>
      <c r="I156" t="s">
        <v>26</v>
      </c>
    </row>
    <row r="157" spans="1:9" ht="30" x14ac:dyDescent="0.25">
      <c r="A157" s="7" t="s">
        <v>10</v>
      </c>
      <c r="B157" s="10" t="str">
        <f>HYPERLINK("https://www.newcastle.edu.au/scholarships/EXT_348", "Evelyn Brown Scholarship in Nursing")</f>
        <v>Evelyn Brown Scholarship in Nursing</v>
      </c>
      <c r="C157" s="9" t="s">
        <v>15</v>
      </c>
      <c r="D157" s="11">
        <v>6000</v>
      </c>
      <c r="E157" s="9" t="s">
        <v>161</v>
      </c>
      <c r="F157" s="9" t="s">
        <v>14</v>
      </c>
      <c r="G157" s="12" t="s">
        <v>180</v>
      </c>
      <c r="H157" t="s">
        <v>26</v>
      </c>
      <c r="I157" t="s">
        <v>26</v>
      </c>
    </row>
    <row r="158" spans="1:9" ht="30" x14ac:dyDescent="0.25">
      <c r="A158" s="7" t="s">
        <v>10</v>
      </c>
      <c r="B158" s="10" t="str">
        <f>HYPERLINK("https://www.newcastle.edu.au/scholarships/UNI_025", "University of Newcastle Sports Scholarships")</f>
        <v>University of Newcastle Sports Scholarships</v>
      </c>
      <c r="C158" s="9" t="s">
        <v>28</v>
      </c>
      <c r="D158" s="13" t="s">
        <v>181</v>
      </c>
      <c r="E158" s="9" t="s">
        <v>161</v>
      </c>
      <c r="F158" s="9" t="s">
        <v>14</v>
      </c>
      <c r="G158" s="12" t="s">
        <v>182</v>
      </c>
      <c r="H158" t="s">
        <v>26</v>
      </c>
      <c r="I158" t="s">
        <v>26</v>
      </c>
    </row>
    <row r="159" spans="1:9" ht="60" x14ac:dyDescent="0.25">
      <c r="A159" s="7" t="s">
        <v>10</v>
      </c>
      <c r="B159" s="10" t="str">
        <f>HYPERLINK("https://www.newcastle.edu.au/scholarships/CESE_02", "College of Engineering, Science and Environment High Achiever Scholarship")</f>
        <v>College of Engineering, Science and Environment High Achiever Scholarship</v>
      </c>
      <c r="C159" s="9" t="s">
        <v>28</v>
      </c>
      <c r="D159" s="13" t="s">
        <v>183</v>
      </c>
      <c r="E159" s="9">
        <v>1</v>
      </c>
      <c r="F159" s="9" t="s">
        <v>14</v>
      </c>
      <c r="G159" s="12" t="s">
        <v>184</v>
      </c>
      <c r="H159" t="s">
        <v>26</v>
      </c>
      <c r="I159" t="s">
        <v>26</v>
      </c>
    </row>
    <row r="160" spans="1:9" ht="90" x14ac:dyDescent="0.25">
      <c r="A160" s="7" t="s">
        <v>10</v>
      </c>
      <c r="B160" s="10" t="str">
        <f>HYPERLINK("https://www.newcastle.edu.au/scholarships/CESE_03", "College of Engineering, Science and Environment Gender Equity Scholarship")</f>
        <v>College of Engineering, Science and Environment Gender Equity Scholarship</v>
      </c>
      <c r="C160" s="9" t="s">
        <v>15</v>
      </c>
      <c r="D160" s="13" t="s">
        <v>185</v>
      </c>
      <c r="E160" s="9">
        <v>1</v>
      </c>
      <c r="F160" s="9" t="s">
        <v>14</v>
      </c>
      <c r="G160" s="12" t="s">
        <v>186</v>
      </c>
      <c r="H160" t="s">
        <v>26</v>
      </c>
      <c r="I160" t="s">
        <v>26</v>
      </c>
    </row>
    <row r="161" spans="1:9" ht="45" x14ac:dyDescent="0.25">
      <c r="A161" s="7" t="s">
        <v>10</v>
      </c>
      <c r="B161" s="10" t="str">
        <f>HYPERLINK("https://www.newcastle.edu.au/scholarships/EXT_029", "Port Waratah Coal Services Undergraduate Engineering Scholarship")</f>
        <v>Port Waratah Coal Services Undergraduate Engineering Scholarship</v>
      </c>
      <c r="C161" s="9" t="s">
        <v>15</v>
      </c>
      <c r="D161" s="13" t="s">
        <v>187</v>
      </c>
      <c r="E161" s="9">
        <v>3</v>
      </c>
      <c r="F161" s="9" t="s">
        <v>14</v>
      </c>
      <c r="G161" s="12" t="s">
        <v>188</v>
      </c>
      <c r="H161" t="s">
        <v>22</v>
      </c>
      <c r="I161" t="s">
        <v>26</v>
      </c>
    </row>
    <row r="162" spans="1:9" ht="45" x14ac:dyDescent="0.25">
      <c r="A162" s="7" t="s">
        <v>10</v>
      </c>
      <c r="B162" s="10" t="str">
        <f>HYPERLINK("https://www.newcastle.edu.au/scholarships/EXT_177", "Catherine and Peter Tay High Achiever Engineering Undergraduate Scholarship")</f>
        <v>Catherine and Peter Tay High Achiever Engineering Undergraduate Scholarship</v>
      </c>
      <c r="C162" s="9" t="s">
        <v>28</v>
      </c>
      <c r="D162" s="11">
        <v>8000</v>
      </c>
      <c r="E162" s="9">
        <v>4</v>
      </c>
      <c r="F162" s="9" t="s">
        <v>14</v>
      </c>
      <c r="G162" s="12" t="s">
        <v>189</v>
      </c>
      <c r="H162" t="s">
        <v>26</v>
      </c>
      <c r="I162" t="s">
        <v>26</v>
      </c>
    </row>
    <row r="163" spans="1:9" ht="60" x14ac:dyDescent="0.25">
      <c r="A163" s="7" t="s">
        <v>10</v>
      </c>
      <c r="B163" s="10" t="str">
        <f>HYPERLINK("https://www.newcastle.edu.au/scholarships/EXT_185", "Professor Beryl Nashar Scholarship for Excellence in Geology")</f>
        <v>Professor Beryl Nashar Scholarship for Excellence in Geology</v>
      </c>
      <c r="C163" s="9" t="s">
        <v>28</v>
      </c>
      <c r="D163" s="11">
        <v>1000</v>
      </c>
      <c r="E163" s="9" t="s">
        <v>161</v>
      </c>
      <c r="F163" s="9" t="s">
        <v>138</v>
      </c>
      <c r="G163" s="12" t="s">
        <v>190</v>
      </c>
      <c r="H163" t="s">
        <v>26</v>
      </c>
      <c r="I163" t="s">
        <v>26</v>
      </c>
    </row>
    <row r="164" spans="1:9" ht="75" x14ac:dyDescent="0.25">
      <c r="A164" s="7" t="s">
        <v>10</v>
      </c>
      <c r="B164" s="10" t="str">
        <f>HYPERLINK("https://www.newcastle.edu.au/scholarships/EXT_229", "Boeing Engineering and IT Scholarship for Women")</f>
        <v>Boeing Engineering and IT Scholarship for Women</v>
      </c>
      <c r="C164" s="9" t="s">
        <v>28</v>
      </c>
      <c r="D164" s="11">
        <v>5000</v>
      </c>
      <c r="E164" s="9">
        <v>1</v>
      </c>
      <c r="F164" s="9" t="s">
        <v>14</v>
      </c>
      <c r="G164" s="12" t="s">
        <v>191</v>
      </c>
      <c r="H164" t="s">
        <v>26</v>
      </c>
      <c r="I164" t="s">
        <v>26</v>
      </c>
    </row>
    <row r="165" spans="1:9" ht="90" x14ac:dyDescent="0.25">
      <c r="A165" s="7" t="s">
        <v>10</v>
      </c>
      <c r="B165" s="10" t="str">
        <f>HYPERLINK("https://www.newcastle.edu.au/scholarships/EXT_240", "Malcolm Benaud Smith Construction Management (Building) Scholarship")</f>
        <v>Malcolm Benaud Smith Construction Management (Building) Scholarship</v>
      </c>
      <c r="C165" s="9" t="s">
        <v>28</v>
      </c>
      <c r="D165" s="11">
        <v>10000</v>
      </c>
      <c r="E165" s="9">
        <v>1</v>
      </c>
      <c r="F165" s="9" t="s">
        <v>14</v>
      </c>
      <c r="G165" s="12" t="s">
        <v>192</v>
      </c>
      <c r="H165" t="s">
        <v>26</v>
      </c>
      <c r="I165" t="s">
        <v>26</v>
      </c>
    </row>
    <row r="166" spans="1:9" ht="60" x14ac:dyDescent="0.25">
      <c r="A166" s="7" t="s">
        <v>10</v>
      </c>
      <c r="B166" s="10" t="str">
        <f>HYPERLINK("https://www.newcastle.edu.au/scholarships/EXT_320", "Boeing IT and Computer Systems Scholarship")</f>
        <v>Boeing IT and Computer Systems Scholarship</v>
      </c>
      <c r="C166" s="9" t="s">
        <v>28</v>
      </c>
      <c r="D166" s="11">
        <v>5000</v>
      </c>
      <c r="E166" s="9">
        <v>1</v>
      </c>
      <c r="F166" s="9" t="s">
        <v>14</v>
      </c>
      <c r="G166" s="12" t="s">
        <v>193</v>
      </c>
      <c r="H166" t="s">
        <v>26</v>
      </c>
      <c r="I166" t="s">
        <v>26</v>
      </c>
    </row>
    <row r="167" spans="1:9" ht="45" x14ac:dyDescent="0.25">
      <c r="A167" s="7" t="s">
        <v>10</v>
      </c>
      <c r="B167" s="10" t="str">
        <f>HYPERLINK("https://www.newcastle.edu.au/scholarships/EXT_322", "Boeing Environmental Sustainability in STEM Scholarship")</f>
        <v>Boeing Environmental Sustainability in STEM Scholarship</v>
      </c>
      <c r="C167" s="9" t="s">
        <v>28</v>
      </c>
      <c r="D167" s="11">
        <v>5000</v>
      </c>
      <c r="E167" s="9">
        <v>1</v>
      </c>
      <c r="F167" s="9" t="s">
        <v>14</v>
      </c>
      <c r="G167" s="12" t="s">
        <v>194</v>
      </c>
      <c r="H167" t="s">
        <v>26</v>
      </c>
      <c r="I167" t="s">
        <v>26</v>
      </c>
    </row>
    <row r="168" spans="1:9" ht="45" x14ac:dyDescent="0.25">
      <c r="A168" s="7" t="s">
        <v>10</v>
      </c>
      <c r="B168" s="10" t="str">
        <f>HYPERLINK("https://www.newcastle.edu.au/scholarships/EXT_328", "HunterWiSE Scholarship for Women in STEM")</f>
        <v>HunterWiSE Scholarship for Women in STEM</v>
      </c>
      <c r="C168" s="9" t="s">
        <v>28</v>
      </c>
      <c r="D168" s="11">
        <v>5000</v>
      </c>
      <c r="E168" s="9" t="s">
        <v>161</v>
      </c>
      <c r="F168" s="9" t="s">
        <v>14</v>
      </c>
      <c r="G168" s="12" t="s">
        <v>195</v>
      </c>
      <c r="H168" t="s">
        <v>26</v>
      </c>
      <c r="I168" t="s">
        <v>26</v>
      </c>
    </row>
    <row r="169" spans="1:9" ht="45" x14ac:dyDescent="0.25">
      <c r="A169" s="7" t="s">
        <v>10</v>
      </c>
      <c r="B169" s="10" t="str">
        <f>HYPERLINK("https://www.newcastle.edu.au/scholarships/EXT_330", "Valley Industries Speech Pathology Scholarship")</f>
        <v>Valley Industries Speech Pathology Scholarship</v>
      </c>
      <c r="C169" s="9" t="s">
        <v>15</v>
      </c>
      <c r="D169" s="11">
        <v>5000</v>
      </c>
      <c r="E169" s="9" t="s">
        <v>161</v>
      </c>
      <c r="F169" s="9" t="s">
        <v>14</v>
      </c>
      <c r="G169" s="12" t="s">
        <v>196</v>
      </c>
      <c r="H169" t="s">
        <v>26</v>
      </c>
      <c r="I169" t="s">
        <v>26</v>
      </c>
    </row>
    <row r="170" spans="1:9" ht="75" x14ac:dyDescent="0.25">
      <c r="A170" s="7" t="s">
        <v>10</v>
      </c>
      <c r="B170" s="10" t="str">
        <f>HYPERLINK("https://www.newcastle.edu.au/scholarships/EXT_338", "AGL Bayswater Power Station Scholarships for Females in Engineering")</f>
        <v>AGL Bayswater Power Station Scholarships for Females in Engineering</v>
      </c>
      <c r="C170" s="9" t="s">
        <v>28</v>
      </c>
      <c r="D170" s="11">
        <v>15000</v>
      </c>
      <c r="E170" s="9">
        <v>3</v>
      </c>
      <c r="F170" s="9" t="s">
        <v>14</v>
      </c>
      <c r="G170" s="12" t="s">
        <v>197</v>
      </c>
      <c r="H170" t="s">
        <v>26</v>
      </c>
      <c r="I170" t="s">
        <v>26</v>
      </c>
    </row>
    <row r="171" spans="1:9" ht="30" x14ac:dyDescent="0.25">
      <c r="A171" s="7" t="s">
        <v>10</v>
      </c>
      <c r="B171" s="10" t="str">
        <f>HYPERLINK("https://www.newcastle.edu.au/scholarships/EXT_350", "Boeing Disability Scholarship")</f>
        <v>Boeing Disability Scholarship</v>
      </c>
      <c r="C171" s="9" t="s">
        <v>15</v>
      </c>
      <c r="D171" s="11">
        <v>5000</v>
      </c>
      <c r="E171" s="9" t="s">
        <v>161</v>
      </c>
      <c r="F171" s="9" t="s">
        <v>14</v>
      </c>
      <c r="G171" s="12" t="s">
        <v>198</v>
      </c>
      <c r="H171" t="s">
        <v>26</v>
      </c>
      <c r="I171" t="s">
        <v>26</v>
      </c>
    </row>
    <row r="172" spans="1:9" x14ac:dyDescent="0.25">
      <c r="A172" s="7" t="s">
        <v>10</v>
      </c>
      <c r="B172" s="10" t="str">
        <f t="shared" ref="B172:B176" si="2">HYPERLINK(" B23", "Test")</f>
        <v>Test</v>
      </c>
      <c r="H172" t="s">
        <v>26</v>
      </c>
      <c r="I172" t="s">
        <v>26</v>
      </c>
    </row>
    <row r="173" spans="1:9" x14ac:dyDescent="0.25">
      <c r="A173" s="7" t="s">
        <v>10</v>
      </c>
      <c r="B173" s="10" t="str">
        <f t="shared" si="2"/>
        <v>Test</v>
      </c>
      <c r="H173" t="s">
        <v>26</v>
      </c>
      <c r="I173" t="s">
        <v>26</v>
      </c>
    </row>
    <row r="174" spans="1:9" x14ac:dyDescent="0.25">
      <c r="A174" s="7" t="s">
        <v>10</v>
      </c>
      <c r="B174" s="10" t="str">
        <f t="shared" si="2"/>
        <v>Test</v>
      </c>
      <c r="H174" t="s">
        <v>26</v>
      </c>
      <c r="I174" t="s">
        <v>26</v>
      </c>
    </row>
    <row r="175" spans="1:9" x14ac:dyDescent="0.25">
      <c r="A175" s="7" t="s">
        <v>10</v>
      </c>
      <c r="B175" s="10" t="str">
        <f t="shared" si="2"/>
        <v>Test</v>
      </c>
      <c r="H175" t="s">
        <v>26</v>
      </c>
      <c r="I175" t="s">
        <v>26</v>
      </c>
    </row>
    <row r="176" spans="1:9" x14ac:dyDescent="0.25">
      <c r="A176" s="7" t="s">
        <v>10</v>
      </c>
      <c r="B176" s="10" t="str">
        <f t="shared" si="2"/>
        <v>Test</v>
      </c>
      <c r="H176" t="s">
        <v>26</v>
      </c>
      <c r="I176" t="s">
        <v>26</v>
      </c>
    </row>
  </sheetData>
  <autoFilter ref="G1:G176" xr:uid="{5773BD61-A8F4-4ACA-BB03-11DEBD312DA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1d47d42-378c-4240-adf1-50612b639f36" xsi:nil="true"/>
    <lcf76f155ced4ddcb4097134ff3c332f xmlns="514dc54e-a510-4ebc-96a4-7a373c84d57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B59F058DD61F4CBF5D961017DC0A45" ma:contentTypeVersion="17" ma:contentTypeDescription="Create a new document." ma:contentTypeScope="" ma:versionID="3843482ad259dd7cf47d53181de3a479">
  <xsd:schema xmlns:xsd="http://www.w3.org/2001/XMLSchema" xmlns:xs="http://www.w3.org/2001/XMLSchema" xmlns:p="http://schemas.microsoft.com/office/2006/metadata/properties" xmlns:ns2="514dc54e-a510-4ebc-96a4-7a373c84d576" xmlns:ns3="91d47d42-378c-4240-adf1-50612b639f36" targetNamespace="http://schemas.microsoft.com/office/2006/metadata/properties" ma:root="true" ma:fieldsID="c2a99e4d2b0f67119e90f9a433f5d6db" ns2:_="" ns3:_="">
    <xsd:import namespace="514dc54e-a510-4ebc-96a4-7a373c84d576"/>
    <xsd:import namespace="91d47d42-378c-4240-adf1-50612b639f3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4dc54e-a510-4ebc-96a4-7a373c84d57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aae0d8a-8891-48d9-ad2b-bad3da6b59e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1d47d42-378c-4240-adf1-50612b639f36"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9bbaf84-1f02-4ee0-be3f-e164b36b151e}" ma:internalName="TaxCatchAll" ma:showField="CatchAllData" ma:web="91d47d42-378c-4240-adf1-50612b639f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1EF037-3A45-438F-8EFF-A0227E591D57}">
  <ds:schemaRefs>
    <ds:schemaRef ds:uri="http://schemas.microsoft.com/office/2006/metadata/properties"/>
    <ds:schemaRef ds:uri="http://schemas.microsoft.com/office/infopath/2007/PartnerControls"/>
    <ds:schemaRef ds:uri="91d47d42-378c-4240-adf1-50612b639f36"/>
    <ds:schemaRef ds:uri="514dc54e-a510-4ebc-96a4-7a373c84d576"/>
  </ds:schemaRefs>
</ds:datastoreItem>
</file>

<file path=customXml/itemProps2.xml><?xml version="1.0" encoding="utf-8"?>
<ds:datastoreItem xmlns:ds="http://schemas.openxmlformats.org/officeDocument/2006/customXml" ds:itemID="{2939E453-00EA-486F-995B-7D4644B61C8A}">
  <ds:schemaRefs>
    <ds:schemaRef ds:uri="http://schemas.microsoft.com/sharepoint/v3/contenttype/forms"/>
  </ds:schemaRefs>
</ds:datastoreItem>
</file>

<file path=customXml/itemProps3.xml><?xml version="1.0" encoding="utf-8"?>
<ds:datastoreItem xmlns:ds="http://schemas.openxmlformats.org/officeDocument/2006/customXml" ds:itemID="{873E4114-4F26-4870-B334-33A2DDABEB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4dc54e-a510-4ebc-96a4-7a373c84d576"/>
    <ds:schemaRef ds:uri="91d47d42-378c-4240-adf1-50612b639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Pierce</dc:creator>
  <cp:lastModifiedBy>Laura Pierce</cp:lastModifiedBy>
  <dcterms:created xsi:type="dcterms:W3CDTF">2024-09-12T00:30:24Z</dcterms:created>
  <dcterms:modified xsi:type="dcterms:W3CDTF">2024-10-22T03:06:22Z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0x010100A1B59F058DD61F4CBF5D961017DC0A45</vt:lpwstr>
  </property>
  <property fmtid="{D5CDD505-2E9C-101B-9397-08002B2CF9AE}" pid="3" name="MediaServiceImageTags">
    <vt:lpwstr/>
  </property>
</Properties>
</file>