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9" documentId="13_ncr:1_{BC4AE9FA-0CB4-4CF0-8D39-57A9F105CFA5}" xr6:coauthVersionLast="47" xr6:coauthVersionMax="47" xr10:uidLastSave="{C7A06086-E1DF-4854-8C62-FBF65986DD0C}"/>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8" i="1" l="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386" i="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<sst xmlns="http://schemas.openxmlformats.org/spreadsheetml/2006/main" count="6577" uniqueCount="1073">
  <si>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</si>
  <si>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</si>
  <si>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</si>
  <si>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</si>
  <si>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</si>
  <si>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</si>
  <si>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</si>
  <si>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</si>
  <si>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</si>
  <si>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</si>
  <si>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</si>
  <si>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</si>
  <si>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</si>
  <si>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</si>
  <si>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</si>
  <si>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</si>
  <si>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</si>
  <si>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</si>
  <si>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</si>
  <si>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</si>
  <si>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</si>
  <si>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</si>
  <si>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</si>
  <si>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</si>
  <si>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</si>
  <si>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</si>
  <si>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</si>
  <si>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</si>
  <si>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</si>
  <si>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</si>
  <si>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</si>
  <si>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</si>
  <si>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</si>
  <si>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</si>
  <si>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</si>
  <si>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</si>
  <si>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</si>
  <si>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</si>
  <si>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</si>
  <si>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</si>
  <si>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</si>
  <si>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</si>
  <si>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</si>
  <si>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</si>
  <si>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</si>
  <si>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</si>
  <si>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</si>
  <si>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</si>
  <si>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</si>
  <si>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</si>
  <si>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</si>
  <si>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</si>
  <si>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</si>
  <si>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</si>
  <si>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</si>
  <si>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</si>
  <si>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</si>
  <si>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</si>
  <si>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</si>
  <si>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</si>
  <si>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</si>
  <si>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</si>
  <si>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</si>
  <si>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</si>
  <si>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</si>
  <si>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</si>
  <si>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</si>
  <si>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</si>
  <si>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</si>
  <si>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</si>
  <si>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</si>
  <si>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</si>
  <si>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</si>
  <si>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</si>
  <si>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</si>
  <si>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</si>
  <si>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</si>
  <si>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</si>
  <si>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</si>
  <si>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</si>
  <si>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</si>
  <si>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</si>
  <si>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</si>
  <si>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</si>
  <si>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</si>
  <si>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</si>
  <si>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</si>
  <si>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</si>
  <si>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</si>
  <si>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</si>
  <si>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</si>
  <si>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</si>
  <si>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</si>
  <si>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</si>
  <si>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</si>
  <si>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</si>
  <si>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</si>
  <si>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</si>
  <si>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</si>
  <si>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</si>
  <si>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</si>
  <si>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</si>
  <si>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</si>
  <si>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</si>
  <si>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</si>
  <si>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</si>
  <si>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</si>
  <si>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</si>
  <si>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</si>
  <si>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</si>
  <si>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</si>
  <si>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</si>
  <si>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</si>
  <si>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</si>
  <si>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</si>
  <si>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</si>
  <si>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</si>
  <si>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</si>
  <si>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</si>
  <si>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</si>
  <si>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</si>
  <si>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</si>
  <si>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</si>
  <si>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</si>
  <si>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</si>
  <si>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</si>
  <si>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</si>
  <si>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</si>
  <si>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</si>
  <si>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</si>
  <si>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</si>
  <si>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</si>
  <si>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</si>
  <si>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</si>
  <si>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</si>
  <si>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</si>
  <si>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</si>
  <si>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</si>
  <si>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</si>
  <si>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</si>
  <si>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</si>
  <si>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</si>
  <si>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</si>
  <si>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</si>
  <si>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</si>
  <si>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</si>
  <si>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</si>
  <si>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</si>
  <si>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</si>
  <si>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</si>
  <si>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</si>
  <si>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</si>
  <si>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</si>
  <si>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</si>
  <si>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</si>
  <si>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</si>
  <si>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</si>
  <si>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</si>
  <si>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</si>
  <si>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</si>
  <si>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</si>
  <si>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</si>
  <si>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</si>
  <si>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</si>
  <si>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</si>
  <si>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</si>
  <si>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</si>
  <si>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</si>
  <si>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</si>
  <si>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</si>
  <si>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</si>
  <si>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</si>
  <si>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</si>
  <si>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</si>
  <si>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</si>
  <si>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</si>
  <si>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</si>
  <si>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</si>
  <si>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</si>
  <si>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</si>
  <si>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</si>
  <si>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</si>
  <si>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</si>
  <si>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</si>
  <si>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</si>
  <si>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</si>
  <si>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</si>
  <si>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</si>
  <si>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</si>
  <si>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</si>
  <si>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</si>
  <si>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</si>
  <si>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</si>
  <si>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</si>
  <si>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</si>
  <si>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</si>
  <si>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</si>
  <si>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</si>
  <si>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</si>
  <si>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</si>
  <si>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</si>
  <si>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</si>
  <si>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</si>
  <si>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</si>
  <si>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</si>
  <si>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</si>
  <si>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</si>
  <si>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</si>
  <si>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</si>
  <si>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</si>
  <si>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</si>
  <si>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</si>
  <si>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</si>
  <si>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</si>
  <si>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</si>
  <si>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</si>
  <si>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</si>
  <si>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</si>
  <si>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</si>
  <si>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</si>
  <si>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</si>
  <si>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</si>
  <si>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</si>
  <si>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</si>
  <si>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</si>
  <si>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</si>
  <si>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</si>
  <si>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</si>
  <si>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</si>
  <si>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</si>
  <si>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</si>
  <si>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</si>
  <si>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</si>
  <si>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</si>
  <si>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</si>
  <si>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</si>
  <si>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</si>
  <si>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</si>
  <si>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</si>
  <si>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</si>
  <si>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</si>
  <si>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</si>
  <si>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</si>
  <si>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</si>
  <si>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</si>
  <si>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</si>
  <si>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</si>
  <si>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</si>
  <si>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</si>
  <si>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</si>
  <si>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</si>
  <si>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</si>
  <si>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</si>
  <si>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</si>
  <si>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</si>
  <si>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</si>
  <si>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</si>
  <si>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</si>
  <si>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</si>
  <si>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</si>
  <si>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</si>
  <si>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</si>
  <si>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</si>
  <si>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</si>
  <si>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</si>
  <si>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</si>
  <si>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</si>
  <si>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</si>
  <si>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</si>
  <si>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</si>
  <si>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</si>
  <si>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</si>
  <si>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</si>
  <si>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</si>
  <si>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</si>
  <si>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</si>
  <si>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</si>
  <si>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</si>
  <si>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</si>
  <si>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</si>
  <si>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</si>
  <si>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</si>
  <si>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</si>
  <si>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</si>
  <si>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</si>
  <si>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</si>
  <si>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</si>
  <si>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</si>
  <si>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</si>
  <si>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</si>
  <si>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</si>
  <si>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</si>
  <si>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</si>
  <si>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</si>
  <si>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</si>
  <si>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</si>
  <si>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</si>
  <si>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</si>
  <si>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</si>
  <si>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</si>
  <si>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</si>
  <si>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</si>
  <si>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</si>
  <si>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</si>
  <si>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</si>
  <si>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</si>
  <si>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</si>
  <si>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</si>
  <si>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</si>
  <si>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</si>
  <si>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</si>
  <si>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</si>
  <si>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</si>
  <si>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</si>
  <si>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</si>
  <si>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</si>
  <si>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</si>
  <si>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</si>
  <si>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</si>
  <si>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</si>
  <si>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</si>
  <si>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</si>
  <si>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</si>
  <si>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</si>
  <si>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</si>
  <si>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</si>
  <si>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</si>
  <si>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</si>
  <si>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</si>
  <si>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</si>
  <si>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</si>
  <si>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</si>
  <si>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</si>
  <si>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</si>
  <si>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</si>
  <si>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</si>
  <si>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</si>
  <si>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</si>
  <si>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</si>
  <si>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</si>
  <si>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</si>
  <si>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</si>
  <si>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</si>
  <si>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</si>
  <si>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</si>
  <si>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</si>
  <si>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</si>
  <si>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</si>
  <si>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</si>
  <si>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</si>
  <si>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</si>
  <si>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</si>
  <si>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</si>
  <si>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</si>
  <si>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</si>
  <si>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</si>
  <si>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</si>
  <si>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</si>
  <si>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</si>
  <si>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</si>
  <si>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</si>
  <si>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</si>
  <si>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</si>
  <si>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</si>
  <si>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</si>
  <si>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</si>
  <si>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</si>
  <si>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</si>
  <si>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</si>
  <si>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</si>
  <si>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</si>
  <si>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</si>
  <si>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</si>
  <si>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</si>
  <si>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</si>
  <si>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</si>
  <si>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</si>
  <si>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</si>
  <si>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</si>
  <si>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</si>
  <si>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</si>
  <si>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</si>
  <si>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</si>
  <si>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</si>
  <si>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</si>
  <si>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</si>
  <si>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</si>
  <si>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</si>
  <si>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</si>
  <si>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</si>
  <si>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</si>
  <si>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</si>
  <si>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</si>
  <si>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</si>
  <si>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</si>
  <si>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</si>
  <si>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</si>
  <si>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</si>
  <si>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</si>
  <si>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</si>
  <si>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</si>
  <si>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</si>
  <si>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</si>
  <si>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</si>
  <si>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</si>
  <si>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</si>
  <si>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</si>
  <si>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</si>
  <si>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</si>
  <si>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</si>
  <si>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</si>
  <si>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</si>
  <si>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</si>
  <si>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</si>
  <si>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</si>
  <si>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</si>
  <si>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</si>
  <si>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</si>
  <si>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</si>
  <si>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</si>
  <si>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</si>
  <si>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</si>
  <si>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</si>
  <si>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</si>
  <si>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</si>
  <si>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</si>
  <si>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</si>
  <si>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</si>
  <si>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</si>
  <si>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</si>
  <si>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</si>
  <si>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</si>
  <si>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</si>
  <si>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</si>
  <si>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</si>
  <si>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</si>
  <si>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</si>
  <si>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</si>
  <si>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</si>
  <si>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</si>
  <si>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</si>
  <si>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</si>
  <si>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</si>
  <si>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</si>
  <si>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</si>
  <si>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</si>
  <si>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</si>
  <si>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</si>
  <si>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</si>
  <si>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</si>
  <si>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</si>
  <si>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</si>
  <si>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</si>
  <si>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</si>
  <si>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</si>
  <si>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</si>
  <si>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</si>
  <si>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</si>
  <si>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</si>
  <si>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</si>
  <si>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</si>
  <si>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</si>
  <si>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</si>
  <si>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</si>
  <si>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</si>
  <si>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</si>
  <si>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</si>
  <si>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</si>
  <si>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</si>
  <si>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</si>
  <si>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</si>
  <si>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</si>
  <si>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</si>
  <si>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</si>
  <si>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</si>
  <si>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</si>
  <si>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</si>
  <si>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</si>
  <si>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</si>
  <si>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</si>
  <si>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</si>
  <si>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</si>
  <si>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</si>
  <si>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</si>
  <si>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</si>
  <si>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</si>
  <si>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</si>
  <si>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</si>
  <si>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</si>
  <si>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</si>
  <si>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</si>
  <si>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</si>
  <si>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</si>
  <si>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</si>
  <si>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</si>
  <si>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</si>
  <si>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</si>
  <si>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</si>
  <si>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</si>
  <si>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</si>
  <si>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</si>
  <si>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</si>
  <si>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</si>
  <si>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</si>
  <si>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</si>
  <si>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</si>
  <si>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</si>
  <si>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</si>
  <si>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</si>
  <si>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</si>
  <si>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</si>
  <si>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</si>
  <si>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</si>
  <si>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</si>
  <si>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</si>
  <si>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</si>
  <si>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</si>
  <si>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</si>
  <si>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</si>
  <si>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</si>
  <si>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</si>
  <si>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</si>
  <si>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</si>
  <si>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</si>
  <si>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</si>
  <si>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</si>
  <si>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</si>
  <si>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</si>
  <si>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</si>
  <si>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</si>
  <si>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</si>
  <si>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</si>
  <si>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</si>
  <si>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</si>
  <si>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</si>
  <si>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</si>
  <si>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</si>
  <si>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</si>
  <si>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</si>
  <si>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</si>
  <si>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</si>
  <si>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</si>
  <si>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</si>
  <si>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</si>
  <si>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</si>
  <si>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</si>
  <si>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</si>
  <si>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</si>
  <si>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</si>
  <si>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</si>
  <si>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</si>
  <si>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</si>
  <si>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</si>
  <si>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</si>
  <si>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</si>
  <si>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</si>
  <si>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</si>
  <si>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</si>
  <si>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</si>
  <si>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</si>
  <si>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</si>
  <si>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</si>
  <si>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</si>
  <si>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</si>
  <si>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</si>
  <si>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</si>
  <si>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</si>
  <si>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</si>
  <si>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</si>
  <si>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</si>
  <si>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</si>
  <si>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</si>
  <si>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</si>
  <si>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</si>
  <si>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</si>
  <si>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</si>
  <si>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</si>
  <si>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</si>
  <si>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</si>
  <si>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</si>
  <si>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</si>
  <si>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</si>
  <si>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</si>
  <si>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</si>
  <si>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</si>
  <si>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</si>
  <si>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</si>
  <si>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</si>
  <si>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</si>
  <si>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</si>
  <si>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</si>
  <si>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</si>
  <si>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</si>
  <si>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</si>
  <si>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</si>
  <si>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</si>
  <si>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</si>
  <si>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</si>
  <si>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</si>
  <si>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</si>
  <si>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</si>
  <si>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</si>
  <si>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</si>
  <si>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</si>
  <si>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</si>
  <si>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</si>
  <si>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</si>
  <si>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</si>
  <si>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</si>
  <si>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</si>
  <si>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</si>
  <si>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</si>
  <si>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</si>
  <si>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</si>
  <si>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</si>
  <si>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</si>
  <si>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</si>
  <si>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</si>
  <si>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</si>
  <si>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</si>
  <si>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</si>
  <si>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</si>
  <si>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</si>
  <si>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</si>
  <si>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</si>
  <si>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</si>
  <si>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</si>
  <si>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</si>
  <si>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</si>
  <si>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</si>
  <si>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</si>
  <si>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</si>
  <si>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</si>
  <si>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</si>
  <si>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</si>
  <si>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</si>
  <si>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</si>
  <si>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</si>
  <si>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</si>
  <si>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</si>
  <si>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</si>
  <si>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</si>
  <si>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</si>
  <si>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</si>
  <si>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</si>
  <si>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</si>
  <si>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</si>
  <si>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</si>
  <si>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</si>
  <si>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</si>
  <si>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</si>
  <si>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</si>
  <si>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</si>
  <si>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</si>
  <si>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</si>
  <si>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</si>
  <si>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</si>
  <si>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</si>
  <si>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</si>
  <si>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</si>
  <si>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</si>
  <si>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</si>
  <si>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</si>
  <si>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</si>
  <si>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</si>
  <si>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</si>
  <si>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</si>
  <si>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</si>
  <si>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</si>
  <si>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</si>
  <si>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</si>
  <si>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</si>
  <si>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</si>
  <si>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</si>
  <si>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</si>
  <si>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</si>
  <si>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</si>
  <si>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</si>
  <si>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</si>
  <si>
    <t>USYD</t>
  </si>
  <si>
    <t>Music</t>
  </si>
  <si>
    <t>Dean's Discrection</t>
  </si>
  <si>
    <t>N/A</t>
  </si>
  <si>
    <t>• Full-time student at the Conservatorium of Music
• Studying instrumental studies</t>
  </si>
  <si>
    <t>Tuition fees</t>
  </si>
  <si>
    <t>Duration of Degree</t>
  </si>
  <si>
    <t>• Master of Business Administration
• 1st year
• Academic Merit
• Provide statement</t>
  </si>
  <si>
    <t>• Master of Interaction Design and Electronic Arts
• 1st year
• Academic merit</t>
  </si>
  <si>
    <t>TBC</t>
  </si>
  <si>
    <t>• Studying to become a composer. 
• Student at Sydney Conservatorium of Music
• Academic merit</t>
  </si>
  <si>
    <t>• Master of Business Administration
• 1st year
• Academic Merit
• Provide statement
• Preference will be given to applicants working in the not-for-profit sector, especially charities</t>
  </si>
  <si>
    <t>• Female or gender diverse
• Financial hardship
• Studying jazz</t>
  </si>
  <si>
    <t>$6,000
$25,000</t>
  </si>
  <si>
    <t>4 years
1.5 years</t>
  </si>
  <si>
    <t>• Jazz student
• Financial hardship
• Sydney Conservatorium of Music student</t>
  </si>
  <si>
    <t>• Academic merit
• Provide statement
• Student at the Conservatorium of Music</t>
  </si>
  <si>
    <t>• Studying piano
• Academic merit</t>
  </si>
  <si>
    <t>• Studying violin
• Academic merit</t>
  </si>
  <si>
    <t>NA</t>
  </si>
  <si>
    <t>Determined by Dean</t>
  </si>
  <si>
    <t>• Studying piano
• Resided in Australia for the past five years
• Low socio-economic background</t>
  </si>
  <si>
    <t>• 20 years old or youger
• Studying piano or organ
• Academic merit</t>
  </si>
  <si>
    <t>• School of Business programs
• Academic merit (ATAR)
• Has not done any university studies</t>
  </si>
  <si>
    <t>$2,250
$4,500
$9,000</t>
  </si>
  <si>
    <t>6 cps
12cps
18cps</t>
  </si>
  <si>
    <t>• Any PG coursework program except MBA
• Academic merit</t>
  </si>
  <si>
    <t>• Bachelor of Advanced Studies
• Specific subject
• Academic merit</t>
  </si>
  <si>
    <t xml:space="preserve">$4,000 - $8,000 </t>
  </si>
  <si>
    <t>• Business honours (Marketing)
• Academic merit</t>
  </si>
  <si>
    <t>$8,550</t>
  </si>
  <si>
    <t xml:space="preserve">• Studying 'back of orchestra' instruments
• Academic merit </t>
  </si>
  <si>
    <t>• Singing and/or piano student
• Academic merit</t>
  </si>
  <si>
    <t>• Classical piano student
• Financial hardship
• Provide statement</t>
  </si>
  <si>
    <t>• Student at Sydney Conservatorium of Music.
• Academic merit</t>
  </si>
  <si>
    <t>• String student
• Born in Australia</t>
  </si>
  <si>
    <t>• Studying classical music
• Financial hardship
• Provide statement</t>
  </si>
  <si>
    <t>50% tuition fees</t>
  </si>
  <si>
    <t>• Master of Business Administration
• 1st year
• Academic Merit
• Identify as someone from a minority group</t>
  </si>
  <si>
    <t>• Low SES
• Piano student
• Provide statement</t>
  </si>
  <si>
    <t>• School of Business programs
• Academic merit (ATAR)
• Provide statement</t>
  </si>
  <si>
    <t>20% of tuition fees</t>
  </si>
  <si>
    <t>• Master of Business Administration (Executive)
• 1st year
• Academic Merit
• Provide statement</t>
  </si>
  <si>
    <t>• Recent school leaver
• Selected programs in Design in Architecture,
• Academic merit(ATAR)
• Has not done any university studies</t>
  </si>
  <si>
    <t>• School of Business programs and double degrees with Law
• Academic merit (ATAR)
• Provide statement</t>
  </si>
  <si>
    <t>• Financial hardship
• Provide statement
• Studying the flute</t>
  </si>
  <si>
    <t>• 1st year
• Bachelor of Design in Architecture (Honours) 
• Academic merit</t>
  </si>
  <si>
    <t>• Student at the Conservatorium 
• Preference given to students studying bassoon, oboe and saxophone.
• Academic merit</t>
  </si>
  <si>
    <t>• Male
• Opera student
• Academic merit</t>
  </si>
  <si>
    <t>• Aged between 20 and 40
• Musical composition student
• Studying musical composition</t>
  </si>
  <si>
    <t>• Student at the Conservatorium
• Low-socioeconomic background
• Financial hardship</t>
  </si>
  <si>
    <t>• Student at the Conservatorium
• Academic merit</t>
  </si>
  <si>
    <t>• Rural or Regional
• Selected Business progrmas
• Recent school leaver</t>
  </si>
  <si>
    <t>• Study in the Digital Music and Media Program
• Australian Citizen 
• Provide statement</t>
  </si>
  <si>
    <t>$38,000</t>
  </si>
  <si>
    <t>• Australian Citizen
• Student at the Conservatorium 
• Rural or Regional</t>
  </si>
  <si>
    <t>• Studying conducting
• Already be a proven young orchestral conductor in the professional musical world
• Provide statement</t>
  </si>
  <si>
    <t>• Financial hardship
• Selected WIL subjects</t>
  </si>
  <si>
    <t>• String student
• Academic merit</t>
  </si>
  <si>
    <t>• Student undertaking further studies as a piano accompanist or opera répétiteur 
• Academic merit</t>
  </si>
  <si>
    <t>• Singing student
• Female preference
• Academic merit</t>
  </si>
  <si>
    <t>• Student at  Sydney Conservatorium of Music
• Provide statement
• Academic merit</t>
  </si>
  <si>
    <t>• Studying classical music, including early music and opera studies
• Academic merit
• Provide statement</t>
  </si>
  <si>
    <t>• Classical music (including early music and opera) student
• Academic merit
• Provide statement</t>
  </si>
  <si>
    <t>• Singing student
• Female</t>
  </si>
  <si>
    <t>• Student studying conducting
• Academic merit
• Provide statement</t>
  </si>
  <si>
    <t>• Opera student
• Low socio-economic background</t>
  </si>
  <si>
    <t>• Student at the Conservatorium
• Academic merit
• Provide statement</t>
  </si>
  <si>
    <t>• International Business
• Academic Merit</t>
  </si>
  <si>
    <t>• School of Business programs
• Academic merit (ATAR)
• Recent School Leaver</t>
  </si>
  <si>
    <t>$9,000</t>
  </si>
  <si>
    <t>• Student at the Conservatorium
• Academic merit
• Studying violin.</t>
  </si>
  <si>
    <t>• Pianoforte student
• Academic merit
• Provide statement</t>
  </si>
  <si>
    <t>• Between 20 and 45 years old
• Studying vocal teaching and repertoire</t>
  </si>
  <si>
    <t>• Studying vocal studies
• Academic merit
• Provide statement</t>
  </si>
  <si>
    <t>• Completed the Bachelor of Design in Architecture
• Academic merit</t>
  </si>
  <si>
    <t>• Piano, violin, viola or cello student
• Financial hardship</t>
  </si>
  <si>
    <t>• Student at the Conservatorium 
• Academic merit
• Provide statement</t>
  </si>
  <si>
    <t>• Recent piano graduate from the Conservatorium</t>
  </si>
  <si>
    <t>• Student at the Conservatorium
• Preference will be given to students studying bassoon, oboe or saxophone.
• Academic merit</t>
  </si>
  <si>
    <t>• Saxophone student
• Low socio-economic background 
• 1st and 2nd year</t>
  </si>
  <si>
    <t>2 subjects</t>
  </si>
  <si>
    <t>• 1st year MBA
• Applicant of the UN Women MBA Scholarship</t>
  </si>
  <si>
    <t>• Executive Master of Business Administration
• 1st year
• Academic Merit
• Ideally be working in a social enterprise or as a social entrepreneur</t>
  </si>
  <si>
    <t>• Singing student
• Academic merit
• Provide statement</t>
  </si>
  <si>
    <t>• Academic Merit
• Financial hardship</t>
  </si>
  <si>
    <t>• Brass, percussion, jazz, keyboard, organ and church music, vocal studies, opera, woodwind, composition, music education or musicology students
• Academic merit
• Provide statement</t>
  </si>
  <si>
    <t>• Final year of Bachelor of Architecture and Environments
• Completed the Unit of Study BAEN3001</t>
  </si>
  <si>
    <t>• Student at the Conservatorium
• Studying violin
• Academic merit</t>
  </si>
  <si>
    <t>$10,000-$40,000</t>
  </si>
  <si>
    <t>• MBA (Leadership and Enterprise)</t>
  </si>
  <si>
    <t>• Undergraduate double bass student
• Academic merit
• Provide statement</t>
  </si>
  <si>
    <t>• Student at the Conservatorium
• Studying classical music.
• Provide statement</t>
  </si>
  <si>
    <t>• Music and voice student
• Academic merit
• Provide statement</t>
  </si>
  <si>
    <t>• Studying 'back of orchestra' instruments including lower bass (trombones), or woodwind (clarinet, oboe or bassoon)
• Academic merit
• Provide statement</t>
  </si>
  <si>
    <t>• Voice and/or instrument student
• Academic merit
• Provide statement</t>
  </si>
  <si>
    <t>• Undergraduate music students
• Low socio-economic background</t>
  </si>
  <si>
    <t>• Singing, oboe, violin, cello or clarinet student 
• Born in Australia
• Aged between 20 and 30</t>
  </si>
  <si>
    <t>• Rural or Regional
• Academic merit
• Provide statement</t>
  </si>
  <si>
    <t>50%-100% tuition fees</t>
  </si>
  <si>
    <t>• Minimum 10 years of professional experience
• University staff who plan to study the Executive MBA</t>
  </si>
  <si>
    <t>• University staff member eligible to study the MBA
• Provide statement
• Academic Merit</t>
  </si>
  <si>
    <t>• Cello, violin and/or piano student 
• Academic merit
• Provide statement</t>
  </si>
  <si>
    <t>• Studying classical music
• Financial hardship</t>
  </si>
  <si>
    <t>• Music education student
• Academic merit
• Provide statement</t>
  </si>
  <si>
    <t>• Organ student 
• Academic merit
• Provide statement</t>
  </si>
  <si>
    <t>• French horn student
• Academic merit</t>
  </si>
  <si>
    <t>$5,000-$10,000</t>
  </si>
  <si>
    <t>• Accounting honours
• Academic Merit</t>
  </si>
  <si>
    <t>• Accounting Honours
• Academic Merit</t>
  </si>
  <si>
    <t>• Studying voice or piano
• Academic merit
• Provide statement
• Financial hardship</t>
  </si>
  <si>
    <t>3-4 years</t>
  </si>
  <si>
    <t>• School of Business
• Academic merit (ATAR)
• Rural or Regional</t>
  </si>
  <si>
    <t>• Female
• Organ student
• Academic merit</t>
  </si>
  <si>
    <t>• School of Business
• Academic merit (ATAR)
• HSL or gap year
• Provide statement - extracurricular activites</t>
  </si>
  <si>
    <t>2 units of study</t>
  </si>
  <si>
    <t>• Master of Business Administration
• Demonstrate outstanding leadership potential in the business domain
• Academic Merit</t>
  </si>
  <si>
    <t>• Violin student
• Academic merit</t>
  </si>
  <si>
    <t>• Academic merit
• Provide statement
• Studying piano</t>
  </si>
  <si>
    <t>• Piano, Voice or Orchestral Instruments student
• Academic merit</t>
  </si>
  <si>
    <t>• Member of a string quartet
• Academic merit</t>
  </si>
  <si>
    <t>• Student at the Conservatorium of Music
• Financial hardship</t>
  </si>
  <si>
    <t>• Studying brass instrument
• Academic merit</t>
  </si>
  <si>
    <t>• Studying vocal studies or similar
• Academic merit</t>
  </si>
  <si>
    <t>• Student at the Conservatorium of Music
• Financial hardship
• Be from a low socio-economic background</t>
  </si>
  <si>
    <t>• 1st year MBA
• Academic Merit</t>
  </si>
  <si>
    <t>66% of tuition fees</t>
  </si>
  <si>
    <t>• Executive MBA
• Not be an employee of the University of Sydney or UN Women National Committee Australia
• Provide Statement
• Academic Merit</t>
  </si>
  <si>
    <t>• School of Business
• Academic merit (ATAR)
• Provide statement</t>
  </si>
  <si>
    <t>• School of Business
• Academic merit (ATAR or WAM)
• Provide statement</t>
  </si>
  <si>
    <t>High Potential/Equity</t>
  </si>
  <si>
    <t>$5,000: Academic Merit
$7,000: Financial Need</t>
  </si>
  <si>
    <t>• Academic Merit 
• Financial Hardship
• School of Business</t>
  </si>
  <si>
    <t>• Violin, viola, violoncello, piano or organ student 
• Academic merit</t>
  </si>
  <si>
    <t>• Piano student
• Academic merit</t>
  </si>
  <si>
    <t>• School of Business
• Academic merit (ATAR)
• Financial hardship</t>
  </si>
  <si>
    <t>• School of Business
• Student from a government high school
• Academic merit (ATAR)</t>
  </si>
  <si>
    <t>• Business Honours
• Academic Merit</t>
  </si>
  <si>
    <t>• Classical music student
• Low socio-economic background
• Financial hardship</t>
  </si>
  <si>
    <t>• Come from a "Disadvantaged Background"
• Student at the Conservatorium of Music</t>
  </si>
  <si>
    <t>• Female
• 2nd year
• Bachelor of Commerce
• Academic merit</t>
  </si>
  <si>
    <t>• Master of English Studies or Master of Creative Writing student
• Financial hardship
• UAC Equity</t>
  </si>
  <si>
    <t>• Final year of a Bachelor of Laws (LLB)
• Academic merit
• Provide statement</t>
  </si>
  <si>
    <t>• School of Chemical and Biomolecular Engineering
• Rural or Regional
• Academic merit</t>
  </si>
  <si>
    <t>$1,666</t>
  </si>
  <si>
    <t>• Honours in American Studies
• Must undertake a project or activity
• Academic merit</t>
  </si>
  <si>
    <t>$8,500</t>
  </si>
  <si>
    <t>• Bachelor of Civil Engineering
• UAC Equity 
• Low Socio-Economic background</t>
  </si>
  <si>
    <t>• Engineering, Health or Medicine programs
• UAC Equity 
• Low Socio-Economic background</t>
  </si>
  <si>
    <t>• Faculty of Arts and Social Sciences
• 1st year
• Academic merit</t>
  </si>
  <si>
    <t>• Juris Doctor
• Academic merit</t>
  </si>
  <si>
    <t>• Anthropology honours student
• UAC Equirty</t>
  </si>
  <si>
    <t>• Chemical and Biomolecular Engineering programs 
• Financial hardship
• Selected subjects</t>
  </si>
  <si>
    <t>• Selected Laws programs
• Domestic and international students</t>
  </si>
  <si>
    <t>• Selected Laws programs
• Willing to attend the LawWithoutWalls (LWOW) Sprint program
• Avaliable to both international and domestic</t>
  </si>
  <si>
    <t>• Bachelor of Advanced Computing (Honours)
• Domestic and international students
• Academic merit (WAM)</t>
  </si>
  <si>
    <t>• Faculty of Arts or School of Business
• UAC Equity
• Academic merit</t>
  </si>
  <si>
    <t>• Selected primary teaching programs
• Demonstrate an interest in primary curriculum development</t>
  </si>
  <si>
    <t>• Faculty of Engineering
• Enrolled in COMP4446
• UAC Equity (Selected criteria)</t>
  </si>
  <si>
    <t>• Bachelor of Laws or Juris Doctor
• In Social Justice Program (run by the school)
•</t>
  </si>
  <si>
    <t>• Bachelor of Laws (LLB)
• HSL or gap year
• Financial hardship</t>
  </si>
  <si>
    <t>• Business or Economics programs
• Low Socio-Economic background</t>
  </si>
  <si>
    <t>• Female
• Economic programs 
• 3rd year</t>
  </si>
  <si>
    <t>• Master of Teaching (Early Childhood)
• 1st year
• Provide statement &amp; References</t>
  </si>
  <si>
    <t>• Faculty of Engineering
• Academic merit (WAM)</t>
  </si>
  <si>
    <t>• Financial hardship
• Faculty of Engineering
• Have completed at least one semester of study</t>
  </si>
  <si>
    <t>$22,000</t>
  </si>
  <si>
    <t xml:space="preserve">• Selected Engineering programs
• Continuing 
• Academic Merit </t>
  </si>
  <si>
    <t xml:space="preserve">• HSL 
• Faculty of Engineering
• Academic merit (ATAR) </t>
  </si>
  <si>
    <t>• HCA programs
• Major in History
• Provide statement
• Financial Hardship
• Academic Merit</t>
  </si>
  <si>
    <t>• Rural or Regional
• 1st year Bachelor of Laws or Juris Doctor
• Written statement - community work/leadership skills</t>
  </si>
  <si>
    <t xml:space="preserve">• Faculty of Engineering: Masters
• Academic merit (WAM) </t>
  </si>
  <si>
    <t>• Female 
• HSL
• Faculty of Engineering
• Academic merit (ATAR)</t>
  </si>
  <si>
    <t xml:space="preserve">• Civil Engineering
• 2nd year </t>
  </si>
  <si>
    <t xml:space="preserve">• Faculty of Arts and Social Sciences
• Selected subjects </t>
  </si>
  <si>
    <t>• Faculty of Arts and Social Sciences
• Studying French and Francophone or Germanic Studies
• Academic merit</t>
  </si>
  <si>
    <t>$177 per CP
Max $34,000</t>
  </si>
  <si>
    <t>• HSL
• Female 
• Apply for admission through EAS</t>
  </si>
  <si>
    <t>$12,000 - UG
$9,000 - PG</t>
  </si>
  <si>
    <t>• Selected teaching programs 
• Undertake an internship at the International Grammar School</t>
  </si>
  <si>
    <t xml:space="preserve">• Engineering programs 
• Low Socio-Economic background
• Academic merit </t>
  </si>
  <si>
    <t>$50,000</t>
  </si>
  <si>
    <t>• About to or have graduated from a Bachelor of Laws or Juris Doctor from the University of Sydney within the last 5 years
• Unconditional offer of admission in a postgraduate degree within the Sydney Law School</t>
  </si>
  <si>
    <t>• Sydney School of Education
• Intend to teach mathematics or science
• Academic merit</t>
  </si>
  <si>
    <t>• Faculty of Arts and Social Sciences
• Minor in Australian Literature</t>
  </si>
  <si>
    <t>3 semesters</t>
  </si>
  <si>
    <t>• Female 
• Master of English Studies or Master of Creative Writing student</t>
  </si>
  <si>
    <t xml:space="preserve">• Bachelor of Visual Arts or Bachelor of Visual Arts and Bachelor of Advanced Studies student
• Financial hardship
• UAC Equity </t>
  </si>
  <si>
    <t>• Bachelor of Visual Arts, or Bachelor of Visual Arts and Bachelor of Advanced Studies student
• Financial hardship
• Studio specialisation</t>
  </si>
  <si>
    <t>• BA (Hons), BA and BAS (Hons), BAS (Hons)
• Conducting research in history</t>
  </si>
  <si>
    <t>• Master of Criminology 
• Academic merit (WAM)</t>
  </si>
  <si>
    <t>• Enrolled into Indonesian unit(s) of study
• 1st or 2nd year
• Academic merit (ATAR OR WAM)</t>
  </si>
  <si>
    <t>• Currently enrolled in final semester in a LLB or JD
• Undertake a 75 day PLT program at Marrickville Legal Centre</t>
  </si>
  <si>
    <t>• Currently enrolled in final semester in LLB or JD
• Undertake a 75-day PLT program at the Redfern Legal Centre</t>
  </si>
  <si>
    <t>• Italian honours student
• Preference may be given to students who can demonstrate financial need.</t>
  </si>
  <si>
    <t>$40,000</t>
  </si>
  <si>
    <t>• School of Law programs
• Academic merit 
• Completing research or studies in the fields of commercial law or equity</t>
  </si>
  <si>
    <t>• Majoring in English
• Financial hardship
• UAC Equity</t>
  </si>
  <si>
    <t>$8,300</t>
  </si>
  <si>
    <t>• Bachelor of Arts or Bachelor of Arts and Bachelor of Advanced Studies student
• Major in History
• Demonstrate disadvantage or hardship.</t>
  </si>
  <si>
    <t>$8,200</t>
  </si>
  <si>
    <t>• Faculty of Arts and Social Sciences
• 2nd year
• Majoring in Arabic Languages and Cultures</t>
  </si>
  <si>
    <t>$4,500</t>
  </si>
  <si>
    <t>• Studying visual arts
• Final year</t>
  </si>
  <si>
    <t>• Juris Doctor
• Financial hardship</t>
  </si>
  <si>
    <t>• Male
• HSL
• School of Chemical and Biomolecular Engineering
• Rural or Regional</t>
  </si>
  <si>
    <t>• Civil Engineering
• Financial hardship
• NSW resident</t>
  </si>
  <si>
    <t>• Philosophy honours student
• UAC Equity
• School of Humanities</t>
  </si>
  <si>
    <t>• Academic Merit
• School of Chemical and Biomolecular Engineering - Selected programs
• Continuing</t>
  </si>
  <si>
    <t>• Female 
• HSL
• Faculty of Engineering</t>
  </si>
  <si>
    <t>• School of Education and Social Work 
• Must commence internship in the current year of receipt of scholarship</t>
  </si>
  <si>
    <t>• Bachelor of Economics or Bachelor of Economics combined degree student
• Selected subjects
• Academic merit (WAM)</t>
  </si>
  <si>
    <t xml:space="preserve">• Political Economy degree
• 1st year
• UAC Equity </t>
  </si>
  <si>
    <t>• Master of Social Justice
• 1st year 
• Not be a recipient of a Commonwealth Supported Place</t>
  </si>
  <si>
    <t>$312 per CP
Max $60,000</t>
  </si>
  <si>
    <t>• Faculty of Engineering
• Aboriginal and/or Torres Strait Islander and/or experiencing financial hardship and/or from rural/regional/remote area
• HSL</t>
  </si>
  <si>
    <t>$4,000
Living allowance
Tuition fees
2 subjects</t>
  </si>
  <si>
    <t>• 1st year
• Selected subjects
• Academic merit (WAM)</t>
  </si>
  <si>
    <t>• Master of Social Justice
• Not be a recipient of a Commonwealth supported place.</t>
  </si>
  <si>
    <t>$60,000</t>
  </si>
  <si>
    <t>• Bachelor of Civil Law
• About to graduate/have graduated in the last two years from the Bachelor of Laws or Juris Doctor at the University of Sydney</t>
  </si>
  <si>
    <t>• HSL or gap year
• Commencing Bachelor of Engineering Honours (Mechanical or Mechatronic Engineering)
• Academic merit</t>
  </si>
  <si>
    <t>• Philosophy Honours student
• Philosophy must be in the areas of bioethics, ethics, or political philosophy</t>
  </si>
  <si>
    <t>• Combined Law or the Juris Doctor Program
• Financial hardship</t>
  </si>
  <si>
    <t>• Faculty of Arts and Social Sciences
• Studying modern Greek or Byzantine studies</t>
  </si>
  <si>
    <t>• Gender and Cultural Studies
• Financial hardship
• UAC Equity</t>
  </si>
  <si>
    <t>$11,750</t>
  </si>
  <si>
    <t>• Undertake an internship at Ravenswood School for Girls
• Final year
• English, mathematics, science, social sciences, languages, and/or TESOL
• Academic merit</t>
  </si>
  <si>
    <t xml:space="preserve">• Studying an undergraduate degree at the School of Chemical and Biomolecular Engineering
• HSL </t>
  </si>
  <si>
    <t>• Master of Social Work (Qualifying)
• Two years experience working in HIV/AIDS
• Counsellor in the area of HIV/AIDS
• Hold a degree or diploma in social welfare, social work, psychology or a related area</t>
  </si>
  <si>
    <t>• Sydney Law School
• Academic merit</t>
  </si>
  <si>
    <t>• Commencing an undergraduate combined law program
• Financial hardship</t>
  </si>
  <si>
    <t>• Combined undergraduate law degree student
• Financial hardship</t>
  </si>
  <si>
    <t>• Undertake an internship at Saint Ignatius College Riverview School
• Final year</t>
  </si>
  <si>
    <t>• Aeronautical or Aerospace Engineering
• Low SES 
• Academic merit</t>
  </si>
  <si>
    <t>• HSL
• Demonstrate financial hardship, medical condition, or be from a rural or remote area
• Faculty of Engineering</t>
  </si>
  <si>
    <t>• Honours year
• Bachelor of Advanced Studies
• Domestic or international student</t>
  </si>
  <si>
    <t>• Bachelor of Arts (Dual Degree, Sciences Po, France) or Bachelor of Economics (Dual Degree, Sciences Po, France)
• Academic merit
• Provide statement</t>
  </si>
  <si>
    <t>• Studying in the School of Art, Communication and English
• Demonstrate your ability to compose poetry and/or academic writing about poetry</t>
  </si>
  <si>
    <t>• Faculty of Arts and Social Sciences programs
• No CSP
• 1st year</t>
  </si>
  <si>
    <t>$4,350</t>
  </si>
  <si>
    <t>• Faculty of Arts and Social Sciences
• Financial hardship
• Demonstrate interest in policy and law reform</t>
  </si>
  <si>
    <t xml:space="preserve">• Academic merit
• Provide statement
• Participating in promotion and development of Australian choral music as choral conductor
• Must be aged up to 35 years </t>
  </si>
  <si>
    <t>• Major in Chinese Studies (introductory) 
• Honours in Chinese studies</t>
  </si>
  <si>
    <t>• Undertake an internship at Wenona School.
• Final year
• Academic merit (WAM)</t>
  </si>
  <si>
    <t>• Academic merit (WAM)
• Undertake an internship
• Final year</t>
  </si>
  <si>
    <t>• Bachelor of Laws (LLB) or a Juris Doctor (JD) 
• Registered with Inclusion and Disability Services (IDS) 
• Selected subjects</t>
  </si>
  <si>
    <t>• Hebrew, Biblical and Jewish Studies degree
• Must have completed selected subjects</t>
  </si>
  <si>
    <t>• Southeast Asian studies
• Faculty of Arts and Social Sciences</t>
  </si>
  <si>
    <t>• Honours year in English
• Academic merit 
• Provide statement</t>
  </si>
  <si>
    <t>• Bachelor of Visual Arts or Bachelor of Visual Arts and Bachelor of Advanced Studies
• UAC Equity
• Selected subjects</t>
  </si>
  <si>
    <t>• Undertake an internship at Kambala School
• Final year
• Academic merit (WAM)</t>
  </si>
  <si>
    <t>• Undertake an internship at Knox Grammar School
• Final year
• Academic merit (WAM)</t>
  </si>
  <si>
    <t>• Masters in Indigenous Language Education student
• Provide statement</t>
  </si>
  <si>
    <t>9 months</t>
  </si>
  <si>
    <t>• Undertake an internship at MLC School
• Final year
• Academic merit (WAM)</t>
  </si>
  <si>
    <t>• Studying English
• Financial hardship
• UAC Equity</t>
  </si>
  <si>
    <t>• Aged between 18 and 30
• Written statement - community &amp; leadership work
• 2nd year</t>
  </si>
  <si>
    <t xml:space="preserve">• Social Work/Social Welfare programs
• Financial hardship
• UAC Equity </t>
  </si>
  <si>
    <t>• Undertake an internship at Sydney Church of England Grammar School (Shore)
• Final year
• Academic merit (WAM)</t>
  </si>
  <si>
    <t>$16,000</t>
  </si>
  <si>
    <t>• Faculty of Engineering
• Demonstrate financial need, financial disadvantage, or social disadvantage</t>
  </si>
  <si>
    <t>• Faculty of Engineering
• Rural or Regional
• Provide statement</t>
  </si>
  <si>
    <t>• English Major
• 2nd, 3rd or 4th yea
• UAC Equity</t>
  </si>
  <si>
    <t>• Undertake an internship at Waverley College 
• Final year
• Academic merit (WAM)</t>
  </si>
  <si>
    <t>• Female
• Bachelor of Engineering Honours (Civil Engineering)
• Able to demonstrate financial need, diligence and good conduct
1 July 2</t>
  </si>
  <si>
    <t>• Equity Criteria
• Sydney College of the Arts programs</t>
  </si>
  <si>
    <t>• Major in American Studies
• UAC Equity</t>
  </si>
  <si>
    <t>• Studying education
• Interested in the area of special needs
• Financial hardship</t>
  </si>
  <si>
    <t>• Selected subject in Archaeology 
• Field work at Zagora
• Avaliable to both international and domestic</t>
  </si>
  <si>
    <t>• Aboriginal and/or Torres Strait Islander or from a low socio-economic background
• Engineering Degree</t>
  </si>
  <si>
    <t>• Penultimate year of Bachelor of Laws or Juris Doctor
• Academic merit</t>
  </si>
  <si>
    <t xml:space="preserve">1 term, 2 $5,000 
payments. </t>
  </si>
  <si>
    <t>• 3rd year Medicine
• Accepted into an elective term in orthopaedic and traumatic surgery
• Academic Merit
• Provide statement</t>
  </si>
  <si>
    <t>• Selected subjects in Pharmacy
• Must be completing mental health research</t>
  </si>
  <si>
    <t xml:space="preserve">• Occupational Therapy, Speech Pathology or Physiotherapy
• Academic merit </t>
  </si>
  <si>
    <t>$208.33 per CP
Max $10,000</t>
  </si>
  <si>
    <t>• Master of Medicine (Clinical Epidemiology) or Master of Science in Medicine (Clinical Epidemiology) student</t>
  </si>
  <si>
    <t>• Medicine students
• Present their own work at the conference
• 3rd or 4th year</t>
  </si>
  <si>
    <t>• School of Nursing and Midwifery
• Low SES
• Financial hardship</t>
  </si>
  <si>
    <t>• Bachelor of Oral Health or Dental Medicine
• Enrolled in courses requiring specialised course materials or uniforms
• Domestic or international student</t>
  </si>
  <si>
    <t>• Medicine and Health programs
• Enrolled in courses requiring specialised course materials or uniforms
• Domestic or international student</t>
  </si>
  <si>
    <t>• Coursework degree in Medicine and Health
• Undertaking a mandatory placement 
• Registered carer
• Domestic or international student</t>
  </si>
  <si>
    <t>1 semester</t>
  </si>
  <si>
    <t>• Master of Global Health student
• Experienced hardship or disadvantage (Similar to UAC Equity)</t>
  </si>
  <si>
    <t>• Master of Global Health
• Demonstrate a commitment to social justice and global health</t>
  </si>
  <si>
    <t xml:space="preserve">• Master of Public Health
• Demonstrate a commitment to social justice </t>
  </si>
  <si>
    <t>• Bachelor of Pharmacy and Management (Honours)  
• Academic merit (ATAR) 
• Rural or Regional - Preference</t>
  </si>
  <si>
    <t>• Selected Nursing programs
• Financial hardship</t>
  </si>
  <si>
    <t>• Pharmacy student
• Demonstrate financial or social disadvantage</t>
  </si>
  <si>
    <t>• Doctor of Medicine
• 3rd year
• Interested in general practice and community primary care</t>
  </si>
  <si>
    <t>• Master of Public Health
• UAC Equity</t>
  </si>
  <si>
    <t>• Master of Health Policy and Planning 
• Academic merit</t>
  </si>
  <si>
    <t xml:space="preserve">• Master of Health Policy and Planning
• Academic merit </t>
  </si>
  <si>
    <t xml:space="preserve">$300-$800
Depends on 
distance. </t>
  </si>
  <si>
    <t>• Final year Bachelor of Pharmacy and Management or Master of Pharmacy Practice.
• Placement site over 100km from home.
• Provide statement</t>
  </si>
  <si>
    <t>• Postgraduate nursing student from Greater Sydney
• Academic merit</t>
  </si>
  <si>
    <t>Split among 6 semesters
and a one-off
payment.</t>
  </si>
  <si>
    <t>• Nursing student from the Greater Sydney region
• 1st year</t>
  </si>
  <si>
    <t>$21,625</t>
  </si>
  <si>
    <t>• Selected Nursing programs
• Rural or Regional</t>
  </si>
  <si>
    <t>$87,500 (MAX)
Meant for
tuition</t>
  </si>
  <si>
    <t>$14,500 for 6 
semesters
$500 One-off</t>
  </si>
  <si>
    <t>• From an area of Australia that is not Greater Sydney
• Bachelor of Nursing (Advanced Studies)</t>
  </si>
  <si>
    <t>$36,000</t>
  </si>
  <si>
    <t>• School of Pharmacy: Selected programs
• Academic merit
• Provide statement</t>
  </si>
  <si>
    <t>• Doctor of Medicine 
• 1st year
• Academic merit</t>
  </si>
  <si>
    <t>Up to $7,500</t>
  </si>
  <si>
    <t>1.5 years</t>
  </si>
  <si>
    <t>• Master of Cancer and Haematology Nursing</t>
  </si>
  <si>
    <t>• Bachelor of Pharmacy
• Academic merit (ATAR)</t>
  </si>
  <si>
    <t>$750</t>
  </si>
  <si>
    <t>• Doctor of Dental Medicine
• 3rd year
• Academic merit</t>
  </si>
  <si>
    <t>• Nursing programs
• Demonstrate interest in reproductive health and family planning as a component of women’s health in developing countries.
• Academic Merit</t>
  </si>
  <si>
    <t xml:space="preserve">• Doctor of Veterinary Medicine
• UAC Equity </t>
  </si>
  <si>
    <t>• Master of Mathematical Sciences
• Academic merit (WAM)</t>
  </si>
  <si>
    <t>• Selected Mathematics subjects
• School of Science
• Domestic or international student</t>
  </si>
  <si>
    <t>$42,000</t>
  </si>
  <si>
    <t>• M Veterinary Studies, M Veterinary Clinical Studies
• Research area must be in veterinary pathology</t>
  </si>
  <si>
    <t>• Undertaking an honours program and specialising in soil science
• Academic merit 
• Provide statement</t>
  </si>
  <si>
    <t>• Studying Geology and/or Mineralogy within the School of Geosciences
• 1st year
• Avaliable to both international and domestic</t>
  </si>
  <si>
    <t>• Doctor of Veterinary Medicine
• Academic merit</t>
  </si>
  <si>
    <t>• Bachelor of Science and Bachelor of Advanced Studies (Agriculture)
• Selected majors
• 3rd year</t>
  </si>
  <si>
    <t>6 years</t>
  </si>
  <si>
    <t>• Bachelor of Veterinary Biology and Doctor of Veterinary Medicine 
• Rural or Regional
• HSL</t>
  </si>
  <si>
    <t>$5,250</t>
  </si>
  <si>
    <t>• Science programs majoring in Physics
• 2nd year
• Domestic or international student</t>
  </si>
  <si>
    <t>• Selected Science programs
• Low SES</t>
  </si>
  <si>
    <t>• Doctor of Veterinary Medicine
• UAC Equity</t>
  </si>
  <si>
    <t>• Doctor of Veterinary Medicine
• 3rd yearr
• UAC Equity</t>
  </si>
  <si>
    <t>• Continuing student
• Chemistry major
• UAC Equity</t>
  </si>
  <si>
    <t>• CDMS Honours
• Completed specified mathematics/statistics units of study
• Avaliable to both international and domestic</t>
  </si>
  <si>
    <t xml:space="preserve">• Honours degree in the School of Chemistry
• UAC Equity </t>
  </si>
  <si>
    <t>• Commencing honours student
• Completed an undergraduate degree at a university overseas, interstate or in rural or remote NSW
• Academic merit</t>
  </si>
  <si>
    <t>$54,000</t>
  </si>
  <si>
    <t xml:space="preserve">• Master of Veterinary Studies/Master of Veterinary Clinical 
• Graduated with a degree in veterinary science </t>
  </si>
  <si>
    <t>• Bachelor of Agricultural Science or Bachelor of Agricultural Science Honours
• Catholic
• HSL
• Financial hardship</t>
  </si>
  <si>
    <t>• Agricultural Science
• Academic merit</t>
  </si>
  <si>
    <t>• Faculty of Science
• Academic merit (ATAR)</t>
  </si>
  <si>
    <t>• Bachelor of Veterinary Biology and Doctor of Veterinary Medicine
• Top achiever in the HSC</t>
  </si>
  <si>
    <t>• Bachelor of Science (Honours), or embedded honours study within the Bachelor of Advanced Studies
• Achieve the highest grades in the final year of the Bachelor of Science</t>
  </si>
  <si>
    <t>• Faculty of Science
• Low SES
• UAC Equity</t>
  </si>
  <si>
    <t>• Selected subjects
• Honours (Applied Mathematics)
• Domestic or international student</t>
  </si>
  <si>
    <t>•  Graduate Diploma in Psychology
• Commencing 
• Academic merit</t>
  </si>
  <si>
    <t>• School of Physics
• UAC Equity
• Financial Hardship</t>
  </si>
  <si>
    <t>• Equity Criteria
• Selected Science programs
• Academic Merit</t>
  </si>
  <si>
    <t>• Female
• School of Mathematics and Statistics
• Domestic or international student</t>
  </si>
  <si>
    <t>• Female
• Faculty of Science: Subjects in Mathematics
• Domestic or international student</t>
  </si>
  <si>
    <t>• Female
• Faculty of Science
• HSL</t>
  </si>
  <si>
    <t>• Honours program in Agriculture focused research topic
• Must have completed selected science programs</t>
  </si>
  <si>
    <t>• UAC Equity</t>
  </si>
  <si>
    <t>• Doctor of Veterinary Medicine
• Selected subject</t>
  </si>
  <si>
    <t>• Doctor of Veterinary Medicine
• Academic merit
• Provide statement</t>
  </si>
  <si>
    <t>• Bachelor of Agricultural Science or Bachelor of Agricultural Science Honours
• HSL
• Financial hardship</t>
  </si>
  <si>
    <t>• Rural or Regional
• Bachelor of Science and Bachelor of Advanced Studies (Agriculture), or the Bachelor of Science and Bachelor of Advanced Studies (Food and Agribusiness)
• Active current recipient of the Rural Sustainability scholarship</t>
  </si>
  <si>
    <t>• HSL
• B Science/B Advanced Studies (Agriculture) or B Science/B Advanced Studies (Food and Agribusiness)  
• Rural or Regional</t>
  </si>
  <si>
    <t>• Psychology Honours
• 1 year
• Equity Criteria</t>
  </si>
  <si>
    <t>• Faculty of Science
• HSL
• Academic merit (ATAR)</t>
  </si>
  <si>
    <t>• Doctor of Veterinary Medicine
• Experience in the rural sector</t>
  </si>
  <si>
    <t>CSP instead of 
full-paying</t>
  </si>
  <si>
    <t>• Doctor of Veterinary Medicine
• Equity Criteria
• Commencing</t>
  </si>
  <si>
    <t>• Bachelor of Veterinary Biology and Doctor of Veterinary Medicine
• Be able to demonstrate low socio-economic status
• Commencing</t>
  </si>
  <si>
    <t>• Female
• Honours degree in the fields of Agriculture and Animal Sciences
• Domestic or international student</t>
  </si>
  <si>
    <t>$7,200</t>
  </si>
  <si>
    <t>• School of Science
• HSL 
• Rural or Regional</t>
  </si>
  <si>
    <t>• Doctor of Veterinary Medicine
• Sydney University Veterinary Society member
• UAC Equity</t>
  </si>
  <si>
    <t>• Top achiever in the HSC
• Bachelor of Veterinary Biology and Doctor of Veterinary Medicine</t>
  </si>
  <si>
    <t>• School of Chemistry
• Financial hardship</t>
  </si>
  <si>
    <t>$29,000</t>
  </si>
  <si>
    <t>• Honours program in Chemistry, Mathematics, Molecular Bioscience and/or Physics
• Financial hardship</t>
  </si>
  <si>
    <t>Accommodation
4 years</t>
  </si>
  <si>
    <t>• Under 30 years of age at the time of application
• MySydney Scholarship offer from the University of Sydney</t>
  </si>
  <si>
    <t>• Low SES</t>
  </si>
  <si>
    <t>5  years</t>
  </si>
  <si>
    <t>• Rural or Regional
• Financial hardship</t>
  </si>
  <si>
    <t>&lt;p&gt;a. The Scholarship is valued at $10,000 and is tenable for the normal full-time duration of the recipient’s undergraduate degree or combined undergraduate degree (agreed program).&lt;/p&gt;</t>
  </si>
  <si>
    <t>• HSL
• Academic merit (ATAR)</t>
  </si>
  <si>
    <t>• Sydney University rugby players
• Continuing
• Academic Merit
• Provide statement</t>
  </si>
  <si>
    <t>12 weeks</t>
  </si>
  <si>
    <t>• Internship in digital health
• Cover letter</t>
  </si>
  <si>
    <t>Non-Award</t>
  </si>
  <si>
    <t>• ELMP Non-Award Program 
• From a minority group
• 10 years of relevant professional experience 
• Employed in a project-related role</t>
  </si>
  <si>
    <t>• Rural or Regional
• Have experienced disadvantage
• HSL</t>
  </si>
  <si>
    <t>• Completed Year 12 in a rural high school with UAC educational disadvantage "SO1C"
• UAC Equity</t>
  </si>
  <si>
    <t>• Interested in issues related to urbanism 
• Academic merit (WAM)
• 1st year</t>
  </si>
  <si>
    <t>60% accommodation costs</t>
  </si>
  <si>
    <t>• Received a MySydney Scholarship
• Over 18
• Submitted an Educational Access Scheme (EAS) application</t>
  </si>
  <si>
    <t>• Low SES
• HSL</t>
  </si>
  <si>
    <t>• Must be from a disadvantaged background
• Preference to female in STEM</t>
  </si>
  <si>
    <t>Payable across total units of study required for relevant course.</t>
  </si>
  <si>
    <t>• Must be a full-fee paying student
• Selected programs</t>
  </si>
  <si>
    <t>• Not eligible for a MySydney Scholarship
• Meet selected UAC Equity criteria (not all)</t>
  </si>
  <si>
    <t>• Academic merit
• Financial hardship
• UAC Equity</t>
  </si>
  <si>
    <t>• Person with a physical disability
• Financial hardship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</si>
</sst>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10">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
      <patternFill patternType="solid">
        <fgColor rgb="FFCCFFCC"/>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7">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xf numFmtId="6" fontId="0" fillId="0" borderId="0" xfId="0" applyNumberFormat="1"/>
    <xf numFmtId="0" fontId="0" fillId="9" borderId="0" xfId="0" applyFill="1"/>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CCFFCC"/>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858"/>
  <sheetViews>
    <sheetView tabSelected="1" workbookViewId="0">
      <selection activeCell="K4" sqref="K4"/>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row r="515" spans="1:9" ht="75" x14ac:dyDescent="0.25">
      <c r="A515" s="16" t="s">
        <v>679</v>
      </c>
      <c r="B515" t="str">
        <f>HYPERLINK("https://www.sydney.edu.au/scholarships/a/alan-hyland-scholarship-for-instrumental-studies.html", "Alan Hyland Scholarship for Instrumental Studies")</f>
        <v>Alan Hyland Scholarship for Instrumental Studies</v>
      </c>
      <c r="C515" t="s">
        <v>680</v>
      </c>
      <c r="D515" t="s">
        <v>681</v>
      </c>
      <c r="E515" t="s">
        <v>682</v>
      </c>
      <c r="F515" t="s">
        <v>35</v>
      </c>
      <c r="G515" s="12" t="s">
        <v>683</v>
      </c>
      <c r="H515" t="s">
        <v>25</v>
      </c>
      <c r="I515" t="s">
        <v>25</v>
      </c>
    </row>
    <row r="516" spans="1:9" ht="75" x14ac:dyDescent="0.25">
      <c r="A516" s="16" t="s">
        <v>679</v>
      </c>
      <c r="B516" t="str">
        <f>HYPERLINK("https://www.sydney.edu.au/scholarships/a/alek-safarian-mba-scholarship.html", "Alek Safarian MBA Scholarship")</f>
        <v>Alek Safarian MBA Scholarship</v>
      </c>
      <c r="C516" t="s">
        <v>27</v>
      </c>
      <c r="D516" t="s">
        <v>684</v>
      </c>
      <c r="E516" t="s">
        <v>685</v>
      </c>
      <c r="F516" t="s">
        <v>51</v>
      </c>
      <c r="G516" s="12" t="s">
        <v>686</v>
      </c>
      <c r="H516" t="s">
        <v>25</v>
      </c>
      <c r="I516" t="s">
        <v>25</v>
      </c>
    </row>
    <row r="517" spans="1:9" ht="75" x14ac:dyDescent="0.25">
      <c r="A517" s="16" t="s">
        <v>679</v>
      </c>
      <c r="B517" t="str">
        <f>HYPERLINK("https://www.sydney.edu.au/scholarships/a/alexandria-harbin-atlassian-scholarship.html", "The Alexandria Harbin Atlassian Coursework Scholarship")</f>
        <v>The Alexandria Harbin Atlassian Coursework Scholarship</v>
      </c>
      <c r="C517" t="s">
        <v>27</v>
      </c>
      <c r="D517" s="15">
        <v>10000</v>
      </c>
      <c r="E517" t="s">
        <v>201</v>
      </c>
      <c r="F517" t="s">
        <v>51</v>
      </c>
      <c r="G517" s="12" t="s">
        <v>687</v>
      </c>
      <c r="H517" t="s">
        <v>25</v>
      </c>
      <c r="I517" t="s">
        <v>25</v>
      </c>
    </row>
    <row r="518" spans="1:9" ht="90" x14ac:dyDescent="0.25">
      <c r="A518" s="16" t="s">
        <v>679</v>
      </c>
      <c r="B518" t="str">
        <f>HYPERLINK("https://www.sydney.edu.au/scholarships/a/alison-burrell-bequest.html", "Alison Burrell Bequest")</f>
        <v>Alison Burrell Bequest</v>
      </c>
      <c r="C518" t="s">
        <v>680</v>
      </c>
      <c r="D518" t="s">
        <v>688</v>
      </c>
      <c r="E518" t="s">
        <v>201</v>
      </c>
      <c r="F518" t="s">
        <v>35</v>
      </c>
      <c r="G518" s="12" t="s">
        <v>689</v>
      </c>
      <c r="H518" t="s">
        <v>25</v>
      </c>
      <c r="I518" t="s">
        <v>25</v>
      </c>
    </row>
    <row r="519" spans="1:9" ht="150" x14ac:dyDescent="0.25">
      <c r="A519" s="16" t="s">
        <v>679</v>
      </c>
      <c r="B519" t="str">
        <f>HYPERLINK("https://www.sydney.edu.au/scholarships/a/anstice-mba-scholarship-community-leadership.html", "Anstice MBA Scholarship for Community Leadership")</f>
        <v>Anstice MBA Scholarship for Community Leadership</v>
      </c>
      <c r="C519" t="s">
        <v>27</v>
      </c>
      <c r="D519" t="s">
        <v>684</v>
      </c>
      <c r="E519" t="s">
        <v>685</v>
      </c>
      <c r="F519" t="s">
        <v>51</v>
      </c>
      <c r="G519" s="12" t="s">
        <v>690</v>
      </c>
      <c r="H519" t="s">
        <v>25</v>
      </c>
      <c r="I519" t="s">
        <v>25</v>
      </c>
    </row>
    <row r="520" spans="1:9" ht="60" x14ac:dyDescent="0.25">
      <c r="A520" s="16" t="s">
        <v>679</v>
      </c>
      <c r="B520"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520" t="s">
        <v>14</v>
      </c>
      <c r="D520" s="15">
        <v>10000</v>
      </c>
      <c r="E520" t="s">
        <v>201</v>
      </c>
      <c r="F520" t="s">
        <v>35</v>
      </c>
      <c r="G520" s="12" t="s">
        <v>691</v>
      </c>
      <c r="H520" t="s">
        <v>25</v>
      </c>
      <c r="I520" t="s">
        <v>25</v>
      </c>
    </row>
    <row r="521" spans="1:9" ht="75" x14ac:dyDescent="0.25">
      <c r="A521" s="16" t="s">
        <v>679</v>
      </c>
      <c r="B521" t="str">
        <f>HYPERLINK("https://www.sydney.edu.au/scholarships/a/anthony-sharon-lee-foundation-jazz-scholarship.html", "Anthony and Sharon Lee Foundation Jazz Scholarship")</f>
        <v>Anthony and Sharon Lee Foundation Jazz Scholarship</v>
      </c>
      <c r="C521" t="s">
        <v>14</v>
      </c>
      <c r="D521" s="12" t="s">
        <v>692</v>
      </c>
      <c r="E521" s="12" t="s">
        <v>693</v>
      </c>
      <c r="F521" t="s">
        <v>51</v>
      </c>
      <c r="G521" s="12" t="s">
        <v>694</v>
      </c>
      <c r="H521" t="s">
        <v>25</v>
      </c>
      <c r="I521" t="s">
        <v>25</v>
      </c>
    </row>
    <row r="522" spans="1:9" ht="75" x14ac:dyDescent="0.25">
      <c r="A522" s="16" t="s">
        <v>679</v>
      </c>
      <c r="B522" s="14" t="str">
        <f>HYPERLINK("https://www.sydney.edu.au/scholarships/a/anthony-strachan-scholarship.html", "Anthony Strachan Scholarship")</f>
        <v>Anthony Strachan Scholarship</v>
      </c>
      <c r="C522" t="s">
        <v>680</v>
      </c>
      <c r="D522" t="s">
        <v>681</v>
      </c>
      <c r="E522" t="s">
        <v>681</v>
      </c>
      <c r="F522" t="s">
        <v>35</v>
      </c>
      <c r="G522" s="12" t="s">
        <v>695</v>
      </c>
      <c r="H522" t="s">
        <v>25</v>
      </c>
      <c r="I522" t="s">
        <v>25</v>
      </c>
    </row>
    <row r="523" spans="1:9" ht="30" x14ac:dyDescent="0.25">
      <c r="A523" s="16" t="s">
        <v>679</v>
      </c>
      <c r="B523" t="str">
        <f>HYPERLINK("https://www.sydney.edu.au/scholarships/a/belinda-frances-hughes-piano-scholarship.html", "Belinda Frances Hughes Piano Scholarship")</f>
        <v>Belinda Frances Hughes Piano Scholarship</v>
      </c>
      <c r="C523" t="s">
        <v>680</v>
      </c>
      <c r="D523" t="s">
        <v>681</v>
      </c>
      <c r="E523" t="s">
        <v>682</v>
      </c>
      <c r="F523" t="s">
        <v>35</v>
      </c>
      <c r="G523" s="12" t="s">
        <v>696</v>
      </c>
      <c r="H523" t="s">
        <v>25</v>
      </c>
      <c r="I523" t="s">
        <v>25</v>
      </c>
    </row>
    <row r="524" spans="1:9" ht="30" x14ac:dyDescent="0.25">
      <c r="A524" s="16" t="s">
        <v>679</v>
      </c>
      <c r="B524" t="str">
        <f>HYPERLINK("https://www.sydney.edu.au/scholarships/a/belinda-frances-hughes-violin-scholarship.html", "Belinda Frances Hughes Violin Scholarship")</f>
        <v>Belinda Frances Hughes Violin Scholarship</v>
      </c>
      <c r="C524" t="s">
        <v>680</v>
      </c>
      <c r="D524" t="s">
        <v>681</v>
      </c>
      <c r="E524" t="s">
        <v>682</v>
      </c>
      <c r="F524" t="s">
        <v>35</v>
      </c>
      <c r="G524" s="12" t="s">
        <v>697</v>
      </c>
      <c r="H524" t="s">
        <v>25</v>
      </c>
      <c r="I524" t="s">
        <v>25</v>
      </c>
    </row>
    <row r="525" spans="1:9" ht="30" x14ac:dyDescent="0.25">
      <c r="A525" s="16" t="s">
        <v>679</v>
      </c>
      <c r="B525" t="str">
        <f>HYPERLINK("https://www.sydney.edu.au/scholarships/a/bessie-cook-piano-award.html", "The Bessie Cook Piano Award")</f>
        <v>The Bessie Cook Piano Award</v>
      </c>
      <c r="C525" t="s">
        <v>680</v>
      </c>
      <c r="D525" t="s">
        <v>688</v>
      </c>
      <c r="E525" t="s">
        <v>682</v>
      </c>
      <c r="F525" t="s">
        <v>698</v>
      </c>
      <c r="G525" s="12" t="s">
        <v>696</v>
      </c>
      <c r="H525" t="s">
        <v>25</v>
      </c>
      <c r="I525" t="s">
        <v>25</v>
      </c>
    </row>
    <row r="526" spans="1:9" ht="75" x14ac:dyDescent="0.25">
      <c r="A526" s="16" t="s">
        <v>679</v>
      </c>
      <c r="B526" t="str">
        <f>HYPERLINK("https://www.sydney.edu.au/scholarships/a/board-of-governors-scholarship.html", "Board of Governors' Scholarship")</f>
        <v>Board of Governors' Scholarship</v>
      </c>
      <c r="C526" t="s">
        <v>680</v>
      </c>
      <c r="D526" t="s">
        <v>681</v>
      </c>
      <c r="E526" t="s">
        <v>699</v>
      </c>
      <c r="F526" t="s">
        <v>35</v>
      </c>
      <c r="G526" s="12" t="s">
        <v>695</v>
      </c>
      <c r="H526" t="s">
        <v>25</v>
      </c>
      <c r="I526" t="s">
        <v>25</v>
      </c>
    </row>
    <row r="527" spans="1:9" ht="75" x14ac:dyDescent="0.25">
      <c r="A527" s="16" t="s">
        <v>679</v>
      </c>
      <c r="B527" t="str">
        <f>HYPERLINK("https://www.sydney.edu.au/scholarships/a/brian-abel-piano-scholarship.html", "Brian Abel Piano Scholarship")</f>
        <v>Brian Abel Piano Scholarship</v>
      </c>
      <c r="C527" t="s">
        <v>14</v>
      </c>
      <c r="D527" t="s">
        <v>681</v>
      </c>
      <c r="E527" t="s">
        <v>682</v>
      </c>
      <c r="F527" t="s">
        <v>698</v>
      </c>
      <c r="G527" s="12" t="s">
        <v>700</v>
      </c>
      <c r="H527" t="s">
        <v>25</v>
      </c>
      <c r="I527" t="s">
        <v>25</v>
      </c>
    </row>
    <row r="528" spans="1:9" ht="75" x14ac:dyDescent="0.25">
      <c r="A528" s="16" t="s">
        <v>679</v>
      </c>
      <c r="B528" t="str">
        <f>HYPERLINK("https://www.sydney.edu.au/scholarships/a/bruce-a-pontin-memorial-scholarship.html", "Bruce A Pontin Memorial Scholarship")</f>
        <v>Bruce A Pontin Memorial Scholarship</v>
      </c>
      <c r="C528" t="s">
        <v>680</v>
      </c>
      <c r="D528" t="s">
        <v>681</v>
      </c>
      <c r="E528" t="s">
        <v>682</v>
      </c>
      <c r="F528" t="s">
        <v>35</v>
      </c>
      <c r="G528" s="12" t="s">
        <v>701</v>
      </c>
      <c r="H528" t="s">
        <v>25</v>
      </c>
      <c r="I528" t="s">
        <v>25</v>
      </c>
    </row>
    <row r="529" spans="1:9" ht="90" x14ac:dyDescent="0.25">
      <c r="A529" s="16" t="s">
        <v>679</v>
      </c>
      <c r="B529" t="str">
        <f>HYPERLINK("https://www.sydney.edu.au/scholarships/a/business-school-all-round-excellence.html", "University of Sydney Business School All-Round Excellence Scholarship")</f>
        <v>University of Sydney Business School All-Round Excellence Scholarship</v>
      </c>
      <c r="C529" t="s">
        <v>27</v>
      </c>
      <c r="D529" s="15">
        <v>7500</v>
      </c>
      <c r="E529" t="s">
        <v>262</v>
      </c>
      <c r="F529" t="s">
        <v>13</v>
      </c>
      <c r="G529" s="12" t="s">
        <v>702</v>
      </c>
      <c r="H529" t="s">
        <v>25</v>
      </c>
      <c r="I529" t="s">
        <v>25</v>
      </c>
    </row>
    <row r="530" spans="1:9" ht="45" x14ac:dyDescent="0.25">
      <c r="A530" s="16" t="s">
        <v>679</v>
      </c>
      <c r="B530" t="str">
        <f>HYPERLINK("https://www.sydney.edu.au/scholarships/a/business_school_postgraduate_kick_starter_scholarship.html", "Business School Postgraduate Kick Starter Scholarship")</f>
        <v>Business School Postgraduate Kick Starter Scholarship</v>
      </c>
      <c r="C530" t="s">
        <v>27</v>
      </c>
      <c r="D530" s="12" t="s">
        <v>703</v>
      </c>
      <c r="E530" s="12" t="s">
        <v>704</v>
      </c>
      <c r="F530" t="s">
        <v>51</v>
      </c>
      <c r="G530" s="12" t="s">
        <v>705</v>
      </c>
      <c r="H530" t="s">
        <v>25</v>
      </c>
      <c r="I530" t="s">
        <v>25</v>
      </c>
    </row>
    <row r="531" spans="1:9" ht="60" x14ac:dyDescent="0.25">
      <c r="A531" s="16" t="s">
        <v>679</v>
      </c>
      <c r="B531" t="str">
        <f>HYPERLINK("https://www.sydney.edu.au/scholarships/a/buss4909-startup-project-scholarship.html", "BUSS4909 Startup Project Scholarship")</f>
        <v>BUSS4909 Startup Project Scholarship</v>
      </c>
      <c r="C531" t="s">
        <v>27</v>
      </c>
      <c r="D531" t="s">
        <v>208</v>
      </c>
      <c r="E531" t="s">
        <v>24</v>
      </c>
      <c r="F531" t="s">
        <v>13</v>
      </c>
      <c r="G531" s="12" t="s">
        <v>706</v>
      </c>
      <c r="H531" t="s">
        <v>25</v>
      </c>
      <c r="I531" t="s">
        <v>25</v>
      </c>
    </row>
    <row r="532" spans="1:9" ht="45" x14ac:dyDescent="0.25">
      <c r="A532" s="16" t="s">
        <v>679</v>
      </c>
      <c r="B532" t="str">
        <f>HYPERLINK("https://www.sydney.edu.au/scholarships/a/canon-honours-scholarship.html", "Canon Honours Scholarship")</f>
        <v>Canon Honours Scholarship</v>
      </c>
      <c r="C532" t="s">
        <v>27</v>
      </c>
      <c r="D532" s="7" t="s">
        <v>707</v>
      </c>
      <c r="E532" t="s">
        <v>201</v>
      </c>
      <c r="F532" t="s">
        <v>137</v>
      </c>
      <c r="G532" s="12" t="s">
        <v>708</v>
      </c>
      <c r="H532" t="s">
        <v>25</v>
      </c>
      <c r="I532" t="s">
        <v>25</v>
      </c>
    </row>
    <row r="533" spans="1:9" ht="45" x14ac:dyDescent="0.25">
      <c r="A533" s="16" t="s">
        <v>679</v>
      </c>
      <c r="B533" t="str">
        <f>HYPERLINK("https://www.sydney.edu.au/scholarships/a/cary-james-and-anne-witheford-back-of-orchestra-scholarship.html", "Cary James and Anne Witheford Back of Orchestra Scholarship")</f>
        <v>Cary James and Anne Witheford Back of Orchestra Scholarship</v>
      </c>
      <c r="C533" t="s">
        <v>680</v>
      </c>
      <c r="D533" t="s">
        <v>709</v>
      </c>
      <c r="E533" t="s">
        <v>269</v>
      </c>
      <c r="F533" t="s">
        <v>13</v>
      </c>
      <c r="G533" s="12" t="s">
        <v>710</v>
      </c>
      <c r="H533" t="s">
        <v>25</v>
      </c>
      <c r="I533" t="s">
        <v>25</v>
      </c>
    </row>
    <row r="534" spans="1:9" ht="45" x14ac:dyDescent="0.25">
      <c r="A534" s="16" t="s">
        <v>679</v>
      </c>
      <c r="B534" t="str">
        <f>HYPERLINK("https://www.sydney.edu.au/scholarships/a/chapple-bremner-scholarship.html", "Chapple/Bremner Scholarship")</f>
        <v>Chapple/Bremner Scholarship</v>
      </c>
      <c r="C534" t="s">
        <v>680</v>
      </c>
      <c r="D534" t="s">
        <v>681</v>
      </c>
      <c r="E534" t="s">
        <v>682</v>
      </c>
      <c r="F534" t="s">
        <v>35</v>
      </c>
      <c r="G534" s="12" t="s">
        <v>711</v>
      </c>
      <c r="H534" t="s">
        <v>25</v>
      </c>
      <c r="I534" t="s">
        <v>25</v>
      </c>
    </row>
    <row r="535" spans="1:9" ht="60" x14ac:dyDescent="0.25">
      <c r="A535" s="16" t="s">
        <v>679</v>
      </c>
      <c r="B535" t="str">
        <f>HYPERLINK("https://www.sydney.edu.au/scholarships/a/clarence-addison-turrill-scholarship.html", "Clarence Addison Turrill Scholarship")</f>
        <v>Clarence Addison Turrill Scholarship</v>
      </c>
      <c r="C535" t="s">
        <v>14</v>
      </c>
      <c r="D535" t="s">
        <v>688</v>
      </c>
      <c r="E535" t="s">
        <v>682</v>
      </c>
      <c r="F535" t="s">
        <v>51</v>
      </c>
      <c r="G535" s="12" t="s">
        <v>712</v>
      </c>
      <c r="H535" t="s">
        <v>25</v>
      </c>
      <c r="I535" t="s">
        <v>25</v>
      </c>
    </row>
    <row r="536" spans="1:9" ht="60" x14ac:dyDescent="0.25">
      <c r="A536" s="16" t="s">
        <v>679</v>
      </c>
      <c r="B536" t="str">
        <f>HYPERLINK("https://www.sydney.edu.au/scholarships/a/conservatorium-of-music-scholarship.html", "Conservatorium of Music Scholarship")</f>
        <v>Conservatorium of Music Scholarship</v>
      </c>
      <c r="C536" t="s">
        <v>680</v>
      </c>
      <c r="D536" t="s">
        <v>681</v>
      </c>
      <c r="E536" t="s">
        <v>682</v>
      </c>
      <c r="F536" t="s">
        <v>35</v>
      </c>
      <c r="G536" s="12" t="s">
        <v>713</v>
      </c>
      <c r="H536" t="s">
        <v>25</v>
      </c>
      <c r="I536" t="s">
        <v>25</v>
      </c>
    </row>
    <row r="537" spans="1:9" ht="30" x14ac:dyDescent="0.25">
      <c r="A537" s="16" t="s">
        <v>679</v>
      </c>
      <c r="B537" t="str">
        <f>HYPERLINK("https://www.sydney.edu.au/scholarships/a/corinna-dhage-mayer-string-scholarship.html", "Corinna D'Hage Mayer String Scholarship")</f>
        <v>Corinna D'Hage Mayer String Scholarship</v>
      </c>
      <c r="C537" t="s">
        <v>680</v>
      </c>
      <c r="D537" t="s">
        <v>681</v>
      </c>
      <c r="E537" t="s">
        <v>682</v>
      </c>
      <c r="F537" t="s">
        <v>35</v>
      </c>
      <c r="G537" s="12" t="s">
        <v>714</v>
      </c>
      <c r="H537" t="s">
        <v>25</v>
      </c>
      <c r="I537" t="s">
        <v>25</v>
      </c>
    </row>
    <row r="538" spans="1:9" ht="60" x14ac:dyDescent="0.25">
      <c r="A538" s="16" t="s">
        <v>679</v>
      </c>
      <c r="B538" t="str">
        <f>HYPERLINK("https://www.sydney.edu.au/scholarships/a/costa-rosa-harsas-award.html", "Costa Rosa Harsas Award")</f>
        <v>Costa Rosa Harsas Award</v>
      </c>
      <c r="C538" t="s">
        <v>14</v>
      </c>
      <c r="D538" t="s">
        <v>681</v>
      </c>
      <c r="E538" t="s">
        <v>682</v>
      </c>
      <c r="F538" t="s">
        <v>35</v>
      </c>
      <c r="G538" s="12" t="s">
        <v>715</v>
      </c>
      <c r="H538" t="s">
        <v>25</v>
      </c>
      <c r="I538" t="s">
        <v>25</v>
      </c>
    </row>
    <row r="539" spans="1:9" ht="90" x14ac:dyDescent="0.25">
      <c r="A539" s="16" t="s">
        <v>679</v>
      </c>
      <c r="B539" t="str">
        <f>HYPERLINK("https://www.sydney.edu.au/scholarships/a/cultural-diversity-business-executive-mba-scholarship.html", "Cultural Diversity in Business Executive MBA Scholarship")</f>
        <v>Cultural Diversity in Business Executive MBA Scholarship</v>
      </c>
      <c r="C539" t="s">
        <v>27</v>
      </c>
      <c r="D539" t="s">
        <v>716</v>
      </c>
      <c r="E539" t="s">
        <v>685</v>
      </c>
      <c r="F539" t="s">
        <v>51</v>
      </c>
      <c r="G539" s="12" t="s">
        <v>717</v>
      </c>
      <c r="H539" t="s">
        <v>25</v>
      </c>
      <c r="I539" t="s">
        <v>25</v>
      </c>
    </row>
    <row r="540" spans="1:9" ht="45" x14ac:dyDescent="0.25">
      <c r="A540" s="16" t="s">
        <v>679</v>
      </c>
      <c r="B540" t="str">
        <f>HYPERLINK("https://www.sydney.edu.au/scholarships/a/david-nhilla-dumbrell-scholarship.html", "The David and Nhilla Dumbrell Scholarship")</f>
        <v>The David and Nhilla Dumbrell Scholarship</v>
      </c>
      <c r="C540" t="s">
        <v>14</v>
      </c>
      <c r="D540" t="s">
        <v>688</v>
      </c>
      <c r="E540" t="s">
        <v>682</v>
      </c>
      <c r="F540" t="s">
        <v>35</v>
      </c>
      <c r="G540" s="12" t="s">
        <v>718</v>
      </c>
      <c r="H540" t="s">
        <v>25</v>
      </c>
      <c r="I540" t="s">
        <v>25</v>
      </c>
    </row>
    <row r="541" spans="1:9" ht="75" x14ac:dyDescent="0.25">
      <c r="A541" s="16" t="s">
        <v>679</v>
      </c>
      <c r="B541" t="str">
        <f>HYPERLINK("https://www.sydney.edu.au/scholarships/a/david-w-johnson-scholarship.html", "David W Johnson Scholarship")</f>
        <v>David W Johnson Scholarship</v>
      </c>
      <c r="C541" t="s">
        <v>27</v>
      </c>
      <c r="D541" t="s">
        <v>202</v>
      </c>
      <c r="E541" t="s">
        <v>262</v>
      </c>
      <c r="F541" t="s">
        <v>13</v>
      </c>
      <c r="G541" s="12" t="s">
        <v>719</v>
      </c>
      <c r="H541" t="s">
        <v>25</v>
      </c>
      <c r="I541" t="s">
        <v>25</v>
      </c>
    </row>
    <row r="542" spans="1:9" ht="90" x14ac:dyDescent="0.25">
      <c r="A542" s="16" t="s">
        <v>679</v>
      </c>
      <c r="B542" t="str">
        <f>HYPERLINK("https://www.sydney.edu.au/scholarships/a/deans-excellence-scholarship-emba.html", "The Dean's Excellence Scholarship (Executive MBA)")</f>
        <v>The Dean's Excellence Scholarship (Executive MBA)</v>
      </c>
      <c r="C542" t="s">
        <v>27</v>
      </c>
      <c r="D542" t="s">
        <v>720</v>
      </c>
      <c r="E542" t="s">
        <v>685</v>
      </c>
      <c r="F542" t="s">
        <v>51</v>
      </c>
      <c r="G542" s="12" t="s">
        <v>721</v>
      </c>
      <c r="H542" t="s">
        <v>25</v>
      </c>
      <c r="I542" t="s">
        <v>25</v>
      </c>
    </row>
    <row r="543" spans="1:9" ht="120" x14ac:dyDescent="0.25">
      <c r="A543" s="16" t="s">
        <v>679</v>
      </c>
      <c r="B543" t="str">
        <f>HYPERLINK("https://www.sydney.edu.au/scholarships/a/deans-merit-scholarship.html", "Architecture, Design and Planning Dean's Merit Scholarship")</f>
        <v>Architecture, Design and Planning Dean's Merit Scholarship</v>
      </c>
      <c r="C543" t="s">
        <v>27</v>
      </c>
      <c r="D543" s="15">
        <v>1000</v>
      </c>
      <c r="E543" t="s">
        <v>201</v>
      </c>
      <c r="F543" t="s">
        <v>13</v>
      </c>
      <c r="G543" s="12" t="s">
        <v>722</v>
      </c>
      <c r="H543" t="s">
        <v>25</v>
      </c>
      <c r="I543" t="s">
        <v>25</v>
      </c>
    </row>
    <row r="544" spans="1:9" ht="120" x14ac:dyDescent="0.25">
      <c r="A544" s="16" t="s">
        <v>679</v>
      </c>
      <c r="B544" t="str">
        <f>HYPERLINK("https://www.sydney.edu.au/scholarships/a/deans-outstanding-merit-scholarship.html", "Architecture, Design and Planning Dean's Outstanding Merit Scholarship")</f>
        <v>Architecture, Design and Planning Dean's Outstanding Merit Scholarship</v>
      </c>
      <c r="C544" t="s">
        <v>27</v>
      </c>
      <c r="D544" s="15">
        <v>1000</v>
      </c>
      <c r="E544" t="s">
        <v>685</v>
      </c>
      <c r="F544" t="s">
        <v>13</v>
      </c>
      <c r="G544" s="12" t="s">
        <v>722</v>
      </c>
      <c r="H544" t="s">
        <v>25</v>
      </c>
      <c r="I544" t="s">
        <v>25</v>
      </c>
    </row>
    <row r="545" spans="1:9" ht="90" x14ac:dyDescent="0.25">
      <c r="A545" s="16" t="s">
        <v>679</v>
      </c>
      <c r="B545" t="str">
        <f>HYPERLINK("https://www.sydney.edu.au/scholarships/a/deans-scholarship-business.html", "Dean's Undergraduate Scholarship in Business")</f>
        <v>Dean's Undergraduate Scholarship in Business</v>
      </c>
      <c r="C545" t="s">
        <v>27</v>
      </c>
      <c r="D545" t="s">
        <v>248</v>
      </c>
      <c r="E545" t="s">
        <v>262</v>
      </c>
      <c r="F545" t="s">
        <v>13</v>
      </c>
      <c r="G545" s="12" t="s">
        <v>723</v>
      </c>
      <c r="H545" t="s">
        <v>25</v>
      </c>
      <c r="I545" t="s">
        <v>25</v>
      </c>
    </row>
    <row r="546" spans="1:9" ht="45" x14ac:dyDescent="0.25">
      <c r="A546" s="16" t="s">
        <v>679</v>
      </c>
      <c r="B546" t="str">
        <f>HYPERLINK("https://www.sydney.edu.au/scholarships/a/deirdre-hall-scholarship-for-musically-talented-flute-students.html", "Deirdre Hall Scholarship for Musically Talented Flute Students")</f>
        <v>Deirdre Hall Scholarship for Musically Talented Flute Students</v>
      </c>
      <c r="C546" t="s">
        <v>14</v>
      </c>
      <c r="D546" t="s">
        <v>208</v>
      </c>
      <c r="E546" t="s">
        <v>699</v>
      </c>
      <c r="F546" t="s">
        <v>13</v>
      </c>
      <c r="G546" s="12" t="s">
        <v>724</v>
      </c>
      <c r="H546" t="s">
        <v>25</v>
      </c>
      <c r="I546" t="s">
        <v>25</v>
      </c>
    </row>
    <row r="547" spans="1:9" ht="75" x14ac:dyDescent="0.25">
      <c r="A547" s="16" t="s">
        <v>679</v>
      </c>
      <c r="B547" t="str">
        <f>HYPERLINK("https://www.sydney.edu.au/scholarships/a/diana-inglis-carment-scholarship.html", "Diana Inglis Carment Scholarship")</f>
        <v>Diana Inglis Carment Scholarship</v>
      </c>
      <c r="C547" t="s">
        <v>27</v>
      </c>
      <c r="D547" t="s">
        <v>208</v>
      </c>
      <c r="E547" t="s">
        <v>201</v>
      </c>
      <c r="F547" t="s">
        <v>13</v>
      </c>
      <c r="G547" s="12" t="s">
        <v>725</v>
      </c>
      <c r="H547" t="s">
        <v>25</v>
      </c>
      <c r="I547" t="s">
        <v>25</v>
      </c>
    </row>
    <row r="548" spans="1:9" ht="105" x14ac:dyDescent="0.25">
      <c r="A548" s="16" t="s">
        <v>679</v>
      </c>
      <c r="B548" t="str">
        <f>HYPERLINK("https://www.sydney.edu.au/scholarships/a/dilys-milton-renham-scholarship.html", "Dylis and Milton Renham Scholarship")</f>
        <v>Dylis and Milton Renham Scholarship</v>
      </c>
      <c r="C548" t="s">
        <v>680</v>
      </c>
      <c r="D548" t="s">
        <v>681</v>
      </c>
      <c r="E548" t="s">
        <v>699</v>
      </c>
      <c r="F548" t="s">
        <v>35</v>
      </c>
      <c r="G548" s="12" t="s">
        <v>726</v>
      </c>
      <c r="H548" t="s">
        <v>25</v>
      </c>
      <c r="I548" t="s">
        <v>25</v>
      </c>
    </row>
    <row r="549" spans="1:9" ht="45" x14ac:dyDescent="0.25">
      <c r="A549" s="16" t="s">
        <v>679</v>
      </c>
      <c r="B549" t="str">
        <f>HYPERLINK("https://www.sydney.edu.au/scholarships/a/donald-lionel-edgerton-scholarship.html", "The Donald Lionel Edgerton Scholarship")</f>
        <v>The Donald Lionel Edgerton Scholarship</v>
      </c>
      <c r="C549" t="s">
        <v>680</v>
      </c>
      <c r="D549" t="s">
        <v>688</v>
      </c>
      <c r="E549" t="s">
        <v>699</v>
      </c>
      <c r="F549" t="s">
        <v>35</v>
      </c>
      <c r="G549" s="12" t="s">
        <v>727</v>
      </c>
      <c r="H549" t="s">
        <v>25</v>
      </c>
      <c r="I549" t="s">
        <v>25</v>
      </c>
    </row>
    <row r="550" spans="1:9" ht="90" x14ac:dyDescent="0.25">
      <c r="A550" s="16" t="s">
        <v>679</v>
      </c>
      <c r="B550" t="str">
        <f>HYPERLINK("https://www.sydney.edu.au/scholarships/a/doris-burnett-ford-scholarship.html", "Doris Burnett Ford Scholarship")</f>
        <v>Doris Burnett Ford Scholarship</v>
      </c>
      <c r="C550" t="s">
        <v>27</v>
      </c>
      <c r="D550" t="s">
        <v>681</v>
      </c>
      <c r="E550" t="s">
        <v>699</v>
      </c>
      <c r="F550" t="s">
        <v>35</v>
      </c>
      <c r="G550" s="12" t="s">
        <v>728</v>
      </c>
      <c r="H550" t="s">
        <v>25</v>
      </c>
      <c r="I550" t="s">
        <v>25</v>
      </c>
    </row>
    <row r="551" spans="1:9" ht="75" x14ac:dyDescent="0.25">
      <c r="A551" s="16" t="s">
        <v>679</v>
      </c>
      <c r="B551" t="str">
        <f>HYPERLINK("https://www.sydney.edu.au/scholarships/a/elaine-mccaghern-musical-scholarship.html", "The Elaine McCaghern Musical Scholarship")</f>
        <v>The Elaine McCaghern Musical Scholarship</v>
      </c>
      <c r="C551" t="s">
        <v>14</v>
      </c>
      <c r="D551" t="s">
        <v>681</v>
      </c>
      <c r="E551" t="s">
        <v>699</v>
      </c>
      <c r="F551" t="s">
        <v>35</v>
      </c>
      <c r="G551" s="12" t="s">
        <v>729</v>
      </c>
      <c r="H551" t="s">
        <v>25</v>
      </c>
      <c r="I551" t="s">
        <v>25</v>
      </c>
    </row>
    <row r="552" spans="1:9" ht="45" x14ac:dyDescent="0.25">
      <c r="A552" s="16" t="s">
        <v>679</v>
      </c>
      <c r="B552" t="str">
        <f>HYPERLINK("https://www.sydney.edu.au/scholarships/a/elise-herrman-scholarship.html", "The Elise Herrman Scholarship")</f>
        <v>The Elise Herrman Scholarship</v>
      </c>
      <c r="C552" t="s">
        <v>680</v>
      </c>
      <c r="D552" t="s">
        <v>688</v>
      </c>
      <c r="E552" t="s">
        <v>699</v>
      </c>
      <c r="F552" t="s">
        <v>35</v>
      </c>
      <c r="G552" s="12" t="s">
        <v>730</v>
      </c>
      <c r="H552" t="s">
        <v>25</v>
      </c>
      <c r="I552" t="s">
        <v>25</v>
      </c>
    </row>
    <row r="553" spans="1:9" ht="60" x14ac:dyDescent="0.25">
      <c r="A553" s="16" t="s">
        <v>679</v>
      </c>
      <c r="B553" t="str">
        <f>HYPERLINK("https://www.sydney.edu.au/scholarships/a/eric-campbell-scott--rural---regional--scholarship.html", "Eric Campbell Scott (Rural / Regional) Scholarship")</f>
        <v>Eric Campbell Scott (Rural / Regional) Scholarship</v>
      </c>
      <c r="C553" t="s">
        <v>14</v>
      </c>
      <c r="D553" t="s">
        <v>202</v>
      </c>
      <c r="E553" t="s">
        <v>262</v>
      </c>
      <c r="F553" t="s">
        <v>13</v>
      </c>
      <c r="G553" s="12" t="s">
        <v>731</v>
      </c>
      <c r="H553" t="s">
        <v>25</v>
      </c>
      <c r="I553" t="s">
        <v>25</v>
      </c>
    </row>
    <row r="554" spans="1:9" ht="75" x14ac:dyDescent="0.25">
      <c r="A554" s="16" t="s">
        <v>679</v>
      </c>
      <c r="B554" t="str">
        <f>HYPERLINK("https://www.sydney.edu.au/scholarships/a/ernest-heine-family-foundation-digital-music-scholarship.html", "Ernest Heine Family Foundation Digital Music Scholarship")</f>
        <v>Ernest Heine Family Foundation Digital Music Scholarship</v>
      </c>
      <c r="C554" t="s">
        <v>27</v>
      </c>
      <c r="D554" t="s">
        <v>242</v>
      </c>
      <c r="E554" t="s">
        <v>262</v>
      </c>
      <c r="F554" t="s">
        <v>13</v>
      </c>
      <c r="G554" s="12" t="s">
        <v>732</v>
      </c>
      <c r="H554" t="s">
        <v>25</v>
      </c>
      <c r="I554" t="s">
        <v>25</v>
      </c>
    </row>
    <row r="555" spans="1:9" ht="60" x14ac:dyDescent="0.25">
      <c r="A555" s="16" t="s">
        <v>679</v>
      </c>
      <c r="B555" t="str">
        <f>HYPERLINK("https://www.sydney.edu.au/scholarships/a/ernest-heine-family-foundation-undergraduate-scholarship.html", "Ernest Heine Family Foundation Undergraduate Scholarship")</f>
        <v>Ernest Heine Family Foundation Undergraduate Scholarship</v>
      </c>
      <c r="C555" t="s">
        <v>27</v>
      </c>
      <c r="D555" t="s">
        <v>733</v>
      </c>
      <c r="E555" t="s">
        <v>262</v>
      </c>
      <c r="F555" t="s">
        <v>13</v>
      </c>
      <c r="G555" s="12" t="s">
        <v>734</v>
      </c>
      <c r="H555" t="s">
        <v>25</v>
      </c>
      <c r="I555" t="s">
        <v>25</v>
      </c>
    </row>
    <row r="556" spans="1:9" ht="105" x14ac:dyDescent="0.25">
      <c r="A556" s="16" t="s">
        <v>679</v>
      </c>
      <c r="B556" t="str">
        <f>HYPERLINK("https://www.sydney.edu.au/scholarships/a/eugene-goossens-conducting-fellowship.html", "Eugene Goossens Conducting Fellowship")</f>
        <v>Eugene Goossens Conducting Fellowship</v>
      </c>
      <c r="C556" t="s">
        <v>27</v>
      </c>
      <c r="D556" t="s">
        <v>681</v>
      </c>
      <c r="E556" t="s">
        <v>699</v>
      </c>
      <c r="F556" t="s">
        <v>35</v>
      </c>
      <c r="G556" s="12" t="s">
        <v>735</v>
      </c>
      <c r="H556" t="s">
        <v>25</v>
      </c>
      <c r="I556" t="s">
        <v>25</v>
      </c>
    </row>
    <row r="557" spans="1:9" ht="45" x14ac:dyDescent="0.25">
      <c r="A557" s="16" t="s">
        <v>679</v>
      </c>
      <c r="B557" t="str">
        <f>HYPERLINK("https://www.sydney.edu.au/scholarships/a/experience-in-industry-scholarship.html", "Experience in Industry Scholarship")</f>
        <v>Experience in Industry Scholarship</v>
      </c>
      <c r="C557" t="s">
        <v>14</v>
      </c>
      <c r="D557" t="s">
        <v>241</v>
      </c>
      <c r="E557" t="s">
        <v>24</v>
      </c>
      <c r="F557" t="s">
        <v>35</v>
      </c>
      <c r="G557" s="12" t="s">
        <v>736</v>
      </c>
      <c r="H557" t="s">
        <v>25</v>
      </c>
      <c r="I557" t="s">
        <v>16</v>
      </c>
    </row>
    <row r="558" spans="1:9" ht="45" x14ac:dyDescent="0.25">
      <c r="A558" s="16" t="s">
        <v>679</v>
      </c>
      <c r="B558" t="str">
        <f>HYPERLINK("https://www.sydney.edu.au/scholarships/a/finance-honours-scholarship.html", "Finance Honours Scholarship")</f>
        <v>Finance Honours Scholarship</v>
      </c>
      <c r="C558" t="s">
        <v>27</v>
      </c>
      <c r="D558" s="7" t="s">
        <v>122</v>
      </c>
      <c r="E558" t="s">
        <v>201</v>
      </c>
      <c r="F558" t="s">
        <v>137</v>
      </c>
      <c r="G558" s="12" t="s">
        <v>138</v>
      </c>
      <c r="H558" t="s">
        <v>25</v>
      </c>
      <c r="I558" t="s">
        <v>25</v>
      </c>
    </row>
    <row r="559" spans="1:9" ht="30" x14ac:dyDescent="0.25">
      <c r="A559" s="16" t="s">
        <v>679</v>
      </c>
      <c r="B559" t="str">
        <f>HYPERLINK("https://www.sydney.edu.au/scholarships/a/flora-jean-ferriss-scholarship.html", "Flora Jean Ferriss Scholarship")</f>
        <v>Flora Jean Ferriss Scholarship</v>
      </c>
      <c r="C559" t="s">
        <v>680</v>
      </c>
      <c r="D559" t="s">
        <v>688</v>
      </c>
      <c r="E559" t="s">
        <v>682</v>
      </c>
      <c r="F559" t="s">
        <v>35</v>
      </c>
      <c r="G559" s="12" t="s">
        <v>737</v>
      </c>
      <c r="H559" t="s">
        <v>25</v>
      </c>
      <c r="I559" t="s">
        <v>25</v>
      </c>
    </row>
    <row r="560" spans="1:9" ht="75" x14ac:dyDescent="0.25">
      <c r="A560" s="16" t="s">
        <v>679</v>
      </c>
      <c r="B560" t="str">
        <f>HYPERLINK("https://www.sydney.edu.au/scholarships/a/future-leaders-mba-scholarship.html", "Future Leaders MBA Scholarship")</f>
        <v>Future Leaders MBA Scholarship</v>
      </c>
      <c r="C560" t="s">
        <v>27</v>
      </c>
      <c r="D560" t="s">
        <v>684</v>
      </c>
      <c r="E560" t="s">
        <v>685</v>
      </c>
      <c r="F560" t="s">
        <v>51</v>
      </c>
      <c r="G560" s="12" t="s">
        <v>686</v>
      </c>
      <c r="H560" t="s">
        <v>25</v>
      </c>
      <c r="I560" t="s">
        <v>25</v>
      </c>
    </row>
    <row r="561" spans="1:9" ht="75" x14ac:dyDescent="0.25">
      <c r="A561" s="16" t="s">
        <v>679</v>
      </c>
      <c r="B561" t="str">
        <f>HYPERLINK("https://www.sydney.edu.au/scholarships/a/geoffrey-parsons-australian-scholarship.html", "Geoffrey Parsons Australian Scholarship")</f>
        <v>Geoffrey Parsons Australian Scholarship</v>
      </c>
      <c r="C561" t="s">
        <v>680</v>
      </c>
      <c r="D561" t="s">
        <v>688</v>
      </c>
      <c r="E561" t="s">
        <v>682</v>
      </c>
      <c r="F561" t="s">
        <v>35</v>
      </c>
      <c r="G561" s="12" t="s">
        <v>738</v>
      </c>
      <c r="H561" t="s">
        <v>25</v>
      </c>
      <c r="I561" t="s">
        <v>25</v>
      </c>
    </row>
    <row r="562" spans="1:9" ht="45" x14ac:dyDescent="0.25">
      <c r="A562" s="16" t="s">
        <v>679</v>
      </c>
      <c r="B562" t="str">
        <f>HYPERLINK("https://www.sydney.edu.au/scholarships/a/geoffrey-rothwell-scholarship.html", "The Geoffrey Rothwell Scholarship")</f>
        <v>The Geoffrey Rothwell Scholarship</v>
      </c>
      <c r="C562" t="s">
        <v>680</v>
      </c>
      <c r="D562" t="s">
        <v>688</v>
      </c>
      <c r="E562" t="s">
        <v>682</v>
      </c>
      <c r="F562" t="s">
        <v>35</v>
      </c>
      <c r="G562" s="12" t="s">
        <v>739</v>
      </c>
      <c r="H562" t="s">
        <v>25</v>
      </c>
      <c r="I562" t="s">
        <v>25</v>
      </c>
    </row>
    <row r="563" spans="1:9" ht="75" x14ac:dyDescent="0.25">
      <c r="A563" s="16" t="s">
        <v>679</v>
      </c>
      <c r="B563" t="str">
        <f>HYPERLINK("https://www.sydney.edu.au/scholarships/a/george-wallace-henderson-scholarship.html", "George Wallace Henderson Scholarship")</f>
        <v>George Wallace Henderson Scholarship</v>
      </c>
      <c r="C563" t="s">
        <v>680</v>
      </c>
      <c r="D563" t="s">
        <v>681</v>
      </c>
      <c r="E563" t="s">
        <v>699</v>
      </c>
      <c r="F563" t="s">
        <v>35</v>
      </c>
      <c r="G563" s="12" t="s">
        <v>740</v>
      </c>
      <c r="H563" t="s">
        <v>25</v>
      </c>
      <c r="I563" t="s">
        <v>25</v>
      </c>
    </row>
    <row r="564" spans="1:9" ht="90" x14ac:dyDescent="0.25">
      <c r="A564" s="16" t="s">
        <v>679</v>
      </c>
      <c r="B564" t="str">
        <f>HYPERLINK("https://www.sydney.edu.au/scholarships/a/greenberg-gurney-jensen-fund-2.html", "Greenberg-Gurney-Jensen Fund 2")</f>
        <v>Greenberg-Gurney-Jensen Fund 2</v>
      </c>
      <c r="C564" t="s">
        <v>680</v>
      </c>
      <c r="D564" t="s">
        <v>681</v>
      </c>
      <c r="E564" t="s">
        <v>699</v>
      </c>
      <c r="F564" t="s">
        <v>35</v>
      </c>
      <c r="G564" s="12" t="s">
        <v>741</v>
      </c>
      <c r="H564" t="s">
        <v>25</v>
      </c>
      <c r="I564" t="s">
        <v>25</v>
      </c>
    </row>
    <row r="565" spans="1:9" ht="75" x14ac:dyDescent="0.25">
      <c r="A565" s="16" t="s">
        <v>679</v>
      </c>
      <c r="B565" t="str">
        <f>HYPERLINK("https://www.sydney.edu.au/scholarships/a/greenberg-gurney-jensen-fund.html", "Greenberg-Gurney-Jensen Fund")</f>
        <v>Greenberg-Gurney-Jensen Fund</v>
      </c>
      <c r="C565" t="s">
        <v>680</v>
      </c>
      <c r="D565" t="s">
        <v>688</v>
      </c>
      <c r="E565" t="s">
        <v>699</v>
      </c>
      <c r="F565" t="s">
        <v>35</v>
      </c>
      <c r="G565" s="12" t="s">
        <v>742</v>
      </c>
      <c r="H565" t="s">
        <v>25</v>
      </c>
      <c r="I565" t="s">
        <v>25</v>
      </c>
    </row>
    <row r="566" spans="1:9" ht="30" x14ac:dyDescent="0.25">
      <c r="A566" s="16" t="s">
        <v>679</v>
      </c>
      <c r="B566" t="str">
        <f>HYPERLINK("https://www.sydney.edu.au/scholarships/a/helen-myers-scholarship.html", "Helen Myers Scholarship")</f>
        <v>Helen Myers Scholarship</v>
      </c>
      <c r="C566" t="s">
        <v>680</v>
      </c>
      <c r="D566" t="s">
        <v>688</v>
      </c>
      <c r="E566" t="s">
        <v>699</v>
      </c>
      <c r="F566" t="s">
        <v>35</v>
      </c>
      <c r="G566" s="12" t="s">
        <v>743</v>
      </c>
      <c r="H566" t="s">
        <v>25</v>
      </c>
      <c r="I566" t="s">
        <v>25</v>
      </c>
    </row>
    <row r="567" spans="1:9" ht="60" x14ac:dyDescent="0.25">
      <c r="A567" s="16" t="s">
        <v>679</v>
      </c>
      <c r="B567" t="str">
        <f>HYPERLINK("https://www.sydney.edu.au/scholarships/a/helen-quach-scholarship.html", "Helen Quach Scholarship")</f>
        <v>Helen Quach Scholarship</v>
      </c>
      <c r="C567" t="s">
        <v>680</v>
      </c>
      <c r="D567" t="s">
        <v>688</v>
      </c>
      <c r="E567" t="s">
        <v>699</v>
      </c>
      <c r="F567" t="s">
        <v>35</v>
      </c>
      <c r="G567" s="12" t="s">
        <v>744</v>
      </c>
      <c r="H567" t="s">
        <v>25</v>
      </c>
      <c r="I567" t="s">
        <v>25</v>
      </c>
    </row>
    <row r="568" spans="1:9" ht="45" x14ac:dyDescent="0.25">
      <c r="A568" s="16" t="s">
        <v>679</v>
      </c>
      <c r="B568" t="str">
        <f>HYPERLINK("https://www.sydney.edu.au/scholarships/a/helpmann-family-fellowship.html", "The Helpmann Family Fellowship")</f>
        <v>The Helpmann Family Fellowship</v>
      </c>
      <c r="C568" t="s">
        <v>14</v>
      </c>
      <c r="D568" t="s">
        <v>688</v>
      </c>
      <c r="E568" t="s">
        <v>699</v>
      </c>
      <c r="F568" t="s">
        <v>35</v>
      </c>
      <c r="G568" s="12" t="s">
        <v>745</v>
      </c>
      <c r="H568" t="s">
        <v>25</v>
      </c>
      <c r="I568" t="s">
        <v>25</v>
      </c>
    </row>
    <row r="569" spans="1:9" ht="60" x14ac:dyDescent="0.25">
      <c r="A569" s="16" t="s">
        <v>679</v>
      </c>
      <c r="B569" t="str">
        <f>HYPERLINK("https://www.sydney.edu.au/scholarships/a/henderson-postgraduate-scholarship.html", "Henderson Postgraduate Scholarship")</f>
        <v>Henderson Postgraduate Scholarship</v>
      </c>
      <c r="C569" t="s">
        <v>680</v>
      </c>
      <c r="D569" t="s">
        <v>688</v>
      </c>
      <c r="E569" t="s">
        <v>699</v>
      </c>
      <c r="F569" t="s">
        <v>51</v>
      </c>
      <c r="G569" s="12" t="s">
        <v>746</v>
      </c>
      <c r="H569" t="s">
        <v>25</v>
      </c>
      <c r="I569" t="s">
        <v>25</v>
      </c>
    </row>
    <row r="570" spans="1:9" ht="45" x14ac:dyDescent="0.25">
      <c r="A570" s="16" t="s">
        <v>679</v>
      </c>
      <c r="B570" t="str">
        <f>HYPERLINK("https://www.sydney.edu.au/scholarships/a/international-business-scholarship-honours.html", "International Business Scholarship in Honours")</f>
        <v>International Business Scholarship in Honours</v>
      </c>
      <c r="C570" t="s">
        <v>27</v>
      </c>
      <c r="D570" s="9">
        <v>6000</v>
      </c>
      <c r="E570" t="s">
        <v>201</v>
      </c>
      <c r="F570" t="s">
        <v>137</v>
      </c>
      <c r="G570" s="12" t="s">
        <v>747</v>
      </c>
      <c r="H570" t="s">
        <v>25</v>
      </c>
      <c r="I570" t="s">
        <v>25</v>
      </c>
    </row>
    <row r="571" spans="1:9" ht="60" x14ac:dyDescent="0.25">
      <c r="A571" s="16" t="s">
        <v>679</v>
      </c>
      <c r="B571" t="str">
        <f>HYPERLINK("https://www.sydney.edu.au/scholarships/a/iremonger-marceau-family-scholarship.html", "Iremonger Marceau Family Scholarship")</f>
        <v>Iremonger Marceau Family Scholarship</v>
      </c>
      <c r="C571" t="s">
        <v>680</v>
      </c>
      <c r="D571" t="s">
        <v>681</v>
      </c>
      <c r="E571" t="s">
        <v>699</v>
      </c>
      <c r="F571" t="s">
        <v>35</v>
      </c>
      <c r="G571" s="12" t="s">
        <v>746</v>
      </c>
      <c r="H571" t="s">
        <v>25</v>
      </c>
      <c r="I571" t="s">
        <v>25</v>
      </c>
    </row>
    <row r="572" spans="1:9" ht="90" x14ac:dyDescent="0.25">
      <c r="A572" s="16" t="s">
        <v>679</v>
      </c>
      <c r="B572" t="str">
        <f>HYPERLINK("https://www.sydney.edu.au/scholarships/a/james-strong-iag-scholarship-business.html", "James Strong - IAG Scholarship for Business")</f>
        <v>James Strong - IAG Scholarship for Business</v>
      </c>
      <c r="C572" t="s">
        <v>27</v>
      </c>
      <c r="D572" s="15">
        <v>9000</v>
      </c>
      <c r="E572" t="s">
        <v>269</v>
      </c>
      <c r="F572" t="s">
        <v>13</v>
      </c>
      <c r="G572" s="12" t="s">
        <v>748</v>
      </c>
      <c r="H572" t="s">
        <v>25</v>
      </c>
      <c r="I572" t="s">
        <v>25</v>
      </c>
    </row>
    <row r="573" spans="1:9" ht="90" x14ac:dyDescent="0.25">
      <c r="A573" s="16" t="s">
        <v>679</v>
      </c>
      <c r="B573" t="str">
        <f>HYPERLINK("https://www.sydney.edu.au/scholarships/a/james-strong-nomura-scholarship-business.html", "James Strong - Nomura Scholarship for Business")</f>
        <v>James Strong - Nomura Scholarship for Business</v>
      </c>
      <c r="C573" t="s">
        <v>27</v>
      </c>
      <c r="D573" t="s">
        <v>749</v>
      </c>
      <c r="E573" t="s">
        <v>269</v>
      </c>
      <c r="F573" t="s">
        <v>13</v>
      </c>
      <c r="G573" s="12" t="s">
        <v>748</v>
      </c>
      <c r="H573" t="s">
        <v>25</v>
      </c>
      <c r="I573" t="s">
        <v>25</v>
      </c>
    </row>
    <row r="574" spans="1:9" ht="90" x14ac:dyDescent="0.25">
      <c r="A574" s="16" t="s">
        <v>679</v>
      </c>
      <c r="B574" t="str">
        <f>HYPERLINK("https://www.sydney.edu.au/scholarships/a/james-strong-qantas-scholarship-business.html", "James Strong - Qantas Scholarship for Business")</f>
        <v>James Strong - Qantas Scholarship for Business</v>
      </c>
      <c r="C574" t="s">
        <v>27</v>
      </c>
      <c r="D574" t="s">
        <v>749</v>
      </c>
      <c r="E574" t="s">
        <v>269</v>
      </c>
      <c r="F574" t="s">
        <v>13</v>
      </c>
      <c r="G574" s="12" t="s">
        <v>748</v>
      </c>
      <c r="H574" t="s">
        <v>25</v>
      </c>
      <c r="I574" t="s">
        <v>25</v>
      </c>
    </row>
    <row r="575" spans="1:9" ht="60" x14ac:dyDescent="0.25">
      <c r="A575" s="16" t="s">
        <v>679</v>
      </c>
      <c r="B575" t="str">
        <f>HYPERLINK("https://www.sydney.edu.au/scholarships/a/jean-giles-and-thomas-louis-pidcock-violin-scholarship.html", "Jean Giles and Thomas Louis Pidcock Violin Scholarship")</f>
        <v>Jean Giles and Thomas Louis Pidcock Violin Scholarship</v>
      </c>
      <c r="C575" t="s">
        <v>680</v>
      </c>
      <c r="D575" t="s">
        <v>688</v>
      </c>
      <c r="E575" t="s">
        <v>699</v>
      </c>
      <c r="F575" t="s">
        <v>35</v>
      </c>
      <c r="G575" s="12" t="s">
        <v>750</v>
      </c>
      <c r="H575" t="s">
        <v>25</v>
      </c>
      <c r="I575" t="s">
        <v>25</v>
      </c>
    </row>
    <row r="576" spans="1:9" ht="60" x14ac:dyDescent="0.25">
      <c r="A576" s="16" t="s">
        <v>679</v>
      </c>
      <c r="B576" t="str">
        <f>HYPERLINK("https://www.sydney.edu.au/scholarships/a/joan-james-armstrong-award.html", "The Joan and James Armstrong Award")</f>
        <v>The Joan and James Armstrong Award</v>
      </c>
      <c r="C576" t="s">
        <v>680</v>
      </c>
      <c r="D576" t="s">
        <v>681</v>
      </c>
      <c r="E576" t="s">
        <v>699</v>
      </c>
      <c r="F576" t="s">
        <v>35</v>
      </c>
      <c r="G576" s="12" t="s">
        <v>746</v>
      </c>
      <c r="H576" t="s">
        <v>25</v>
      </c>
      <c r="I576" t="s">
        <v>25</v>
      </c>
    </row>
    <row r="577" spans="1:9" ht="45" x14ac:dyDescent="0.25">
      <c r="A577" s="16" t="s">
        <v>679</v>
      </c>
      <c r="B577" t="str">
        <f>HYPERLINK("https://www.sydney.edu.au/scholarships/a/john-dorothy-vimpani-pianoforte-fund.html", "John and Dorothy Vimpani Pianoforte Fund")</f>
        <v>John and Dorothy Vimpani Pianoforte Fund</v>
      </c>
      <c r="C577" t="s">
        <v>680</v>
      </c>
      <c r="D577" t="s">
        <v>688</v>
      </c>
      <c r="E577" t="s">
        <v>699</v>
      </c>
      <c r="F577" t="s">
        <v>35</v>
      </c>
      <c r="G577" s="12" t="s">
        <v>751</v>
      </c>
      <c r="H577" t="s">
        <v>25</v>
      </c>
      <c r="I577" t="s">
        <v>25</v>
      </c>
    </row>
    <row r="578" spans="1:9" ht="75" x14ac:dyDescent="0.25">
      <c r="A578" s="16" t="s">
        <v>679</v>
      </c>
      <c r="B578" t="str">
        <f>HYPERLINK("https://www.sydney.edu.au/scholarships/a/john-holt-todd-and-florence-todd-scholarship.html", "The John Holt Todd and Florence Todd Scholarship")</f>
        <v>The John Holt Todd and Florence Todd Scholarship</v>
      </c>
      <c r="C578" t="s">
        <v>27</v>
      </c>
      <c r="D578" t="s">
        <v>688</v>
      </c>
      <c r="E578" t="s">
        <v>699</v>
      </c>
      <c r="F578" t="s">
        <v>35</v>
      </c>
      <c r="G578" s="12" t="s">
        <v>752</v>
      </c>
      <c r="H578" t="s">
        <v>25</v>
      </c>
      <c r="I578" t="s">
        <v>25</v>
      </c>
    </row>
    <row r="579" spans="1:9" ht="60" x14ac:dyDescent="0.25">
      <c r="A579" s="16" t="s">
        <v>679</v>
      </c>
      <c r="B579" t="str">
        <f>HYPERLINK("https://www.sydney.edu.au/scholarships/a/john-luscombe-scholarship-for-vocal-studies.html", "John Luscombe Scholarship for Vocal Studies")</f>
        <v>John Luscombe Scholarship for Vocal Studies</v>
      </c>
      <c r="C579" t="s">
        <v>680</v>
      </c>
      <c r="D579" t="s">
        <v>681</v>
      </c>
      <c r="E579" t="s">
        <v>699</v>
      </c>
      <c r="F579" t="s">
        <v>35</v>
      </c>
      <c r="G579" s="12" t="s">
        <v>753</v>
      </c>
      <c r="H579" t="s">
        <v>25</v>
      </c>
      <c r="I579" t="s">
        <v>25</v>
      </c>
    </row>
    <row r="580" spans="1:9" ht="60" x14ac:dyDescent="0.25">
      <c r="A580" s="16" t="s">
        <v>679</v>
      </c>
      <c r="B580" t="str">
        <f>HYPERLINK("https://www.sydney.edu.au/scholarships/a/jw-bk-elkins-architectural-scholarship.html", "JW and BK Elkins Architectural Award")</f>
        <v>JW and BK Elkins Architectural Award</v>
      </c>
      <c r="C580" t="s">
        <v>27</v>
      </c>
      <c r="D580" s="15">
        <v>1500</v>
      </c>
      <c r="E580" t="s">
        <v>201</v>
      </c>
      <c r="F580" t="s">
        <v>137</v>
      </c>
      <c r="G580" s="12" t="s">
        <v>754</v>
      </c>
      <c r="H580" t="s">
        <v>25</v>
      </c>
      <c r="I580" t="s">
        <v>25</v>
      </c>
    </row>
    <row r="581" spans="1:9" ht="45" x14ac:dyDescent="0.25">
      <c r="A581" s="16" t="s">
        <v>679</v>
      </c>
      <c r="B581" t="str">
        <f>HYPERLINK("https://www.sydney.edu.au/scholarships/a/kathleen-allison-short-scholarship.html", "The Kathleen and Allison Short Scholarship")</f>
        <v>The Kathleen and Allison Short Scholarship</v>
      </c>
      <c r="C581" t="s">
        <v>14</v>
      </c>
      <c r="D581" t="s">
        <v>688</v>
      </c>
      <c r="E581" t="s">
        <v>699</v>
      </c>
      <c r="F581" t="s">
        <v>35</v>
      </c>
      <c r="G581" s="12" t="s">
        <v>755</v>
      </c>
      <c r="H581" t="s">
        <v>25</v>
      </c>
      <c r="I581" t="s">
        <v>25</v>
      </c>
    </row>
    <row r="582" spans="1:9" ht="60" x14ac:dyDescent="0.25">
      <c r="A582" s="16" t="s">
        <v>679</v>
      </c>
      <c r="B582" t="str">
        <f>HYPERLINK("https://www.sydney.edu.au/scholarships/a/kathleen-e-armstrong-bequest.html", "The Kathleen E Armstrong Bequest")</f>
        <v>The Kathleen E Armstrong Bequest</v>
      </c>
      <c r="C582" t="s">
        <v>680</v>
      </c>
      <c r="D582" t="s">
        <v>688</v>
      </c>
      <c r="E582" t="s">
        <v>699</v>
      </c>
      <c r="F582" t="s">
        <v>35</v>
      </c>
      <c r="G582" s="12" t="s">
        <v>756</v>
      </c>
      <c r="H582" t="s">
        <v>25</v>
      </c>
      <c r="I582" t="s">
        <v>25</v>
      </c>
    </row>
    <row r="583" spans="1:9" ht="45" x14ac:dyDescent="0.25">
      <c r="A583" s="16" t="s">
        <v>679</v>
      </c>
      <c r="B583" t="str">
        <f>HYPERLINK("https://www.sydney.edu.au/scholarships/a/keith-eileen-ong-prize-piano.html", "Keith and Eileen Ong Prize for Piano")</f>
        <v>Keith and Eileen Ong Prize for Piano</v>
      </c>
      <c r="C583" t="s">
        <v>680</v>
      </c>
      <c r="D583" s="7" t="s">
        <v>202</v>
      </c>
      <c r="E583" t="s">
        <v>24</v>
      </c>
      <c r="F583" t="s">
        <v>51</v>
      </c>
      <c r="G583" s="12" t="s">
        <v>757</v>
      </c>
      <c r="H583" t="s">
        <v>25</v>
      </c>
      <c r="I583" t="s">
        <v>25</v>
      </c>
    </row>
    <row r="584" spans="1:9" ht="105" x14ac:dyDescent="0.25">
      <c r="A584" s="16" t="s">
        <v>679</v>
      </c>
      <c r="B584" t="str">
        <f>HYPERLINK("https://www.sydney.edu.au/scholarships/a/kim-walker-scholarship-endowment-fund.html", "The Kim Walker Scholarship Endowment Fund")</f>
        <v>The Kim Walker Scholarship Endowment Fund</v>
      </c>
      <c r="C584" t="s">
        <v>680</v>
      </c>
      <c r="D584" t="s">
        <v>688</v>
      </c>
      <c r="E584" t="s">
        <v>699</v>
      </c>
      <c r="F584" t="s">
        <v>35</v>
      </c>
      <c r="G584" s="12" t="s">
        <v>758</v>
      </c>
      <c r="H584" t="s">
        <v>25</v>
      </c>
      <c r="I584" t="s">
        <v>25</v>
      </c>
    </row>
    <row r="585" spans="1:9" ht="60" x14ac:dyDescent="0.25">
      <c r="A585" s="16" t="s">
        <v>679</v>
      </c>
      <c r="B585" t="str">
        <f>HYPERLINK("https://www.sydney.edu.au/scholarships/a/kirkpix-trust-scholarship.html", "The Kirkpix Trust Scholarship")</f>
        <v>The Kirkpix Trust Scholarship</v>
      </c>
      <c r="C585" t="s">
        <v>14</v>
      </c>
      <c r="D585" t="s">
        <v>688</v>
      </c>
      <c r="E585" t="s">
        <v>699</v>
      </c>
      <c r="F585" t="s">
        <v>35</v>
      </c>
      <c r="G585" s="12" t="s">
        <v>759</v>
      </c>
      <c r="H585" t="s">
        <v>25</v>
      </c>
      <c r="I585" t="s">
        <v>25</v>
      </c>
    </row>
    <row r="586" spans="1:9" ht="60" x14ac:dyDescent="0.25">
      <c r="A586" s="16" t="s">
        <v>679</v>
      </c>
      <c r="B586" t="str">
        <f>HYPERLINK("https://www.sydney.edu.au/scholarships/a/leadership-scholarship-mba.html", "Leadership Scholarship (MBA)")</f>
        <v>Leadership Scholarship (MBA)</v>
      </c>
      <c r="C586" t="s">
        <v>27</v>
      </c>
      <c r="D586" s="7" t="s">
        <v>684</v>
      </c>
      <c r="E586" t="s">
        <v>760</v>
      </c>
      <c r="F586" t="s">
        <v>51</v>
      </c>
      <c r="G586" s="12" t="s">
        <v>761</v>
      </c>
      <c r="H586" t="s">
        <v>25</v>
      </c>
      <c r="I586" t="s">
        <v>25</v>
      </c>
    </row>
    <row r="587" spans="1:9" ht="135" x14ac:dyDescent="0.25">
      <c r="A587" s="16" t="s">
        <v>679</v>
      </c>
      <c r="B587" t="str">
        <f>HYPERLINK("https://www.sydney.edu.au/scholarships/a/leadership-social-impact-global-executive-mba-scholarship.html", "Leadership for Social Impact Global Executive MBA Scholarship")</f>
        <v>Leadership for Social Impact Global Executive MBA Scholarship</v>
      </c>
      <c r="C587" t="s">
        <v>27</v>
      </c>
      <c r="D587" t="s">
        <v>716</v>
      </c>
      <c r="E587" t="s">
        <v>685</v>
      </c>
      <c r="F587" t="s">
        <v>51</v>
      </c>
      <c r="G587" s="12" t="s">
        <v>762</v>
      </c>
      <c r="H587" t="s">
        <v>25</v>
      </c>
      <c r="I587" t="s">
        <v>25</v>
      </c>
    </row>
    <row r="588" spans="1:9" ht="45" x14ac:dyDescent="0.25">
      <c r="A588" s="16" t="s">
        <v>679</v>
      </c>
      <c r="B588" t="str">
        <f>HYPERLINK("https://www.sydney.edu.au/scholarships/a/linda-kingsbury-jeffery-scholarship-singing.html", "The Linda Kingsbury Jeffery Scholarship for Singing")</f>
        <v>The Linda Kingsbury Jeffery Scholarship for Singing</v>
      </c>
      <c r="C588" t="s">
        <v>680</v>
      </c>
      <c r="D588" t="s">
        <v>688</v>
      </c>
      <c r="E588" t="s">
        <v>699</v>
      </c>
      <c r="F588" t="s">
        <v>35</v>
      </c>
      <c r="G588" s="12" t="s">
        <v>763</v>
      </c>
      <c r="H588" t="s">
        <v>25</v>
      </c>
      <c r="I588" t="s">
        <v>25</v>
      </c>
    </row>
    <row r="589" spans="1:9" ht="30" x14ac:dyDescent="0.25">
      <c r="A589" s="16" t="s">
        <v>679</v>
      </c>
      <c r="B589" t="str">
        <f>HYPERLINK("https://www.sydney.edu.au/scholarships/a/local-industry-placement-program-scholarship.html", "Local Industry Placement Program Scholarship")</f>
        <v>Local Industry Placement Program Scholarship</v>
      </c>
      <c r="C589" t="s">
        <v>14</v>
      </c>
      <c r="D589" s="9">
        <v>2500</v>
      </c>
      <c r="E589" t="s">
        <v>24</v>
      </c>
      <c r="F589" t="s">
        <v>35</v>
      </c>
      <c r="G589" s="12" t="s">
        <v>764</v>
      </c>
      <c r="H589" t="s">
        <v>25</v>
      </c>
      <c r="I589" t="s">
        <v>16</v>
      </c>
    </row>
    <row r="590" spans="1:9" ht="150" x14ac:dyDescent="0.25">
      <c r="A590" s="16" t="s">
        <v>679</v>
      </c>
      <c r="B590" t="str">
        <f>HYPERLINK("https://www.sydney.edu.au/scholarships/a/margaret-henderson-scholarship.html", "Margaret Henderson Scholarship")</f>
        <v>Margaret Henderson Scholarship</v>
      </c>
      <c r="C590" t="s">
        <v>27</v>
      </c>
      <c r="D590" t="s">
        <v>688</v>
      </c>
      <c r="E590" t="s">
        <v>699</v>
      </c>
      <c r="F590" t="s">
        <v>35</v>
      </c>
      <c r="G590" s="12" t="s">
        <v>765</v>
      </c>
      <c r="H590" t="s">
        <v>25</v>
      </c>
      <c r="I590" t="s">
        <v>25</v>
      </c>
    </row>
    <row r="591" spans="1:9" ht="90" x14ac:dyDescent="0.25">
      <c r="A591" s="16" t="s">
        <v>679</v>
      </c>
      <c r="B591" t="str">
        <f>HYPERLINK("https://www.sydney.edu.au/scholarships/a/margot-and-neville-gruzman-scholarship-for-urban-design-in-archi.html", "Margot and Neville Gruzman Award for Urban Design in Architecture")</f>
        <v>Margot and Neville Gruzman Award for Urban Design in Architecture</v>
      </c>
      <c r="C591" t="s">
        <v>27</v>
      </c>
      <c r="D591" t="s">
        <v>241</v>
      </c>
      <c r="E591" t="s">
        <v>24</v>
      </c>
      <c r="F591" t="s">
        <v>13</v>
      </c>
      <c r="G591" s="12" t="s">
        <v>766</v>
      </c>
      <c r="H591" t="s">
        <v>25</v>
      </c>
      <c r="I591" t="s">
        <v>25</v>
      </c>
    </row>
    <row r="592" spans="1:9" ht="60" x14ac:dyDescent="0.25">
      <c r="A592" s="16" t="s">
        <v>679</v>
      </c>
      <c r="B592" t="str">
        <f>HYPERLINK("https://www.sydney.edu.au/scholarships/a/matteson---nancy-roberts-violin-scholarship.html", "Matteson &amp; Nancy Roberts Violin Scholarship")</f>
        <v>Matteson &amp; Nancy Roberts Violin Scholarship</v>
      </c>
      <c r="C592" t="s">
        <v>680</v>
      </c>
      <c r="D592" t="s">
        <v>681</v>
      </c>
      <c r="E592" t="s">
        <v>699</v>
      </c>
      <c r="F592" t="s">
        <v>35</v>
      </c>
      <c r="G592" s="12" t="s">
        <v>767</v>
      </c>
      <c r="H592" t="s">
        <v>25</v>
      </c>
      <c r="I592" t="s">
        <v>25</v>
      </c>
    </row>
    <row r="593" spans="1:9" ht="30" x14ac:dyDescent="0.25">
      <c r="A593" s="16" t="s">
        <v>679</v>
      </c>
      <c r="B593" t="str">
        <f>HYPERLINK("https://www.sydney.edu.au/scholarships/a/mba-directors-scholarship.html", "MBA Director's Scholarship")</f>
        <v>MBA Director's Scholarship</v>
      </c>
      <c r="C593" t="s">
        <v>27</v>
      </c>
      <c r="D593" s="7" t="s">
        <v>768</v>
      </c>
      <c r="E593" t="s">
        <v>684</v>
      </c>
      <c r="F593" t="s">
        <v>51</v>
      </c>
      <c r="G593" s="12" t="s">
        <v>769</v>
      </c>
      <c r="H593" t="s">
        <v>25</v>
      </c>
      <c r="I593" t="s">
        <v>25</v>
      </c>
    </row>
    <row r="594" spans="1:9" ht="60" x14ac:dyDescent="0.25">
      <c r="A594" s="16" t="s">
        <v>679</v>
      </c>
      <c r="B594" t="str">
        <f>HYPERLINK("https://www.sydney.edu.au/scholarships/a/michael-bannigan-scholarship-double-bass.html", "The Michael Bannigan Scholarship for the Double Bass")</f>
        <v>The Michael Bannigan Scholarship for the Double Bass</v>
      </c>
      <c r="C594" t="s">
        <v>680</v>
      </c>
      <c r="D594" t="s">
        <v>688</v>
      </c>
      <c r="E594" t="s">
        <v>699</v>
      </c>
      <c r="F594" t="s">
        <v>35</v>
      </c>
      <c r="G594" s="12" t="s">
        <v>770</v>
      </c>
      <c r="H594" t="s">
        <v>25</v>
      </c>
      <c r="I594" t="s">
        <v>25</v>
      </c>
    </row>
    <row r="595" spans="1:9" ht="75" x14ac:dyDescent="0.25">
      <c r="A595" s="16" t="s">
        <v>679</v>
      </c>
      <c r="B595" t="str">
        <f>HYPERLINK("https://www.sydney.edu.au/scholarships/a/myron-kantor-bequest.html", "Myron Kantor Bequest")</f>
        <v>Myron Kantor Bequest</v>
      </c>
      <c r="C595" t="s">
        <v>680</v>
      </c>
      <c r="D595" t="s">
        <v>681</v>
      </c>
      <c r="E595" t="s">
        <v>699</v>
      </c>
      <c r="F595" t="s">
        <v>35</v>
      </c>
      <c r="G595" s="12" t="s">
        <v>771</v>
      </c>
      <c r="H595" t="s">
        <v>25</v>
      </c>
      <c r="I595" t="s">
        <v>25</v>
      </c>
    </row>
    <row r="596" spans="1:9" ht="60" x14ac:dyDescent="0.25">
      <c r="A596" s="16" t="s">
        <v>679</v>
      </c>
      <c r="B596" t="str">
        <f>HYPERLINK("https://www.sydney.edu.au/scholarships/a/olive-margaret-stewart-bequest.html", "The Olive Margaret Stewart Bequest")</f>
        <v>The Olive Margaret Stewart Bequest</v>
      </c>
      <c r="C596" t="s">
        <v>680</v>
      </c>
      <c r="D596" t="s">
        <v>688</v>
      </c>
      <c r="E596" t="s">
        <v>699</v>
      </c>
      <c r="F596" t="s">
        <v>35</v>
      </c>
      <c r="G596" s="12" t="s">
        <v>772</v>
      </c>
      <c r="H596" t="s">
        <v>25</v>
      </c>
      <c r="I596" t="s">
        <v>25</v>
      </c>
    </row>
    <row r="597" spans="1:9" ht="120" x14ac:dyDescent="0.25">
      <c r="A597" s="16" t="s">
        <v>679</v>
      </c>
      <c r="B597" t="str">
        <f>HYPERLINK("https://www.sydney.edu.au/scholarships/a/orchestra-witheford-don-scholarship.html", "Orchestra - Witheford Don Scholarship")</f>
        <v>Orchestra - Witheford Don Scholarship</v>
      </c>
      <c r="C597" t="s">
        <v>680</v>
      </c>
      <c r="D597" t="s">
        <v>688</v>
      </c>
      <c r="E597" t="s">
        <v>699</v>
      </c>
      <c r="F597" t="s">
        <v>35</v>
      </c>
      <c r="G597" s="12" t="s">
        <v>773</v>
      </c>
      <c r="H597" t="s">
        <v>25</v>
      </c>
      <c r="I597" t="s">
        <v>25</v>
      </c>
    </row>
    <row r="598" spans="1:9" ht="60" x14ac:dyDescent="0.25">
      <c r="A598" s="16" t="s">
        <v>679</v>
      </c>
      <c r="B598" t="str">
        <f>HYPERLINK("https://www.sydney.edu.au/scholarships/a/patricia-bell-grant.html", "Patricia Bell Grant")</f>
        <v>Patricia Bell Grant</v>
      </c>
      <c r="C598" t="s">
        <v>680</v>
      </c>
      <c r="D598" t="s">
        <v>688</v>
      </c>
      <c r="E598" t="s">
        <v>699</v>
      </c>
      <c r="F598" t="s">
        <v>35</v>
      </c>
      <c r="G598" s="12" t="s">
        <v>774</v>
      </c>
      <c r="H598" t="s">
        <v>25</v>
      </c>
      <c r="I598" t="s">
        <v>25</v>
      </c>
    </row>
    <row r="599" spans="1:9" ht="60" x14ac:dyDescent="0.25">
      <c r="A599" s="16" t="s">
        <v>679</v>
      </c>
      <c r="B599" t="str">
        <f>HYPERLINK("https://www.sydney.edu.au/scholarships/a/patricia-long-scholarship.html", "Patricia Long Scholarship")</f>
        <v>Patricia Long Scholarship</v>
      </c>
      <c r="C599" t="s">
        <v>14</v>
      </c>
      <c r="D599" t="s">
        <v>688</v>
      </c>
      <c r="E599" t="s">
        <v>699</v>
      </c>
      <c r="F599" t="s">
        <v>13</v>
      </c>
      <c r="G599" s="12" t="s">
        <v>775</v>
      </c>
      <c r="H599" t="s">
        <v>25</v>
      </c>
      <c r="I599" t="s">
        <v>25</v>
      </c>
    </row>
    <row r="600" spans="1:9" ht="90" x14ac:dyDescent="0.25">
      <c r="A600" s="16" t="s">
        <v>679</v>
      </c>
      <c r="B600" t="str">
        <f>HYPERLINK("https://www.sydney.edu.au/scholarships/a/patricia-lucas-music-achievement-scholarship.html", "Patricia Lucas Music Achievement Scholarship")</f>
        <v>Patricia Lucas Music Achievement Scholarship</v>
      </c>
      <c r="C600" t="s">
        <v>27</v>
      </c>
      <c r="D600" t="s">
        <v>688</v>
      </c>
      <c r="E600" t="s">
        <v>699</v>
      </c>
      <c r="F600" t="s">
        <v>35</v>
      </c>
      <c r="G600" s="12" t="s">
        <v>776</v>
      </c>
      <c r="H600" t="s">
        <v>25</v>
      </c>
      <c r="I600" t="s">
        <v>25</v>
      </c>
    </row>
    <row r="601" spans="1:9" ht="45" x14ac:dyDescent="0.25">
      <c r="A601" s="16" t="s">
        <v>679</v>
      </c>
      <c r="B601" t="str">
        <f>HYPERLINK("https://www.sydney.edu.au/scholarships/a/peter-davidson-music-scholarship.html", "Peter Davidson Music Scholarship")</f>
        <v>Peter Davidson Music Scholarship</v>
      </c>
      <c r="C601" t="s">
        <v>14</v>
      </c>
      <c r="D601" t="s">
        <v>202</v>
      </c>
      <c r="E601" t="s">
        <v>699</v>
      </c>
      <c r="F601" t="s">
        <v>13</v>
      </c>
      <c r="G601" s="12" t="s">
        <v>777</v>
      </c>
      <c r="H601" t="s">
        <v>25</v>
      </c>
      <c r="I601" t="s">
        <v>25</v>
      </c>
    </row>
    <row r="602" spans="1:9" ht="45" x14ac:dyDescent="0.25">
      <c r="A602" s="16" t="s">
        <v>679</v>
      </c>
      <c r="B602" t="str">
        <f>HYPERLINK("https://www.sydney.edu.au/scholarships/a/peter-davidson-scholarship.html", "Peter Davidson Scholarship")</f>
        <v>Peter Davidson Scholarship</v>
      </c>
      <c r="C602" t="s">
        <v>680</v>
      </c>
      <c r="D602" t="s">
        <v>688</v>
      </c>
      <c r="E602" t="s">
        <v>699</v>
      </c>
      <c r="F602" t="s">
        <v>51</v>
      </c>
      <c r="G602" s="12" t="s">
        <v>730</v>
      </c>
      <c r="H602" t="s">
        <v>25</v>
      </c>
      <c r="I602" t="s">
        <v>25</v>
      </c>
    </row>
    <row r="603" spans="1:9" ht="90" x14ac:dyDescent="0.25">
      <c r="A603" s="16" t="s">
        <v>679</v>
      </c>
      <c r="B603" t="str">
        <f>HYPERLINK("https://www.sydney.edu.au/scholarships/a/professional-leadership-development-scholarship-executive-mba.html", "Professional Leadership Development Scholarship (Executive MBA)")</f>
        <v>Professional Leadership Development Scholarship (Executive MBA)</v>
      </c>
      <c r="C603" t="s">
        <v>27</v>
      </c>
      <c r="D603" t="s">
        <v>778</v>
      </c>
      <c r="E603" t="s">
        <v>685</v>
      </c>
      <c r="F603" t="s">
        <v>51</v>
      </c>
      <c r="G603" s="12" t="s">
        <v>779</v>
      </c>
      <c r="H603" t="s">
        <v>25</v>
      </c>
      <c r="I603" t="s">
        <v>25</v>
      </c>
    </row>
    <row r="604" spans="1:9" ht="75" x14ac:dyDescent="0.25">
      <c r="A604" s="16" t="s">
        <v>679</v>
      </c>
      <c r="B604" t="str">
        <f>HYPERLINK("https://www.sydney.edu.au/scholarships/a/professional-leadership-development-scholarship-mba.html", "Professional Leadership Development Scholarship (MBA)")</f>
        <v>Professional Leadership Development Scholarship (MBA)</v>
      </c>
      <c r="C604" t="s">
        <v>27</v>
      </c>
      <c r="D604" t="s">
        <v>716</v>
      </c>
      <c r="E604" t="s">
        <v>685</v>
      </c>
      <c r="F604" t="s">
        <v>51</v>
      </c>
      <c r="G604" s="12" t="s">
        <v>780</v>
      </c>
      <c r="H604" t="s">
        <v>25</v>
      </c>
      <c r="I604" t="s">
        <v>25</v>
      </c>
    </row>
    <row r="605" spans="1:9" ht="60" x14ac:dyDescent="0.25">
      <c r="A605" s="16" t="s">
        <v>679</v>
      </c>
      <c r="B605" t="str">
        <f>HYPERLINK("https://www.sydney.edu.au/scholarships/a/queen-victoria-club-scholarship.html", "Queen Victoria Club Scholarship")</f>
        <v>Queen Victoria Club Scholarship</v>
      </c>
      <c r="C605" t="s">
        <v>680</v>
      </c>
      <c r="D605" t="s">
        <v>688</v>
      </c>
      <c r="E605" t="s">
        <v>699</v>
      </c>
      <c r="F605" t="s">
        <v>35</v>
      </c>
      <c r="G605" s="12" t="s">
        <v>781</v>
      </c>
      <c r="H605" t="s">
        <v>25</v>
      </c>
      <c r="I605" t="s">
        <v>25</v>
      </c>
    </row>
    <row r="606" spans="1:9" ht="45" x14ac:dyDescent="0.25">
      <c r="A606" s="16" t="s">
        <v>679</v>
      </c>
      <c r="B606" t="str">
        <f>HYPERLINK("https://www.sydney.edu.au/scholarships/a/quinquin-foundation.html", "Quinquin Foundation Scholarship")</f>
        <v>Quinquin Foundation Scholarship</v>
      </c>
      <c r="C606" t="s">
        <v>14</v>
      </c>
      <c r="D606" t="s">
        <v>681</v>
      </c>
      <c r="E606" t="s">
        <v>699</v>
      </c>
      <c r="F606" t="s">
        <v>35</v>
      </c>
      <c r="G606" s="12" t="s">
        <v>782</v>
      </c>
      <c r="H606" t="s">
        <v>25</v>
      </c>
      <c r="I606" t="s">
        <v>25</v>
      </c>
    </row>
    <row r="607" spans="1:9" ht="60" x14ac:dyDescent="0.25">
      <c r="A607" s="16" t="s">
        <v>679</v>
      </c>
      <c r="B607" t="str">
        <f>HYPERLINK("https://www.sydney.edu.au/scholarships/a/richard-antony-oppen-scholarship.html", "In Memory of Richard Antony Oppen")</f>
        <v>In Memory of Richard Antony Oppen</v>
      </c>
      <c r="C607" t="s">
        <v>680</v>
      </c>
      <c r="D607" t="s">
        <v>688</v>
      </c>
      <c r="E607" t="s">
        <v>699</v>
      </c>
      <c r="F607" t="s">
        <v>35</v>
      </c>
      <c r="G607" s="12" t="s">
        <v>783</v>
      </c>
      <c r="H607" t="s">
        <v>25</v>
      </c>
      <c r="I607" t="s">
        <v>25</v>
      </c>
    </row>
    <row r="608" spans="1:9" ht="45" x14ac:dyDescent="0.25">
      <c r="A608" s="16" t="s">
        <v>679</v>
      </c>
      <c r="B608" t="str">
        <f>HYPERLINK("https://www.sydney.edu.au/scholarships/a/richard-doreen-wilson-organ-scholarship.html", "The Richard and Doreen Wilson Organ Scholarship")</f>
        <v>The Richard and Doreen Wilson Organ Scholarship</v>
      </c>
      <c r="C608" t="s">
        <v>680</v>
      </c>
      <c r="D608" t="s">
        <v>688</v>
      </c>
      <c r="E608" t="s">
        <v>699</v>
      </c>
      <c r="F608" t="s">
        <v>35</v>
      </c>
      <c r="G608" s="12" t="s">
        <v>784</v>
      </c>
      <c r="H608" t="s">
        <v>25</v>
      </c>
      <c r="I608" t="s">
        <v>25</v>
      </c>
    </row>
    <row r="609" spans="1:9" ht="30" x14ac:dyDescent="0.25">
      <c r="A609" s="16" t="s">
        <v>679</v>
      </c>
      <c r="B609" t="str">
        <f>HYPERLINK("https://www.sydney.edu.au/scholarships/a/richard-merewether-french-horn-fellowship.html", "Richard Merewether French Horn Fellowship")</f>
        <v>Richard Merewether French Horn Fellowship</v>
      </c>
      <c r="C609" t="s">
        <v>680</v>
      </c>
      <c r="D609" s="7" t="s">
        <v>688</v>
      </c>
      <c r="E609" t="s">
        <v>699</v>
      </c>
      <c r="F609" t="s">
        <v>35</v>
      </c>
      <c r="G609" s="12" t="s">
        <v>785</v>
      </c>
      <c r="H609" t="s">
        <v>25</v>
      </c>
      <c r="I609" t="s">
        <v>25</v>
      </c>
    </row>
    <row r="610" spans="1:9" ht="30" x14ac:dyDescent="0.25">
      <c r="A610" s="16" t="s">
        <v>679</v>
      </c>
      <c r="B610" t="str">
        <f>HYPERLINK("https://www.sydney.edu.au/scholarships/a/rj-chambers-honours-scholarship.html", "RJ Chambers Honours Scholarship")</f>
        <v>RJ Chambers Honours Scholarship</v>
      </c>
      <c r="C610" t="s">
        <v>27</v>
      </c>
      <c r="D610" s="7" t="s">
        <v>786</v>
      </c>
      <c r="E610" t="s">
        <v>201</v>
      </c>
      <c r="F610" t="s">
        <v>137</v>
      </c>
      <c r="G610" s="12" t="s">
        <v>787</v>
      </c>
      <c r="H610" t="s">
        <v>25</v>
      </c>
      <c r="I610" t="s">
        <v>25</v>
      </c>
    </row>
    <row r="611" spans="1:9" ht="60" x14ac:dyDescent="0.25">
      <c r="A611" s="16" t="s">
        <v>679</v>
      </c>
      <c r="B611" t="str">
        <f>HYPERLINK("https://www.sydney.edu.au/scholarships/a/robert-o-albert-scholarship.html", "The Albert Scholarships")</f>
        <v>The Albert Scholarships</v>
      </c>
      <c r="C611" t="s">
        <v>680</v>
      </c>
      <c r="D611" s="7" t="s">
        <v>253</v>
      </c>
      <c r="E611" t="s">
        <v>201</v>
      </c>
      <c r="F611" t="s">
        <v>51</v>
      </c>
      <c r="G611" s="12" t="s">
        <v>713</v>
      </c>
      <c r="H611" t="s">
        <v>25</v>
      </c>
      <c r="I611" t="s">
        <v>25</v>
      </c>
    </row>
    <row r="612" spans="1:9" ht="30" x14ac:dyDescent="0.25">
      <c r="A612" s="16" t="s">
        <v>679</v>
      </c>
      <c r="B612" t="str">
        <f>HYPERLINK("https://www.sydney.edu.au/scholarships/a/robert-r-sterling-distinguished-honours-scholarship-accounting.html", "Robert R Sterling Distinguished Honours Scholarship in Accounting")</f>
        <v>Robert R Sterling Distinguished Honours Scholarship in Accounting</v>
      </c>
      <c r="C612" t="s">
        <v>27</v>
      </c>
      <c r="D612" s="7" t="s">
        <v>202</v>
      </c>
      <c r="E612" t="s">
        <v>201</v>
      </c>
      <c r="F612" t="s">
        <v>137</v>
      </c>
      <c r="G612" s="12" t="s">
        <v>788</v>
      </c>
      <c r="H612" t="s">
        <v>25</v>
      </c>
      <c r="I612" t="s">
        <v>25</v>
      </c>
    </row>
    <row r="613" spans="1:9" ht="75" x14ac:dyDescent="0.25">
      <c r="A613" s="16" t="s">
        <v>679</v>
      </c>
      <c r="B613" t="str">
        <f>HYPERLINK("https://www.sydney.edu.au/scholarships/a/rosemary-valentine-memorial-prize.html", "Rosemary Valentine Memorial Prize")</f>
        <v>Rosemary Valentine Memorial Prize</v>
      </c>
      <c r="C613" t="s">
        <v>14</v>
      </c>
      <c r="D613" s="7" t="s">
        <v>681</v>
      </c>
      <c r="E613" t="s">
        <v>699</v>
      </c>
      <c r="F613" t="s">
        <v>35</v>
      </c>
      <c r="G613" s="12" t="s">
        <v>789</v>
      </c>
      <c r="H613" t="s">
        <v>25</v>
      </c>
      <c r="I613" t="s">
        <v>25</v>
      </c>
    </row>
    <row r="614" spans="1:9" ht="60" x14ac:dyDescent="0.25">
      <c r="A614" s="16" t="s">
        <v>679</v>
      </c>
      <c r="B614" t="str">
        <f>HYPERLINK("https://www.sydney.edu.au/scholarships/a/rural-regional-leadership-scholarship.html", "University of Sydney Business School Rural/Regional Leadership Scholarship")</f>
        <v>University of Sydney Business School Rural/Regional Leadership Scholarship</v>
      </c>
      <c r="C614" t="s">
        <v>27</v>
      </c>
      <c r="D614" s="9">
        <v>6000</v>
      </c>
      <c r="E614" t="s">
        <v>790</v>
      </c>
      <c r="F614" t="s">
        <v>13</v>
      </c>
      <c r="G614" s="12" t="s">
        <v>791</v>
      </c>
      <c r="H614" t="s">
        <v>25</v>
      </c>
      <c r="I614" t="s">
        <v>25</v>
      </c>
    </row>
    <row r="615" spans="1:9" ht="45" x14ac:dyDescent="0.25">
      <c r="A615" s="16" t="s">
        <v>679</v>
      </c>
      <c r="B615" t="str">
        <f>HYPERLINK("https://www.sydney.edu.au/scholarships/a/sarah-murial-jeavons-memorial-scholarship.html", "Sarah and Murial Jeavons Memorial Scholarship")</f>
        <v>Sarah and Murial Jeavons Memorial Scholarship</v>
      </c>
      <c r="C615" t="s">
        <v>680</v>
      </c>
      <c r="D615" s="7" t="s">
        <v>688</v>
      </c>
      <c r="E615" t="s">
        <v>699</v>
      </c>
      <c r="F615" t="s">
        <v>35</v>
      </c>
      <c r="G615" s="12" t="s">
        <v>792</v>
      </c>
      <c r="H615" t="s">
        <v>25</v>
      </c>
      <c r="I615" t="s">
        <v>25</v>
      </c>
    </row>
    <row r="616" spans="1:9" ht="105" x14ac:dyDescent="0.25">
      <c r="A616" s="16" t="s">
        <v>679</v>
      </c>
      <c r="B616" t="str">
        <f>HYPERLINK("https://www.sydney.edu.au/scholarships/a/scholarship-merit-excellence-extracurricular-endeavour.html", "Scholarship with Merit for Excellence in Extracurricular Endeavour")</f>
        <v>Scholarship with Merit for Excellence in Extracurricular Endeavour</v>
      </c>
      <c r="C616" t="s">
        <v>27</v>
      </c>
      <c r="D616" s="9">
        <v>6000</v>
      </c>
      <c r="E616" t="s">
        <v>262</v>
      </c>
      <c r="F616" t="s">
        <v>13</v>
      </c>
      <c r="G616" s="12" t="s">
        <v>793</v>
      </c>
      <c r="H616" t="s">
        <v>25</v>
      </c>
      <c r="I616" t="s">
        <v>25</v>
      </c>
    </row>
    <row r="617" spans="1:9" ht="120" x14ac:dyDescent="0.25">
      <c r="A617" s="16" t="s">
        <v>679</v>
      </c>
      <c r="B617" t="str">
        <f>HYPERLINK("https://www.sydney.edu.au/scholarships/a/social-impact-scholarship.html", "The Social Impact Scholarship (MBA)")</f>
        <v>The Social Impact Scholarship (MBA)</v>
      </c>
      <c r="C617" t="s">
        <v>27</v>
      </c>
      <c r="D617" t="s">
        <v>684</v>
      </c>
      <c r="E617" t="s">
        <v>794</v>
      </c>
      <c r="F617" t="s">
        <v>51</v>
      </c>
      <c r="G617" s="12" t="s">
        <v>795</v>
      </c>
      <c r="H617" t="s">
        <v>25</v>
      </c>
      <c r="I617" t="s">
        <v>25</v>
      </c>
    </row>
    <row r="618" spans="1:9" ht="30" x14ac:dyDescent="0.25">
      <c r="A618" s="16" t="s">
        <v>679</v>
      </c>
      <c r="B618" t="str">
        <f>HYPERLINK("https://www.sydney.edu.au/scholarships/a/ted-susan-meller-memorial-scholarship-fund.html", "The Ted and Susan Meller Memorial Scholarship Fund")</f>
        <v>The Ted and Susan Meller Memorial Scholarship Fund</v>
      </c>
      <c r="C618" t="s">
        <v>680</v>
      </c>
      <c r="D618" s="7" t="s">
        <v>688</v>
      </c>
      <c r="E618" t="s">
        <v>699</v>
      </c>
      <c r="F618" t="s">
        <v>35</v>
      </c>
      <c r="G618" s="12" t="s">
        <v>796</v>
      </c>
      <c r="H618" t="s">
        <v>25</v>
      </c>
      <c r="I618" t="s">
        <v>25</v>
      </c>
    </row>
    <row r="619" spans="1:9" ht="75" x14ac:dyDescent="0.25">
      <c r="A619" s="16" t="s">
        <v>679</v>
      </c>
      <c r="B619" t="str">
        <f>HYPERLINK("https://www.sydney.edu.au/scholarships/a/the-chandler-scholarship.html", "The Chandler Scholarship")</f>
        <v>The Chandler Scholarship</v>
      </c>
      <c r="C619" t="s">
        <v>680</v>
      </c>
      <c r="D619" t="s">
        <v>681</v>
      </c>
      <c r="E619" t="s">
        <v>699</v>
      </c>
      <c r="F619" t="s">
        <v>35</v>
      </c>
      <c r="G619" s="12" t="s">
        <v>695</v>
      </c>
      <c r="H619" t="s">
        <v>25</v>
      </c>
      <c r="I619" t="s">
        <v>25</v>
      </c>
    </row>
    <row r="620" spans="1:9" ht="45" x14ac:dyDescent="0.25">
      <c r="A620" s="16" t="s">
        <v>679</v>
      </c>
      <c r="B620" t="str">
        <f>HYPERLINK("https://www.sydney.edu.au/scholarships/a/the-conry-brauer-scholarship-for-piano-tuition.html", "The Conry Brauer Scholarship for Piano Tuition")</f>
        <v>The Conry Brauer Scholarship for Piano Tuition</v>
      </c>
      <c r="C620" t="s">
        <v>680</v>
      </c>
      <c r="D620" t="s">
        <v>681</v>
      </c>
      <c r="E620" t="s">
        <v>699</v>
      </c>
      <c r="F620" t="s">
        <v>35</v>
      </c>
      <c r="G620" s="12" t="s">
        <v>797</v>
      </c>
      <c r="H620" t="s">
        <v>25</v>
      </c>
      <c r="I620" t="s">
        <v>25</v>
      </c>
    </row>
    <row r="621" spans="1:9" ht="30" x14ac:dyDescent="0.25">
      <c r="A621" s="16" t="s">
        <v>679</v>
      </c>
      <c r="B621" t="str">
        <f>HYPERLINK("https://www.sydney.edu.au/scholarships/a/the-conry-brauer-scholarship-for-violin-tuition.html", "The Conry Brauer Scholarship for Violin Tuition")</f>
        <v>The Conry Brauer Scholarship for Violin Tuition</v>
      </c>
      <c r="C621" t="s">
        <v>680</v>
      </c>
      <c r="D621" s="7" t="s">
        <v>688</v>
      </c>
      <c r="E621" t="s">
        <v>699</v>
      </c>
      <c r="F621" t="s">
        <v>35</v>
      </c>
      <c r="G621" s="12" t="s">
        <v>796</v>
      </c>
      <c r="H621" t="s">
        <v>25</v>
      </c>
      <c r="I621" t="s">
        <v>25</v>
      </c>
    </row>
    <row r="622" spans="1:9" ht="60" x14ac:dyDescent="0.25">
      <c r="A622" s="16" t="s">
        <v>679</v>
      </c>
      <c r="B622" t="str">
        <f>HYPERLINK("https://www.sydney.edu.au/scholarships/a/the-elizabethan-theatre-trust-ladies-committee-scholarship.html", "Elizabethan Theatre Trust Ladies’ Committee Scholarship")</f>
        <v>Elizabethan Theatre Trust Ladies’ Committee Scholarship</v>
      </c>
      <c r="C622" t="s">
        <v>680</v>
      </c>
      <c r="D622" s="7" t="s">
        <v>688</v>
      </c>
      <c r="E622" t="s">
        <v>699</v>
      </c>
      <c r="F622" t="s">
        <v>35</v>
      </c>
      <c r="G622" s="12" t="s">
        <v>798</v>
      </c>
      <c r="H622" t="s">
        <v>25</v>
      </c>
      <c r="I622" t="s">
        <v>25</v>
      </c>
    </row>
    <row r="623" spans="1:9" ht="45" x14ac:dyDescent="0.25">
      <c r="A623" s="16" t="s">
        <v>679</v>
      </c>
      <c r="B623" t="str">
        <f>HYPERLINK("https://www.sydney.edu.au/scholarships/a/the-gerald-westheimer-quartet-program.html", "The Gerald Westheimer Quartet Program")</f>
        <v>The Gerald Westheimer Quartet Program</v>
      </c>
      <c r="C623" t="s">
        <v>680</v>
      </c>
      <c r="D623" s="7" t="s">
        <v>688</v>
      </c>
      <c r="E623" t="s">
        <v>699</v>
      </c>
      <c r="F623" t="s">
        <v>35</v>
      </c>
      <c r="G623" s="12" t="s">
        <v>799</v>
      </c>
      <c r="H623" t="s">
        <v>25</v>
      </c>
      <c r="I623" t="s">
        <v>25</v>
      </c>
    </row>
    <row r="624" spans="1:9" ht="60" x14ac:dyDescent="0.25">
      <c r="A624" s="16" t="s">
        <v>679</v>
      </c>
      <c r="B624" t="str">
        <f>HYPERLINK("https://www.sydney.edu.au/scholarships/a/the-grace-russell-henderson-scholarship.html", "The Grace Russell Henderson Scholarship")</f>
        <v>The Grace Russell Henderson Scholarship</v>
      </c>
      <c r="C624" t="s">
        <v>14</v>
      </c>
      <c r="D624" s="7" t="s">
        <v>681</v>
      </c>
      <c r="E624" t="s">
        <v>699</v>
      </c>
      <c r="F624" t="s">
        <v>13</v>
      </c>
      <c r="G624" s="12" t="s">
        <v>800</v>
      </c>
      <c r="H624" t="s">
        <v>25</v>
      </c>
      <c r="I624" t="s">
        <v>25</v>
      </c>
    </row>
    <row r="625" spans="1:9" ht="45" x14ac:dyDescent="0.25">
      <c r="A625" s="16" t="s">
        <v>679</v>
      </c>
      <c r="B625" t="str">
        <f>HYPERLINK("https://www.sydney.edu.au/scholarships/a/the-jj-kelly-memorial-scholarship.html", "The JJ Kelly Memorial Scholarship")</f>
        <v>The JJ Kelly Memorial Scholarship</v>
      </c>
      <c r="C625" t="s">
        <v>680</v>
      </c>
      <c r="D625" s="7" t="s">
        <v>681</v>
      </c>
      <c r="E625" t="s">
        <v>699</v>
      </c>
      <c r="F625" t="s">
        <v>35</v>
      </c>
      <c r="G625" s="12" t="s">
        <v>801</v>
      </c>
      <c r="H625" t="s">
        <v>25</v>
      </c>
      <c r="I625" t="s">
        <v>25</v>
      </c>
    </row>
    <row r="626" spans="1:9" ht="45" x14ac:dyDescent="0.25">
      <c r="A626" s="16" t="s">
        <v>679</v>
      </c>
      <c r="B626" t="str">
        <f>HYPERLINK("https://www.sydney.edu.au/scholarships/a/the-kevin-and-margaret-duffy-scholarship.html", "The Kevin and Margaret Duffy Scholarship")</f>
        <v>The Kevin and Margaret Duffy Scholarship</v>
      </c>
      <c r="C626" t="s">
        <v>680</v>
      </c>
      <c r="D626" s="7" t="s">
        <v>681</v>
      </c>
      <c r="E626" t="s">
        <v>699</v>
      </c>
      <c r="F626" t="s">
        <v>35</v>
      </c>
      <c r="G626" s="12" t="s">
        <v>802</v>
      </c>
      <c r="H626" t="s">
        <v>25</v>
      </c>
      <c r="I626" t="s">
        <v>25</v>
      </c>
    </row>
    <row r="627" spans="1:9" ht="90" x14ac:dyDescent="0.25">
      <c r="A627" s="16" t="s">
        <v>679</v>
      </c>
      <c r="B627" t="str">
        <f>HYPERLINK("https://www.sydney.edu.au/scholarships/a/the-molly-brown-memorial-scholarship.html", "The Molly Brown Memorial Scholarship")</f>
        <v>The Molly Brown Memorial Scholarship</v>
      </c>
      <c r="C627" t="s">
        <v>14</v>
      </c>
      <c r="D627" s="7" t="s">
        <v>253</v>
      </c>
      <c r="E627" t="s">
        <v>262</v>
      </c>
      <c r="F627" t="s">
        <v>35</v>
      </c>
      <c r="G627" s="12" t="s">
        <v>803</v>
      </c>
      <c r="H627" t="s">
        <v>25</v>
      </c>
      <c r="I627" t="s">
        <v>25</v>
      </c>
    </row>
    <row r="628" spans="1:9" ht="30" x14ac:dyDescent="0.25">
      <c r="A628" s="16" t="s">
        <v>679</v>
      </c>
      <c r="B628" t="str">
        <f>HYPERLINK("https://www.sydney.edu.au/scholarships/a/un-women-australia-mba-scholarship.html", "UN Women Australia MBA Scholarship")</f>
        <v>UN Women Australia MBA Scholarship</v>
      </c>
      <c r="C628" t="s">
        <v>27</v>
      </c>
      <c r="D628" s="7" t="s">
        <v>684</v>
      </c>
      <c r="E628" t="s">
        <v>685</v>
      </c>
      <c r="F628" t="s">
        <v>51</v>
      </c>
      <c r="G628" s="12" t="s">
        <v>804</v>
      </c>
      <c r="H628" t="s">
        <v>25</v>
      </c>
      <c r="I628" t="s">
        <v>25</v>
      </c>
    </row>
    <row r="629" spans="1:9" ht="120" x14ac:dyDescent="0.25">
      <c r="A629" s="16" t="s">
        <v>679</v>
      </c>
      <c r="B629" t="str">
        <f>HYPERLINK("https://www.sydney.edu.au/scholarships/a/un-women-national-committee-australia-global-executive-mba-scholarship.html", "UN Women Australia Global Executive MBA Scholarship")</f>
        <v>UN Women Australia Global Executive MBA Scholarship</v>
      </c>
      <c r="C629" t="s">
        <v>27</v>
      </c>
      <c r="D629" t="s">
        <v>805</v>
      </c>
      <c r="E629" t="s">
        <v>685</v>
      </c>
      <c r="F629" t="s">
        <v>51</v>
      </c>
      <c r="G629" s="12" t="s">
        <v>806</v>
      </c>
      <c r="H629" t="s">
        <v>25</v>
      </c>
      <c r="I629" t="s">
        <v>25</v>
      </c>
    </row>
    <row r="630" spans="1:9" ht="60" x14ac:dyDescent="0.25">
      <c r="A630" s="16" t="s">
        <v>679</v>
      </c>
      <c r="B630" t="str">
        <f>HYPERLINK("https://www.sydney.edu.au/scholarships/a/university-of-sydney-business-school-change-maker-scholarship.html", "University of Sydney Business School Change Maker Scholarship")</f>
        <v>University of Sydney Business School Change Maker Scholarship</v>
      </c>
      <c r="C630" t="s">
        <v>27</v>
      </c>
      <c r="D630" s="9">
        <v>7500</v>
      </c>
      <c r="E630" t="s">
        <v>262</v>
      </c>
      <c r="F630" t="s">
        <v>13</v>
      </c>
      <c r="G630" s="12" t="s">
        <v>807</v>
      </c>
      <c r="H630" t="s">
        <v>25</v>
      </c>
      <c r="I630" t="s">
        <v>25</v>
      </c>
    </row>
    <row r="631" spans="1:9" ht="60" x14ac:dyDescent="0.25">
      <c r="A631" s="16" t="s">
        <v>679</v>
      </c>
      <c r="B631"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631" t="s">
        <v>27</v>
      </c>
      <c r="D631" s="7" t="s">
        <v>208</v>
      </c>
      <c r="E631" t="s">
        <v>201</v>
      </c>
      <c r="F631" t="s">
        <v>13</v>
      </c>
      <c r="G631" s="12" t="s">
        <v>808</v>
      </c>
      <c r="H631" t="s">
        <v>25</v>
      </c>
      <c r="I631" t="s">
        <v>25</v>
      </c>
    </row>
    <row r="632" spans="1:9" ht="60" x14ac:dyDescent="0.25">
      <c r="A632" s="16" t="s">
        <v>679</v>
      </c>
      <c r="B632" t="str">
        <f>HYPERLINK("https://www.sydney.edu.au/scholarships/a/usa_industry_placement_program_scholarship.html", "USA Industry Placement Program Scholarship")</f>
        <v>USA Industry Placement Program Scholarship</v>
      </c>
      <c r="C632" t="s">
        <v>809</v>
      </c>
      <c r="D632" s="10" t="s">
        <v>810</v>
      </c>
      <c r="E632" t="s">
        <v>24</v>
      </c>
      <c r="F632" t="s">
        <v>35</v>
      </c>
      <c r="G632" s="12" t="s">
        <v>811</v>
      </c>
      <c r="H632" t="s">
        <v>25</v>
      </c>
      <c r="I632" t="s">
        <v>16</v>
      </c>
    </row>
    <row r="633" spans="1:9" ht="60" x14ac:dyDescent="0.25">
      <c r="A633" s="16" t="s">
        <v>679</v>
      </c>
      <c r="B633" t="str">
        <f>HYPERLINK("https://www.sydney.edu.au/scholarships/a/vasanta-scholarship.html", "The Vasanta Scholarship")</f>
        <v>The Vasanta Scholarship</v>
      </c>
      <c r="C633" t="s">
        <v>680</v>
      </c>
      <c r="D633" s="7" t="s">
        <v>688</v>
      </c>
      <c r="E633" t="s">
        <v>699</v>
      </c>
      <c r="F633" t="s">
        <v>35</v>
      </c>
      <c r="G633" s="12" t="s">
        <v>812</v>
      </c>
      <c r="H633" t="s">
        <v>25</v>
      </c>
      <c r="I633" t="s">
        <v>25</v>
      </c>
    </row>
    <row r="634" spans="1:9" ht="30" x14ac:dyDescent="0.25">
      <c r="A634" s="16" t="s">
        <v>679</v>
      </c>
      <c r="B634" t="str">
        <f>HYPERLINK("https://www.sydney.edu.au/scholarships/a/verna-florence-dinham-scholarship-piano.html", "The Verna Florence Dinham Scholarship for Piano")</f>
        <v>The Verna Florence Dinham Scholarship for Piano</v>
      </c>
      <c r="C634" t="s">
        <v>680</v>
      </c>
      <c r="D634" s="7" t="s">
        <v>688</v>
      </c>
      <c r="E634" t="s">
        <v>699</v>
      </c>
      <c r="F634" t="s">
        <v>35</v>
      </c>
      <c r="G634" s="12" t="s">
        <v>813</v>
      </c>
      <c r="H634" t="s">
        <v>25</v>
      </c>
      <c r="I634" t="s">
        <v>25</v>
      </c>
    </row>
    <row r="635" spans="1:9" ht="60" x14ac:dyDescent="0.25">
      <c r="A635" s="16" t="s">
        <v>679</v>
      </c>
      <c r="B635" t="str">
        <f>HYPERLINK("https://www.sydney.edu.au/scholarships/a/victoria-hope-geary-scholarship.html", "The Victoria Hope Geary Scholarship")</f>
        <v>The Victoria Hope Geary Scholarship</v>
      </c>
      <c r="C635" t="s">
        <v>14</v>
      </c>
      <c r="D635" s="7" t="s">
        <v>234</v>
      </c>
      <c r="E635" t="s">
        <v>201</v>
      </c>
      <c r="F635" t="s">
        <v>13</v>
      </c>
      <c r="G635" s="12" t="s">
        <v>814</v>
      </c>
      <c r="H635" t="s">
        <v>25</v>
      </c>
      <c r="I635" t="s">
        <v>25</v>
      </c>
    </row>
    <row r="636" spans="1:9" ht="90" x14ac:dyDescent="0.25">
      <c r="A636" s="16" t="s">
        <v>679</v>
      </c>
      <c r="B636" t="str">
        <f>HYPERLINK("https://www.sydney.edu.au/scholarships/a/wayne-lonergan-distinguished-scholarship.html", "Wayne Lonergan Distinguished Undergraduate Scholarship")</f>
        <v>Wayne Lonergan Distinguished Undergraduate Scholarship</v>
      </c>
      <c r="C636" t="s">
        <v>27</v>
      </c>
      <c r="D636" s="7" t="s">
        <v>202</v>
      </c>
      <c r="E636" t="s">
        <v>262</v>
      </c>
      <c r="F636" t="s">
        <v>13</v>
      </c>
      <c r="G636" s="12" t="s">
        <v>815</v>
      </c>
      <c r="H636" t="s">
        <v>25</v>
      </c>
      <c r="I636" t="s">
        <v>25</v>
      </c>
    </row>
    <row r="637" spans="1:9" ht="30" x14ac:dyDescent="0.25">
      <c r="A637" s="16" t="s">
        <v>679</v>
      </c>
      <c r="B637" t="str">
        <f>HYPERLINK("https://www.sydney.edu.au/scholarships/a/westbrook-and-jessie-anstice-honours-scholarship-in-business.html", "Westbrook and Jessie Anstice Honours Scholarship in Business")</f>
        <v>Westbrook and Jessie Anstice Honours Scholarship in Business</v>
      </c>
      <c r="C637" t="s">
        <v>27</v>
      </c>
      <c r="D637" s="7" t="s">
        <v>254</v>
      </c>
      <c r="E637" t="s">
        <v>201</v>
      </c>
      <c r="F637" t="s">
        <v>137</v>
      </c>
      <c r="G637" s="12" t="s">
        <v>816</v>
      </c>
      <c r="H637" t="s">
        <v>25</v>
      </c>
      <c r="I637" t="s">
        <v>25</v>
      </c>
    </row>
    <row r="638" spans="1:9" ht="75" x14ac:dyDescent="0.25">
      <c r="A638" s="16" t="s">
        <v>679</v>
      </c>
      <c r="B638" t="str">
        <f>HYPERLINK("https://www.sydney.edu.au/scholarships/a/william-marie-souter-encouragement-awards.html", "The William and Marie Souter Encouragement Awards")</f>
        <v>The William and Marie Souter Encouragement Awards</v>
      </c>
      <c r="C638" t="s">
        <v>14</v>
      </c>
      <c r="D638" s="7" t="s">
        <v>688</v>
      </c>
      <c r="E638" t="s">
        <v>699</v>
      </c>
      <c r="F638" t="s">
        <v>35</v>
      </c>
      <c r="G638" s="12" t="s">
        <v>817</v>
      </c>
      <c r="H638" t="s">
        <v>25</v>
      </c>
      <c r="I638" t="s">
        <v>25</v>
      </c>
    </row>
    <row r="639" spans="1:9" ht="90" x14ac:dyDescent="0.25">
      <c r="A639" s="16" t="s">
        <v>679</v>
      </c>
      <c r="B639" t="str">
        <f>HYPERLINK("https://www.sydney.edu.au/scholarships/a/william-mcilrath-memorial-scholarship-music-performance-research.html", "William McIlrath Memorial Scholarship in Music Performance and Research")</f>
        <v>William McIlrath Memorial Scholarship in Music Performance and Research</v>
      </c>
      <c r="C639" t="s">
        <v>14</v>
      </c>
      <c r="D639" s="7" t="s">
        <v>688</v>
      </c>
      <c r="E639" t="s">
        <v>699</v>
      </c>
      <c r="F639" t="s">
        <v>51</v>
      </c>
      <c r="G639" s="12" t="s">
        <v>818</v>
      </c>
      <c r="H639" t="s">
        <v>25</v>
      </c>
      <c r="I639" t="s">
        <v>25</v>
      </c>
    </row>
    <row r="640" spans="1:9" ht="75" x14ac:dyDescent="0.25">
      <c r="A640" s="16" t="s">
        <v>679</v>
      </c>
      <c r="B640" t="str">
        <f>HYPERLINK("https://www.sydney.edu.au/scholarships/b/The-Pinnacle-Women-in-Finance-Scholarship.html", "The Pinnacle Women in Finance Scholarship")</f>
        <v>The Pinnacle Women in Finance Scholarship</v>
      </c>
      <c r="C640" t="s">
        <v>27</v>
      </c>
      <c r="D640" s="9">
        <v>10000</v>
      </c>
      <c r="E640" t="s">
        <v>205</v>
      </c>
      <c r="F640" t="s">
        <v>13</v>
      </c>
      <c r="G640" s="12" t="s">
        <v>819</v>
      </c>
      <c r="H640" t="s">
        <v>25</v>
      </c>
      <c r="I640" t="s">
        <v>25</v>
      </c>
    </row>
    <row r="641" spans="1:9" ht="90" x14ac:dyDescent="0.25">
      <c r="A641" s="16" t="s">
        <v>679</v>
      </c>
      <c r="B641" t="str">
        <f>HYPERLINK("https://www.sydney.edu.au/scholarships/b/a-j-a-waldock-scholarship.html", "A J A Waldock Scholarship")</f>
        <v>A J A Waldock Scholarship</v>
      </c>
      <c r="C641" t="s">
        <v>14</v>
      </c>
      <c r="D641" s="7" t="s">
        <v>230</v>
      </c>
      <c r="E641" t="s">
        <v>24</v>
      </c>
      <c r="F641" t="s">
        <v>51</v>
      </c>
      <c r="G641" s="12" t="s">
        <v>820</v>
      </c>
      <c r="H641" t="s">
        <v>21</v>
      </c>
      <c r="I641" t="s">
        <v>25</v>
      </c>
    </row>
    <row r="642" spans="1:9" ht="60" x14ac:dyDescent="0.25">
      <c r="A642" s="16" t="s">
        <v>679</v>
      </c>
      <c r="B642" t="str">
        <f>HYPERLINK("https://www.sydney.edu.au/scholarships/b/alan-bishop-scholarship.html", "Alan Bishop Scholarship")</f>
        <v>Alan Bishop Scholarship</v>
      </c>
      <c r="C642" t="s">
        <v>27</v>
      </c>
      <c r="D642" s="9">
        <v>8000</v>
      </c>
      <c r="E642" t="s">
        <v>24</v>
      </c>
      <c r="F642" t="s">
        <v>13</v>
      </c>
      <c r="G642" s="12" t="s">
        <v>821</v>
      </c>
      <c r="H642" t="s">
        <v>25</v>
      </c>
      <c r="I642" t="s">
        <v>25</v>
      </c>
    </row>
    <row r="643" spans="1:9" ht="75" x14ac:dyDescent="0.25">
      <c r="A643" s="16" t="s">
        <v>679</v>
      </c>
      <c r="B643" t="str">
        <f>HYPERLINK("https://www.sydney.edu.au/scholarships/b/alexander-d-strang-scholarship.html", "Alexander D Strang Scholarship in Chemical and Biomolecular Engineering")</f>
        <v>Alexander D Strang Scholarship in Chemical and Biomolecular Engineering</v>
      </c>
      <c r="C643" t="s">
        <v>27</v>
      </c>
      <c r="D643" s="9">
        <v>6418</v>
      </c>
      <c r="E643" t="s">
        <v>201</v>
      </c>
      <c r="F643" t="s">
        <v>13</v>
      </c>
      <c r="G643" s="12" t="s">
        <v>822</v>
      </c>
      <c r="H643" t="s">
        <v>25</v>
      </c>
      <c r="I643" t="s">
        <v>25</v>
      </c>
    </row>
    <row r="644" spans="1:9" ht="75" x14ac:dyDescent="0.25">
      <c r="A644" s="16" t="s">
        <v>679</v>
      </c>
      <c r="B644" t="str">
        <f>HYPERLINK("https://www.sydney.edu.au/scholarships/b/american-studies-honours-scholarship.html", "American Studies Honours Scholarship")</f>
        <v>American Studies Honours Scholarship</v>
      </c>
      <c r="C644" t="s">
        <v>27</v>
      </c>
      <c r="D644" s="7" t="s">
        <v>823</v>
      </c>
      <c r="E644" t="s">
        <v>24</v>
      </c>
      <c r="F644" t="s">
        <v>137</v>
      </c>
      <c r="G644" s="12" t="s">
        <v>824</v>
      </c>
      <c r="H644" t="s">
        <v>25</v>
      </c>
      <c r="I644" t="s">
        <v>25</v>
      </c>
    </row>
    <row r="645" spans="1:9" ht="75" x14ac:dyDescent="0.25">
      <c r="A645" s="16" t="s">
        <v>679</v>
      </c>
      <c r="B645" t="str">
        <f>HYPERLINK("https://www.sydney.edu.au/scholarships/b/annie-beatrice-robinson-wilson-mysydney-scholarship.html", "Annie Beatrice Robinson Wilson MySydney Scholarship")</f>
        <v>Annie Beatrice Robinson Wilson MySydney Scholarship</v>
      </c>
      <c r="C645" t="s">
        <v>14</v>
      </c>
      <c r="D645" s="7" t="s">
        <v>825</v>
      </c>
      <c r="E645" t="s">
        <v>243</v>
      </c>
      <c r="F645" t="s">
        <v>13</v>
      </c>
      <c r="G645" s="12" t="s">
        <v>826</v>
      </c>
      <c r="H645" t="s">
        <v>25</v>
      </c>
      <c r="I645" t="s">
        <v>25</v>
      </c>
    </row>
    <row r="646" spans="1:9" ht="75" x14ac:dyDescent="0.25">
      <c r="A646" s="16" t="s">
        <v>679</v>
      </c>
      <c r="B646" t="str">
        <f>HYPERLINK("https://www.sydney.edu.au/scholarships/b/bill-melia-hutchinson-scholarship.html", "The Bill and Meila Hutchinson Scholarship")</f>
        <v>The Bill and Meila Hutchinson Scholarship</v>
      </c>
      <c r="C646" t="s">
        <v>14</v>
      </c>
      <c r="D646" s="7" t="s">
        <v>825</v>
      </c>
      <c r="E646" t="s">
        <v>243</v>
      </c>
      <c r="F646" t="s">
        <v>13</v>
      </c>
      <c r="G646" s="12" t="s">
        <v>827</v>
      </c>
      <c r="H646" t="s">
        <v>25</v>
      </c>
      <c r="I646" t="s">
        <v>25</v>
      </c>
    </row>
    <row r="647" spans="1:9" ht="60" x14ac:dyDescent="0.25">
      <c r="A647" s="16" t="s">
        <v>679</v>
      </c>
      <c r="B647" t="str">
        <f>HYPERLINK("https://www.sydney.edu.au/scholarships/b/bowman-cameron-scholarship.html", "Bowman Cameron Scholarship")</f>
        <v>Bowman Cameron Scholarship</v>
      </c>
      <c r="C647" t="s">
        <v>27</v>
      </c>
      <c r="D647" s="9">
        <v>5000</v>
      </c>
      <c r="E647" t="s">
        <v>269</v>
      </c>
      <c r="F647" t="s">
        <v>13</v>
      </c>
      <c r="G647" s="12" t="s">
        <v>828</v>
      </c>
      <c r="H647" t="s">
        <v>25</v>
      </c>
      <c r="I647" t="s">
        <v>25</v>
      </c>
    </row>
    <row r="648" spans="1:9" ht="30" x14ac:dyDescent="0.25">
      <c r="A648" s="16" t="s">
        <v>679</v>
      </c>
      <c r="B648" t="str">
        <f>HYPERLINK("https://www.sydney.edu.au/scholarships/b/ca-coghlan-an-littlejohn-scholarship-juris-doctor.html", "CA Coghlan and AN Littlejohn Scholarship for the Juris Doctor")</f>
        <v>CA Coghlan and AN Littlejohn Scholarship for the Juris Doctor</v>
      </c>
      <c r="C648" t="s">
        <v>27</v>
      </c>
      <c r="D648" s="9">
        <v>6000</v>
      </c>
      <c r="E648" t="s">
        <v>685</v>
      </c>
      <c r="F648" t="s">
        <v>51</v>
      </c>
      <c r="G648" s="12" t="s">
        <v>829</v>
      </c>
      <c r="H648" t="s">
        <v>25</v>
      </c>
      <c r="I648" t="s">
        <v>25</v>
      </c>
    </row>
    <row r="649" spans="1:9" ht="45" x14ac:dyDescent="0.25">
      <c r="A649" s="16" t="s">
        <v>679</v>
      </c>
      <c r="B649" t="str">
        <f>HYPERLINK("https://www.sydney.edu.au/scholarships/b/carlyle-greenwell-honours-scholarship.html", "Carlyle Greenwell Honours Scholarship")</f>
        <v>Carlyle Greenwell Honours Scholarship</v>
      </c>
      <c r="C649" t="s">
        <v>14</v>
      </c>
      <c r="D649" s="9">
        <v>8500</v>
      </c>
      <c r="E649" t="s">
        <v>201</v>
      </c>
      <c r="F649" t="s">
        <v>137</v>
      </c>
      <c r="G649" s="12" t="s">
        <v>830</v>
      </c>
      <c r="H649" t="s">
        <v>21</v>
      </c>
      <c r="I649" t="s">
        <v>25</v>
      </c>
    </row>
    <row r="650" spans="1:9" ht="75" x14ac:dyDescent="0.25">
      <c r="A650" s="16" t="s">
        <v>679</v>
      </c>
      <c r="B650" t="str">
        <f>HYPERLINK("https://www.sydney.edu.au/scholarships/b/carolyn-mcilvenny-scholarship.html", "Carolyn McIlvenny Scholarship")</f>
        <v>Carolyn McIlvenny Scholarship</v>
      </c>
      <c r="C650" t="s">
        <v>14</v>
      </c>
      <c r="D650" s="9">
        <v>10000</v>
      </c>
      <c r="E650" t="s">
        <v>201</v>
      </c>
      <c r="F650" t="s">
        <v>13</v>
      </c>
      <c r="G650" s="12" t="s">
        <v>831</v>
      </c>
      <c r="H650" t="s">
        <v>25</v>
      </c>
      <c r="I650" t="s">
        <v>25</v>
      </c>
    </row>
    <row r="651" spans="1:9" ht="60" x14ac:dyDescent="0.25">
      <c r="A651" s="16" t="s">
        <v>679</v>
      </c>
      <c r="B651" t="str">
        <f>HYPERLINK("https://www.sydney.edu.au/scholarships/b/charles-herbert-currey-memorial-scholarship-for-honours.html", "Charles Herbert Currey Memorial Scholarship for Honours")</f>
        <v>Charles Herbert Currey Memorial Scholarship for Honours</v>
      </c>
      <c r="C651" t="s">
        <v>27</v>
      </c>
      <c r="D651" s="7" t="s">
        <v>198</v>
      </c>
      <c r="E651" t="s">
        <v>24</v>
      </c>
      <c r="F651" t="s">
        <v>35</v>
      </c>
      <c r="G651" s="12" t="s">
        <v>832</v>
      </c>
      <c r="H651" t="s">
        <v>25</v>
      </c>
      <c r="I651" t="s">
        <v>25</v>
      </c>
    </row>
    <row r="652" spans="1:9" ht="135" x14ac:dyDescent="0.25">
      <c r="A652" s="16" t="s">
        <v>679</v>
      </c>
      <c r="B652"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652" t="s">
        <v>27</v>
      </c>
      <c r="D652" s="7" t="s">
        <v>210</v>
      </c>
      <c r="E652" t="s">
        <v>24</v>
      </c>
      <c r="F652" t="s">
        <v>35</v>
      </c>
      <c r="G652" s="12" t="s">
        <v>833</v>
      </c>
      <c r="H652" t="s">
        <v>25</v>
      </c>
      <c r="I652" t="s">
        <v>25</v>
      </c>
    </row>
    <row r="653" spans="1:9" ht="105" x14ac:dyDescent="0.25">
      <c r="A653" s="16" t="s">
        <v>679</v>
      </c>
      <c r="B653" t="str">
        <f>HYPERLINK("https://www.sydney.edu.au/scholarships/b/citadel-prize-in-computer-science.html", "Citadel Securities Prize for Excellence in Computer Science")</f>
        <v>Citadel Securities Prize for Excellence in Computer Science</v>
      </c>
      <c r="C653" t="s">
        <v>27</v>
      </c>
      <c r="D653" s="9">
        <v>1000</v>
      </c>
      <c r="E653" t="s">
        <v>201</v>
      </c>
      <c r="F653" t="s">
        <v>137</v>
      </c>
      <c r="G653" s="12" t="s">
        <v>834</v>
      </c>
      <c r="H653" t="s">
        <v>25</v>
      </c>
      <c r="I653" t="s">
        <v>25</v>
      </c>
    </row>
    <row r="654" spans="1:9" ht="60" x14ac:dyDescent="0.25">
      <c r="A654" s="16" t="s">
        <v>679</v>
      </c>
      <c r="B654" t="str">
        <f>HYPERLINK("https://www.sydney.edu.au/scholarships/b/clissold-scholarship.html", "The Clissold Scholarship")</f>
        <v>The Clissold Scholarship</v>
      </c>
      <c r="C654" t="s">
        <v>14</v>
      </c>
      <c r="D654" s="9">
        <v>7000</v>
      </c>
      <c r="E654" t="s">
        <v>685</v>
      </c>
      <c r="F654" t="s">
        <v>13</v>
      </c>
      <c r="G654" s="12" t="s">
        <v>835</v>
      </c>
      <c r="H654" t="s">
        <v>25</v>
      </c>
      <c r="I654" t="s">
        <v>25</v>
      </c>
    </row>
    <row r="655" spans="1:9" ht="90" x14ac:dyDescent="0.25">
      <c r="A655" s="16" t="s">
        <v>679</v>
      </c>
      <c r="B655" t="str">
        <f>HYPERLINK("https://www.sydney.edu.au/scholarships/b/colin-gladstone-harrison-family-scholarship.html", "Colin Gladstone Harrison Family Scholarship")</f>
        <v>Colin Gladstone Harrison Family Scholarship</v>
      </c>
      <c r="C655" t="s">
        <v>27</v>
      </c>
      <c r="D655" s="7" t="s">
        <v>241</v>
      </c>
      <c r="E655" t="s">
        <v>24</v>
      </c>
      <c r="F655" t="s">
        <v>35</v>
      </c>
      <c r="G655" s="12" t="s">
        <v>836</v>
      </c>
      <c r="H655" t="s">
        <v>25</v>
      </c>
      <c r="I655" t="s">
        <v>25</v>
      </c>
    </row>
    <row r="656" spans="1:9" ht="90" x14ac:dyDescent="0.25">
      <c r="A656" s="16" t="s">
        <v>679</v>
      </c>
      <c r="B656" t="str">
        <f>HYPERLINK("https://www.sydney.edu.au/scholarships/b/computational-linguistics.html", "Appen Inclusive AI Scholarship in Computational Linguistics")</f>
        <v>Appen Inclusive AI Scholarship in Computational Linguistics</v>
      </c>
      <c r="C656" t="s">
        <v>14</v>
      </c>
      <c r="D656" s="7" t="s">
        <v>204</v>
      </c>
      <c r="E656" t="s">
        <v>201</v>
      </c>
      <c r="F656" t="s">
        <v>13</v>
      </c>
      <c r="G656" s="12" t="s">
        <v>837</v>
      </c>
      <c r="H656" t="s">
        <v>21</v>
      </c>
      <c r="I656" t="s">
        <v>25</v>
      </c>
    </row>
    <row r="657" spans="1:9" ht="90" x14ac:dyDescent="0.25">
      <c r="A657" s="16" t="s">
        <v>679</v>
      </c>
      <c r="B657" t="str">
        <f>HYPERLINK("https://www.sydney.edu.au/scholarships/b/david-burnett-memorial-scholarship.html", "The David Burnett Memorial Scholarship in Social Justice")</f>
        <v>The David Burnett Memorial Scholarship in Social Justice</v>
      </c>
      <c r="C657" t="s">
        <v>27</v>
      </c>
      <c r="D657" s="9">
        <v>6000</v>
      </c>
      <c r="E657" t="s">
        <v>24</v>
      </c>
      <c r="F657" t="s">
        <v>35</v>
      </c>
      <c r="G657" s="12" t="s">
        <v>838</v>
      </c>
      <c r="H657" t="s">
        <v>25</v>
      </c>
      <c r="I657" t="s">
        <v>25</v>
      </c>
    </row>
    <row r="658" spans="1:9" ht="60" x14ac:dyDescent="0.25">
      <c r="A658" s="16" t="s">
        <v>679</v>
      </c>
      <c r="B658" t="str">
        <f>HYPERLINK("https://www.sydney.edu.au/scholarships/b/david-stuart-hicks-scholarship.html", "The David Stuart Hicks Scholarship")</f>
        <v>The David Stuart Hicks Scholarship</v>
      </c>
      <c r="C658" t="s">
        <v>14</v>
      </c>
      <c r="D658" s="9">
        <v>8000</v>
      </c>
      <c r="E658" t="s">
        <v>201</v>
      </c>
      <c r="F658" t="s">
        <v>13</v>
      </c>
      <c r="G658" s="12" t="s">
        <v>839</v>
      </c>
      <c r="H658" t="s">
        <v>25</v>
      </c>
      <c r="I658" t="s">
        <v>25</v>
      </c>
    </row>
    <row r="659" spans="1:9" ht="60" x14ac:dyDescent="0.25">
      <c r="A659" s="16" t="s">
        <v>679</v>
      </c>
      <c r="B659" t="str">
        <f>HYPERLINK("https://www.sydney.edu.au/scholarships/b/david-w-johnson-mysydney-scholarship.html", "David W Johnson MySydney Scholarship")</f>
        <v>David W Johnson MySydney Scholarship</v>
      </c>
      <c r="C659" t="s">
        <v>14</v>
      </c>
      <c r="D659" s="7" t="s">
        <v>825</v>
      </c>
      <c r="E659" t="s">
        <v>243</v>
      </c>
      <c r="F659" t="s">
        <v>13</v>
      </c>
      <c r="G659" s="12" t="s">
        <v>840</v>
      </c>
      <c r="H659" t="s">
        <v>25</v>
      </c>
      <c r="I659" t="s">
        <v>25</v>
      </c>
    </row>
    <row r="660" spans="1:9" ht="45" x14ac:dyDescent="0.25">
      <c r="A660" s="16" t="s">
        <v>679</v>
      </c>
      <c r="B660" t="str">
        <f>HYPERLINK("https://www.sydney.edu.au/scholarships/b/dr-mary-booth-scholarship.html", "Dr Mary Booth Scholarship")</f>
        <v>Dr Mary Booth Scholarship</v>
      </c>
      <c r="C660" t="s">
        <v>27</v>
      </c>
      <c r="D660" s="7" t="s">
        <v>825</v>
      </c>
      <c r="E660" t="s">
        <v>205</v>
      </c>
      <c r="F660" t="s">
        <v>13</v>
      </c>
      <c r="G660" s="12" t="s">
        <v>841</v>
      </c>
      <c r="H660" t="s">
        <v>25</v>
      </c>
      <c r="I660" t="s">
        <v>25</v>
      </c>
    </row>
    <row r="661" spans="1:9" ht="75" x14ac:dyDescent="0.25">
      <c r="A661" s="16" t="s">
        <v>679</v>
      </c>
      <c r="B661" t="str">
        <f>HYPERLINK("https://www.sydney.edu.au/scholarships/b/elizabeth-brennan-scholarship.html", "Elizabeth Brennan Scholarship")</f>
        <v>Elizabeth Brennan Scholarship</v>
      </c>
      <c r="C661" t="s">
        <v>27</v>
      </c>
      <c r="D661" s="7" t="s">
        <v>202</v>
      </c>
      <c r="E661" t="s">
        <v>205</v>
      </c>
      <c r="F661" t="s">
        <v>51</v>
      </c>
      <c r="G661" s="12" t="s">
        <v>842</v>
      </c>
      <c r="H661" t="s">
        <v>25</v>
      </c>
      <c r="I661" t="s">
        <v>25</v>
      </c>
    </row>
    <row r="662" spans="1:9" ht="60" x14ac:dyDescent="0.25">
      <c r="A662" s="16" t="s">
        <v>679</v>
      </c>
      <c r="B662" t="str">
        <f>HYPERLINK("https://www.sydney.edu.au/scholarships/b/engineering-academic-excellence-scholarship.html", "Engineering Academic Excellence Scholarship")</f>
        <v>Engineering Academic Excellence Scholarship</v>
      </c>
      <c r="C662" t="s">
        <v>27</v>
      </c>
      <c r="D662" s="7" t="s">
        <v>210</v>
      </c>
      <c r="E662" t="s">
        <v>24</v>
      </c>
      <c r="F662" t="s">
        <v>35</v>
      </c>
      <c r="G662" s="12" t="s">
        <v>843</v>
      </c>
      <c r="H662" t="s">
        <v>25</v>
      </c>
      <c r="I662" t="s">
        <v>25</v>
      </c>
    </row>
    <row r="663" spans="1:9" ht="90" x14ac:dyDescent="0.25">
      <c r="A663" s="16" t="s">
        <v>679</v>
      </c>
      <c r="B663" t="str">
        <f>HYPERLINK("https://www.sydney.edu.au/scholarships/b/engineering-access-scholarship.html", "Engineering Access Scholarship")</f>
        <v>Engineering Access Scholarship</v>
      </c>
      <c r="C663" t="s">
        <v>14</v>
      </c>
      <c r="D663" s="7" t="s">
        <v>210</v>
      </c>
      <c r="E663" t="s">
        <v>24</v>
      </c>
      <c r="F663" t="s">
        <v>35</v>
      </c>
      <c r="G663" s="12" t="s">
        <v>844</v>
      </c>
      <c r="H663" t="s">
        <v>25</v>
      </c>
      <c r="I663" t="s">
        <v>25</v>
      </c>
    </row>
    <row r="664" spans="1:9" ht="60" x14ac:dyDescent="0.25">
      <c r="A664" s="16" t="s">
        <v>679</v>
      </c>
      <c r="B664" t="str">
        <f>HYPERLINK("https://www.sydney.edu.au/scholarships/b/engineering-sydney-industry-placement-scholarship.html", "Engineering Sydney Industry Placement Scholarship")</f>
        <v>Engineering Sydney Industry Placement Scholarship</v>
      </c>
      <c r="C664" t="s">
        <v>27</v>
      </c>
      <c r="D664" s="7" t="s">
        <v>845</v>
      </c>
      <c r="E664" t="s">
        <v>439</v>
      </c>
      <c r="F664" t="s">
        <v>35</v>
      </c>
      <c r="G664" s="12" t="s">
        <v>846</v>
      </c>
      <c r="H664" t="s">
        <v>25</v>
      </c>
      <c r="I664" t="s">
        <v>16</v>
      </c>
    </row>
    <row r="665" spans="1:9" ht="75" x14ac:dyDescent="0.25">
      <c r="A665" s="16" t="s">
        <v>679</v>
      </c>
      <c r="B665" t="str">
        <f>HYPERLINK("https://www.sydney.edu.au/scholarships/b/engineering-undergraduate-merit-scholarships.html", "Engineering Undergraduate Merit Scholarships")</f>
        <v>Engineering Undergraduate Merit Scholarships</v>
      </c>
      <c r="C665" t="s">
        <v>27</v>
      </c>
      <c r="D665" s="7" t="s">
        <v>202</v>
      </c>
      <c r="E665" t="s">
        <v>262</v>
      </c>
      <c r="F665" t="s">
        <v>13</v>
      </c>
      <c r="G665" s="12" t="s">
        <v>847</v>
      </c>
      <c r="H665" t="s">
        <v>25</v>
      </c>
      <c r="I665" t="s">
        <v>25</v>
      </c>
    </row>
    <row r="666" spans="1:9" ht="75" x14ac:dyDescent="0.25">
      <c r="A666" s="16" t="s">
        <v>679</v>
      </c>
      <c r="B666" t="str">
        <f>HYPERLINK("https://www.sydney.edu.au/scholarships/b/equity-scholarships-history.html", "Undergraduate Equity Scholarships in History")</f>
        <v>Undergraduate Equity Scholarships in History</v>
      </c>
      <c r="C666" t="s">
        <v>14</v>
      </c>
      <c r="D666" s="7" t="s">
        <v>208</v>
      </c>
      <c r="E666" t="s">
        <v>262</v>
      </c>
      <c r="F666" t="s">
        <v>13</v>
      </c>
      <c r="G666" s="12" t="s">
        <v>848</v>
      </c>
      <c r="H666" t="s">
        <v>25</v>
      </c>
      <c r="I666" t="s">
        <v>25</v>
      </c>
    </row>
    <row r="667" spans="1:9" ht="90" x14ac:dyDescent="0.25">
      <c r="A667" s="16" t="s">
        <v>679</v>
      </c>
      <c r="B667" t="str">
        <f>HYPERLINK("https://www.sydney.edu.au/scholarships/b/eric-cunstance-shaw-scholarship.html", "Eric Cunstance Shaw Scholarship")</f>
        <v>Eric Cunstance Shaw Scholarship</v>
      </c>
      <c r="C667" t="s">
        <v>27</v>
      </c>
      <c r="D667" s="9">
        <v>7000</v>
      </c>
      <c r="E667" t="s">
        <v>24</v>
      </c>
      <c r="F667" t="s">
        <v>35</v>
      </c>
      <c r="G667" s="12" t="s">
        <v>849</v>
      </c>
      <c r="H667" t="s">
        <v>25</v>
      </c>
      <c r="I667" t="s">
        <v>25</v>
      </c>
    </row>
    <row r="668" spans="1:9" ht="60" x14ac:dyDescent="0.25">
      <c r="A668" s="16" t="s">
        <v>679</v>
      </c>
      <c r="B668" t="str">
        <f>HYPERLINK("https://www.sydney.edu.au/scholarships/b/faculty-of-engineering-postgraduate-merit-scholarship.html", "Faculty of Engineering Postgraduate Merit Scholarship")</f>
        <v>Faculty of Engineering Postgraduate Merit Scholarship</v>
      </c>
      <c r="C668" t="s">
        <v>27</v>
      </c>
      <c r="D668" s="7" t="s">
        <v>202</v>
      </c>
      <c r="E668" t="s">
        <v>201</v>
      </c>
      <c r="F668" t="s">
        <v>51</v>
      </c>
      <c r="G668" s="12" t="s">
        <v>850</v>
      </c>
      <c r="H668" t="s">
        <v>25</v>
      </c>
      <c r="I668" t="s">
        <v>25</v>
      </c>
    </row>
    <row r="669" spans="1:9" ht="90" x14ac:dyDescent="0.25">
      <c r="A669" s="16" t="s">
        <v>679</v>
      </c>
      <c r="B669" t="str">
        <f>HYPERLINK("https://www.sydney.edu.au/scholarships/b/faculty-of-engineering-women-in-engineering-excellence-scholarsh.html", "Faculty of Engineering Women in Engineering Excellence Scholarship")</f>
        <v>Faculty of Engineering Women in Engineering Excellence Scholarship</v>
      </c>
      <c r="C669" t="s">
        <v>27</v>
      </c>
      <c r="D669" s="7" t="s">
        <v>327</v>
      </c>
      <c r="E669" t="s">
        <v>262</v>
      </c>
      <c r="F669" t="s">
        <v>13</v>
      </c>
      <c r="G669" s="12" t="s">
        <v>851</v>
      </c>
      <c r="H669" t="s">
        <v>25</v>
      </c>
      <c r="I669" t="s">
        <v>25</v>
      </c>
    </row>
    <row r="670" spans="1:9" ht="90" x14ac:dyDescent="0.25">
      <c r="A670" s="16" t="s">
        <v>679</v>
      </c>
      <c r="B670" t="str">
        <f>HYPERLINK("https://www.sydney.edu.au/scholarships/b/faculty-of-engineering-women-in-engineering-scholarship.html", "Faculty of Engineering Women in Engineering Scholarship")</f>
        <v>Faculty of Engineering Women in Engineering Scholarship</v>
      </c>
      <c r="C670" t="s">
        <v>27</v>
      </c>
      <c r="D670" s="7" t="s">
        <v>202</v>
      </c>
      <c r="E670" t="s">
        <v>201</v>
      </c>
      <c r="F670" t="s">
        <v>13</v>
      </c>
      <c r="G670" s="12" t="s">
        <v>851</v>
      </c>
      <c r="H670" t="s">
        <v>25</v>
      </c>
      <c r="I670" t="s">
        <v>25</v>
      </c>
    </row>
    <row r="671" spans="1:9" ht="30" x14ac:dyDescent="0.25">
      <c r="A671" s="16" t="s">
        <v>679</v>
      </c>
      <c r="B671" t="str">
        <f>HYPERLINK("https://www.sydney.edu.au/scholarships/b/frances-marion-smith-scholarship.html", "Frances Marion Smith Scholarship in Civil Engineering")</f>
        <v>Frances Marion Smith Scholarship in Civil Engineering</v>
      </c>
      <c r="C671" t="s">
        <v>27</v>
      </c>
      <c r="D671" s="9">
        <v>6000</v>
      </c>
      <c r="E671" t="s">
        <v>201</v>
      </c>
      <c r="F671" t="s">
        <v>13</v>
      </c>
      <c r="G671" s="12" t="s">
        <v>852</v>
      </c>
      <c r="H671" t="s">
        <v>25</v>
      </c>
      <c r="I671" t="s">
        <v>25</v>
      </c>
    </row>
    <row r="672" spans="1:9" ht="45" x14ac:dyDescent="0.25">
      <c r="A672" s="16" t="s">
        <v>679</v>
      </c>
      <c r="B672" t="str">
        <f>HYPERLINK("https://www.sydney.edu.au/scholarships/b/garton-scholarship-2-french.html", "Garton Scholarship No II for French")</f>
        <v>Garton Scholarship No II for French</v>
      </c>
      <c r="C672" t="s">
        <v>27</v>
      </c>
      <c r="D672" s="7" t="s">
        <v>208</v>
      </c>
      <c r="E672" t="s">
        <v>201</v>
      </c>
      <c r="F672" t="s">
        <v>13</v>
      </c>
      <c r="G672" s="12" t="s">
        <v>853</v>
      </c>
      <c r="H672" t="s">
        <v>25</v>
      </c>
      <c r="I672" t="s">
        <v>25</v>
      </c>
    </row>
    <row r="673" spans="1:9" ht="45" x14ac:dyDescent="0.25">
      <c r="A673" s="16" t="s">
        <v>679</v>
      </c>
      <c r="B673" t="str">
        <f>HYPERLINK("https://www.sydney.edu.au/scholarships/b/garton-scholarship-no-I-for-french.html", "Garton Scholarship No I for French")</f>
        <v>Garton Scholarship No I for French</v>
      </c>
      <c r="C673" t="s">
        <v>27</v>
      </c>
      <c r="D673" s="7" t="s">
        <v>208</v>
      </c>
      <c r="E673" t="s">
        <v>201</v>
      </c>
      <c r="F673" t="s">
        <v>13</v>
      </c>
      <c r="G673" s="12" t="s">
        <v>853</v>
      </c>
      <c r="H673" t="s">
        <v>25</v>
      </c>
      <c r="I673" t="s">
        <v>25</v>
      </c>
    </row>
    <row r="674" spans="1:9" ht="45" x14ac:dyDescent="0.25">
      <c r="A674" s="16" t="s">
        <v>679</v>
      </c>
      <c r="B674" t="str">
        <f>HYPERLINK("https://www.sydney.edu.au/scholarships/b/garton-scholarship-no-iv-for-german.html", "Garton Scholarship No IV for German")</f>
        <v>Garton Scholarship No IV for German</v>
      </c>
      <c r="C674" t="s">
        <v>27</v>
      </c>
      <c r="D674" s="9">
        <v>5000</v>
      </c>
      <c r="E674" t="s">
        <v>201</v>
      </c>
      <c r="F674" t="s">
        <v>13</v>
      </c>
      <c r="G674" s="12" t="s">
        <v>853</v>
      </c>
      <c r="H674" t="s">
        <v>25</v>
      </c>
      <c r="I674" t="s">
        <v>25</v>
      </c>
    </row>
    <row r="675" spans="1:9" ht="45" x14ac:dyDescent="0.25">
      <c r="A675" s="16" t="s">
        <v>679</v>
      </c>
      <c r="B675" t="str">
        <f>HYPERLINK("https://www.sydney.edu.au/scholarships/b/garton-scholarship-no-v-for-german.html", "Garton Scholarship No V for German")</f>
        <v>Garton Scholarship No V for German</v>
      </c>
      <c r="C675" t="s">
        <v>27</v>
      </c>
      <c r="D675" s="9">
        <v>5000</v>
      </c>
      <c r="E675" t="s">
        <v>201</v>
      </c>
      <c r="F675" t="s">
        <v>13</v>
      </c>
      <c r="G675" s="12" t="s">
        <v>853</v>
      </c>
      <c r="H675" t="s">
        <v>25</v>
      </c>
      <c r="I675" t="s">
        <v>25</v>
      </c>
    </row>
    <row r="676" spans="1:9" ht="90" x14ac:dyDescent="0.25">
      <c r="A676" s="16" t="s">
        <v>679</v>
      </c>
      <c r="B676" t="str">
        <f>HYPERLINK("https://www.sydney.edu.au/scholarships/b/honours-scholarship-french-francophone-studies-germanic-studies.html", "Emilie M Schweitzer Scholarship in French and Germanic Studies")</f>
        <v>Emilie M Schweitzer Scholarship in French and Germanic Studies</v>
      </c>
      <c r="C676" t="s">
        <v>27</v>
      </c>
      <c r="D676" s="7" t="s">
        <v>204</v>
      </c>
      <c r="E676" t="s">
        <v>201</v>
      </c>
      <c r="F676" t="s">
        <v>13</v>
      </c>
      <c r="G676" s="12" t="s">
        <v>854</v>
      </c>
      <c r="H676" t="s">
        <v>25</v>
      </c>
      <c r="I676" t="s">
        <v>25</v>
      </c>
    </row>
    <row r="677" spans="1:9" ht="60" x14ac:dyDescent="0.25">
      <c r="A677" s="16" t="s">
        <v>679</v>
      </c>
      <c r="B677" t="str">
        <f>HYPERLINK("https://www.sydney.edu.au/scholarships/b/hume-meller-engineering-scholarship.html", "Hume Meller Engineering Scholarship")</f>
        <v>Hume Meller Engineering Scholarship</v>
      </c>
      <c r="C677" t="s">
        <v>14</v>
      </c>
      <c r="D677" s="10" t="s">
        <v>855</v>
      </c>
      <c r="E677" t="s">
        <v>698</v>
      </c>
      <c r="F677" t="s">
        <v>13</v>
      </c>
      <c r="G677" s="12" t="s">
        <v>856</v>
      </c>
      <c r="H677" t="s">
        <v>25</v>
      </c>
      <c r="I677" t="s">
        <v>25</v>
      </c>
    </row>
    <row r="678" spans="1:9" ht="90" x14ac:dyDescent="0.25">
      <c r="A678" s="16" t="s">
        <v>679</v>
      </c>
      <c r="B678" t="str">
        <f>HYPERLINK("https://www.sydney.edu.au/scholarships/b/international-grammar-school-scholarship.html", "International Grammar School Independent School Scholarship")</f>
        <v>International Grammar School Independent School Scholarship</v>
      </c>
      <c r="C678" t="s">
        <v>27</v>
      </c>
      <c r="D678" s="10" t="s">
        <v>857</v>
      </c>
      <c r="E678" t="s">
        <v>201</v>
      </c>
      <c r="F678" t="s">
        <v>35</v>
      </c>
      <c r="G678" s="12" t="s">
        <v>858</v>
      </c>
      <c r="H678" t="s">
        <v>25</v>
      </c>
      <c r="I678" t="s">
        <v>16</v>
      </c>
    </row>
    <row r="679" spans="1:9" ht="75" x14ac:dyDescent="0.25">
      <c r="A679" s="16" t="s">
        <v>679</v>
      </c>
      <c r="B679" t="str">
        <f>HYPERLINK("https://www.sydney.edu.au/scholarships/b/isabel-mary-tangie-mysydney-scholarship.html", "Isabel Mary Tangie MySydney Scholarship")</f>
        <v>Isabel Mary Tangie MySydney Scholarship</v>
      </c>
      <c r="C679" t="s">
        <v>14</v>
      </c>
      <c r="D679" s="9">
        <v>8500</v>
      </c>
      <c r="E679" t="s">
        <v>685</v>
      </c>
      <c r="F679" t="s">
        <v>13</v>
      </c>
      <c r="G679" s="12" t="s">
        <v>859</v>
      </c>
      <c r="H679" t="s">
        <v>25</v>
      </c>
      <c r="I679" t="s">
        <v>25</v>
      </c>
    </row>
    <row r="680" spans="1:9" ht="165" x14ac:dyDescent="0.25">
      <c r="A680" s="16" t="s">
        <v>679</v>
      </c>
      <c r="B680" t="str">
        <f>HYPERLINK("https://www.sydney.edu.au/scholarships/b/ivan-roberts-scholarship.html", "Ivan Roberts Scholarship")</f>
        <v>Ivan Roberts Scholarship</v>
      </c>
      <c r="C680" t="s">
        <v>27</v>
      </c>
      <c r="D680" s="7" t="s">
        <v>860</v>
      </c>
      <c r="E680" t="s">
        <v>201</v>
      </c>
      <c r="F680" t="s">
        <v>51</v>
      </c>
      <c r="G680" s="12" t="s">
        <v>861</v>
      </c>
      <c r="H680" t="s">
        <v>25</v>
      </c>
      <c r="I680" t="s">
        <v>25</v>
      </c>
    </row>
    <row r="681" spans="1:9" ht="90" x14ac:dyDescent="0.25">
      <c r="A681" s="16" t="s">
        <v>679</v>
      </c>
      <c r="B681" t="str">
        <f>HYPERLINK("https://www.sydney.edu.au/scholarships/b/james-moya-kilgannon-scholarship.html", "James and Moya Kilgannon Scholarship")</f>
        <v>James and Moya Kilgannon Scholarship</v>
      </c>
      <c r="C681" t="s">
        <v>27</v>
      </c>
      <c r="D681" s="7" t="s">
        <v>202</v>
      </c>
      <c r="E681" t="s">
        <v>201</v>
      </c>
      <c r="F681" t="s">
        <v>13</v>
      </c>
      <c r="G681" s="12" t="s">
        <v>862</v>
      </c>
      <c r="H681" t="s">
        <v>25</v>
      </c>
      <c r="I681" t="s">
        <v>25</v>
      </c>
    </row>
    <row r="682" spans="1:9" ht="60" x14ac:dyDescent="0.25">
      <c r="A682" s="16" t="s">
        <v>679</v>
      </c>
      <c r="B682" t="str">
        <f>HYPERLINK("https://www.sydney.edu.au/scholarships/b/james-strong-dymocks-scholarship.html", "James Strong-Dymocks Scholarship for Australian Literature")</f>
        <v>James Strong-Dymocks Scholarship for Australian Literature</v>
      </c>
      <c r="C682" t="s">
        <v>27</v>
      </c>
      <c r="D682" s="7" t="s">
        <v>327</v>
      </c>
      <c r="E682" t="s">
        <v>269</v>
      </c>
      <c r="F682" t="s">
        <v>13</v>
      </c>
      <c r="G682" s="12" t="s">
        <v>863</v>
      </c>
      <c r="H682" t="s">
        <v>25</v>
      </c>
      <c r="I682" t="s">
        <v>25</v>
      </c>
    </row>
    <row r="683" spans="1:9" ht="75" x14ac:dyDescent="0.25">
      <c r="A683" s="16" t="s">
        <v>679</v>
      </c>
      <c r="B683" t="str">
        <f>HYPERLINK("https://www.sydney.edu.au/scholarships/b/janet-oconnor-scholarship.html", "Janet O'Connor Postgraduate Scholarship")</f>
        <v>Janet O'Connor Postgraduate Scholarship</v>
      </c>
      <c r="C683" t="s">
        <v>27</v>
      </c>
      <c r="D683" s="7" t="s">
        <v>248</v>
      </c>
      <c r="E683" t="s">
        <v>864</v>
      </c>
      <c r="F683" t="s">
        <v>51</v>
      </c>
      <c r="G683" s="12" t="s">
        <v>865</v>
      </c>
      <c r="H683" t="s">
        <v>25</v>
      </c>
      <c r="I683" t="s">
        <v>25</v>
      </c>
    </row>
    <row r="684" spans="1:9" ht="105" x14ac:dyDescent="0.25">
      <c r="A684" s="16" t="s">
        <v>679</v>
      </c>
      <c r="B684" t="str">
        <f>HYPERLINK("https://www.sydney.edu.au/scholarships/b/jerome-de-costa-memorial-awards.html", "The Jerome De Costa Memorial Awards")</f>
        <v>The Jerome De Costa Memorial Awards</v>
      </c>
      <c r="C684" t="s">
        <v>14</v>
      </c>
      <c r="D684" s="7" t="s">
        <v>227</v>
      </c>
      <c r="E684" t="s">
        <v>24</v>
      </c>
      <c r="F684" t="s">
        <v>13</v>
      </c>
      <c r="G684" s="12" t="s">
        <v>866</v>
      </c>
      <c r="H684" t="s">
        <v>25</v>
      </c>
      <c r="I684" t="s">
        <v>25</v>
      </c>
    </row>
    <row r="685" spans="1:9" ht="105" x14ac:dyDescent="0.25">
      <c r="A685" s="16" t="s">
        <v>679</v>
      </c>
      <c r="B685" t="str">
        <f>HYPERLINK("https://www.sydney.edu.au/scholarships/b/jerome-de-costa-memorial-bursary.html", "The Jerome De Costa Memorial Bachelor of Visual Arts Degree Show Bursary")</f>
        <v>The Jerome De Costa Memorial Bachelor of Visual Arts Degree Show Bursary</v>
      </c>
      <c r="C685" t="s">
        <v>14</v>
      </c>
      <c r="D685" s="9">
        <v>5000</v>
      </c>
      <c r="E685" t="s">
        <v>201</v>
      </c>
      <c r="F685" t="s">
        <v>13</v>
      </c>
      <c r="G685" s="12" t="s">
        <v>867</v>
      </c>
      <c r="H685" t="s">
        <v>25</v>
      </c>
      <c r="I685" t="s">
        <v>25</v>
      </c>
    </row>
    <row r="686" spans="1:9" ht="75" x14ac:dyDescent="0.25">
      <c r="A686" s="16" t="s">
        <v>679</v>
      </c>
      <c r="B686" t="str">
        <f>HYPERLINK("https://www.sydney.edu.au/scholarships/b/john-frazer-scholarship.html", "John Frazer Scholarship")</f>
        <v>John Frazer Scholarship</v>
      </c>
      <c r="C686" t="s">
        <v>27</v>
      </c>
      <c r="D686" s="7" t="s">
        <v>208</v>
      </c>
      <c r="E686" t="s">
        <v>201</v>
      </c>
      <c r="F686" t="s">
        <v>137</v>
      </c>
      <c r="G686" s="12" t="s">
        <v>868</v>
      </c>
      <c r="H686" t="s">
        <v>25</v>
      </c>
      <c r="I686" t="s">
        <v>25</v>
      </c>
    </row>
    <row r="687" spans="1:9" ht="60" x14ac:dyDescent="0.25">
      <c r="A687" s="16" t="s">
        <v>679</v>
      </c>
      <c r="B687" t="str">
        <f>HYPERLINK("https://www.sydney.edu.au/scholarships/b/john-obrien-memorial-coursework-scholarships.html", "John O'Brien Memorial Coursework Scholarships")</f>
        <v>John O'Brien Memorial Coursework Scholarships</v>
      </c>
      <c r="C687" t="s">
        <v>27</v>
      </c>
      <c r="D687" s="7" t="s">
        <v>202</v>
      </c>
      <c r="E687" t="s">
        <v>201</v>
      </c>
      <c r="F687" t="s">
        <v>51</v>
      </c>
      <c r="G687" s="12" t="s">
        <v>869</v>
      </c>
      <c r="H687" t="s">
        <v>25</v>
      </c>
      <c r="I687" t="s">
        <v>25</v>
      </c>
    </row>
    <row r="688" spans="1:9" ht="90" x14ac:dyDescent="0.25">
      <c r="A688" s="16" t="s">
        <v>679</v>
      </c>
      <c r="B688" t="str">
        <f>HYPERLINK("https://www.sydney.edu.au/scholarships/b/jolanda-allen-indonesian-studies-scholarship.html", "Jolanda Allen Indonesian Studies Scholarship")</f>
        <v>Jolanda Allen Indonesian Studies Scholarship</v>
      </c>
      <c r="C688" t="s">
        <v>27</v>
      </c>
      <c r="D688" s="7" t="s">
        <v>223</v>
      </c>
      <c r="E688" t="s">
        <v>205</v>
      </c>
      <c r="F688" t="s">
        <v>13</v>
      </c>
      <c r="G688" s="12" t="s">
        <v>870</v>
      </c>
      <c r="H688" t="s">
        <v>25</v>
      </c>
      <c r="I688" t="s">
        <v>25</v>
      </c>
    </row>
    <row r="689" spans="1:9" ht="105" x14ac:dyDescent="0.25">
      <c r="A689" s="16" t="s">
        <v>679</v>
      </c>
      <c r="B689"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689" t="s">
        <v>27</v>
      </c>
      <c r="D689" s="7" t="s">
        <v>242</v>
      </c>
      <c r="E689" t="s">
        <v>201</v>
      </c>
      <c r="F689" t="s">
        <v>35</v>
      </c>
      <c r="G689" s="12" t="s">
        <v>871</v>
      </c>
      <c r="H689" t="s">
        <v>25</v>
      </c>
      <c r="I689" t="s">
        <v>25</v>
      </c>
    </row>
    <row r="690" spans="1:9" ht="90" x14ac:dyDescent="0.25">
      <c r="A690" s="16" t="s">
        <v>679</v>
      </c>
      <c r="B690"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690" t="s">
        <v>27</v>
      </c>
      <c r="D690" s="7" t="s">
        <v>242</v>
      </c>
      <c r="E690" t="s">
        <v>24</v>
      </c>
      <c r="F690" t="s">
        <v>35</v>
      </c>
      <c r="G690" s="12" t="s">
        <v>872</v>
      </c>
      <c r="H690" t="s">
        <v>25</v>
      </c>
      <c r="I690" t="s">
        <v>25</v>
      </c>
    </row>
    <row r="691" spans="1:9" ht="90" x14ac:dyDescent="0.25">
      <c r="A691" s="16" t="s">
        <v>679</v>
      </c>
      <c r="B691" t="str">
        <f>HYPERLINK("https://www.sydney.edu.au/scholarships/b/judith-russell-ryan-scholarship.html", "Judith Russell Ryan Scholarships in Memory of Signora Tedeschi")</f>
        <v>Judith Russell Ryan Scholarships in Memory of Signora Tedeschi</v>
      </c>
      <c r="C691" t="s">
        <v>27</v>
      </c>
      <c r="D691" s="7" t="s">
        <v>208</v>
      </c>
      <c r="E691" t="s">
        <v>24</v>
      </c>
      <c r="F691" t="s">
        <v>13</v>
      </c>
      <c r="G691" s="12" t="s">
        <v>873</v>
      </c>
      <c r="H691" t="s">
        <v>25</v>
      </c>
      <c r="I691" t="s">
        <v>25</v>
      </c>
    </row>
    <row r="692" spans="1:9" ht="105" x14ac:dyDescent="0.25">
      <c r="A692" s="16" t="s">
        <v>679</v>
      </c>
      <c r="B692" t="str">
        <f>HYPERLINK("https://www.sydney.edu.au/scholarships/b/justice-peter-hely-scholarship.html", "The Justice Peter Hely Scholarship")</f>
        <v>The Justice Peter Hely Scholarship</v>
      </c>
      <c r="C692" t="s">
        <v>27</v>
      </c>
      <c r="D692" s="7" t="s">
        <v>874</v>
      </c>
      <c r="E692" t="s">
        <v>201</v>
      </c>
      <c r="F692" t="s">
        <v>51</v>
      </c>
      <c r="G692" s="12" t="s">
        <v>875</v>
      </c>
      <c r="H692" t="s">
        <v>25</v>
      </c>
      <c r="I692" t="s">
        <v>25</v>
      </c>
    </row>
    <row r="693" spans="1:9" ht="45" x14ac:dyDescent="0.25">
      <c r="A693" s="16" t="s">
        <v>679</v>
      </c>
      <c r="B693" t="str">
        <f>HYPERLINK("https://www.sydney.edu.au/scholarships/b/karnaghan-elgar-english-equity-scholarship.html", "Kathleen M Karnaghan and Frederick E English Equity Scholarship")</f>
        <v>Kathleen M Karnaghan and Frederick E English Equity Scholarship</v>
      </c>
      <c r="C693" t="s">
        <v>14</v>
      </c>
      <c r="D693" s="7" t="s">
        <v>208</v>
      </c>
      <c r="E693" t="s">
        <v>201</v>
      </c>
      <c r="F693" t="s">
        <v>13</v>
      </c>
      <c r="G693" s="12" t="s">
        <v>876</v>
      </c>
      <c r="H693" t="s">
        <v>25</v>
      </c>
      <c r="I693" t="s">
        <v>25</v>
      </c>
    </row>
    <row r="694" spans="1:9" ht="120" x14ac:dyDescent="0.25">
      <c r="A694" s="16" t="s">
        <v>679</v>
      </c>
      <c r="B694" t="str">
        <f>HYPERLINK("https://www.sydney.edu.au/scholarships/b/kerr-scholarship-in-history.html", "Kerr Scholarship in History")</f>
        <v>Kerr Scholarship in History</v>
      </c>
      <c r="C694" t="s">
        <v>14</v>
      </c>
      <c r="D694" s="7" t="s">
        <v>877</v>
      </c>
      <c r="E694" t="s">
        <v>685</v>
      </c>
      <c r="F694" t="s">
        <v>13</v>
      </c>
      <c r="G694" s="12" t="s">
        <v>878</v>
      </c>
      <c r="H694" t="s">
        <v>25</v>
      </c>
      <c r="I694" t="s">
        <v>25</v>
      </c>
    </row>
    <row r="695" spans="1:9" ht="90" x14ac:dyDescent="0.25">
      <c r="A695" s="16" t="s">
        <v>679</v>
      </c>
      <c r="B695" t="str">
        <f>HYPERLINK("https://www.sydney.edu.au/scholarships/b/lebanese-ladies-association-scholarship-in-arabic-language-and-cultures.html", "Lebanese Ladies Association Scholarship in Arabic Language and Cultures")</f>
        <v>Lebanese Ladies Association Scholarship in Arabic Language and Cultures</v>
      </c>
      <c r="C695" t="s">
        <v>27</v>
      </c>
      <c r="D695" s="7" t="s">
        <v>879</v>
      </c>
      <c r="E695" t="s">
        <v>201</v>
      </c>
      <c r="F695" t="s">
        <v>35</v>
      </c>
      <c r="G695" s="12" t="s">
        <v>880</v>
      </c>
      <c r="H695" t="s">
        <v>25</v>
      </c>
      <c r="I695" t="s">
        <v>25</v>
      </c>
    </row>
    <row r="696" spans="1:9" ht="30" x14ac:dyDescent="0.25">
      <c r="A696" s="16" t="s">
        <v>679</v>
      </c>
      <c r="B696" t="str">
        <f>HYPERLINK("https://www.sydney.edu.au/scholarships/b/liu-shiming-scholarship-in-visual-arts.html", "Liu Shiming Scholarship in Visual Arts")</f>
        <v>Liu Shiming Scholarship in Visual Arts</v>
      </c>
      <c r="C696" t="s">
        <v>27</v>
      </c>
      <c r="D696" s="7" t="s">
        <v>881</v>
      </c>
      <c r="E696" t="s">
        <v>24</v>
      </c>
      <c r="F696" t="s">
        <v>13</v>
      </c>
      <c r="G696" s="12" t="s">
        <v>882</v>
      </c>
      <c r="H696" t="s">
        <v>25</v>
      </c>
      <c r="I696" t="s">
        <v>25</v>
      </c>
    </row>
    <row r="697" spans="1:9" ht="30" x14ac:dyDescent="0.25">
      <c r="A697" s="16" t="s">
        <v>679</v>
      </c>
      <c r="B697" t="str">
        <f>HYPERLINK("https://www.sydney.edu.au/scholarships/b/longworth-scholarship-juris-doctor.html", "Longworth Scholarship for the Juris Doctor")</f>
        <v>Longworth Scholarship for the Juris Doctor</v>
      </c>
      <c r="C697" t="s">
        <v>14</v>
      </c>
      <c r="D697" s="7" t="s">
        <v>242</v>
      </c>
      <c r="E697" t="s">
        <v>269</v>
      </c>
      <c r="F697" t="s">
        <v>51</v>
      </c>
      <c r="G697" s="12" t="s">
        <v>883</v>
      </c>
      <c r="H697" t="s">
        <v>25</v>
      </c>
      <c r="I697" t="s">
        <v>25</v>
      </c>
    </row>
    <row r="698" spans="1:9" ht="90" x14ac:dyDescent="0.25">
      <c r="A698" s="16" t="s">
        <v>679</v>
      </c>
      <c r="B698" t="str">
        <f>HYPERLINK("https://www.sydney.edu.au/scholarships/b/loxton-chemical-and-biomolecular-engineering-undergraduate.html", "F H Loxton Undergraduate Scholarship in Chemical and Biomolecular Engineering")</f>
        <v>F H Loxton Undergraduate Scholarship in Chemical and Biomolecular Engineering</v>
      </c>
      <c r="C698" t="s">
        <v>27</v>
      </c>
      <c r="D698" s="7" t="s">
        <v>242</v>
      </c>
      <c r="E698" t="s">
        <v>262</v>
      </c>
      <c r="F698" t="s">
        <v>13</v>
      </c>
      <c r="G698" s="12" t="s">
        <v>884</v>
      </c>
      <c r="H698" t="s">
        <v>25</v>
      </c>
      <c r="I698" t="s">
        <v>25</v>
      </c>
    </row>
    <row r="699" spans="1:9" ht="45" x14ac:dyDescent="0.25">
      <c r="A699" s="16" t="s">
        <v>679</v>
      </c>
      <c r="B699" t="str">
        <f>HYPERLINK("https://www.sydney.edu.au/scholarships/b/lr-ba-browne-undergraduate-scholarship-civil-engineering.html", "LR and BA Browne Scholarships in Civil Engineering")</f>
        <v>LR and BA Browne Scholarships in Civil Engineering</v>
      </c>
      <c r="C699" t="s">
        <v>14</v>
      </c>
      <c r="D699" s="7" t="s">
        <v>202</v>
      </c>
      <c r="E699" t="s">
        <v>201</v>
      </c>
      <c r="F699" t="s">
        <v>13</v>
      </c>
      <c r="G699" s="12" t="s">
        <v>885</v>
      </c>
      <c r="H699" t="s">
        <v>25</v>
      </c>
      <c r="I699" t="s">
        <v>25</v>
      </c>
    </row>
    <row r="700" spans="1:9" ht="75" x14ac:dyDescent="0.25">
      <c r="A700" s="16" t="s">
        <v>679</v>
      </c>
      <c r="B700" t="str">
        <f>HYPERLINK("https://www.sydney.edu.au/scholarships/b/lucy-firth-equity-honours-scholarship.html", "Lucy Firth Equity Honours Scholarship")</f>
        <v>Lucy Firth Equity Honours Scholarship</v>
      </c>
      <c r="C700" t="s">
        <v>14</v>
      </c>
      <c r="D700" s="7" t="s">
        <v>208</v>
      </c>
      <c r="E700" t="s">
        <v>201</v>
      </c>
      <c r="F700" t="s">
        <v>13</v>
      </c>
      <c r="G700" s="12" t="s">
        <v>886</v>
      </c>
      <c r="H700" t="s">
        <v>25</v>
      </c>
      <c r="I700" t="s">
        <v>25</v>
      </c>
    </row>
    <row r="701" spans="1:9" ht="90" x14ac:dyDescent="0.25">
      <c r="A701" s="16" t="s">
        <v>679</v>
      </c>
      <c r="B701" t="str">
        <f>HYPERLINK("https://www.sydney.edu.au/scholarships/b/major-industrial-project-placement-scheme--mipps--scholarship.html", "Major Industrial Project Placement Scheme Scholarship")</f>
        <v>Major Industrial Project Placement Scheme Scholarship</v>
      </c>
      <c r="C701" t="s">
        <v>27</v>
      </c>
      <c r="D701" s="7" t="s">
        <v>845</v>
      </c>
      <c r="E701" t="s">
        <v>439</v>
      </c>
      <c r="F701" t="s">
        <v>35</v>
      </c>
      <c r="G701" s="12" t="s">
        <v>887</v>
      </c>
      <c r="H701" t="s">
        <v>25</v>
      </c>
      <c r="I701" t="s">
        <v>16</v>
      </c>
    </row>
    <row r="702" spans="1:9" ht="60" x14ac:dyDescent="0.25">
      <c r="A702" s="16" t="s">
        <v>679</v>
      </c>
      <c r="B702" t="str">
        <f>HYPERLINK("https://www.sydney.edu.au/scholarships/b/margaret-hamer-scholarship-for-women-in-engineering.html", "Margaret Hamer Scholarship for Women in Engineering")</f>
        <v>Margaret Hamer Scholarship for Women in Engineering</v>
      </c>
      <c r="C702" t="s">
        <v>27</v>
      </c>
      <c r="D702" s="9">
        <v>6000</v>
      </c>
      <c r="E702" t="s">
        <v>201</v>
      </c>
      <c r="F702" t="s">
        <v>13</v>
      </c>
      <c r="G702" s="12" t="s">
        <v>888</v>
      </c>
      <c r="H702" t="s">
        <v>25</v>
      </c>
      <c r="I702" t="s">
        <v>25</v>
      </c>
    </row>
    <row r="703" spans="1:9" ht="90" x14ac:dyDescent="0.25">
      <c r="A703" s="16" t="s">
        <v>679</v>
      </c>
      <c r="B703" t="str">
        <f>HYPERLINK("https://www.sydney.edu.au/scholarships/b/marion-macaulay-bequest-teaching-scholarship.html", "Marion Macaulay Internship Scholarship in Education")</f>
        <v>Marion Macaulay Internship Scholarship in Education</v>
      </c>
      <c r="C703" t="s">
        <v>27</v>
      </c>
      <c r="D703" s="9">
        <v>6000</v>
      </c>
      <c r="E703" t="s">
        <v>24</v>
      </c>
      <c r="F703" t="s">
        <v>35</v>
      </c>
      <c r="G703" s="12" t="s">
        <v>889</v>
      </c>
      <c r="H703" t="s">
        <v>25</v>
      </c>
      <c r="I703" t="s">
        <v>16</v>
      </c>
    </row>
    <row r="704" spans="1:9" ht="120" x14ac:dyDescent="0.25">
      <c r="A704" s="16" t="s">
        <v>679</v>
      </c>
      <c r="B704" t="str">
        <f>HYPERLINK("https://www.sydney.edu.au/scholarships/b/mary-henderson-gerstle-scholarship-economic-history.html", "The Mary Henderson (Gerstle) Undergraduate Scholarship in Economic History")</f>
        <v>The Mary Henderson (Gerstle) Undergraduate Scholarship in Economic History</v>
      </c>
      <c r="C704" t="s">
        <v>27</v>
      </c>
      <c r="D704" s="7" t="s">
        <v>204</v>
      </c>
      <c r="E704" t="s">
        <v>201</v>
      </c>
      <c r="F704" t="s">
        <v>13</v>
      </c>
      <c r="G704" s="12" t="s">
        <v>890</v>
      </c>
      <c r="H704" t="s">
        <v>25</v>
      </c>
      <c r="I704" t="s">
        <v>25</v>
      </c>
    </row>
    <row r="705" spans="1:9" ht="60" x14ac:dyDescent="0.25">
      <c r="A705" s="16" t="s">
        <v>679</v>
      </c>
      <c r="B705" t="str">
        <f>HYPERLINK("https://www.sydney.edu.au/scholarships/b/mary-henderson-gerstle-scholarship-political-economy.html", "The Mary Henderson (Gerstle) Undergraduate Scholarship in Political Economy")</f>
        <v>The Mary Henderson (Gerstle) Undergraduate Scholarship in Political Economy</v>
      </c>
      <c r="C705" t="s">
        <v>14</v>
      </c>
      <c r="D705" s="7" t="s">
        <v>204</v>
      </c>
      <c r="E705" t="s">
        <v>685</v>
      </c>
      <c r="F705" t="s">
        <v>13</v>
      </c>
      <c r="G705" s="12" t="s">
        <v>891</v>
      </c>
      <c r="H705" t="s">
        <v>25</v>
      </c>
      <c r="I705" t="s">
        <v>25</v>
      </c>
    </row>
    <row r="706" spans="1:9" ht="90" x14ac:dyDescent="0.25">
      <c r="A706" s="16" t="s">
        <v>679</v>
      </c>
      <c r="B706" t="str">
        <f>HYPERLINK("https://www.sydney.edu.au/scholarships/b/master-of-social-justice-commencing-scholarship.html", "Master of Social Justice Commencing Scholarship")</f>
        <v>Master of Social Justice Commencing Scholarship</v>
      </c>
      <c r="C706" t="s">
        <v>14</v>
      </c>
      <c r="D706" s="7" t="s">
        <v>202</v>
      </c>
      <c r="E706" t="s">
        <v>201</v>
      </c>
      <c r="F706" t="s">
        <v>51</v>
      </c>
      <c r="G706" s="12" t="s">
        <v>892</v>
      </c>
      <c r="H706" t="s">
        <v>25</v>
      </c>
      <c r="I706" t="s">
        <v>25</v>
      </c>
    </row>
    <row r="707" spans="1:9" ht="150" x14ac:dyDescent="0.25">
      <c r="A707" s="16" t="s">
        <v>679</v>
      </c>
      <c r="B707" t="str">
        <f>HYPERLINK("https://www.sydney.edu.au/scholarships/b/one-sydney-many-people.html", "Faculty of Engineering One Sydney, Many People Scholarship")</f>
        <v>Faculty of Engineering One Sydney, Many People Scholarship</v>
      </c>
      <c r="C707" t="s">
        <v>14</v>
      </c>
      <c r="D707" s="10" t="s">
        <v>893</v>
      </c>
      <c r="E707" t="s">
        <v>698</v>
      </c>
      <c r="F707" t="s">
        <v>13</v>
      </c>
      <c r="G707" s="12" t="s">
        <v>894</v>
      </c>
      <c r="H707" t="s">
        <v>21</v>
      </c>
      <c r="I707" t="s">
        <v>25</v>
      </c>
    </row>
    <row r="708" spans="1:9" ht="75" x14ac:dyDescent="0.25">
      <c r="A708" s="16" t="s">
        <v>679</v>
      </c>
      <c r="B708" t="str">
        <f>HYPERLINK("https://www.sydney.edu.au/scholarships/b/pd-jack-prize.html", "PD Jack Prize")</f>
        <v>PD Jack Prize</v>
      </c>
      <c r="C708" t="s">
        <v>27</v>
      </c>
      <c r="D708" s="10" t="s">
        <v>895</v>
      </c>
      <c r="E708" t="s">
        <v>698</v>
      </c>
      <c r="F708" t="s">
        <v>13</v>
      </c>
      <c r="G708" s="12" t="s">
        <v>896</v>
      </c>
      <c r="H708" t="s">
        <v>25</v>
      </c>
      <c r="I708" t="s">
        <v>25</v>
      </c>
    </row>
    <row r="709" spans="1:9" ht="75" x14ac:dyDescent="0.25">
      <c r="A709" s="16" t="s">
        <v>679</v>
      </c>
      <c r="B709" t="str">
        <f>HYPERLINK("https://www.sydney.edu.au/scholarships/b/peace-and-social-justice-scholarship.html", "Peace and Social Justice Scholarship")</f>
        <v>Peace and Social Justice Scholarship</v>
      </c>
      <c r="C709" t="s">
        <v>27</v>
      </c>
      <c r="D709" s="7" t="s">
        <v>204</v>
      </c>
      <c r="E709" t="s">
        <v>201</v>
      </c>
      <c r="F709" t="s">
        <v>51</v>
      </c>
      <c r="G709" s="12" t="s">
        <v>897</v>
      </c>
      <c r="H709" t="s">
        <v>25</v>
      </c>
      <c r="I709" t="s">
        <v>25</v>
      </c>
    </row>
    <row r="710" spans="1:9" ht="120" x14ac:dyDescent="0.25">
      <c r="A710" s="16" t="s">
        <v>679</v>
      </c>
      <c r="B710" t="str">
        <f>HYPERLINK("https://www.sydney.edu.au/scholarships/b/peter-cameron-sydney-oxford-scholarship.html", "Peter Cameron Sydney Oxford Scholarship")</f>
        <v>Peter Cameron Sydney Oxford Scholarship</v>
      </c>
      <c r="C710" t="s">
        <v>27</v>
      </c>
      <c r="D710" s="7" t="s">
        <v>898</v>
      </c>
      <c r="E710" t="s">
        <v>24</v>
      </c>
      <c r="F710" t="s">
        <v>35</v>
      </c>
      <c r="G710" s="12" t="s">
        <v>899</v>
      </c>
      <c r="H710" t="s">
        <v>25</v>
      </c>
      <c r="I710" t="s">
        <v>25</v>
      </c>
    </row>
    <row r="711" spans="1:9" ht="120" x14ac:dyDescent="0.25">
      <c r="A711" s="16" t="s">
        <v>679</v>
      </c>
      <c r="B711" t="str">
        <f>HYPERLINK("https://www.sydney.edu.au/scholarships/b/peter-nicol-russell-undergraduate-scholarship.html", "The Peter Nicol Russell Undergraduate Scholarship")</f>
        <v>The Peter Nicol Russell Undergraduate Scholarship</v>
      </c>
      <c r="C711" t="s">
        <v>27</v>
      </c>
      <c r="D711" s="9">
        <v>6000</v>
      </c>
      <c r="E711" t="s">
        <v>262</v>
      </c>
      <c r="F711" t="s">
        <v>13</v>
      </c>
      <c r="G711" s="12" t="s">
        <v>900</v>
      </c>
      <c r="H711" t="s">
        <v>25</v>
      </c>
      <c r="I711" t="s">
        <v>25</v>
      </c>
    </row>
    <row r="712" spans="1:9" ht="90" x14ac:dyDescent="0.25">
      <c r="A712" s="16" t="s">
        <v>679</v>
      </c>
      <c r="B712" t="str">
        <f>HYPERLINK("https://www.sydney.edu.au/scholarships/b/philosophy-honours-scholarship-on-the-ethics-of-artificial-wombs.html", "Philosophy Honours Scholarship on the Ethics of Artificial Wombs")</f>
        <v>Philosophy Honours Scholarship on the Ethics of Artificial Wombs</v>
      </c>
      <c r="C712" t="s">
        <v>27</v>
      </c>
      <c r="D712" s="7" t="s">
        <v>234</v>
      </c>
      <c r="E712" t="s">
        <v>201</v>
      </c>
      <c r="F712" t="s">
        <v>13</v>
      </c>
      <c r="G712" s="12" t="s">
        <v>901</v>
      </c>
      <c r="H712" t="s">
        <v>25</v>
      </c>
      <c r="I712" t="s">
        <v>25</v>
      </c>
    </row>
    <row r="713" spans="1:9" ht="60" x14ac:dyDescent="0.25">
      <c r="A713" s="16" t="s">
        <v>679</v>
      </c>
      <c r="B713" t="str">
        <f>HYPERLINK("https://www.sydney.edu.au/scholarships/b/pitt-cobbett-scholarship.html", "Pitt Cobbett Scholarship")</f>
        <v>Pitt Cobbett Scholarship</v>
      </c>
      <c r="C713" t="s">
        <v>14</v>
      </c>
      <c r="D713" s="7" t="s">
        <v>208</v>
      </c>
      <c r="E713" t="s">
        <v>24</v>
      </c>
      <c r="F713" t="s">
        <v>35</v>
      </c>
      <c r="G713" s="12" t="s">
        <v>902</v>
      </c>
      <c r="H713" t="s">
        <v>25</v>
      </c>
      <c r="I713" t="s">
        <v>25</v>
      </c>
    </row>
    <row r="714" spans="1:9" ht="75" x14ac:dyDescent="0.25">
      <c r="A714" s="16" t="s">
        <v>679</v>
      </c>
      <c r="B714" t="str">
        <f>HYPERLINK("https://www.sydney.edu.au/scholarships/b/politis-family-scholarship.html", "The Politis Family Scholarship in Modern Greek and/or Byzantine Studies")</f>
        <v>The Politis Family Scholarship in Modern Greek and/or Byzantine Studies</v>
      </c>
      <c r="C714" t="s">
        <v>27</v>
      </c>
      <c r="D714" s="9">
        <v>3000</v>
      </c>
      <c r="E714" t="s">
        <v>24</v>
      </c>
      <c r="F714" t="s">
        <v>35</v>
      </c>
      <c r="G714" s="12" t="s">
        <v>903</v>
      </c>
      <c r="H714" t="s">
        <v>25</v>
      </c>
      <c r="I714" t="s">
        <v>25</v>
      </c>
    </row>
    <row r="715" spans="1:9" ht="60" x14ac:dyDescent="0.25">
      <c r="A715" s="16" t="s">
        <v>679</v>
      </c>
      <c r="B715" t="str">
        <f>HYPERLINK("https://www.sydney.edu.au/scholarships/b/postgraduate-equity-scholarship-gender-cultural-studies.html", "Postgraduate Equity Scholarship in Gender and Cultural Studies")</f>
        <v>Postgraduate Equity Scholarship in Gender and Cultural Studies</v>
      </c>
      <c r="C715" t="s">
        <v>14</v>
      </c>
      <c r="D715" s="9">
        <v>6000</v>
      </c>
      <c r="E715" t="s">
        <v>24</v>
      </c>
      <c r="F715" t="s">
        <v>51</v>
      </c>
      <c r="G715" s="12" t="s">
        <v>904</v>
      </c>
      <c r="H715" t="s">
        <v>25</v>
      </c>
      <c r="I715" t="s">
        <v>25</v>
      </c>
    </row>
    <row r="716" spans="1:9" ht="165" x14ac:dyDescent="0.25">
      <c r="A716" s="16" t="s">
        <v>679</v>
      </c>
      <c r="B716" t="str">
        <f>HYPERLINK("https://www.sydney.edu.au/scholarships/b/ravenswood-independent-schools-scholarship.html", "The Ravenswood Independent Schools Scholarship")</f>
        <v>The Ravenswood Independent Schools Scholarship</v>
      </c>
      <c r="C716" t="s">
        <v>27</v>
      </c>
      <c r="D716" s="7" t="s">
        <v>905</v>
      </c>
      <c r="E716" t="s">
        <v>201</v>
      </c>
      <c r="F716" t="s">
        <v>35</v>
      </c>
      <c r="G716" s="12" t="s">
        <v>906</v>
      </c>
      <c r="H716" t="s">
        <v>25</v>
      </c>
      <c r="I716" t="s">
        <v>16</v>
      </c>
    </row>
    <row r="717" spans="1:9" ht="105" x14ac:dyDescent="0.25">
      <c r="A717" s="16" t="s">
        <v>679</v>
      </c>
      <c r="B717" t="str">
        <f>HYPERLINK("https://www.sydney.edu.au/scholarships/b/rolf-prince-scholarship.html", "The Rolf Prince Scholarship")</f>
        <v>The Rolf Prince Scholarship</v>
      </c>
      <c r="C717" t="s">
        <v>27</v>
      </c>
      <c r="D717" s="7" t="s">
        <v>202</v>
      </c>
      <c r="E717" t="s">
        <v>201</v>
      </c>
      <c r="F717" t="s">
        <v>13</v>
      </c>
      <c r="G717" s="12" t="s">
        <v>907</v>
      </c>
      <c r="H717" t="s">
        <v>25</v>
      </c>
      <c r="I717" t="s">
        <v>25</v>
      </c>
    </row>
    <row r="718" spans="1:9" ht="180" x14ac:dyDescent="0.25">
      <c r="A718" s="16" t="s">
        <v>679</v>
      </c>
      <c r="B718" t="str">
        <f>HYPERLINK("https://www.sydney.edu.au/scholarships/b/romy-waterlow-fellowship-trust.html", "Romy Waterlow Fellowship Trust")</f>
        <v>Romy Waterlow Fellowship Trust</v>
      </c>
      <c r="C718" t="s">
        <v>27</v>
      </c>
      <c r="D718" s="9">
        <v>10000</v>
      </c>
      <c r="E718" t="s">
        <v>24</v>
      </c>
      <c r="F718" t="s">
        <v>51</v>
      </c>
      <c r="G718" s="12" t="s">
        <v>908</v>
      </c>
      <c r="H718" t="s">
        <v>25</v>
      </c>
      <c r="I718" t="s">
        <v>25</v>
      </c>
    </row>
    <row r="719" spans="1:9" ht="30" x14ac:dyDescent="0.25">
      <c r="A719" s="16" t="s">
        <v>679</v>
      </c>
      <c r="B719" t="str">
        <f>HYPERLINK("https://www.sydney.edu.au/scholarships/b/ross-waite-parsons-scholarship.html", "Ross Waite Parsons Postgraduate Coursework Law Scholarship")</f>
        <v>Ross Waite Parsons Postgraduate Coursework Law Scholarship</v>
      </c>
      <c r="C719" t="s">
        <v>27</v>
      </c>
      <c r="D719" s="7" t="s">
        <v>202</v>
      </c>
      <c r="E719" t="s">
        <v>201</v>
      </c>
      <c r="F719" t="s">
        <v>51</v>
      </c>
      <c r="G719" s="12" t="s">
        <v>909</v>
      </c>
      <c r="H719" t="s">
        <v>25</v>
      </c>
      <c r="I719" t="s">
        <v>25</v>
      </c>
    </row>
    <row r="720" spans="1:9" ht="75" x14ac:dyDescent="0.25">
      <c r="A720" s="16" t="s">
        <v>679</v>
      </c>
      <c r="B720" t="str">
        <f>HYPERLINK("https://www.sydney.edu.au/scholarships/b/roy-frederick-turner-am-scholarship.html", "Roy Frederick Turner AM Scholarship - Law")</f>
        <v>Roy Frederick Turner AM Scholarship - Law</v>
      </c>
      <c r="C720" t="s">
        <v>14</v>
      </c>
      <c r="D720" s="9">
        <v>7000</v>
      </c>
      <c r="E720" t="s">
        <v>201</v>
      </c>
      <c r="F720" t="s">
        <v>13</v>
      </c>
      <c r="G720" s="12" t="s">
        <v>910</v>
      </c>
      <c r="H720" t="s">
        <v>25</v>
      </c>
      <c r="I720" t="s">
        <v>25</v>
      </c>
    </row>
    <row r="721" spans="1:9" ht="60" x14ac:dyDescent="0.25">
      <c r="A721" s="16" t="s">
        <v>679</v>
      </c>
      <c r="B721" t="str">
        <f>HYPERLINK("https://www.sydney.edu.au/scholarships/b/roy-frederick-turner-scholarship.html", "Roy Frederick Turner Scholarship - Law")</f>
        <v>Roy Frederick Turner Scholarship - Law</v>
      </c>
      <c r="C721" t="s">
        <v>14</v>
      </c>
      <c r="D721" s="9">
        <v>7000</v>
      </c>
      <c r="E721" t="s">
        <v>201</v>
      </c>
      <c r="F721" t="s">
        <v>13</v>
      </c>
      <c r="G721" s="12" t="s">
        <v>911</v>
      </c>
      <c r="H721" t="s">
        <v>25</v>
      </c>
      <c r="I721" t="s">
        <v>25</v>
      </c>
    </row>
    <row r="722" spans="1:9" ht="75" x14ac:dyDescent="0.25">
      <c r="A722" s="16" t="s">
        <v>679</v>
      </c>
      <c r="B722" t="str">
        <f>HYPERLINK("https://www.sydney.edu.au/scholarships/b/saint-ignatius-college-riverview-independent-school-scholarship.html", "Saint Ignatius College Riverview Independent School Scholarship")</f>
        <v>Saint Ignatius College Riverview Independent School Scholarship</v>
      </c>
      <c r="C722" t="s">
        <v>27</v>
      </c>
      <c r="D722" s="10" t="s">
        <v>857</v>
      </c>
      <c r="E722" t="s">
        <v>201</v>
      </c>
      <c r="F722" t="s">
        <v>35</v>
      </c>
      <c r="G722" s="12" t="s">
        <v>912</v>
      </c>
      <c r="H722" t="s">
        <v>25</v>
      </c>
      <c r="I722" t="s">
        <v>16</v>
      </c>
    </row>
    <row r="723" spans="1:9" ht="75" x14ac:dyDescent="0.25">
      <c r="A723" s="16" t="s">
        <v>679</v>
      </c>
      <c r="B723" t="str">
        <f>HYPERLINK("https://www.sydney.edu.au/scholarships/b/scholarship-aeronautical-aerospace-engineering.html", "Undergraduate Scholarship in Aeronautical / Aerospace Engineering")</f>
        <v>Undergraduate Scholarship in Aeronautical / Aerospace Engineering</v>
      </c>
      <c r="C723" t="s">
        <v>14</v>
      </c>
      <c r="D723" s="9">
        <v>6000</v>
      </c>
      <c r="E723" t="s">
        <v>262</v>
      </c>
      <c r="F723" t="s">
        <v>13</v>
      </c>
      <c r="G723" s="12" t="s">
        <v>913</v>
      </c>
      <c r="H723" t="s">
        <v>21</v>
      </c>
      <c r="I723" t="s">
        <v>25</v>
      </c>
    </row>
    <row r="724" spans="1:9" ht="120" x14ac:dyDescent="0.25">
      <c r="A724" s="16" t="s">
        <v>679</v>
      </c>
      <c r="B724" t="str">
        <f>HYPERLINK("https://www.sydney.edu.au/scholarships/b/scholarship-in-engineering.html", "Scholarship in Engineering")</f>
        <v>Scholarship in Engineering</v>
      </c>
      <c r="C724" t="s">
        <v>14</v>
      </c>
      <c r="D724" s="9">
        <v>12000</v>
      </c>
      <c r="E724" t="s">
        <v>685</v>
      </c>
      <c r="F724" t="s">
        <v>13</v>
      </c>
      <c r="G724" s="12" t="s">
        <v>914</v>
      </c>
      <c r="H724" t="s">
        <v>25</v>
      </c>
      <c r="I724" t="s">
        <v>25</v>
      </c>
    </row>
    <row r="725" spans="1:9" ht="75" x14ac:dyDescent="0.25">
      <c r="A725" s="16" t="s">
        <v>679</v>
      </c>
      <c r="B725" t="str">
        <f>HYPERLINK("https://www.sydney.edu.au/scholarships/b/school-of-computer-science-honours-scholarships.html", "School of Computer Science Honours Scholarships")</f>
        <v>School of Computer Science Honours Scholarships</v>
      </c>
      <c r="C725" t="s">
        <v>27</v>
      </c>
      <c r="D725" s="7" t="s">
        <v>234</v>
      </c>
      <c r="E725" t="s">
        <v>201</v>
      </c>
      <c r="F725" t="s">
        <v>137</v>
      </c>
      <c r="G725" s="12" t="s">
        <v>915</v>
      </c>
      <c r="H725" t="s">
        <v>25</v>
      </c>
      <c r="I725" t="s">
        <v>25</v>
      </c>
    </row>
    <row r="726" spans="1:9" ht="135" x14ac:dyDescent="0.25">
      <c r="A726" s="16" t="s">
        <v>679</v>
      </c>
      <c r="B726" t="str">
        <f>HYPERLINK("https://www.sydney.edu.au/scholarships/b/sciences-po-dual-degree-scholarship.html", "Sciences Po Dual Degree Scholarship")</f>
        <v>Sciences Po Dual Degree Scholarship</v>
      </c>
      <c r="C726" t="s">
        <v>27</v>
      </c>
      <c r="D726" s="7" t="s">
        <v>248</v>
      </c>
      <c r="E726" t="s">
        <v>205</v>
      </c>
      <c r="F726" t="s">
        <v>13</v>
      </c>
      <c r="G726" s="12" t="s">
        <v>916</v>
      </c>
      <c r="H726" t="s">
        <v>25</v>
      </c>
      <c r="I726" t="s">
        <v>25</v>
      </c>
    </row>
    <row r="727" spans="1:9" ht="135" x14ac:dyDescent="0.25">
      <c r="A727" s="16" t="s">
        <v>679</v>
      </c>
      <c r="B727" t="str">
        <f>HYPERLINK("https://www.sydney.edu.au/scholarships/b/stanley-sinclair-bequest-scholarship.html", "Stanley Sinclair Bequest Scholarship")</f>
        <v>Stanley Sinclair Bequest Scholarship</v>
      </c>
      <c r="C727" t="s">
        <v>27</v>
      </c>
      <c r="D727" s="9">
        <v>5000</v>
      </c>
      <c r="E727" t="s">
        <v>201</v>
      </c>
      <c r="F727" t="s">
        <v>51</v>
      </c>
      <c r="G727" s="12" t="s">
        <v>917</v>
      </c>
      <c r="H727" t="s">
        <v>25</v>
      </c>
      <c r="I727" t="s">
        <v>25</v>
      </c>
    </row>
    <row r="728" spans="1:9" ht="75" x14ac:dyDescent="0.25">
      <c r="A728" s="16" t="s">
        <v>679</v>
      </c>
      <c r="B728" t="str">
        <f>HYPERLINK("https://www.sydney.edu.au/scholarships/b/start-up-scholarship.html", "Postgraduate Coursework Start Up Scholarship")</f>
        <v>Postgraduate Coursework Start Up Scholarship</v>
      </c>
      <c r="C728" t="s">
        <v>27</v>
      </c>
      <c r="D728" s="7" t="s">
        <v>202</v>
      </c>
      <c r="E728" t="s">
        <v>201</v>
      </c>
      <c r="F728" t="s">
        <v>51</v>
      </c>
      <c r="G728" s="12" t="s">
        <v>918</v>
      </c>
      <c r="H728" t="s">
        <v>25</v>
      </c>
      <c r="I728" t="s">
        <v>25</v>
      </c>
    </row>
    <row r="729" spans="1:9" ht="90" x14ac:dyDescent="0.25">
      <c r="A729" s="16" t="s">
        <v>679</v>
      </c>
      <c r="B729" t="str">
        <f>HYPERLINK("https://www.sydney.edu.au/scholarships/b/sydney-policy-reform-project-scholarship.html", "Sydney Policy Reform Project Scholarship")</f>
        <v>Sydney Policy Reform Project Scholarship</v>
      </c>
      <c r="C729" t="s">
        <v>14</v>
      </c>
      <c r="D729" s="7" t="s">
        <v>919</v>
      </c>
      <c r="E729" t="s">
        <v>201</v>
      </c>
      <c r="F729" t="s">
        <v>51</v>
      </c>
      <c r="G729" s="12" t="s">
        <v>920</v>
      </c>
      <c r="H729" t="s">
        <v>25</v>
      </c>
      <c r="I729" t="s">
        <v>25</v>
      </c>
    </row>
    <row r="730" spans="1:9" ht="150" x14ac:dyDescent="0.25">
      <c r="A730" s="16" t="s">
        <v>679</v>
      </c>
      <c r="B730" t="str">
        <f>HYPERLINK("https://www.sydney.edu.au/scholarships/b/sydney-symposium-choral-foundation-conducting-scholarship.html", "Sydney Symposium Choral Foundation Conducting Scholarship")</f>
        <v>Sydney Symposium Choral Foundation Conducting Scholarship</v>
      </c>
      <c r="C730" t="s">
        <v>680</v>
      </c>
      <c r="D730" t="s">
        <v>688</v>
      </c>
      <c r="E730" t="s">
        <v>699</v>
      </c>
      <c r="F730" t="s">
        <v>35</v>
      </c>
      <c r="G730" s="12" t="s">
        <v>921</v>
      </c>
      <c r="H730" t="s">
        <v>25</v>
      </c>
      <c r="I730" t="s">
        <v>25</v>
      </c>
    </row>
    <row r="731" spans="1:9" ht="60" x14ac:dyDescent="0.25">
      <c r="A731" s="16" t="s">
        <v>679</v>
      </c>
      <c r="B731" t="str">
        <f>HYPERLINK("https://www.sydney.edu.au/scholarships/b/t-m-hsiao-scholarship.html", "The T M Hsiao Scholarship")</f>
        <v>The T M Hsiao Scholarship</v>
      </c>
      <c r="C731" t="s">
        <v>27</v>
      </c>
      <c r="D731" s="7" t="s">
        <v>208</v>
      </c>
      <c r="E731" t="s">
        <v>24</v>
      </c>
      <c r="F731" t="s">
        <v>107</v>
      </c>
      <c r="G731" s="12" t="s">
        <v>922</v>
      </c>
      <c r="H731" t="s">
        <v>25</v>
      </c>
      <c r="I731" t="s">
        <v>25</v>
      </c>
    </row>
    <row r="732" spans="1:9" ht="90" x14ac:dyDescent="0.25">
      <c r="A732" s="16" t="s">
        <v>679</v>
      </c>
      <c r="B732" t="str">
        <f>HYPERLINK("https://www.sydney.edu.au/scholarships/b/teachers-education-scholarship-wenona.html", "The Teacher Education Scholarship (Wenona)")</f>
        <v>The Teacher Education Scholarship (Wenona)</v>
      </c>
      <c r="C732" t="s">
        <v>27</v>
      </c>
      <c r="D732" s="7" t="s">
        <v>327</v>
      </c>
      <c r="E732" t="s">
        <v>201</v>
      </c>
      <c r="F732" t="s">
        <v>35</v>
      </c>
      <c r="G732" s="12" t="s">
        <v>923</v>
      </c>
      <c r="H732" t="s">
        <v>25</v>
      </c>
      <c r="I732" t="s">
        <v>16</v>
      </c>
    </row>
    <row r="733" spans="1:9" ht="75" x14ac:dyDescent="0.25">
      <c r="A733" s="16" t="s">
        <v>679</v>
      </c>
      <c r="B733" t="str">
        <f>HYPERLINK("https://www.sydney.edu.au/scholarships/b/the-abbotsleigh-teacher-education-scholarship.html", "The Abbotsleigh Teacher Education Scholarship")</f>
        <v>The Abbotsleigh Teacher Education Scholarship</v>
      </c>
      <c r="C733" t="s">
        <v>27</v>
      </c>
      <c r="D733" s="7" t="s">
        <v>327</v>
      </c>
      <c r="E733" t="s">
        <v>201</v>
      </c>
      <c r="F733" t="s">
        <v>35</v>
      </c>
      <c r="G733" s="12" t="s">
        <v>924</v>
      </c>
      <c r="H733" t="s">
        <v>25</v>
      </c>
      <c r="I733" t="s">
        <v>16</v>
      </c>
    </row>
    <row r="734" spans="1:9" ht="75" x14ac:dyDescent="0.25">
      <c r="A734" s="16" t="s">
        <v>679</v>
      </c>
      <c r="B734" t="str">
        <f>HYPERLINK("https://www.sydney.edu.au/scholarships/b/the-ascham-teacher-education-scholarship.html", "The Ascham Teacher Education Scholarship")</f>
        <v>The Ascham Teacher Education Scholarship</v>
      </c>
      <c r="C734" t="s">
        <v>27</v>
      </c>
      <c r="D734" s="7" t="s">
        <v>327</v>
      </c>
      <c r="E734" t="s">
        <v>201</v>
      </c>
      <c r="F734" t="s">
        <v>35</v>
      </c>
      <c r="G734" s="12" t="s">
        <v>924</v>
      </c>
      <c r="H734" t="s">
        <v>25</v>
      </c>
      <c r="I734" t="s">
        <v>25</v>
      </c>
    </row>
    <row r="735" spans="1:9" ht="120" x14ac:dyDescent="0.25">
      <c r="A735" s="16" t="s">
        <v>679</v>
      </c>
      <c r="B735" t="str">
        <f>HYPERLINK("https://www.sydney.edu.au/scholarships/b/the-benjafield-and-mccallum-ao-scholarship.html", "The Benjafield and McCallum AO Scholarship")</f>
        <v>The Benjafield and McCallum AO Scholarship</v>
      </c>
      <c r="C735" t="s">
        <v>14</v>
      </c>
      <c r="D735" s="7" t="s">
        <v>208</v>
      </c>
      <c r="E735" t="s">
        <v>201</v>
      </c>
      <c r="F735" t="s">
        <v>13</v>
      </c>
      <c r="G735" s="12" t="s">
        <v>925</v>
      </c>
      <c r="H735" t="s">
        <v>25</v>
      </c>
      <c r="I735" t="s">
        <v>16</v>
      </c>
    </row>
    <row r="736" spans="1:9" ht="75" x14ac:dyDescent="0.25">
      <c r="A736" s="16" t="s">
        <v>679</v>
      </c>
      <c r="B736" t="str">
        <f>HYPERLINK("https://www.sydney.edu.au/scholarships/b/the-dr-lena-cansdale-scholarship.html", "The Dr Lena Cansdale Scholarship")</f>
        <v>The Dr Lena Cansdale Scholarship</v>
      </c>
      <c r="C736" t="s">
        <v>27</v>
      </c>
      <c r="D736" s="9">
        <v>3000</v>
      </c>
      <c r="E736" t="s">
        <v>24</v>
      </c>
      <c r="F736" t="s">
        <v>13</v>
      </c>
      <c r="G736" s="12" t="s">
        <v>926</v>
      </c>
      <c r="H736" t="s">
        <v>25</v>
      </c>
      <c r="I736" t="s">
        <v>25</v>
      </c>
    </row>
    <row r="737" spans="1:9" ht="60" x14ac:dyDescent="0.25">
      <c r="A737" s="16" t="s">
        <v>679</v>
      </c>
      <c r="B737" t="str">
        <f>HYPERLINK("https://www.sydney.edu.au/scholarships/b/the-gabrielle-ewington-equity-scholarship-in-southeast-asian-studies.html", "The Gabrielle Ewington Equity Scholarship in Southeast Asian Studies")</f>
        <v>The Gabrielle Ewington Equity Scholarship in Southeast Asian Studies</v>
      </c>
      <c r="C737" t="s">
        <v>27</v>
      </c>
      <c r="D737" s="7" t="s">
        <v>825</v>
      </c>
      <c r="E737" t="s">
        <v>262</v>
      </c>
      <c r="F737" t="s">
        <v>13</v>
      </c>
      <c r="G737" s="12" t="s">
        <v>927</v>
      </c>
      <c r="H737" t="s">
        <v>25</v>
      </c>
      <c r="I737" t="s">
        <v>25</v>
      </c>
    </row>
    <row r="738" spans="1:9" ht="60" x14ac:dyDescent="0.25">
      <c r="A738" s="16" t="s">
        <v>679</v>
      </c>
      <c r="B738" t="str">
        <f>HYPERLINK("https://www.sydney.edu.au/scholarships/b/the-james-coutts-scholarship.html", "The James Coutts Scholarship")</f>
        <v>The James Coutts Scholarship</v>
      </c>
      <c r="C738" t="s">
        <v>27</v>
      </c>
      <c r="D738" s="7" t="s">
        <v>212</v>
      </c>
      <c r="E738" t="s">
        <v>201</v>
      </c>
      <c r="F738" t="s">
        <v>137</v>
      </c>
      <c r="G738" s="12" t="s">
        <v>928</v>
      </c>
      <c r="H738" t="s">
        <v>25</v>
      </c>
      <c r="I738" t="s">
        <v>25</v>
      </c>
    </row>
    <row r="739" spans="1:9" ht="105" x14ac:dyDescent="0.25">
      <c r="A739" s="16" t="s">
        <v>679</v>
      </c>
      <c r="B739" t="str">
        <f>HYPERLINK("https://www.sydney.edu.au/scholarships/b/the-jerome-de-costa-memorial-undergraduate-degree-show-bursary.html", "The Jerome De Costa Memorial Award - Graduate Exhibition")</f>
        <v>The Jerome De Costa Memorial Award - Graduate Exhibition</v>
      </c>
      <c r="C739" t="s">
        <v>14</v>
      </c>
      <c r="D739" s="7" t="s">
        <v>208</v>
      </c>
      <c r="E739" t="s">
        <v>24</v>
      </c>
      <c r="F739" t="s">
        <v>13</v>
      </c>
      <c r="G739" s="12" t="s">
        <v>929</v>
      </c>
      <c r="H739" t="s">
        <v>25</v>
      </c>
      <c r="I739" t="s">
        <v>25</v>
      </c>
    </row>
    <row r="740" spans="1:9" ht="90" x14ac:dyDescent="0.25">
      <c r="A740" s="16" t="s">
        <v>679</v>
      </c>
      <c r="B740" t="str">
        <f>HYPERLINK("https://www.sydney.edu.au/scholarships/b/the-kambala-teacher-education-scholarship.html", "The Kambala Teacher Education Scholarship")</f>
        <v>The Kambala Teacher Education Scholarship</v>
      </c>
      <c r="C740" t="s">
        <v>27</v>
      </c>
      <c r="D740" s="7" t="s">
        <v>327</v>
      </c>
      <c r="E740" t="s">
        <v>201</v>
      </c>
      <c r="F740" t="s">
        <v>35</v>
      </c>
      <c r="G740" s="12" t="s">
        <v>930</v>
      </c>
      <c r="H740" t="s">
        <v>25</v>
      </c>
      <c r="I740" t="s">
        <v>16</v>
      </c>
    </row>
    <row r="741" spans="1:9" ht="90" x14ac:dyDescent="0.25">
      <c r="A741" s="16" t="s">
        <v>679</v>
      </c>
      <c r="B741" t="str">
        <f>HYPERLINK("https://www.sydney.edu.au/scholarships/b/the-knox-grammar-school-teacher-education-scholarship.html", "The Knox Grammar School Teacher Education Scholarship")</f>
        <v>The Knox Grammar School Teacher Education Scholarship</v>
      </c>
      <c r="C741" t="s">
        <v>27</v>
      </c>
      <c r="D741" s="7" t="s">
        <v>327</v>
      </c>
      <c r="E741" t="s">
        <v>201</v>
      </c>
      <c r="F741" t="s">
        <v>35</v>
      </c>
      <c r="G741" s="12" t="s">
        <v>931</v>
      </c>
      <c r="H741" t="s">
        <v>25</v>
      </c>
      <c r="I741" t="s">
        <v>16</v>
      </c>
    </row>
    <row r="742" spans="1:9" ht="60" x14ac:dyDescent="0.25">
      <c r="A742" s="16" t="s">
        <v>679</v>
      </c>
      <c r="B742" t="str">
        <f>HYPERLINK("https://www.sydney.edu.au/scholarships/b/the-lisa-mcneice-mile-award.html", "The Lisa McNeice MILE Award")</f>
        <v>The Lisa McNeice MILE Award</v>
      </c>
      <c r="C742" t="s">
        <v>27</v>
      </c>
      <c r="D742" s="7" t="s">
        <v>206</v>
      </c>
      <c r="E742" t="s">
        <v>24</v>
      </c>
      <c r="F742" t="s">
        <v>51</v>
      </c>
      <c r="G742" s="12" t="s">
        <v>932</v>
      </c>
      <c r="H742" t="s">
        <v>25</v>
      </c>
      <c r="I742" t="s">
        <v>25</v>
      </c>
    </row>
    <row r="743" spans="1:9" ht="90" x14ac:dyDescent="0.25">
      <c r="A743" s="16" t="s">
        <v>679</v>
      </c>
      <c r="B743" t="str">
        <f>HYPERLINK("https://www.sydney.edu.au/scholarships/b/the-mlc-school-teacher-education-scholarship.html", "MLC School Teacher Education Scholarship")</f>
        <v>MLC School Teacher Education Scholarship</v>
      </c>
      <c r="C743" t="s">
        <v>27</v>
      </c>
      <c r="D743" s="7" t="s">
        <v>749</v>
      </c>
      <c r="E743" t="s">
        <v>933</v>
      </c>
      <c r="F743" t="s">
        <v>51</v>
      </c>
      <c r="G743" s="12" t="s">
        <v>934</v>
      </c>
      <c r="H743" t="s">
        <v>25</v>
      </c>
      <c r="I743" t="s">
        <v>16</v>
      </c>
    </row>
    <row r="744" spans="1:9" ht="45" x14ac:dyDescent="0.25">
      <c r="A744" s="16" t="s">
        <v>679</v>
      </c>
      <c r="B744" t="str">
        <f>HYPERLINK("https://www.sydney.edu.au/scholarships/b/the-mungo-william-maccullum-scholarship-in-literature.html", "The Mungo William MacCullum Scholarship in Literature")</f>
        <v>The Mungo William MacCullum Scholarship in Literature</v>
      </c>
      <c r="C744" t="s">
        <v>14</v>
      </c>
      <c r="D744" s="7" t="s">
        <v>204</v>
      </c>
      <c r="E744" t="s">
        <v>685</v>
      </c>
      <c r="F744" t="s">
        <v>13</v>
      </c>
      <c r="G744" s="12" t="s">
        <v>935</v>
      </c>
      <c r="H744" t="s">
        <v>25</v>
      </c>
      <c r="I744" t="s">
        <v>25</v>
      </c>
    </row>
    <row r="745" spans="1:9" ht="90" x14ac:dyDescent="0.25">
      <c r="A745" s="16" t="s">
        <v>679</v>
      </c>
      <c r="B745" t="str">
        <f>HYPERLINK("https://www.sydney.edu.au/scholarships/b/the-order-of-australia-association-foundation-scholarship-business.html", "The Order of Australia Association Foundation Scholarship")</f>
        <v>The Order of Australia Association Foundation Scholarship</v>
      </c>
      <c r="C745" t="s">
        <v>27</v>
      </c>
      <c r="D745" s="9">
        <v>20000</v>
      </c>
      <c r="E745" t="s">
        <v>205</v>
      </c>
      <c r="F745" t="s">
        <v>13</v>
      </c>
      <c r="G745" s="12" t="s">
        <v>936</v>
      </c>
      <c r="H745" t="s">
        <v>25</v>
      </c>
      <c r="I745" t="s">
        <v>25</v>
      </c>
    </row>
    <row r="746" spans="1:9" ht="60" x14ac:dyDescent="0.25">
      <c r="A746" s="16" t="s">
        <v>679</v>
      </c>
      <c r="B746" t="str">
        <f>HYPERLINK("https://www.sydney.edu.au/scholarships/b/the-romy-waterlow-scholarship.html", "The Romy Waterlow Scholarship")</f>
        <v>The Romy Waterlow Scholarship</v>
      </c>
      <c r="C746" t="s">
        <v>14</v>
      </c>
      <c r="D746" s="7" t="s">
        <v>202</v>
      </c>
      <c r="E746" t="s">
        <v>201</v>
      </c>
      <c r="F746" t="s">
        <v>35</v>
      </c>
      <c r="G746" s="12" t="s">
        <v>937</v>
      </c>
      <c r="H746" t="s">
        <v>25</v>
      </c>
      <c r="I746" t="s">
        <v>25</v>
      </c>
    </row>
    <row r="747" spans="1:9" ht="120" x14ac:dyDescent="0.25">
      <c r="A747" s="16" t="s">
        <v>679</v>
      </c>
      <c r="B747" t="str">
        <f>HYPERLINK("https://www.sydney.edu.au/scholarships/b/the-shore-teacher-education-scholarship.html", "The Shore Teacher Education Scholarship")</f>
        <v>The Shore Teacher Education Scholarship</v>
      </c>
      <c r="C747" t="s">
        <v>27</v>
      </c>
      <c r="D747" s="7" t="s">
        <v>327</v>
      </c>
      <c r="E747" t="s">
        <v>201</v>
      </c>
      <c r="F747" t="s">
        <v>35</v>
      </c>
      <c r="G747" s="12" t="s">
        <v>938</v>
      </c>
      <c r="H747" t="s">
        <v>25</v>
      </c>
      <c r="I747" t="s">
        <v>16</v>
      </c>
    </row>
    <row r="748" spans="1:9" ht="105" x14ac:dyDescent="0.25">
      <c r="A748" s="16" t="s">
        <v>679</v>
      </c>
      <c r="B748" t="str">
        <f>HYPERLINK("https://www.sydney.edu.au/scholarships/b/the-sir-william-tyree-engineering-scholarship.html", "The Sir William Tyree Engineering Scholarship")</f>
        <v>The Sir William Tyree Engineering Scholarship</v>
      </c>
      <c r="C748" t="s">
        <v>14</v>
      </c>
      <c r="D748" s="7" t="s">
        <v>939</v>
      </c>
      <c r="E748" t="s">
        <v>269</v>
      </c>
      <c r="F748" t="s">
        <v>13</v>
      </c>
      <c r="G748" s="12" t="s">
        <v>940</v>
      </c>
      <c r="H748" t="s">
        <v>25</v>
      </c>
      <c r="I748" t="s">
        <v>25</v>
      </c>
    </row>
    <row r="749" spans="1:9" ht="60" x14ac:dyDescent="0.25">
      <c r="A749" s="16" t="s">
        <v>679</v>
      </c>
      <c r="B749" t="str">
        <f>HYPERLINK("https://www.sydney.edu.au/scholarships/b/the-stanley-chisholm-ash-scholarship-in-engineering.html", "The Stanley Chisholm Ash Scholarship in Engineering")</f>
        <v>The Stanley Chisholm Ash Scholarship in Engineering</v>
      </c>
      <c r="C749" t="s">
        <v>27</v>
      </c>
      <c r="D749" s="9">
        <v>45000</v>
      </c>
      <c r="E749" t="s">
        <v>262</v>
      </c>
      <c r="F749" t="s">
        <v>698</v>
      </c>
      <c r="G749" s="12" t="s">
        <v>941</v>
      </c>
      <c r="H749" t="s">
        <v>25</v>
      </c>
      <c r="I749" t="s">
        <v>25</v>
      </c>
    </row>
    <row r="750" spans="1:9" ht="45" x14ac:dyDescent="0.25">
      <c r="A750" s="16" t="s">
        <v>679</v>
      </c>
      <c r="B750" t="str">
        <f>HYPERLINK("https://www.sydney.edu.au/scholarships/b/the-thomas-henry-coulson-scholarship.html", "The Thomas Henry Coulson Scholarship")</f>
        <v>The Thomas Henry Coulson Scholarship</v>
      </c>
      <c r="C750" t="s">
        <v>14</v>
      </c>
      <c r="D750" s="7" t="s">
        <v>325</v>
      </c>
      <c r="E750" t="s">
        <v>201</v>
      </c>
      <c r="F750" t="s">
        <v>13</v>
      </c>
      <c r="G750" s="12" t="s">
        <v>942</v>
      </c>
      <c r="H750" t="s">
        <v>25</v>
      </c>
      <c r="I750" t="s">
        <v>25</v>
      </c>
    </row>
    <row r="751" spans="1:9" ht="90" x14ac:dyDescent="0.25">
      <c r="A751" s="16" t="s">
        <v>679</v>
      </c>
      <c r="B751" t="str">
        <f>HYPERLINK("https://www.sydney.edu.au/scholarships/b/the-waverley-college-teacher-education-scholarship.html", "The Waverley College Teacher Education Scholarship")</f>
        <v>The Waverley College Teacher Education Scholarship</v>
      </c>
      <c r="C751" t="s">
        <v>27</v>
      </c>
      <c r="D751" s="7" t="s">
        <v>327</v>
      </c>
      <c r="E751" t="s">
        <v>201</v>
      </c>
      <c r="F751" t="s">
        <v>13</v>
      </c>
      <c r="G751" s="12" t="s">
        <v>943</v>
      </c>
      <c r="H751" t="s">
        <v>25</v>
      </c>
      <c r="I751" t="s">
        <v>16</v>
      </c>
    </row>
    <row r="752" spans="1:9" ht="135" x14ac:dyDescent="0.25">
      <c r="A752" s="16" t="s">
        <v>679</v>
      </c>
      <c r="B752" t="str">
        <f>HYPERLINK("https://www.sydney.edu.au/scholarships/b/the-winifred-margaret-neirous-memorial-scholarship.html", "The Winifred Margaret Neirous Memorial Scholarship")</f>
        <v>The Winifred Margaret Neirous Memorial Scholarship</v>
      </c>
      <c r="C752" t="s">
        <v>14</v>
      </c>
      <c r="D752" s="9">
        <v>6000</v>
      </c>
      <c r="E752" t="s">
        <v>262</v>
      </c>
      <c r="F752" t="s">
        <v>13</v>
      </c>
      <c r="G752" s="12" t="s">
        <v>944</v>
      </c>
      <c r="H752" t="s">
        <v>25</v>
      </c>
      <c r="I752" t="s">
        <v>25</v>
      </c>
    </row>
    <row r="753" spans="1:9" ht="45" x14ac:dyDescent="0.25">
      <c r="A753" s="16" t="s">
        <v>679</v>
      </c>
      <c r="B753" t="str">
        <f>HYPERLINK("https://www.sydney.edu.au/scholarships/b/the-zelda-stedman-artist-scholarship.html", "The Zelda Stedman Artist Scholarship")</f>
        <v>The Zelda Stedman Artist Scholarship</v>
      </c>
      <c r="C753" t="s">
        <v>14</v>
      </c>
      <c r="D753" s="7" t="s">
        <v>227</v>
      </c>
      <c r="E753" t="s">
        <v>24</v>
      </c>
      <c r="F753" t="s">
        <v>35</v>
      </c>
      <c r="G753" s="12" t="s">
        <v>945</v>
      </c>
      <c r="H753" t="s">
        <v>25</v>
      </c>
      <c r="I753" t="s">
        <v>25</v>
      </c>
    </row>
    <row r="754" spans="1:9" ht="45" x14ac:dyDescent="0.25">
      <c r="A754" s="16" t="s">
        <v>679</v>
      </c>
      <c r="B754" t="str">
        <f>HYPERLINK("https://www.sydney.edu.au/scholarships/b/ussc-undergraduate-equity-scholarship-in-american-studies.html", "USSC Undergraduate Equity Scholarship in American Studies")</f>
        <v>USSC Undergraduate Equity Scholarship in American Studies</v>
      </c>
      <c r="C754" t="s">
        <v>14</v>
      </c>
      <c r="D754" s="9">
        <v>10000</v>
      </c>
      <c r="E754" t="s">
        <v>201</v>
      </c>
      <c r="F754" t="s">
        <v>13</v>
      </c>
      <c r="G754" s="12" t="s">
        <v>946</v>
      </c>
      <c r="H754" t="s">
        <v>25</v>
      </c>
      <c r="I754" t="s">
        <v>25</v>
      </c>
    </row>
    <row r="755" spans="1:9" ht="60" x14ac:dyDescent="0.25">
      <c r="A755" s="16" t="s">
        <v>679</v>
      </c>
      <c r="B755" t="str">
        <f>HYPERLINK("https://www.sydney.edu.au/scholarships/b/walter-eliza-hall-trust-opportunity-scholarship-education.html", "The Walter and Eliza Hall Trust Opportunity Scholarship in Education")</f>
        <v>The Walter and Eliza Hall Trust Opportunity Scholarship in Education</v>
      </c>
      <c r="C755" t="s">
        <v>14</v>
      </c>
      <c r="D755" s="7" t="s">
        <v>202</v>
      </c>
      <c r="E755" t="s">
        <v>269</v>
      </c>
      <c r="F755" t="s">
        <v>13</v>
      </c>
      <c r="G755" s="12" t="s">
        <v>947</v>
      </c>
      <c r="H755" t="s">
        <v>25</v>
      </c>
      <c r="I755" t="s">
        <v>25</v>
      </c>
    </row>
    <row r="756" spans="1:9" ht="90" x14ac:dyDescent="0.25">
      <c r="A756" s="16" t="s">
        <v>679</v>
      </c>
      <c r="B756" t="str">
        <f>HYPERLINK("https://www.sydney.edu.au/scholarships/b/wh-and-elizabeth-m-deane-archaeology-research-grant.html", "WH and Elizabeth M Deane Archaeology Research Grant")</f>
        <v>WH and Elizabeth M Deane Archaeology Research Grant</v>
      </c>
      <c r="C756" t="s">
        <v>27</v>
      </c>
      <c r="D756" s="7" t="s">
        <v>198</v>
      </c>
      <c r="E756" t="s">
        <v>24</v>
      </c>
      <c r="F756" t="s">
        <v>13</v>
      </c>
      <c r="G756" s="12" t="s">
        <v>948</v>
      </c>
      <c r="H756" t="s">
        <v>25</v>
      </c>
      <c r="I756" t="s">
        <v>25</v>
      </c>
    </row>
    <row r="757" spans="1:9" ht="30" x14ac:dyDescent="0.25">
      <c r="A757" s="16" t="s">
        <v>679</v>
      </c>
      <c r="B757" t="str">
        <f>HYPERLINK("https://www.sydney.edu.au/scholarships/b/wigram-allen-scholarship-juris-doctor-award.html", "Wigram Allen Scholarship for the Juris Doctor Award")</f>
        <v>Wigram Allen Scholarship for the Juris Doctor Award</v>
      </c>
      <c r="C757" t="s">
        <v>27</v>
      </c>
      <c r="D757" s="7" t="s">
        <v>204</v>
      </c>
      <c r="E757" t="s">
        <v>201</v>
      </c>
      <c r="F757" t="s">
        <v>51</v>
      </c>
      <c r="G757" s="12" t="s">
        <v>829</v>
      </c>
      <c r="H757" t="s">
        <v>25</v>
      </c>
      <c r="I757" t="s">
        <v>25</v>
      </c>
    </row>
    <row r="758" spans="1:9" ht="75" x14ac:dyDescent="0.25">
      <c r="A758" s="16" t="s">
        <v>679</v>
      </c>
      <c r="B758" t="str">
        <f>HYPERLINK("https://www.sydney.edu.au/scholarships/b/william-john-lizzie-may-sinclair-scholarship.html", "The William John and Lizzie May Sinclair Scholarship")</f>
        <v>The William John and Lizzie May Sinclair Scholarship</v>
      </c>
      <c r="C758" t="s">
        <v>14</v>
      </c>
      <c r="D758" s="7" t="s">
        <v>253</v>
      </c>
      <c r="E758" t="s">
        <v>685</v>
      </c>
      <c r="F758" t="s">
        <v>13</v>
      </c>
      <c r="G758" s="12" t="s">
        <v>949</v>
      </c>
      <c r="H758" t="s">
        <v>21</v>
      </c>
      <c r="I758" t="s">
        <v>25</v>
      </c>
    </row>
    <row r="759" spans="1:9" ht="60" x14ac:dyDescent="0.25">
      <c r="A759" s="16" t="s">
        <v>679</v>
      </c>
      <c r="B759" t="str">
        <f>HYPERLINK("https://www.sydney.edu.au/scholarships/b/zoe-hall-memorial-scholarship.html", "Zoe Hall Memorial Scholarship")</f>
        <v>Zoe Hall Memorial Scholarship</v>
      </c>
      <c r="C759" t="s">
        <v>27</v>
      </c>
      <c r="D759" s="7" t="s">
        <v>234</v>
      </c>
      <c r="E759" t="s">
        <v>24</v>
      </c>
      <c r="F759" t="s">
        <v>35</v>
      </c>
      <c r="G759" s="12" t="s">
        <v>950</v>
      </c>
      <c r="H759" t="s">
        <v>25</v>
      </c>
      <c r="I759" t="s">
        <v>25</v>
      </c>
    </row>
    <row r="760" spans="1:9" ht="105" x14ac:dyDescent="0.25">
      <c r="A760" s="16" t="s">
        <v>679</v>
      </c>
      <c r="B760" t="str">
        <f>HYPERLINK("https://www.sydney.edu.au/scholarships/c/am-taylor-scholarship-orthopaedic-and-traumatic-surgery.html", "A M Taylor Scholarship in Orthopaedic and Traumatic Surgery")</f>
        <v>A M Taylor Scholarship in Orthopaedic and Traumatic Surgery</v>
      </c>
      <c r="C760" t="s">
        <v>27</v>
      </c>
      <c r="D760" s="7" t="s">
        <v>202</v>
      </c>
      <c r="E760" s="12" t="s">
        <v>951</v>
      </c>
      <c r="F760" t="s">
        <v>698</v>
      </c>
      <c r="G760" s="12" t="s">
        <v>952</v>
      </c>
      <c r="H760" t="s">
        <v>25</v>
      </c>
      <c r="I760" t="s">
        <v>25</v>
      </c>
    </row>
    <row r="761" spans="1:9" ht="75" x14ac:dyDescent="0.25">
      <c r="A761" s="16" t="s">
        <v>679</v>
      </c>
      <c r="B761" t="str">
        <f>HYPERLINK("https://www.sydney.edu.au/scholarships/c/andrew-tu-scholarship.html", "Andrew Tu Scholarship in Pharmacy")</f>
        <v>Andrew Tu Scholarship in Pharmacy</v>
      </c>
      <c r="C761" t="s">
        <v>27</v>
      </c>
      <c r="D761" s="7" t="s">
        <v>234</v>
      </c>
      <c r="E761" t="s">
        <v>201</v>
      </c>
      <c r="F761" t="s">
        <v>137</v>
      </c>
      <c r="G761" s="12" t="s">
        <v>953</v>
      </c>
      <c r="H761" t="s">
        <v>25</v>
      </c>
      <c r="I761" t="s">
        <v>25</v>
      </c>
    </row>
    <row r="762" spans="1:9" ht="75" x14ac:dyDescent="0.25">
      <c r="A762" s="16" t="s">
        <v>679</v>
      </c>
      <c r="B762" t="str">
        <f>HYPERLINK("https://www.sydney.edu.au/scholarships/c/cerebral-palsy-alliance-professor-henry-j-cowan-memorial-scholarship.html", "Cerebral Palsy Alliance Professor Henry J Cowan Memorial Scholarship")</f>
        <v>Cerebral Palsy Alliance Professor Henry J Cowan Memorial Scholarship</v>
      </c>
      <c r="C762" t="s">
        <v>27</v>
      </c>
      <c r="D762" s="9">
        <v>1500</v>
      </c>
      <c r="E762" t="s">
        <v>24</v>
      </c>
      <c r="F762" t="s">
        <v>35</v>
      </c>
      <c r="G762" s="12" t="s">
        <v>954</v>
      </c>
      <c r="H762" t="s">
        <v>25</v>
      </c>
      <c r="I762" t="s">
        <v>25</v>
      </c>
    </row>
    <row r="763" spans="1:9" ht="105" x14ac:dyDescent="0.25">
      <c r="A763" s="16" t="s">
        <v>679</v>
      </c>
      <c r="B763" t="str">
        <f>HYPERLINK("https://www.sydney.edu.au/scholarships/c/clinical-epidemiology-scholarship.html", "Sydney School of Public Health Clinical Epidemiology Scholarship")</f>
        <v>Sydney School of Public Health Clinical Epidemiology Scholarship</v>
      </c>
      <c r="C763" t="s">
        <v>27</v>
      </c>
      <c r="D763" s="10" t="s">
        <v>955</v>
      </c>
      <c r="E763" t="s">
        <v>698</v>
      </c>
      <c r="F763" t="s">
        <v>51</v>
      </c>
      <c r="G763" s="12" t="s">
        <v>956</v>
      </c>
      <c r="H763" t="s">
        <v>25</v>
      </c>
      <c r="I763" t="s">
        <v>25</v>
      </c>
    </row>
    <row r="764" spans="1:9" ht="75" x14ac:dyDescent="0.25">
      <c r="A764" s="16" t="s">
        <v>679</v>
      </c>
      <c r="B764" t="str">
        <f>HYPERLINK("https://www.sydney.edu.au/scholarships/c/deans-scholarship-fund-conference-grant.html", "Dean's Scholarship Fund Conference Grant")</f>
        <v>Dean's Scholarship Fund Conference Grant</v>
      </c>
      <c r="C764" t="s">
        <v>27</v>
      </c>
      <c r="D764" s="7" t="s">
        <v>206</v>
      </c>
      <c r="E764" t="s">
        <v>24</v>
      </c>
      <c r="F764" t="s">
        <v>13</v>
      </c>
      <c r="G764" s="12" t="s">
        <v>957</v>
      </c>
      <c r="H764" t="s">
        <v>25</v>
      </c>
      <c r="I764" t="s">
        <v>25</v>
      </c>
    </row>
    <row r="765" spans="1:9" ht="60" x14ac:dyDescent="0.25">
      <c r="A765" s="16" t="s">
        <v>679</v>
      </c>
      <c r="B765" t="str">
        <f>HYPERLINK("https://www.sydney.edu.au/scholarships/c/dialysis_australia_nursing_scholarship.html", "Dialysis Australia Nursing Scholarship")</f>
        <v>Dialysis Australia Nursing Scholarship</v>
      </c>
      <c r="C765" t="s">
        <v>14</v>
      </c>
      <c r="D765" s="15">
        <v>32500</v>
      </c>
      <c r="E765" t="s">
        <v>269</v>
      </c>
      <c r="F765" t="s">
        <v>698</v>
      </c>
      <c r="G765" s="12" t="s">
        <v>958</v>
      </c>
      <c r="H765" t="s">
        <v>25</v>
      </c>
      <c r="I765" t="s">
        <v>25</v>
      </c>
    </row>
    <row r="766" spans="1:9" ht="135" x14ac:dyDescent="0.25">
      <c r="A766" s="16" t="s">
        <v>679</v>
      </c>
      <c r="B766" t="str">
        <f>HYPERLINK("https://www.sydney.edu.au/scholarships/c/faculty-of-medicine-and-health-course-material-scholarship-for-d.html", "Faculty of Medicine and Health Course Material Scholarship for Dentistry")</f>
        <v>Faculty of Medicine and Health Course Material Scholarship for Dentistry</v>
      </c>
      <c r="C766" t="s">
        <v>27</v>
      </c>
      <c r="D766" s="9">
        <v>1500</v>
      </c>
      <c r="E766" t="s">
        <v>24</v>
      </c>
      <c r="F766" t="s">
        <v>35</v>
      </c>
      <c r="G766" s="12" t="s">
        <v>959</v>
      </c>
      <c r="H766" t="s">
        <v>25</v>
      </c>
      <c r="I766" t="s">
        <v>25</v>
      </c>
    </row>
    <row r="767" spans="1:9" ht="120" x14ac:dyDescent="0.25">
      <c r="A767" s="16" t="s">
        <v>679</v>
      </c>
      <c r="B767" t="str">
        <f>HYPERLINK("https://www.sydney.edu.au/scholarships/c/faculty-of-medicine-and-health-course-material-scholarship.html", "Faculty of Medicine and Health Course Material Scholarship")</f>
        <v>Faculty of Medicine and Health Course Material Scholarship</v>
      </c>
      <c r="C767" t="s">
        <v>27</v>
      </c>
      <c r="D767" s="7" t="s">
        <v>198</v>
      </c>
      <c r="E767" t="s">
        <v>24</v>
      </c>
      <c r="F767" t="s">
        <v>35</v>
      </c>
      <c r="G767" s="12" t="s">
        <v>960</v>
      </c>
      <c r="H767" t="s">
        <v>25</v>
      </c>
      <c r="I767" t="s">
        <v>25</v>
      </c>
    </row>
    <row r="768" spans="1:9" ht="120" x14ac:dyDescent="0.25">
      <c r="A768" s="16" t="s">
        <v>679</v>
      </c>
      <c r="B768" t="str">
        <f>HYPERLINK("https://www.sydney.edu.au/scholarships/c/faculty-of-medicine-and-health-support-for-carers-on-placement-s.html", "Faculty of Medicine and Health Support for Carers on Placement Scholarship")</f>
        <v>Faculty of Medicine and Health Support for Carers on Placement Scholarship</v>
      </c>
      <c r="C768" t="s">
        <v>14</v>
      </c>
      <c r="D768" s="9">
        <v>3000</v>
      </c>
      <c r="E768" t="s">
        <v>24</v>
      </c>
      <c r="F768" t="s">
        <v>35</v>
      </c>
      <c r="G768" s="12" t="s">
        <v>961</v>
      </c>
      <c r="H768" t="s">
        <v>25</v>
      </c>
      <c r="I768" t="s">
        <v>16</v>
      </c>
    </row>
    <row r="769" spans="1:9" ht="90" x14ac:dyDescent="0.25">
      <c r="A769" s="16" t="s">
        <v>679</v>
      </c>
      <c r="B769" t="str">
        <f>HYPERLINK("https://www.sydney.edu.au/scholarships/c/global-health-equity-scholarship0.html", "The University of Sydney Global Health Equity Scholarship")</f>
        <v>The University of Sydney Global Health Equity Scholarship</v>
      </c>
      <c r="C769" t="s">
        <v>14</v>
      </c>
      <c r="D769" s="7" t="s">
        <v>248</v>
      </c>
      <c r="E769" t="s">
        <v>962</v>
      </c>
      <c r="F769" t="s">
        <v>51</v>
      </c>
      <c r="G769" s="12" t="s">
        <v>963</v>
      </c>
      <c r="H769" t="s">
        <v>25</v>
      </c>
      <c r="I769" t="s">
        <v>25</v>
      </c>
    </row>
    <row r="770" spans="1:9" ht="90" x14ac:dyDescent="0.25">
      <c r="A770" s="16" t="s">
        <v>679</v>
      </c>
      <c r="B770" t="str">
        <f>HYPERLINK("https://www.sydney.edu.au/scholarships/c/harvey-sutton-global-health-scholarship.html", "The Harvey Sutton Global Health Scholarship")</f>
        <v>The Harvey Sutton Global Health Scholarship</v>
      </c>
      <c r="C770" t="s">
        <v>27</v>
      </c>
      <c r="D770" s="7" t="s">
        <v>248</v>
      </c>
      <c r="E770" t="s">
        <v>962</v>
      </c>
      <c r="F770" t="s">
        <v>51</v>
      </c>
      <c r="G770" s="12" t="s">
        <v>964</v>
      </c>
      <c r="H770" t="s">
        <v>25</v>
      </c>
      <c r="I770" t="s">
        <v>25</v>
      </c>
    </row>
    <row r="771" spans="1:9" ht="75" x14ac:dyDescent="0.25">
      <c r="A771" s="16" t="s">
        <v>679</v>
      </c>
      <c r="B771" t="str">
        <f>HYPERLINK("https://www.sydney.edu.au/scholarships/c/harvey-sutton-public-health-scholarship.html", "The Harvey Sutton Public Health Scholarship")</f>
        <v>The Harvey Sutton Public Health Scholarship</v>
      </c>
      <c r="C771" t="s">
        <v>27</v>
      </c>
      <c r="D771" s="7" t="s">
        <v>248</v>
      </c>
      <c r="E771" t="s">
        <v>962</v>
      </c>
      <c r="F771" t="s">
        <v>51</v>
      </c>
      <c r="G771" s="12" t="s">
        <v>965</v>
      </c>
      <c r="H771" t="s">
        <v>25</v>
      </c>
      <c r="I771" t="s">
        <v>25</v>
      </c>
    </row>
    <row r="772" spans="1:9" ht="120" x14ac:dyDescent="0.25">
      <c r="A772" s="16" t="s">
        <v>679</v>
      </c>
      <c r="B772" t="str">
        <f>HYPERLINK("https://www.sydney.edu.au/scholarships/c/john-andrew-loveridge-scholarship-in-pharmacy-and-management.html", "John Andrew Loveridge Scholarship in Pharmacy and Management")</f>
        <v>John Andrew Loveridge Scholarship in Pharmacy and Management</v>
      </c>
      <c r="C772" t="s">
        <v>27</v>
      </c>
      <c r="D772" s="7" t="s">
        <v>242</v>
      </c>
      <c r="E772" t="s">
        <v>243</v>
      </c>
      <c r="F772" t="s">
        <v>698</v>
      </c>
      <c r="G772" s="12" t="s">
        <v>966</v>
      </c>
      <c r="H772" t="s">
        <v>25</v>
      </c>
      <c r="I772" t="s">
        <v>25</v>
      </c>
    </row>
    <row r="773" spans="1:9" ht="45" x14ac:dyDescent="0.25">
      <c r="A773" s="16" t="s">
        <v>679</v>
      </c>
      <c r="B773" t="str">
        <f>HYPERLINK("https://www.sydney.edu.au/scholarships/c/johnson-nursing-scholarship.html", "The Johnson Nursing Scholarship")</f>
        <v>The Johnson Nursing Scholarship</v>
      </c>
      <c r="C773" t="s">
        <v>14</v>
      </c>
      <c r="D773" s="7" t="s">
        <v>208</v>
      </c>
      <c r="E773" t="s">
        <v>201</v>
      </c>
      <c r="F773" t="s">
        <v>35</v>
      </c>
      <c r="G773" s="12" t="s">
        <v>967</v>
      </c>
      <c r="H773" t="s">
        <v>21</v>
      </c>
      <c r="I773" t="s">
        <v>25</v>
      </c>
    </row>
    <row r="774" spans="1:9" ht="60" x14ac:dyDescent="0.25">
      <c r="A774" s="16" t="s">
        <v>679</v>
      </c>
      <c r="B774" t="str">
        <f>HYPERLINK("https://www.sydney.edu.au/scholarships/c/peter-giles-memorial-scholarship.html", "Peter Giles Memorial Scholarship in Pharmacy")</f>
        <v>Peter Giles Memorial Scholarship in Pharmacy</v>
      </c>
      <c r="C774" t="s">
        <v>14</v>
      </c>
      <c r="D774" s="9">
        <v>6000</v>
      </c>
      <c r="E774" t="s">
        <v>685</v>
      </c>
      <c r="F774" t="s">
        <v>13</v>
      </c>
      <c r="G774" s="12" t="s">
        <v>968</v>
      </c>
      <c r="H774" t="s">
        <v>25</v>
      </c>
      <c r="I774" t="s">
        <v>25</v>
      </c>
    </row>
    <row r="775" spans="1:9" ht="90" x14ac:dyDescent="0.25">
      <c r="A775" s="16" t="s">
        <v>679</v>
      </c>
      <c r="B775" t="str">
        <f>HYPERLINK("https://www.sydney.edu.au/scholarships/c/peter-suzanne-davidson-scholarship.html", "Peter and Suzanne Davidson Scholarship")</f>
        <v>Peter and Suzanne Davidson Scholarship</v>
      </c>
      <c r="C775" t="s">
        <v>27</v>
      </c>
      <c r="D775" s="9">
        <v>7000</v>
      </c>
      <c r="E775" t="s">
        <v>201</v>
      </c>
      <c r="F775" t="s">
        <v>698</v>
      </c>
      <c r="G775" s="12" t="s">
        <v>969</v>
      </c>
      <c r="H775" t="s">
        <v>25</v>
      </c>
      <c r="I775" t="s">
        <v>25</v>
      </c>
    </row>
    <row r="776" spans="1:9" ht="45" x14ac:dyDescent="0.25">
      <c r="A776" s="16" t="s">
        <v>679</v>
      </c>
      <c r="B776" t="str">
        <f>HYPERLINK("https://www.sydney.edu.au/scholarships/c/public-health-equity-scholarship.html", "The University of Sydney Public Health Equity Scholarship")</f>
        <v>The University of Sydney Public Health Equity Scholarship</v>
      </c>
      <c r="C776" t="s">
        <v>14</v>
      </c>
      <c r="D776" s="7" t="s">
        <v>248</v>
      </c>
      <c r="E776" t="s">
        <v>962</v>
      </c>
      <c r="F776" t="s">
        <v>51</v>
      </c>
      <c r="G776" s="12" t="s">
        <v>970</v>
      </c>
      <c r="H776" t="s">
        <v>25</v>
      </c>
      <c r="I776" t="s">
        <v>25</v>
      </c>
    </row>
    <row r="777" spans="1:9" ht="45" x14ac:dyDescent="0.25">
      <c r="A777" s="16" t="s">
        <v>679</v>
      </c>
      <c r="B777" t="str">
        <f>HYPERLINK("https://www.sydney.edu.au/scholarships/c/ruth-colagiuri-scholarship.html", "Ruth Colagiuri Health Policy Scholarship")</f>
        <v>Ruth Colagiuri Health Policy Scholarship</v>
      </c>
      <c r="C777" t="s">
        <v>27</v>
      </c>
      <c r="D777" s="7" t="s">
        <v>248</v>
      </c>
      <c r="E777" t="s">
        <v>962</v>
      </c>
      <c r="F777" t="s">
        <v>51</v>
      </c>
      <c r="G777" s="12" t="s">
        <v>971</v>
      </c>
      <c r="H777" t="s">
        <v>25</v>
      </c>
      <c r="I777" t="s">
        <v>25</v>
      </c>
    </row>
    <row r="778" spans="1:9" ht="45" x14ac:dyDescent="0.25">
      <c r="A778" s="16" t="s">
        <v>679</v>
      </c>
      <c r="B778" t="str">
        <f>HYPERLINK("https://www.sydney.edu.au/scholarships/c/stephen-leeder-scholarship.html", "Stephen Leeder Health Policy Scholarship")</f>
        <v>Stephen Leeder Health Policy Scholarship</v>
      </c>
      <c r="C778" t="s">
        <v>27</v>
      </c>
      <c r="D778" s="7" t="s">
        <v>248</v>
      </c>
      <c r="E778" t="s">
        <v>962</v>
      </c>
      <c r="F778" t="s">
        <v>51</v>
      </c>
      <c r="G778" s="12" t="s">
        <v>972</v>
      </c>
      <c r="H778" t="s">
        <v>25</v>
      </c>
      <c r="I778" t="s">
        <v>25</v>
      </c>
    </row>
    <row r="779" spans="1:9" ht="120" x14ac:dyDescent="0.25">
      <c r="A779" s="16" t="s">
        <v>679</v>
      </c>
      <c r="B779" t="str">
        <f>HYPERLINK("https://www.sydney.edu.au/scholarships/c/sue-muller-placement-scholarship.html", "Sue Muller Placement Scholarship")</f>
        <v>Sue Muller Placement Scholarship</v>
      </c>
      <c r="C779" t="s">
        <v>27</v>
      </c>
      <c r="D779" s="10" t="s">
        <v>973</v>
      </c>
      <c r="E779" t="s">
        <v>24</v>
      </c>
      <c r="F779" t="s">
        <v>35</v>
      </c>
      <c r="G779" s="12" t="s">
        <v>974</v>
      </c>
      <c r="H779" t="s">
        <v>25</v>
      </c>
      <c r="I779" t="s">
        <v>16</v>
      </c>
    </row>
    <row r="780" spans="1:9" ht="60" x14ac:dyDescent="0.25">
      <c r="A780" s="16" t="s">
        <v>679</v>
      </c>
      <c r="B780" t="str">
        <f>HYPERLINK("https://www.sydney.edu.au/scholarships/c/susan-wakil-greater-sydney-postgraduate-scholarship.html", "Susan Wakil Scholarships - Postgraduate Greater Sydney")</f>
        <v>Susan Wakil Scholarships - Postgraduate Greater Sydney</v>
      </c>
      <c r="C780" t="s">
        <v>27</v>
      </c>
      <c r="D780" s="9">
        <v>8625</v>
      </c>
      <c r="E780" t="s">
        <v>962</v>
      </c>
      <c r="F780" t="s">
        <v>51</v>
      </c>
      <c r="G780" s="12" t="s">
        <v>975</v>
      </c>
      <c r="H780" t="s">
        <v>25</v>
      </c>
      <c r="I780" t="s">
        <v>25</v>
      </c>
    </row>
    <row r="781" spans="1:9" ht="60" x14ac:dyDescent="0.25">
      <c r="A781" s="16" t="s">
        <v>679</v>
      </c>
      <c r="B781" t="str">
        <f>HYPERLINK("https://www.sydney.edu.au/scholarships/c/susan-wakil-greater-sydney-undergraduate-scholarship.html", "Susan Wakil Scholarship - Undergraduate Greater Sydney")</f>
        <v>Susan Wakil Scholarship - Undergraduate Greater Sydney</v>
      </c>
      <c r="C781" t="s">
        <v>27</v>
      </c>
      <c r="D781" s="7" t="s">
        <v>242</v>
      </c>
      <c r="E781" s="12" t="s">
        <v>976</v>
      </c>
      <c r="F781" t="s">
        <v>13</v>
      </c>
      <c r="G781" s="12" t="s">
        <v>977</v>
      </c>
      <c r="H781" t="s">
        <v>25</v>
      </c>
      <c r="I781" t="s">
        <v>25</v>
      </c>
    </row>
    <row r="782" spans="1:9" ht="60" x14ac:dyDescent="0.25">
      <c r="A782" s="16" t="s">
        <v>679</v>
      </c>
      <c r="B782" t="str">
        <f>HYPERLINK("https://www.sydney.edu.au/scholarships/c/susan-wakil-rural-regional-postgraduate-scholarship.html", "Susan Wakil Scholarships - Postgraduate Rural and Regional Australia")</f>
        <v>Susan Wakil Scholarships - Postgraduate Rural and Regional Australia</v>
      </c>
      <c r="C782" t="s">
        <v>27</v>
      </c>
      <c r="D782" s="7" t="s">
        <v>978</v>
      </c>
      <c r="E782" s="12" t="s">
        <v>976</v>
      </c>
      <c r="F782" t="s">
        <v>51</v>
      </c>
      <c r="G782" s="12" t="s">
        <v>979</v>
      </c>
      <c r="H782" t="s">
        <v>25</v>
      </c>
      <c r="I782" t="s">
        <v>25</v>
      </c>
    </row>
    <row r="783" spans="1:9" ht="75" x14ac:dyDescent="0.25">
      <c r="A783" s="16" t="s">
        <v>679</v>
      </c>
      <c r="B783" t="str">
        <f>HYPERLINK("https://www.sydney.edu.au/scholarships/c/susan-wakil-rural-regional-undergraduate-scholarship.html", "Susan Wakil Scholarship - Undergraduate Rural and Regional")</f>
        <v>Susan Wakil Scholarship - Undergraduate Rural and Regional</v>
      </c>
      <c r="C783" t="s">
        <v>27</v>
      </c>
      <c r="D783" s="10" t="s">
        <v>980</v>
      </c>
      <c r="E783" s="12" t="s">
        <v>981</v>
      </c>
      <c r="F783" t="s">
        <v>13</v>
      </c>
      <c r="G783" s="12" t="s">
        <v>982</v>
      </c>
      <c r="H783" t="s">
        <v>25</v>
      </c>
      <c r="I783" t="s">
        <v>25</v>
      </c>
    </row>
    <row r="784" spans="1:9" ht="60" x14ac:dyDescent="0.25">
      <c r="A784" s="16" t="s">
        <v>679</v>
      </c>
      <c r="B784" t="str">
        <f>HYPERLINK("https://www.sydney.edu.au/scholarships/c/the-alek-safarian-masters-scholarship.html", "The Alek Safarian Masters Scholarship")</f>
        <v>The Alek Safarian Masters Scholarship</v>
      </c>
      <c r="C784" t="s">
        <v>27</v>
      </c>
      <c r="D784" s="7" t="s">
        <v>983</v>
      </c>
      <c r="E784" t="s">
        <v>201</v>
      </c>
      <c r="F784" t="s">
        <v>51</v>
      </c>
      <c r="G784" s="12" t="s">
        <v>984</v>
      </c>
      <c r="H784" t="s">
        <v>25</v>
      </c>
      <c r="I784" t="s">
        <v>25</v>
      </c>
    </row>
    <row r="785" spans="1:9" ht="45" x14ac:dyDescent="0.25">
      <c r="A785" s="16" t="s">
        <v>679</v>
      </c>
      <c r="B785" t="str">
        <f>HYPERLINK("https://www.sydney.edu.au/scholarships/c/the-rabbi-brasch-bursary.html", "The Rabbi Brasch Bursary")</f>
        <v>The Rabbi Brasch Bursary</v>
      </c>
      <c r="C785" t="s">
        <v>27</v>
      </c>
      <c r="D785" s="9">
        <v>25500</v>
      </c>
      <c r="E785" t="s">
        <v>262</v>
      </c>
      <c r="F785" t="s">
        <v>51</v>
      </c>
      <c r="G785" s="12" t="s">
        <v>985</v>
      </c>
      <c r="H785" t="s">
        <v>25</v>
      </c>
      <c r="I785" t="s">
        <v>25</v>
      </c>
    </row>
    <row r="786" spans="1:9" ht="30" x14ac:dyDescent="0.25">
      <c r="A786" s="16" t="s">
        <v>679</v>
      </c>
      <c r="B786" t="str">
        <f>HYPERLINK("https://www.sydney.edu.au/scholarships/c/trace-richey-scholarship.html", "Trace Richey Nursing Scholarship")</f>
        <v>Trace Richey Nursing Scholarship</v>
      </c>
      <c r="C786" t="s">
        <v>27</v>
      </c>
      <c r="D786" s="7" t="s">
        <v>986</v>
      </c>
      <c r="E786" t="s">
        <v>987</v>
      </c>
      <c r="F786" t="s">
        <v>51</v>
      </c>
      <c r="G786" s="12" t="s">
        <v>988</v>
      </c>
      <c r="H786" t="s">
        <v>25</v>
      </c>
      <c r="I786" t="s">
        <v>25</v>
      </c>
    </row>
    <row r="787" spans="1:9" ht="60" x14ac:dyDescent="0.25">
      <c r="A787" s="16" t="s">
        <v>679</v>
      </c>
      <c r="B787" t="str">
        <f>HYPERLINK("https://www.sydney.edu.au/scholarships/c/umberto-cincotta-scholarship.html", "Umberto Cincotta Scholarship in Pharmacy")</f>
        <v>Umberto Cincotta Scholarship in Pharmacy</v>
      </c>
      <c r="C787" t="s">
        <v>27</v>
      </c>
      <c r="D787" s="9">
        <v>6000</v>
      </c>
      <c r="E787" t="s">
        <v>262</v>
      </c>
      <c r="F787" t="s">
        <v>13</v>
      </c>
      <c r="G787" s="12" t="s">
        <v>989</v>
      </c>
      <c r="H787" t="s">
        <v>25</v>
      </c>
      <c r="I787" t="s">
        <v>25</v>
      </c>
    </row>
    <row r="788" spans="1:9" ht="45" x14ac:dyDescent="0.25">
      <c r="A788" s="16" t="s">
        <v>679</v>
      </c>
      <c r="B788" t="str">
        <f>HYPERLINK("https://www.sydney.edu.au/scholarships/c/walter-eliza-hall-trust-opportunity-scholarship-nursing.html", "Walter and Eliza Hall Scholarship Trust Opportunity Scholarship for Nursing")</f>
        <v>Walter and Eliza Hall Scholarship Trust Opportunity Scholarship for Nursing</v>
      </c>
      <c r="C788" t="s">
        <v>14</v>
      </c>
      <c r="D788" s="7" t="s">
        <v>202</v>
      </c>
      <c r="E788" t="s">
        <v>24</v>
      </c>
      <c r="F788" t="s">
        <v>13</v>
      </c>
      <c r="G788" s="12" t="s">
        <v>967</v>
      </c>
      <c r="H788" t="s">
        <v>25</v>
      </c>
      <c r="I788" t="s">
        <v>25</v>
      </c>
    </row>
    <row r="789" spans="1:9" ht="60" x14ac:dyDescent="0.25">
      <c r="A789" s="16" t="s">
        <v>679</v>
      </c>
      <c r="B789" t="str">
        <f>HYPERLINK("https://www.sydney.edu.au/scholarships/c/walter-john-douglas-partridge-memorial-scholarship.html", "Walter John Douglas Partridge Memorial Scholarship")</f>
        <v>Walter John Douglas Partridge Memorial Scholarship</v>
      </c>
      <c r="C789" t="s">
        <v>27</v>
      </c>
      <c r="D789" s="7" t="s">
        <v>990</v>
      </c>
      <c r="E789" t="s">
        <v>24</v>
      </c>
      <c r="F789" t="s">
        <v>51</v>
      </c>
      <c r="G789" s="12" t="s">
        <v>991</v>
      </c>
      <c r="H789" t="s">
        <v>25</v>
      </c>
      <c r="I789" t="s">
        <v>25</v>
      </c>
    </row>
    <row r="790" spans="1:9" ht="135" x14ac:dyDescent="0.25">
      <c r="A790" s="16" t="s">
        <v>679</v>
      </c>
      <c r="B790" t="str">
        <f>HYPERLINK("https://www.sydney.edu.au/scholarships/c/womens-plans-foundation-award.html", "Women's Plans Foundation Award")</f>
        <v>Women's Plans Foundation Award</v>
      </c>
      <c r="C790" t="s">
        <v>27</v>
      </c>
      <c r="D790" s="9">
        <v>1000</v>
      </c>
      <c r="E790" t="s">
        <v>24</v>
      </c>
      <c r="F790" t="s">
        <v>50</v>
      </c>
      <c r="G790" s="12" t="s">
        <v>992</v>
      </c>
      <c r="H790" t="s">
        <v>25</v>
      </c>
      <c r="I790" t="s">
        <v>25</v>
      </c>
    </row>
    <row r="791" spans="1:9" ht="45" x14ac:dyDescent="0.25">
      <c r="A791" s="16" t="s">
        <v>679</v>
      </c>
      <c r="B791" t="str">
        <f>HYPERLINK("https://www.sydney.edu.au/scholarships/d/-eric-horatio-maclean-scholarship.html", "Eric Horatio Maclean Scholarship")</f>
        <v>Eric Horatio Maclean Scholarship</v>
      </c>
      <c r="C791" t="s">
        <v>14</v>
      </c>
      <c r="D791" s="9">
        <v>8500</v>
      </c>
      <c r="E791" t="s">
        <v>262</v>
      </c>
      <c r="F791" t="s">
        <v>51</v>
      </c>
      <c r="G791" s="12" t="s">
        <v>993</v>
      </c>
      <c r="H791" t="s">
        <v>25</v>
      </c>
      <c r="I791" t="s">
        <v>25</v>
      </c>
    </row>
    <row r="792" spans="1:9" ht="75" x14ac:dyDescent="0.25">
      <c r="A792" s="16" t="s">
        <v>679</v>
      </c>
      <c r="B792" t="str">
        <f>HYPERLINK("https://www.sydney.edu.au/scholarships/d/Trowbridge-Scholarship-in-Master-of-Mathematical-Sciences.html", "Trowbridge Scholarship in Master of Mathematical Sciences")</f>
        <v>Trowbridge Scholarship in Master of Mathematical Sciences</v>
      </c>
      <c r="C792" t="s">
        <v>27</v>
      </c>
      <c r="D792" s="9">
        <v>5000</v>
      </c>
      <c r="E792" t="s">
        <v>205</v>
      </c>
      <c r="F792" t="s">
        <v>51</v>
      </c>
      <c r="G792" s="12" t="s">
        <v>994</v>
      </c>
      <c r="H792" t="s">
        <v>25</v>
      </c>
      <c r="I792" t="s">
        <v>25</v>
      </c>
    </row>
    <row r="793" spans="1:9" ht="75" x14ac:dyDescent="0.25">
      <c r="A793" s="16" t="s">
        <v>679</v>
      </c>
      <c r="B793" t="str">
        <f>HYPERLINK("https://www.sydney.edu.au/scholarships/d/barker-scholarships.html", "Barker Scholarships")</f>
        <v>Barker Scholarships</v>
      </c>
      <c r="C793" t="s">
        <v>27</v>
      </c>
      <c r="D793" s="7" t="s">
        <v>990</v>
      </c>
      <c r="E793" t="s">
        <v>201</v>
      </c>
      <c r="F793" t="s">
        <v>13</v>
      </c>
      <c r="G793" s="12" t="s">
        <v>995</v>
      </c>
      <c r="H793" t="s">
        <v>25</v>
      </c>
      <c r="I793" t="s">
        <v>25</v>
      </c>
    </row>
    <row r="794" spans="1:9" ht="90" x14ac:dyDescent="0.25">
      <c r="A794" s="16" t="s">
        <v>679</v>
      </c>
      <c r="B794" t="str">
        <f>HYPERLINK("https://www.sydney.edu.au/scholarships/d/betty-rosalie-richards-scholarship.html", "Betty Rosalie Richards Clinical Residency Scholarship")</f>
        <v>Betty Rosalie Richards Clinical Residency Scholarship</v>
      </c>
      <c r="C794" t="s">
        <v>27</v>
      </c>
      <c r="D794" s="7" t="s">
        <v>996</v>
      </c>
      <c r="E794" t="s">
        <v>269</v>
      </c>
      <c r="F794" t="s">
        <v>51</v>
      </c>
      <c r="G794" s="12" t="s">
        <v>997</v>
      </c>
      <c r="H794" t="s">
        <v>25</v>
      </c>
      <c r="I794" t="s">
        <v>25</v>
      </c>
    </row>
    <row r="795" spans="1:9" ht="90" x14ac:dyDescent="0.25">
      <c r="A795" s="16" t="s">
        <v>679</v>
      </c>
      <c r="B795" t="str">
        <f>HYPERLINK("https://www.sydney.edu.au/scholarships/d/brian-davey-memorial-scholarship.html", "Brian Davey Memorial Soil Science Scholarship")</f>
        <v>Brian Davey Memorial Soil Science Scholarship</v>
      </c>
      <c r="C795" t="s">
        <v>27</v>
      </c>
      <c r="D795" s="9">
        <v>6000</v>
      </c>
      <c r="E795" t="s">
        <v>201</v>
      </c>
      <c r="F795" t="s">
        <v>13</v>
      </c>
      <c r="G795" s="12" t="s">
        <v>998</v>
      </c>
      <c r="H795" t="s">
        <v>25</v>
      </c>
      <c r="I795" t="s">
        <v>25</v>
      </c>
    </row>
    <row r="796" spans="1:9" ht="120" x14ac:dyDescent="0.25">
      <c r="A796" s="16" t="s">
        <v>679</v>
      </c>
      <c r="B796" t="str">
        <f>HYPERLINK("https://www.sydney.edu.au/scholarships/d/deas-thomson-scholarships--geology-and-mineralogy-.html", "Deas Thomson Scholarships (Geology and Mineralogy)")</f>
        <v>Deas Thomson Scholarships (Geology and Mineralogy)</v>
      </c>
      <c r="C796" t="s">
        <v>27</v>
      </c>
      <c r="D796" s="7" t="s">
        <v>234</v>
      </c>
      <c r="E796" t="s">
        <v>201</v>
      </c>
      <c r="F796" t="s">
        <v>137</v>
      </c>
      <c r="G796" s="12" t="s">
        <v>999</v>
      </c>
      <c r="H796" t="s">
        <v>25</v>
      </c>
      <c r="I796" t="s">
        <v>25</v>
      </c>
    </row>
    <row r="797" spans="1:9" ht="45" x14ac:dyDescent="0.25">
      <c r="A797" s="16" t="s">
        <v>679</v>
      </c>
      <c r="B797" t="str">
        <f>HYPERLINK("https://www.sydney.edu.au/scholarships/d/doctor-of-veterinary-medicine-diversity-scholarship.html", "Doctor of Veterinary Medicine Diversity Scholarship")</f>
        <v>Doctor of Veterinary Medicine Diversity Scholarship</v>
      </c>
      <c r="C797" t="s">
        <v>27</v>
      </c>
      <c r="D797" s="9">
        <v>6500</v>
      </c>
      <c r="E797" t="s">
        <v>262</v>
      </c>
      <c r="F797" t="s">
        <v>51</v>
      </c>
      <c r="G797" s="12" t="s">
        <v>1000</v>
      </c>
      <c r="H797" t="s">
        <v>21</v>
      </c>
      <c r="I797" t="s">
        <v>25</v>
      </c>
    </row>
    <row r="798" spans="1:9" ht="90" x14ac:dyDescent="0.25">
      <c r="A798" s="16" t="s">
        <v>679</v>
      </c>
      <c r="B798" t="str">
        <f>HYPERLINK("https://www.sydney.edu.au/scholarships/d/dr-john-and-mrs-adriana-nell-scholarship-in-agriculture.html", "Dr John and Mrs Adriana Nell Scholarship in Agriculture")</f>
        <v>Dr John and Mrs Adriana Nell Scholarship in Agriculture</v>
      </c>
      <c r="C798" t="s">
        <v>27</v>
      </c>
      <c r="D798" s="9">
        <v>5000</v>
      </c>
      <c r="E798" t="s">
        <v>201</v>
      </c>
      <c r="F798" t="s">
        <v>13</v>
      </c>
      <c r="G798" s="12" t="s">
        <v>1001</v>
      </c>
      <c r="H798" t="s">
        <v>25</v>
      </c>
      <c r="I798" t="s">
        <v>25</v>
      </c>
    </row>
    <row r="799" spans="1:9" ht="90" x14ac:dyDescent="0.25">
      <c r="A799" s="16" t="s">
        <v>679</v>
      </c>
      <c r="B799" t="str">
        <f>HYPERLINK("https://www.sydney.edu.au/scholarships/d/dr-perry-manusu-scholarship.html", "Dr Perry Manusu Scholarship")</f>
        <v>Dr Perry Manusu Scholarship</v>
      </c>
      <c r="C799" t="s">
        <v>27</v>
      </c>
      <c r="D799" s="9">
        <v>25000</v>
      </c>
      <c r="E799" t="s">
        <v>1002</v>
      </c>
      <c r="F799" t="s">
        <v>13</v>
      </c>
      <c r="G799" s="12" t="s">
        <v>1003</v>
      </c>
      <c r="H799" t="s">
        <v>25</v>
      </c>
      <c r="I799" t="s">
        <v>25</v>
      </c>
    </row>
    <row r="800" spans="1:9" ht="75" x14ac:dyDescent="0.25">
      <c r="A800" s="16" t="s">
        <v>679</v>
      </c>
      <c r="B800" t="str">
        <f>HYPERLINK("https://www.sydney.edu.au/scholarships/d/edna-briggs-scholarship-in-physics.html", "Edna Briggs Scholarship in Physics")</f>
        <v>Edna Briggs Scholarship in Physics</v>
      </c>
      <c r="C800" t="s">
        <v>27</v>
      </c>
      <c r="D800" s="7" t="s">
        <v>1004</v>
      </c>
      <c r="E800" t="s">
        <v>201</v>
      </c>
      <c r="F800" t="s">
        <v>13</v>
      </c>
      <c r="G800" s="12" t="s">
        <v>1005</v>
      </c>
      <c r="H800" t="s">
        <v>25</v>
      </c>
      <c r="I800" t="s">
        <v>25</v>
      </c>
    </row>
    <row r="801" spans="1:9" ht="45" x14ac:dyDescent="0.25">
      <c r="A801" s="16" t="s">
        <v>679</v>
      </c>
      <c r="B801" t="str">
        <f>HYPERLINK("https://www.sydney.edu.au/scholarships/d/farrand-scholarship---mysydney.html", "Farrand Scholarship - MySydney")</f>
        <v>Farrand Scholarship - MySydney</v>
      </c>
      <c r="C801" t="s">
        <v>14</v>
      </c>
      <c r="D801" s="7" t="s">
        <v>825</v>
      </c>
      <c r="E801" t="s">
        <v>262</v>
      </c>
      <c r="F801" t="s">
        <v>13</v>
      </c>
      <c r="G801" s="12" t="s">
        <v>1006</v>
      </c>
      <c r="H801" t="s">
        <v>25</v>
      </c>
      <c r="I801" t="s">
        <v>25</v>
      </c>
    </row>
    <row r="802" spans="1:9" ht="45" x14ac:dyDescent="0.25">
      <c r="A802" s="16" t="s">
        <v>679</v>
      </c>
      <c r="B802" t="str">
        <f>HYPERLINK("https://www.sydney.edu.au/scholarships/d/francis-henry-loxton-equity-scholarship.html", "Francis Henry Loxton Equity Scholarship")</f>
        <v>Francis Henry Loxton Equity Scholarship</v>
      </c>
      <c r="C802" t="s">
        <v>14</v>
      </c>
      <c r="D802" s="7" t="s">
        <v>202</v>
      </c>
      <c r="E802" t="s">
        <v>201</v>
      </c>
      <c r="F802" t="s">
        <v>51</v>
      </c>
      <c r="G802" s="12" t="s">
        <v>1007</v>
      </c>
      <c r="H802" t="s">
        <v>25</v>
      </c>
      <c r="I802" t="s">
        <v>25</v>
      </c>
    </row>
    <row r="803" spans="1:9" ht="60" x14ac:dyDescent="0.25">
      <c r="A803" s="16" t="s">
        <v>679</v>
      </c>
      <c r="B803" t="str">
        <f>HYPERLINK("https://www.sydney.edu.au/scholarships/d/frazer-allan-scholarship.html", "Frazer Allan Scholarship")</f>
        <v>Frazer Allan Scholarship</v>
      </c>
      <c r="C803" t="s">
        <v>14</v>
      </c>
      <c r="D803" s="7" t="s">
        <v>212</v>
      </c>
      <c r="E803" t="s">
        <v>201</v>
      </c>
      <c r="F803" t="s">
        <v>51</v>
      </c>
      <c r="G803" s="12" t="s">
        <v>1008</v>
      </c>
      <c r="H803" t="s">
        <v>25</v>
      </c>
      <c r="I803" t="s">
        <v>25</v>
      </c>
    </row>
    <row r="804" spans="1:9" ht="45" x14ac:dyDescent="0.25">
      <c r="A804" s="16" t="s">
        <v>679</v>
      </c>
      <c r="B804" t="str">
        <f>HYPERLINK("https://www.sydney.edu.au/scholarships/d/g-s-caird-scholarship-in-chemistry.html", "G S Caird Scholarship in Chemistry")</f>
        <v>G S Caird Scholarship in Chemistry</v>
      </c>
      <c r="C804" t="s">
        <v>14</v>
      </c>
      <c r="D804" s="7" t="s">
        <v>208</v>
      </c>
      <c r="E804" t="s">
        <v>205</v>
      </c>
      <c r="F804" t="s">
        <v>13</v>
      </c>
      <c r="G804" s="12" t="s">
        <v>1009</v>
      </c>
      <c r="H804" t="s">
        <v>25</v>
      </c>
      <c r="I804" t="s">
        <v>25</v>
      </c>
    </row>
    <row r="805" spans="1:9" ht="105" x14ac:dyDescent="0.25">
      <c r="A805" s="16" t="s">
        <v>679</v>
      </c>
      <c r="B805" t="str">
        <f>HYPERLINK("https://www.sydney.edu.au/scholarships/d/george-allen-scholarships.html", "George Allen Scholarships")</f>
        <v>George Allen Scholarships</v>
      </c>
      <c r="C805" t="s">
        <v>27</v>
      </c>
      <c r="D805" s="7" t="s">
        <v>206</v>
      </c>
      <c r="E805" t="s">
        <v>201</v>
      </c>
      <c r="F805" t="s">
        <v>137</v>
      </c>
      <c r="G805" s="12" t="s">
        <v>1010</v>
      </c>
      <c r="H805" t="s">
        <v>25</v>
      </c>
      <c r="I805" t="s">
        <v>25</v>
      </c>
    </row>
    <row r="806" spans="1:9" ht="60" x14ac:dyDescent="0.25">
      <c r="A806" s="16" t="s">
        <v>679</v>
      </c>
      <c r="B806" t="str">
        <f>HYPERLINK("https://www.sydney.edu.au/scholarships/d/george-harris-scholarship-in-chemistry-honours.html", "George Harris Scholarship in Chemistry Honours")</f>
        <v>George Harris Scholarship in Chemistry Honours</v>
      </c>
      <c r="C806" t="s">
        <v>14</v>
      </c>
      <c r="D806" s="7" t="s">
        <v>825</v>
      </c>
      <c r="E806" t="s">
        <v>201</v>
      </c>
      <c r="F806" t="s">
        <v>13</v>
      </c>
      <c r="G806" s="12" t="s">
        <v>1011</v>
      </c>
      <c r="H806" t="s">
        <v>25</v>
      </c>
      <c r="I806" t="s">
        <v>25</v>
      </c>
    </row>
    <row r="807" spans="1:9" ht="135" x14ac:dyDescent="0.25">
      <c r="A807" s="16" t="s">
        <v>679</v>
      </c>
      <c r="B807" t="str">
        <f>HYPERLINK("https://www.sydney.edu.au/scholarships/d/honours-relocation-scholarships.html", "Faculty of Science Honours Relocation Scholarships")</f>
        <v>Faculty of Science Honours Relocation Scholarships</v>
      </c>
      <c r="C807" t="s">
        <v>27</v>
      </c>
      <c r="D807" s="9">
        <v>6000</v>
      </c>
      <c r="E807" t="s">
        <v>201</v>
      </c>
      <c r="F807" t="s">
        <v>13</v>
      </c>
      <c r="G807" s="12" t="s">
        <v>1012</v>
      </c>
      <c r="H807" t="s">
        <v>25</v>
      </c>
      <c r="I807" t="s">
        <v>25</v>
      </c>
    </row>
    <row r="808" spans="1:9" ht="90" x14ac:dyDescent="0.25">
      <c r="A808" s="16" t="s">
        <v>679</v>
      </c>
      <c r="B808"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808" t="s">
        <v>27</v>
      </c>
      <c r="D808" s="7" t="s">
        <v>1013</v>
      </c>
      <c r="E808" t="s">
        <v>269</v>
      </c>
      <c r="F808" t="s">
        <v>51</v>
      </c>
      <c r="G808" s="12" t="s">
        <v>1014</v>
      </c>
      <c r="H808" t="s">
        <v>25</v>
      </c>
      <c r="I808" t="s">
        <v>25</v>
      </c>
    </row>
    <row r="809" spans="1:9" ht="120" x14ac:dyDescent="0.25">
      <c r="A809" s="16" t="s">
        <v>679</v>
      </c>
      <c r="B809" t="str">
        <f>HYPERLINK("https://www.sydney.edu.au/scholarships/d/james-murphy-scholarship--supplementary-.html", "James Murphy Scholarship (Supplementary)")</f>
        <v>James Murphy Scholarship (Supplementary)</v>
      </c>
      <c r="C809" t="s">
        <v>27</v>
      </c>
      <c r="D809" s="7" t="s">
        <v>212</v>
      </c>
      <c r="E809" t="s">
        <v>205</v>
      </c>
      <c r="F809" t="s">
        <v>13</v>
      </c>
      <c r="G809" s="12" t="s">
        <v>1015</v>
      </c>
      <c r="H809" t="s">
        <v>25</v>
      </c>
      <c r="I809" t="s">
        <v>25</v>
      </c>
    </row>
    <row r="810" spans="1:9" ht="30" x14ac:dyDescent="0.25">
      <c r="A810" s="16" t="s">
        <v>679</v>
      </c>
      <c r="B810" t="str">
        <f>HYPERLINK("https://www.sydney.edu.au/scholarships/d/james-s-ashton-memorial-scholarship.html", "James S Ashton Memorial Scholarship")</f>
        <v>James S Ashton Memorial Scholarship</v>
      </c>
      <c r="C810" t="s">
        <v>27</v>
      </c>
      <c r="D810" s="9">
        <v>5000</v>
      </c>
      <c r="E810" t="s">
        <v>201</v>
      </c>
      <c r="F810" t="s">
        <v>13</v>
      </c>
      <c r="G810" s="12" t="s">
        <v>1016</v>
      </c>
      <c r="H810" t="s">
        <v>25</v>
      </c>
      <c r="I810" t="s">
        <v>25</v>
      </c>
    </row>
    <row r="811" spans="1:9" ht="45" x14ac:dyDescent="0.25">
      <c r="A811" s="16" t="s">
        <v>679</v>
      </c>
      <c r="B811" t="str">
        <f>HYPERLINK("https://www.sydney.edu.au/scholarships/d/james-strong-rip-curl-scholarship.html", "James Strong – Rip Curl Undergraduate Scholarship")</f>
        <v>James Strong – Rip Curl Undergraduate Scholarship</v>
      </c>
      <c r="C811" t="s">
        <v>27</v>
      </c>
      <c r="D811" s="9">
        <v>7500</v>
      </c>
      <c r="E811" t="s">
        <v>201</v>
      </c>
      <c r="F811" t="s">
        <v>13</v>
      </c>
      <c r="G811" s="12" t="s">
        <v>1017</v>
      </c>
      <c r="H811" t="s">
        <v>25</v>
      </c>
      <c r="I811" t="s">
        <v>25</v>
      </c>
    </row>
    <row r="812" spans="1:9" ht="90" x14ac:dyDescent="0.25">
      <c r="A812" s="16" t="s">
        <v>679</v>
      </c>
      <c r="B812" t="str">
        <f>HYPERLINK("https://www.sydney.edu.au/scholarships/d/jean-ray-blencowe-scholarship.html", "The Jean and Ray Blencowe Scholarship")</f>
        <v>The Jean and Ray Blencowe Scholarship</v>
      </c>
      <c r="C812" t="s">
        <v>27</v>
      </c>
      <c r="D812" s="9">
        <v>1700</v>
      </c>
      <c r="E812" t="s">
        <v>201</v>
      </c>
      <c r="F812" t="s">
        <v>13</v>
      </c>
      <c r="G812" s="12" t="s">
        <v>1018</v>
      </c>
      <c r="H812" t="s">
        <v>25</v>
      </c>
      <c r="I812" t="s">
        <v>25</v>
      </c>
    </row>
    <row r="813" spans="1:9" ht="150" x14ac:dyDescent="0.25">
      <c r="A813" s="16" t="s">
        <v>679</v>
      </c>
      <c r="B813" t="str">
        <f>HYPERLINK("https://www.sydney.edu.au/scholarships/d/john-coutts-scholarship.html", "John Coutts Scholarship")</f>
        <v>John Coutts Scholarship</v>
      </c>
      <c r="C813" t="s">
        <v>27</v>
      </c>
      <c r="D813" s="9">
        <v>7500</v>
      </c>
      <c r="E813" t="s">
        <v>201</v>
      </c>
      <c r="F813" t="s">
        <v>13</v>
      </c>
      <c r="G813" s="12" t="s">
        <v>1019</v>
      </c>
      <c r="H813" t="s">
        <v>25</v>
      </c>
      <c r="I813" t="s">
        <v>25</v>
      </c>
    </row>
    <row r="814" spans="1:9" ht="45" x14ac:dyDescent="0.25">
      <c r="A814" s="16" t="s">
        <v>679</v>
      </c>
      <c r="B814" t="str">
        <f>HYPERLINK("https://www.sydney.edu.au/scholarships/d/josiah-and-myra-roberts-scholarship.html", "Josiah and Myra Roberts Scholarship")</f>
        <v>Josiah and Myra Roberts Scholarship</v>
      </c>
      <c r="C814" t="s">
        <v>14</v>
      </c>
      <c r="D814" s="9">
        <v>10000</v>
      </c>
      <c r="E814" t="s">
        <v>269</v>
      </c>
      <c r="F814" t="s">
        <v>13</v>
      </c>
      <c r="G814" s="12" t="s">
        <v>1020</v>
      </c>
      <c r="H814" t="s">
        <v>25</v>
      </c>
      <c r="I814" t="s">
        <v>25</v>
      </c>
    </row>
    <row r="815" spans="1:9" ht="75" x14ac:dyDescent="0.25">
      <c r="A815" s="16" t="s">
        <v>679</v>
      </c>
      <c r="B815" t="str">
        <f>HYPERLINK("https://www.sydney.edu.au/scholarships/d/k-e-bullen-scholarships.html", "K E Bullen Scholarships")</f>
        <v>K E Bullen Scholarships</v>
      </c>
      <c r="C815" t="s">
        <v>27</v>
      </c>
      <c r="D815" s="7" t="s">
        <v>227</v>
      </c>
      <c r="E815" t="s">
        <v>201</v>
      </c>
      <c r="F815" t="s">
        <v>137</v>
      </c>
      <c r="G815" s="12" t="s">
        <v>1021</v>
      </c>
      <c r="H815" t="s">
        <v>25</v>
      </c>
      <c r="I815" t="s">
        <v>25</v>
      </c>
    </row>
    <row r="816" spans="1:9" ht="60" x14ac:dyDescent="0.25">
      <c r="A816" s="16" t="s">
        <v>679</v>
      </c>
      <c r="B816" t="str">
        <f>HYPERLINK("https://www.sydney.edu.au/scholarships/d/lithgow-scholarship-for-graduate-diploma-in-psychology.html", "Lithgow Scholarship for Graduate Diploma in Psychology")</f>
        <v>Lithgow Scholarship for Graduate Diploma in Psychology</v>
      </c>
      <c r="C816" t="s">
        <v>27</v>
      </c>
      <c r="D816" s="7" t="s">
        <v>254</v>
      </c>
      <c r="E816" t="s">
        <v>201</v>
      </c>
      <c r="F816" t="s">
        <v>51</v>
      </c>
      <c r="G816" s="12" t="s">
        <v>1022</v>
      </c>
      <c r="H816" t="s">
        <v>25</v>
      </c>
      <c r="I816" t="s">
        <v>25</v>
      </c>
    </row>
    <row r="817" spans="1:9" ht="45" x14ac:dyDescent="0.25">
      <c r="A817" s="16" t="s">
        <v>679</v>
      </c>
      <c r="B817" t="str">
        <f>HYPERLINK("https://www.sydney.edu.au/scholarships/d/malcolm-turki-memorial-scholarship.html", "The Malcolm Turki Memorial Scholarship")</f>
        <v>The Malcolm Turki Memorial Scholarship</v>
      </c>
      <c r="C817" t="s">
        <v>14</v>
      </c>
      <c r="D817" s="9">
        <v>6000</v>
      </c>
      <c r="E817" t="s">
        <v>201</v>
      </c>
      <c r="F817" t="s">
        <v>13</v>
      </c>
      <c r="G817" s="12" t="s">
        <v>1023</v>
      </c>
      <c r="H817" t="s">
        <v>25</v>
      </c>
      <c r="I817" t="s">
        <v>25</v>
      </c>
    </row>
    <row r="818" spans="1:9" ht="60" x14ac:dyDescent="0.25">
      <c r="A818" s="16" t="s">
        <v>679</v>
      </c>
      <c r="B818" t="str">
        <f>HYPERLINK("https://www.sydney.edu.au/scholarships/d/mccaughey-memorial-institute-scholarship-in-agriculture.html", "McCaughey Memorial Institute Scholarship in Agriculture")</f>
        <v>McCaughey Memorial Institute Scholarship in Agriculture</v>
      </c>
      <c r="C818" t="s">
        <v>14</v>
      </c>
      <c r="D818" s="7" t="s">
        <v>204</v>
      </c>
      <c r="E818" t="s">
        <v>201</v>
      </c>
      <c r="F818" t="s">
        <v>137</v>
      </c>
      <c r="G818" s="12" t="s">
        <v>1024</v>
      </c>
      <c r="H818" t="s">
        <v>25</v>
      </c>
      <c r="I818" t="s">
        <v>25</v>
      </c>
    </row>
    <row r="819" spans="1:9" ht="90" x14ac:dyDescent="0.25">
      <c r="A819" s="16" t="s">
        <v>679</v>
      </c>
      <c r="B819" t="str">
        <f>HYPERLINK("https://www.sydney.edu.au/scholarships/d/mrs-elva-rae-talented-mathematics-scholarship.html", "Mrs Elva Rae Talented Mathematics Scholarship")</f>
        <v>Mrs Elva Rae Talented Mathematics Scholarship</v>
      </c>
      <c r="C819" t="s">
        <v>27</v>
      </c>
      <c r="D819" s="7" t="s">
        <v>208</v>
      </c>
      <c r="E819" t="s">
        <v>201</v>
      </c>
      <c r="F819" t="s">
        <v>35</v>
      </c>
      <c r="G819" s="12" t="s">
        <v>1025</v>
      </c>
      <c r="H819" t="s">
        <v>25</v>
      </c>
      <c r="I819" t="s">
        <v>25</v>
      </c>
    </row>
    <row r="820" spans="1:9" ht="90" x14ac:dyDescent="0.25">
      <c r="A820" s="16" t="s">
        <v>679</v>
      </c>
      <c r="B820" t="str">
        <f>HYPERLINK("https://www.sydney.edu.au/scholarships/d/mrs-elva-rae-talented-mathematics-undergraduate-scholarship.html", "Mrs Elva Rae Talented Mathematics Undergraduate Scholarship")</f>
        <v>Mrs Elva Rae Talented Mathematics Undergraduate Scholarship</v>
      </c>
      <c r="C820" t="s">
        <v>27</v>
      </c>
      <c r="D820" s="7" t="s">
        <v>241</v>
      </c>
      <c r="E820" t="s">
        <v>205</v>
      </c>
      <c r="F820" t="s">
        <v>13</v>
      </c>
      <c r="G820" s="12" t="s">
        <v>1026</v>
      </c>
      <c r="H820" t="s">
        <v>25</v>
      </c>
      <c r="I820" t="s">
        <v>25</v>
      </c>
    </row>
    <row r="821" spans="1:9" ht="45" x14ac:dyDescent="0.25">
      <c r="A821" s="16" t="s">
        <v>679</v>
      </c>
      <c r="B821" t="str">
        <f>HYPERLINK("https://www.sydney.edu.au/scholarships/d/nancy-paton-women-in-science-scholarship.html", "Nancy Paton Women in Science Scholarship")</f>
        <v>Nancy Paton Women in Science Scholarship</v>
      </c>
      <c r="C821" t="s">
        <v>27</v>
      </c>
      <c r="D821" s="7" t="s">
        <v>825</v>
      </c>
      <c r="E821" t="s">
        <v>269</v>
      </c>
      <c r="F821" t="s">
        <v>13</v>
      </c>
      <c r="G821" s="12" t="s">
        <v>1027</v>
      </c>
      <c r="H821" t="s">
        <v>25</v>
      </c>
      <c r="I821" t="s">
        <v>25</v>
      </c>
    </row>
    <row r="822" spans="1:9" ht="90" x14ac:dyDescent="0.25">
      <c r="A822" s="16" t="s">
        <v>679</v>
      </c>
      <c r="B822" t="str">
        <f>HYPERLINK("https://www.sydney.edu.au/scholarships/d/norman-scott-noble-scholarship.html", "Norman Scott Noble Honours Scholarship")</f>
        <v>Norman Scott Noble Honours Scholarship</v>
      </c>
      <c r="C822" t="s">
        <v>27</v>
      </c>
      <c r="D822" s="9">
        <v>5000</v>
      </c>
      <c r="E822" t="s">
        <v>201</v>
      </c>
      <c r="F822" t="s">
        <v>137</v>
      </c>
      <c r="G822" s="12" t="s">
        <v>1028</v>
      </c>
      <c r="H822" t="s">
        <v>25</v>
      </c>
      <c r="I822" t="s">
        <v>25</v>
      </c>
    </row>
    <row r="823" spans="1:9" x14ac:dyDescent="0.25">
      <c r="A823" s="16" t="s">
        <v>679</v>
      </c>
      <c r="B823" t="str">
        <f>HYPERLINK("https://www.sydney.edu.au/scholarships/d/philip-thomas-collins-scholarship.html", "Philip Thomas Collins Scholarship")</f>
        <v>Philip Thomas Collins Scholarship</v>
      </c>
      <c r="C823" t="s">
        <v>14</v>
      </c>
      <c r="D823" s="7" t="s">
        <v>253</v>
      </c>
      <c r="E823" t="s">
        <v>201</v>
      </c>
      <c r="F823" t="s">
        <v>137</v>
      </c>
      <c r="G823" s="12" t="s">
        <v>1029</v>
      </c>
      <c r="H823" t="s">
        <v>25</v>
      </c>
      <c r="I823" t="s">
        <v>25</v>
      </c>
    </row>
    <row r="824" spans="1:9" ht="45" x14ac:dyDescent="0.25">
      <c r="A824" s="16" t="s">
        <v>679</v>
      </c>
      <c r="B824" t="str">
        <f>HYPERLINK("https://www.sydney.edu.au/scholarships/d/placement-scholarships-for-the-doctor-of-veterinary-medicine.html", "Placement Scholarships for the Doctor of Veterinary Medicine")</f>
        <v>Placement Scholarships for the Doctor of Veterinary Medicine</v>
      </c>
      <c r="C824" t="s">
        <v>27</v>
      </c>
      <c r="D824" s="7" t="s">
        <v>206</v>
      </c>
      <c r="E824" t="s">
        <v>24</v>
      </c>
      <c r="F824" t="s">
        <v>51</v>
      </c>
      <c r="G824" s="12" t="s">
        <v>1030</v>
      </c>
      <c r="H824" t="s">
        <v>25</v>
      </c>
      <c r="I824" t="s">
        <v>16</v>
      </c>
    </row>
    <row r="825" spans="1:9" ht="60" x14ac:dyDescent="0.25">
      <c r="A825" s="16" t="s">
        <v>679</v>
      </c>
      <c r="B825" t="str">
        <f>HYPERLINK("https://www.sydney.edu.au/scholarships/d/professor-marsh-edwards-ao.html", "Professor Marsh Edwards AO Scholarship")</f>
        <v>Professor Marsh Edwards AO Scholarship</v>
      </c>
      <c r="C825" t="s">
        <v>27</v>
      </c>
      <c r="D825" s="9">
        <v>6750</v>
      </c>
      <c r="E825" t="s">
        <v>262</v>
      </c>
      <c r="F825" t="s">
        <v>51</v>
      </c>
      <c r="G825" s="12" t="s">
        <v>1031</v>
      </c>
      <c r="H825" t="s">
        <v>25</v>
      </c>
      <c r="I825" t="s">
        <v>25</v>
      </c>
    </row>
    <row r="826" spans="1:9" ht="105" x14ac:dyDescent="0.25">
      <c r="A826" s="16" t="s">
        <v>679</v>
      </c>
      <c r="B826" t="str">
        <f>HYPERLINK("https://www.sydney.edu.au/scholarships/d/roy-frederick-turner-scholarship-agriculture.html", "Roy Frederick Turner Scholarship (Agriculture)")</f>
        <v>Roy Frederick Turner Scholarship (Agriculture)</v>
      </c>
      <c r="C826" t="s">
        <v>14</v>
      </c>
      <c r="D826" s="9">
        <v>7500</v>
      </c>
      <c r="E826" t="s">
        <v>201</v>
      </c>
      <c r="F826" t="s">
        <v>13</v>
      </c>
      <c r="G826" s="12" t="s">
        <v>1032</v>
      </c>
      <c r="H826" t="s">
        <v>25</v>
      </c>
      <c r="I826" t="s">
        <v>25</v>
      </c>
    </row>
    <row r="827" spans="1:9" ht="60" x14ac:dyDescent="0.25">
      <c r="A827" s="16" t="s">
        <v>679</v>
      </c>
      <c r="B827" t="str">
        <f>HYPERLINK("https://www.sydney.edu.au/scholarships/d/ruggles-scholarship.html", "Ruggles Scholarship")</f>
        <v>Ruggles Scholarship</v>
      </c>
      <c r="C827" t="s">
        <v>27</v>
      </c>
      <c r="D827" s="9">
        <v>6750</v>
      </c>
      <c r="E827" t="s">
        <v>24</v>
      </c>
      <c r="F827" t="s">
        <v>51</v>
      </c>
      <c r="G827" s="12" t="s">
        <v>1031</v>
      </c>
      <c r="H827" t="s">
        <v>25</v>
      </c>
      <c r="I827" t="s">
        <v>25</v>
      </c>
    </row>
    <row r="828" spans="1:9" ht="210" x14ac:dyDescent="0.25">
      <c r="A828" s="16" t="s">
        <v>679</v>
      </c>
      <c r="B828" t="str">
        <f>HYPERLINK("https://www.sydney.edu.au/scholarships/d/rural-sustainability-scholarship-supplementary.html", "Rural Sustainability Scholarship (Supplementary)")</f>
        <v>Rural Sustainability Scholarship (Supplementary)</v>
      </c>
      <c r="C828" t="s">
        <v>27</v>
      </c>
      <c r="D828" s="9">
        <v>4300</v>
      </c>
      <c r="E828" t="s">
        <v>201</v>
      </c>
      <c r="F828" t="s">
        <v>13</v>
      </c>
      <c r="G828" s="12" t="s">
        <v>1033</v>
      </c>
      <c r="H828" t="s">
        <v>25</v>
      </c>
      <c r="I828" t="s">
        <v>25</v>
      </c>
    </row>
    <row r="829" spans="1:9" ht="120" x14ac:dyDescent="0.25">
      <c r="A829" s="16" t="s">
        <v>679</v>
      </c>
      <c r="B829" t="str">
        <f>HYPERLINK("https://www.sydney.edu.au/scholarships/d/rural-sustainability-scholarship.html", "Rural Sustainability Scholarship")</f>
        <v>Rural Sustainability Scholarship</v>
      </c>
      <c r="C829" t="s">
        <v>27</v>
      </c>
      <c r="D829" s="9">
        <v>6000</v>
      </c>
      <c r="E829" t="s">
        <v>269</v>
      </c>
      <c r="F829" t="s">
        <v>13</v>
      </c>
      <c r="G829" s="12" t="s">
        <v>1034</v>
      </c>
      <c r="H829" t="s">
        <v>25</v>
      </c>
      <c r="I829" t="s">
        <v>25</v>
      </c>
    </row>
    <row r="830" spans="1:9" ht="45" x14ac:dyDescent="0.25">
      <c r="A830" s="16" t="s">
        <v>679</v>
      </c>
      <c r="B830" t="str">
        <f>HYPERLINK("https://www.sydney.edu.au/scholarships/d/sally-andrews-honours-scholarship-in-psychology.html", "Sally Andrews Honours Scholarship in Psychology")</f>
        <v>Sally Andrews Honours Scholarship in Psychology</v>
      </c>
      <c r="C830" t="s">
        <v>14</v>
      </c>
      <c r="D830" s="7" t="s">
        <v>254</v>
      </c>
      <c r="E830" t="s">
        <v>201</v>
      </c>
      <c r="F830" t="s">
        <v>137</v>
      </c>
      <c r="G830" s="12" t="s">
        <v>1035</v>
      </c>
      <c r="H830" t="s">
        <v>25</v>
      </c>
      <c r="I830" t="s">
        <v>25</v>
      </c>
    </row>
    <row r="831" spans="1:9" ht="60" x14ac:dyDescent="0.25">
      <c r="A831" s="16" t="s">
        <v>679</v>
      </c>
      <c r="B831" t="str">
        <f>HYPERLINK("https://www.sydney.edu.au/scholarships/d/sir-lionel-hooke-scholarship.html", "Sir Lionel Hooke Scholarship")</f>
        <v>Sir Lionel Hooke Scholarship</v>
      </c>
      <c r="C831" t="s">
        <v>27</v>
      </c>
      <c r="D831" s="9">
        <v>5000</v>
      </c>
      <c r="E831" t="s">
        <v>201</v>
      </c>
      <c r="F831" t="s">
        <v>13</v>
      </c>
      <c r="G831" s="12" t="s">
        <v>1036</v>
      </c>
      <c r="H831" t="s">
        <v>25</v>
      </c>
      <c r="I831" t="s">
        <v>25</v>
      </c>
    </row>
    <row r="832" spans="1:9" ht="60" x14ac:dyDescent="0.25">
      <c r="A832" s="16" t="s">
        <v>679</v>
      </c>
      <c r="B832" t="str">
        <f>HYPERLINK("https://www.sydney.edu.au/scholarships/d/swan-family-scholarship.html", "The Swan Family Scholarship")</f>
        <v>The Swan Family Scholarship</v>
      </c>
      <c r="C832" t="s">
        <v>27</v>
      </c>
      <c r="D832" s="9">
        <v>6000</v>
      </c>
      <c r="E832" t="s">
        <v>685</v>
      </c>
      <c r="F832" t="s">
        <v>51</v>
      </c>
      <c r="G832" s="12" t="s">
        <v>1037</v>
      </c>
      <c r="H832" t="s">
        <v>25</v>
      </c>
      <c r="I832" t="s">
        <v>25</v>
      </c>
    </row>
    <row r="833" spans="1:9" ht="60" x14ac:dyDescent="0.25">
      <c r="A833" s="16" t="s">
        <v>679</v>
      </c>
      <c r="B833" t="str">
        <f>HYPERLINK("https://www.sydney.edu.au/scholarships/d/sydney-school-of-veterinary-sciences-postgraduate-diversity-scho.html", "Sydney School of Veterinary Sciences Postgraduate Diversity Scholarship")</f>
        <v>Sydney School of Veterinary Sciences Postgraduate Diversity Scholarship</v>
      </c>
      <c r="C833" t="s">
        <v>14</v>
      </c>
      <c r="D833" s="12" t="s">
        <v>1038</v>
      </c>
      <c r="E833" t="s">
        <v>685</v>
      </c>
      <c r="F833" t="s">
        <v>51</v>
      </c>
      <c r="G833" s="12" t="s">
        <v>1039</v>
      </c>
      <c r="H833" t="s">
        <v>25</v>
      </c>
      <c r="I833" t="s">
        <v>25</v>
      </c>
    </row>
    <row r="834" spans="1:9" ht="120" x14ac:dyDescent="0.25">
      <c r="A834" s="16" t="s">
        <v>679</v>
      </c>
      <c r="B834" t="str">
        <f>HYPERLINK("https://www.sydney.edu.au/scholarships/d/sydney-school-of-veterinary-sciences-undergraduate-equity-scholarship.html", "Sydney School of Veterinary Sciences Undergraduate Equity Scholarship")</f>
        <v>Sydney School of Veterinary Sciences Undergraduate Equity Scholarship</v>
      </c>
      <c r="C834" t="s">
        <v>14</v>
      </c>
      <c r="D834" s="12" t="s">
        <v>1038</v>
      </c>
      <c r="E834" t="s">
        <v>685</v>
      </c>
      <c r="F834" t="s">
        <v>35</v>
      </c>
      <c r="G834" s="12" t="s">
        <v>1040</v>
      </c>
      <c r="H834" t="s">
        <v>21</v>
      </c>
      <c r="I834" t="s">
        <v>25</v>
      </c>
    </row>
    <row r="835" spans="1:9" ht="105" x14ac:dyDescent="0.25">
      <c r="A835" s="16" t="s">
        <v>679</v>
      </c>
      <c r="B835" t="str">
        <f>HYPERLINK("https://www.sydney.edu.au/scholarships/d/the-kristina-hacket-memorial-scholarship.html", "The Kristina Hacket Memorial Scholarship")</f>
        <v>The Kristina Hacket Memorial Scholarship</v>
      </c>
      <c r="C835" t="s">
        <v>27</v>
      </c>
      <c r="D835" s="7" t="s">
        <v>234</v>
      </c>
      <c r="E835" t="s">
        <v>201</v>
      </c>
      <c r="F835" t="s">
        <v>13</v>
      </c>
      <c r="G835" s="12" t="s">
        <v>1041</v>
      </c>
      <c r="H835" t="s">
        <v>25</v>
      </c>
      <c r="I835" t="s">
        <v>25</v>
      </c>
    </row>
    <row r="836" spans="1:9" ht="45" x14ac:dyDescent="0.25">
      <c r="A836" s="16" t="s">
        <v>679</v>
      </c>
      <c r="B836" t="str">
        <f>HYPERLINK("https://www.sydney.edu.au/scholarships/d/the-ross-scholarship.html", "The Ross Scholarship")</f>
        <v>The Ross Scholarship</v>
      </c>
      <c r="C836" t="s">
        <v>27</v>
      </c>
      <c r="D836" s="7" t="s">
        <v>1042</v>
      </c>
      <c r="E836" t="s">
        <v>262</v>
      </c>
      <c r="F836" t="s">
        <v>13</v>
      </c>
      <c r="G836" s="12" t="s">
        <v>1043</v>
      </c>
      <c r="H836" t="s">
        <v>25</v>
      </c>
      <c r="I836" t="s">
        <v>25</v>
      </c>
    </row>
    <row r="837" spans="1:9" ht="90" x14ac:dyDescent="0.25">
      <c r="A837" s="16" t="s">
        <v>679</v>
      </c>
      <c r="B837" t="str">
        <f>HYPERLINK("https://www.sydney.edu.au/scholarships/d/the-veterinary-society-scholarship.html", "The Veterinary Society Scholarship")</f>
        <v>The Veterinary Society Scholarship</v>
      </c>
      <c r="C837" t="s">
        <v>14</v>
      </c>
      <c r="D837" s="9">
        <v>2500</v>
      </c>
      <c r="E837" t="s">
        <v>201</v>
      </c>
      <c r="F837" t="s">
        <v>51</v>
      </c>
      <c r="G837" s="12" t="s">
        <v>1044</v>
      </c>
      <c r="H837" t="s">
        <v>25</v>
      </c>
      <c r="I837" t="s">
        <v>25</v>
      </c>
    </row>
    <row r="838" spans="1:9" ht="90" x14ac:dyDescent="0.25">
      <c r="A838" s="16" t="s">
        <v>679</v>
      </c>
      <c r="B838" t="str">
        <f>HYPERLINK("https://www.sydney.edu.au/scholarships/d/the-william-cooper-and-nephews--scholarship.html", "The William Cooper and Nephews' Scholarship")</f>
        <v>The William Cooper and Nephews' Scholarship</v>
      </c>
      <c r="C838" t="s">
        <v>27</v>
      </c>
      <c r="D838" s="9">
        <v>5000</v>
      </c>
      <c r="E838" t="s">
        <v>201</v>
      </c>
      <c r="F838" t="s">
        <v>13</v>
      </c>
      <c r="G838" s="12" t="s">
        <v>1045</v>
      </c>
      <c r="H838" t="s">
        <v>25</v>
      </c>
      <c r="I838" t="s">
        <v>25</v>
      </c>
    </row>
    <row r="839" spans="1:9" ht="45" x14ac:dyDescent="0.25">
      <c r="A839" s="16" t="s">
        <v>679</v>
      </c>
      <c r="B839" t="str">
        <f>HYPERLINK("https://www.sydney.edu.au/scholarships/d/tomoko-maruno-equity-scholarship.html", "Tomoko Maruno Equity Scholarship")</f>
        <v>Tomoko Maruno Equity Scholarship</v>
      </c>
      <c r="C839" t="s">
        <v>14</v>
      </c>
      <c r="D839" s="7" t="s">
        <v>202</v>
      </c>
      <c r="E839" t="s">
        <v>201</v>
      </c>
      <c r="F839" t="s">
        <v>51</v>
      </c>
      <c r="G839" s="12" t="s">
        <v>1007</v>
      </c>
      <c r="H839" t="s">
        <v>25</v>
      </c>
      <c r="I839" t="s">
        <v>25</v>
      </c>
    </row>
    <row r="840" spans="1:9" ht="30" x14ac:dyDescent="0.25">
      <c r="A840" s="16" t="s">
        <v>679</v>
      </c>
      <c r="B840" t="str">
        <f>HYPERLINK("https://www.sydney.edu.au/scholarships/d/walter-moore-scholarship.html", "Walter Moore Honours Scholarships")</f>
        <v>Walter Moore Honours Scholarships</v>
      </c>
      <c r="C840" t="s">
        <v>14</v>
      </c>
      <c r="D840" s="9">
        <v>5000</v>
      </c>
      <c r="E840" t="s">
        <v>201</v>
      </c>
      <c r="F840" t="s">
        <v>137</v>
      </c>
      <c r="G840" s="12" t="s">
        <v>1046</v>
      </c>
      <c r="H840" t="s">
        <v>25</v>
      </c>
      <c r="I840" t="s">
        <v>25</v>
      </c>
    </row>
    <row r="841" spans="1:9" ht="90" x14ac:dyDescent="0.25">
      <c r="A841" s="16" t="s">
        <v>679</v>
      </c>
      <c r="B841" t="str">
        <f>HYPERLINK("https://www.sydney.edu.au/scholarships/d/yim-family-foundation-scholarship.html", "Yim Family Foundation Scholarship")</f>
        <v>Yim Family Foundation Scholarship</v>
      </c>
      <c r="C841" t="s">
        <v>14</v>
      </c>
      <c r="D841" s="7" t="s">
        <v>1047</v>
      </c>
      <c r="E841" t="s">
        <v>201</v>
      </c>
      <c r="F841" t="s">
        <v>13</v>
      </c>
      <c r="G841" s="12" t="s">
        <v>1048</v>
      </c>
      <c r="H841" t="s">
        <v>25</v>
      </c>
      <c r="I841" t="s">
        <v>25</v>
      </c>
    </row>
    <row r="842" spans="1:9" ht="105" x14ac:dyDescent="0.25">
      <c r="A842" s="16" t="s">
        <v>679</v>
      </c>
      <c r="B842" t="str">
        <f>HYPERLINK("https://www.sydney.edu.au/scholarships/e/adam-scott-foundation-scholarship.html", "Adam Scott Foundation Scholarship")</f>
        <v>Adam Scott Foundation Scholarship</v>
      </c>
      <c r="C842" t="s">
        <v>27</v>
      </c>
      <c r="D842" s="7" t="s">
        <v>242</v>
      </c>
      <c r="E842" s="12" t="s">
        <v>1049</v>
      </c>
      <c r="F842" t="s">
        <v>13</v>
      </c>
      <c r="G842" s="12" t="s">
        <v>1050</v>
      </c>
      <c r="H842" t="s">
        <v>25</v>
      </c>
      <c r="I842" t="s">
        <v>25</v>
      </c>
    </row>
    <row r="843" spans="1:9" x14ac:dyDescent="0.25">
      <c r="A843" s="16" t="s">
        <v>679</v>
      </c>
      <c r="B843" t="str">
        <f>HYPERLINK("https://www.sydney.edu.au/scholarships/e/adamo-and-francesca-boncardo-mysydney-scholarship.html", "Adamo and Francesca Boncardo MySydney Scholarship")</f>
        <v>Adamo and Francesca Boncardo MySydney Scholarship</v>
      </c>
      <c r="C843" t="s">
        <v>14</v>
      </c>
      <c r="D843" s="9">
        <v>8500</v>
      </c>
      <c r="E843" t="s">
        <v>243</v>
      </c>
      <c r="F843" t="s">
        <v>13</v>
      </c>
      <c r="G843" s="12" t="s">
        <v>1051</v>
      </c>
      <c r="H843" t="s">
        <v>25</v>
      </c>
      <c r="I843" t="s">
        <v>25</v>
      </c>
    </row>
    <row r="844" spans="1:9" ht="30" x14ac:dyDescent="0.25">
      <c r="A844" s="16" t="s">
        <v>679</v>
      </c>
      <c r="B844" t="str">
        <f>HYPERLINK("https://www.sydney.edu.au/scholarships/e/bruton-educational-trust-scholarship.html", "The Bruton Educational Trust Scholarship")</f>
        <v>The Bruton Educational Trust Scholarship</v>
      </c>
      <c r="C844" t="s">
        <v>14</v>
      </c>
      <c r="D844" s="7" t="s">
        <v>202</v>
      </c>
      <c r="E844" t="s">
        <v>1052</v>
      </c>
      <c r="F844" t="s">
        <v>13</v>
      </c>
      <c r="G844" s="12" t="s">
        <v>1053</v>
      </c>
      <c r="H844" t="s">
        <v>25</v>
      </c>
      <c r="I844" t="s">
        <v>25</v>
      </c>
    </row>
    <row r="845" spans="1:9" ht="45" x14ac:dyDescent="0.25">
      <c r="A845" s="16" t="s">
        <v>679</v>
      </c>
      <c r="B845" t="str">
        <f>HYPERLINK("https://www.sydney.edu.au/scholarships/e/chancellors-award.html", "Chancellor's Award")</f>
        <v>Chancellor's Award</v>
      </c>
      <c r="C845" t="s">
        <v>27</v>
      </c>
      <c r="D845" s="7" t="s">
        <v>202</v>
      </c>
      <c r="E845" t="s">
        <v>1054</v>
      </c>
      <c r="F845" t="s">
        <v>13</v>
      </c>
      <c r="G845" s="12" t="s">
        <v>1055</v>
      </c>
      <c r="H845" t="s">
        <v>25</v>
      </c>
      <c r="I845" t="s">
        <v>25</v>
      </c>
    </row>
    <row r="846" spans="1:9" ht="75" x14ac:dyDescent="0.25">
      <c r="A846" s="16" t="s">
        <v>679</v>
      </c>
      <c r="B846" t="str">
        <f>HYPERLINK("https://www.sydney.edu.au/scholarships/e/david-clarke-memorial-scholarship.html", "David Clarke Memorial Scholarship")</f>
        <v>David Clarke Memorial Scholarship</v>
      </c>
      <c r="C846" t="s">
        <v>27</v>
      </c>
      <c r="D846" s="7" t="s">
        <v>248</v>
      </c>
      <c r="E846" t="s">
        <v>201</v>
      </c>
      <c r="F846" t="s">
        <v>35</v>
      </c>
      <c r="G846" s="12" t="s">
        <v>1056</v>
      </c>
      <c r="H846" t="s">
        <v>25</v>
      </c>
      <c r="I846" t="s">
        <v>25</v>
      </c>
    </row>
    <row r="847" spans="1:9" ht="45" x14ac:dyDescent="0.25">
      <c r="A847" s="16" t="s">
        <v>679</v>
      </c>
      <c r="B847" t="str">
        <f>HYPERLINK("https://www.sydney.edu.au/scholarships/e/digital-health-internship.html", "Digital Health Internship")</f>
        <v>Digital Health Internship</v>
      </c>
      <c r="C847" t="s">
        <v>27</v>
      </c>
      <c r="D847" s="7" t="s">
        <v>749</v>
      </c>
      <c r="E847" t="s">
        <v>1057</v>
      </c>
      <c r="F847" t="s">
        <v>35</v>
      </c>
      <c r="G847" s="12" t="s">
        <v>1058</v>
      </c>
      <c r="H847" t="s">
        <v>25</v>
      </c>
      <c r="I847" t="s">
        <v>16</v>
      </c>
    </row>
    <row r="848" spans="1:9" ht="135" x14ac:dyDescent="0.25">
      <c r="A848" s="16" t="s">
        <v>679</v>
      </c>
      <c r="B848" t="str">
        <f>HYPERLINK("https://www.sydney.edu.au/scholarships/e/diversity-of-leaders-in-major-projects-scholarship.html", "Diversity of Leaders in Major Projects Scholarship")</f>
        <v>Diversity of Leaders in Major Projects Scholarship</v>
      </c>
      <c r="C848" t="s">
        <v>27</v>
      </c>
      <c r="D848" s="9">
        <v>25000</v>
      </c>
      <c r="E848" t="s">
        <v>201</v>
      </c>
      <c r="F848" t="s">
        <v>1059</v>
      </c>
      <c r="G848" s="12" t="s">
        <v>1060</v>
      </c>
      <c r="H848" t="s">
        <v>25</v>
      </c>
      <c r="I848" t="s">
        <v>25</v>
      </c>
    </row>
    <row r="849" spans="1:9" ht="60" x14ac:dyDescent="0.25">
      <c r="A849" s="16" t="s">
        <v>679</v>
      </c>
      <c r="B849" t="str">
        <f>HYPERLINK("https://www.sydney.edu.au/scholarships/e/eureka-benevolent-foundation-scholarship.html", "Eureka Benevolent Foundation Scholarship")</f>
        <v>Eureka Benevolent Foundation Scholarship</v>
      </c>
      <c r="C849" t="s">
        <v>14</v>
      </c>
      <c r="D849" s="7" t="s">
        <v>204</v>
      </c>
      <c r="E849" t="s">
        <v>243</v>
      </c>
      <c r="F849" t="s">
        <v>13</v>
      </c>
      <c r="G849" s="12" t="s">
        <v>1061</v>
      </c>
      <c r="H849" t="s">
        <v>25</v>
      </c>
      <c r="I849" t="s">
        <v>25</v>
      </c>
    </row>
    <row r="850" spans="1:9" ht="75" x14ac:dyDescent="0.25">
      <c r="A850" s="16" t="s">
        <v>679</v>
      </c>
      <c r="B850" t="str">
        <f>HYPERLINK("https://www.sydney.edu.au/scholarships/e/jim-wolfensohn-scholarship.html", "Jim Wolfensohn Scholarship")</f>
        <v>Jim Wolfensohn Scholarship</v>
      </c>
      <c r="C850" t="s">
        <v>27</v>
      </c>
      <c r="D850" s="7" t="s">
        <v>204</v>
      </c>
      <c r="E850" t="s">
        <v>685</v>
      </c>
      <c r="F850" t="s">
        <v>13</v>
      </c>
      <c r="G850" s="12" t="s">
        <v>1062</v>
      </c>
      <c r="H850" t="s">
        <v>25</v>
      </c>
      <c r="I850" t="s">
        <v>25</v>
      </c>
    </row>
    <row r="851" spans="1:9" ht="75" x14ac:dyDescent="0.25">
      <c r="A851" s="16" t="s">
        <v>679</v>
      </c>
      <c r="B851" t="str">
        <f>HYPERLINK("https://www.sydney.edu.au/scholarships/e/lendlease-bradfield-urbanisation-scholarship.html", "Lendlease Bradfield Urbanisation Scholarship")</f>
        <v>Lendlease Bradfield Urbanisation Scholarship</v>
      </c>
      <c r="C851" t="s">
        <v>27</v>
      </c>
      <c r="D851" s="7" t="s">
        <v>202</v>
      </c>
      <c r="E851" t="s">
        <v>685</v>
      </c>
      <c r="F851" t="s">
        <v>13</v>
      </c>
      <c r="G851" s="12" t="s">
        <v>1063</v>
      </c>
      <c r="H851" t="s">
        <v>25</v>
      </c>
      <c r="I851" t="s">
        <v>25</v>
      </c>
    </row>
    <row r="852" spans="1:9" ht="105" x14ac:dyDescent="0.25">
      <c r="A852" s="16" t="s">
        <v>679</v>
      </c>
      <c r="B852" t="str">
        <f>HYPERLINK("https://www.sydney.edu.au/scholarships/e/mysydney-equity-accommodation-scholarship.html", "MySydney Equity Accommodation Scholarship")</f>
        <v>MySydney Equity Accommodation Scholarship</v>
      </c>
      <c r="C852" t="s">
        <v>14</v>
      </c>
      <c r="D852" t="s">
        <v>1064</v>
      </c>
      <c r="E852" t="s">
        <v>262</v>
      </c>
      <c r="F852" t="s">
        <v>13</v>
      </c>
      <c r="G852" s="12" t="s">
        <v>1065</v>
      </c>
      <c r="H852" t="s">
        <v>25</v>
      </c>
      <c r="I852" t="s">
        <v>25</v>
      </c>
    </row>
    <row r="853" spans="1:9" ht="30" x14ac:dyDescent="0.25">
      <c r="A853" s="16" t="s">
        <v>679</v>
      </c>
      <c r="B853" t="str">
        <f>HYPERLINK("https://www.sydney.edu.au/scholarships/e/mysydney-scholarship.html", "MySydney Scholarship")</f>
        <v>MySydney Scholarship</v>
      </c>
      <c r="C853" t="s">
        <v>14</v>
      </c>
      <c r="D853" s="7" t="s">
        <v>825</v>
      </c>
      <c r="E853" t="s">
        <v>685</v>
      </c>
      <c r="F853" t="s">
        <v>13</v>
      </c>
      <c r="G853" s="12" t="s">
        <v>1066</v>
      </c>
      <c r="H853" t="s">
        <v>25</v>
      </c>
      <c r="I853" t="s">
        <v>25</v>
      </c>
    </row>
    <row r="854" spans="1:9" ht="75" x14ac:dyDescent="0.25">
      <c r="A854" s="16" t="s">
        <v>679</v>
      </c>
      <c r="B854" t="str">
        <f>HYPERLINK("https://www.sydney.edu.au/scholarships/e/pamela-joy-equity-scholarship.html", "Pamela Joy Equity Scholarship")</f>
        <v>Pamela Joy Equity Scholarship</v>
      </c>
      <c r="C854" t="s">
        <v>14</v>
      </c>
      <c r="D854" s="7" t="s">
        <v>202</v>
      </c>
      <c r="E854" t="s">
        <v>262</v>
      </c>
      <c r="F854" t="s">
        <v>13</v>
      </c>
      <c r="G854" s="12" t="s">
        <v>1067</v>
      </c>
      <c r="H854" t="s">
        <v>25</v>
      </c>
      <c r="I854" t="s">
        <v>25</v>
      </c>
    </row>
    <row r="855" spans="1:9" ht="45" x14ac:dyDescent="0.25">
      <c r="A855" s="16" t="s">
        <v>679</v>
      </c>
      <c r="B855" t="str">
        <f>HYPERLINK("https://www.sydney.edu.au/scholarships/e/postgraduate-online-scholarship.html", "Postgraduate Online Scholarship")</f>
        <v>Postgraduate Online Scholarship</v>
      </c>
      <c r="C855" t="s">
        <v>27</v>
      </c>
      <c r="D855" s="7" t="s">
        <v>227</v>
      </c>
      <c r="E855" t="s">
        <v>1068</v>
      </c>
      <c r="F855" t="s">
        <v>51</v>
      </c>
      <c r="G855" s="12" t="s">
        <v>1069</v>
      </c>
      <c r="H855" t="s">
        <v>25</v>
      </c>
      <c r="I855" t="s">
        <v>25</v>
      </c>
    </row>
    <row r="856" spans="1:9" ht="60" x14ac:dyDescent="0.25">
      <c r="A856" s="16" t="s">
        <v>679</v>
      </c>
      <c r="B856" t="str">
        <f>HYPERLINK("https://www.sydney.edu.au/scholarships/e/sydney-access-scholarship.html", "Sydney Access Scholarship")</f>
        <v>Sydney Access Scholarship</v>
      </c>
      <c r="C856" t="s">
        <v>14</v>
      </c>
      <c r="D856" s="7" t="s">
        <v>825</v>
      </c>
      <c r="E856" t="s">
        <v>243</v>
      </c>
      <c r="F856" t="s">
        <v>13</v>
      </c>
      <c r="G856" s="12" t="s">
        <v>1070</v>
      </c>
      <c r="H856" t="s">
        <v>25</v>
      </c>
      <c r="I856" t="s">
        <v>25</v>
      </c>
    </row>
    <row r="857" spans="1:9" ht="45" x14ac:dyDescent="0.25">
      <c r="A857" s="16" t="s">
        <v>679</v>
      </c>
      <c r="B857" t="str">
        <f>HYPERLINK("https://www.sydney.edu.au/scholarships/e/sydney-scholars-awards-equity-hardship-grounds.html", "Sydney Scholars Awards on Equity and Hardship Grounds")</f>
        <v>Sydney Scholars Awards on Equity and Hardship Grounds</v>
      </c>
      <c r="C857" t="s">
        <v>14</v>
      </c>
      <c r="D857" s="9">
        <v>6000</v>
      </c>
      <c r="E857" t="s">
        <v>685</v>
      </c>
      <c r="F857" t="s">
        <v>13</v>
      </c>
      <c r="G857" s="12" t="s">
        <v>1071</v>
      </c>
      <c r="H857" t="s">
        <v>25</v>
      </c>
      <c r="I857" t="s">
        <v>25</v>
      </c>
    </row>
    <row r="858" spans="1:9" ht="45" x14ac:dyDescent="0.25">
      <c r="A858" s="16" t="s">
        <v>679</v>
      </c>
      <c r="B858" t="str">
        <f>HYPERLINK("https://www.sydney.edu.au/scholarships/e/walter-eliza-hall-trust-opportunity-scholarship-student-physical.html", "Walter and Eliza Hall Trust Opportunity Scholarship")</f>
        <v>Walter and Eliza Hall Trust Opportunity Scholarship</v>
      </c>
      <c r="C858" t="s">
        <v>14</v>
      </c>
      <c r="D858" s="9">
        <v>10000</v>
      </c>
      <c r="E858" t="s">
        <v>243</v>
      </c>
      <c r="F858" t="s">
        <v>35</v>
      </c>
      <c r="G858" s="12" t="s">
        <v>1072</v>
      </c>
      <c r="H858" t="s">
        <v>25</v>
      </c>
      <c r="I858"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2024-12-10T00:52:12Z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