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westernsydneyedu.sharepoint.com/sites/ScholarshipsOperationsGroup/Shared Documents/Git/Scholarships/"/>
    </mc:Choice>
  </mc:AlternateContent>
  <xr:revisionPtr revIDLastSave="327" documentId="13_ncr:1_{BC4AE9FA-0CB4-4CF0-8D39-57A9F105CFA5}" xr6:coauthVersionLast="47" xr6:coauthVersionMax="47" xr10:uidLastSave="{F6ACF66A-E258-4133-9385-0065CDCF93BA}"/>
  <bookViews>
    <workbookView xWindow="28680" yWindow="-120" windowWidth="29040" windowHeight="15840" xr2:uid="{1CF3EDB6-384E-4233-A2F8-DD99A8F9DE7B}"/>
  </bookViews>
  <sheets>
    <sheet name="Sheet1" sheetId="1" r:id="rId1"/>
  </sheets>
  <externalReferences>
    <externalReference r:id="rId2"/>
  </externalReferences>
  <definedNames>
    <definedName name="_xlnm._FilterDatabase" localSheetId="0" hidden="1">Sheet1!$A$1:$I$514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6" i="1" l="1"/>
  <c r="B264" i="1"/>
  <c r="B94" i="1"/>
  <c r="B24"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3" i="1"/>
  <c r="B262" i="1"/>
  <c r="B261" i="1"/>
  <c r="B260" i="1"/>
  <c r="B259" i="1"/>
  <c r="B258" i="1"/>
  <c r="B257" i="1"/>
  <c r="B256" i="1"/>
  <c r="B255" i="1"/>
  <c r="B254" i="1"/>
  <c r="B253" i="1"/>
  <c r="B252" i="1"/>
  <c r="B251" i="1"/>
  <c r="B250" i="1"/>
  <c r="B249" i="1"/>
  <c r="B248" i="1"/>
  <c r="B247"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3" i="1"/>
  <c r="B22" i="1"/>
  <c r="B21" i="1"/>
  <c r="B20" i="1"/>
  <c r="B19" i="1"/>
  <c r="B18" i="1"/>
  <c r="B17" i="1"/>
  <c r="B16" i="1"/>
  <c r="B15" i="1"/>
  <c r="B14" i="1"/>
  <c r="B13" i="1"/>
  <c r="B12" i="1"/>
  <c r="B11" i="1"/>
  <c r="B10" i="1"/>
  <c r="B9" i="1"/>
  <c r="B8" i="1"/>
  <c r="B7" i="1"/>
  <c r="B6" i="1"/>
  <c r="B5" i="1"/>
  <c r="B4" i="1"/>
  <c r="B3" i="1"/>
  <c r="B2" i="1"/>
  <c r="B192" i="1"/>
  <c r="B194" i="1"/>
  <c r="B246" i="1"/>
  <c r="B245" i="1"/>
  <c r="B244" i="1"/>
  <c r="B243" i="1"/>
  <c r="B242" i="1" l="1"/>
  <c r="B241" i="1"/>
  <c r="B240" i="1"/>
  <c r="B239" i="1"/>
  <c r="B238" i="1"/>
  <c r="B237" i="1" l="1"/>
  <c r="B236" i="1"/>
  <c r="B235" i="1"/>
  <c r="B234" i="1" l="1"/>
  <c r="B233" i="1"/>
  <c r="B232" i="1"/>
  <c r="B231" i="1"/>
  <c r="B230" i="1"/>
  <c r="B229" i="1"/>
  <c r="B228" i="1"/>
  <c r="B227" i="1"/>
  <c r="B226" i="1"/>
  <c r="B225" i="1"/>
  <c r="B224" i="1"/>
  <c r="B223" i="1"/>
  <c r="B222" i="1"/>
  <c r="B221" i="1"/>
  <c r="B220" i="1"/>
  <c r="B219" i="1"/>
  <c r="B216" i="1"/>
  <c r="B215" i="1"/>
  <c r="B218" i="1"/>
  <c r="B217" i="1"/>
  <c r="B214" i="1"/>
  <c r="B213" i="1"/>
  <c r="B212" i="1"/>
  <c r="B211" i="1"/>
  <c r="B210" i="1"/>
  <c r="B209"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l="1"/>
  <c r="B450" i="1"/>
  <c r="B449" i="1"/>
  <c r="B448" i="1"/>
  <c r="B447" i="1"/>
  <c r="B446" i="1"/>
  <c r="B445" i="1"/>
  <c r="B444" i="1"/>
  <c r="B443" i="1"/>
  <c r="B442" i="1"/>
  <c r="B208" i="1" l="1"/>
  <c r="B207" i="1"/>
  <c r="B206" i="1"/>
  <c r="B205" i="1"/>
  <c r="B204" i="1"/>
  <c r="B203" i="1"/>
  <c r="B202" i="1"/>
  <c r="B201" i="1"/>
  <c r="B200" i="1"/>
  <c r="B199" i="1"/>
  <c r="B198" i="1"/>
  <c r="B197" i="1"/>
  <c r="B196" i="1"/>
  <c r="B195" i="1"/>
  <c r="B193" i="1"/>
  <c r="B191" i="1"/>
  <c r="B190" i="1"/>
  <c r="B189" i="1"/>
  <c r="B188" i="1"/>
  <c r="B187" i="1"/>
  <c r="B186" i="1"/>
  <c r="B185" i="1"/>
  <c r="B184" i="1"/>
  <c r="B183" i="1"/>
  <c r="B182" i="1"/>
  <c r="B181" i="1"/>
  <c r="B180" i="1"/>
</calcChain>
</file>

<file path=xl/sharedStrings.xml><?xml version="1.0" encoding="utf-8"?>
<sst xmlns="http://schemas.openxmlformats.org/spreadsheetml/2006/main" count="3908" uniqueCount="679">
  <si>
    <t>University</t>
  </si>
  <si>
    <t>Name</t>
  </si>
  <si>
    <t>Type</t>
  </si>
  <si>
    <t>Value</t>
  </si>
  <si>
    <t>Criteria</t>
  </si>
  <si>
    <t>Maquarie</t>
  </si>
  <si>
    <t>Charles Sturt University</t>
  </si>
  <si>
    <t>University of Wollongong</t>
  </si>
  <si>
    <t>UTS</t>
  </si>
  <si>
    <t>University of Newcastle</t>
  </si>
  <si>
    <t>UNSW</t>
  </si>
  <si>
    <t>Study Level</t>
  </si>
  <si>
    <t>Duration (Years)</t>
  </si>
  <si>
    <t>UG</t>
  </si>
  <si>
    <t>Equity</t>
  </si>
  <si>
    <t>Indigenous</t>
  </si>
  <si>
    <t>Yes</t>
  </si>
  <si>
    <t>• Financial hardship</t>
  </si>
  <si>
    <t xml:space="preserve">• Financial hardship
• Rural </t>
  </si>
  <si>
    <t>Commonwealth</t>
  </si>
  <si>
    <t xml:space="preserve">• Financial and/or social hardship
• Rural </t>
  </si>
  <si>
    <t>Preference</t>
  </si>
  <si>
    <t>• Financial and/or social hardship
• Receiving support payments</t>
  </si>
  <si>
    <t>$3,000-$5,000</t>
  </si>
  <si>
    <t>One-off</t>
  </si>
  <si>
    <t>No</t>
  </si>
  <si>
    <t>• Relocating from rural area
• Very specific requirements</t>
  </si>
  <si>
    <t>High Potential</t>
  </si>
  <si>
    <t>• Female
• Studying Law
• Academic merit</t>
  </si>
  <si>
    <t>$5000-$10,000</t>
  </si>
  <si>
    <t>• Studying Business
• Academic merit</t>
  </si>
  <si>
    <t>Accommodation</t>
  </si>
  <si>
    <t>• Financial hardship
• Rural 
• Demonstrate leadership qualities</t>
  </si>
  <si>
    <t>• Early offer
• Community engagement
• Academic merit</t>
  </si>
  <si>
    <t>• Studying Physics or 
Astronomy and Astrophysics</t>
  </si>
  <si>
    <t>UG/PG</t>
  </si>
  <si>
    <t>• Faculty of Science and Engineering
• Academic merit</t>
  </si>
  <si>
    <t>• Female
• Faculty of Science and Engineering
• Academic merit</t>
  </si>
  <si>
    <t>• Female
• Academic merit
• Specific subjects</t>
  </si>
  <si>
    <t>• Female
• Academic merit
• Studying Business</t>
  </si>
  <si>
    <t>$800 (Max)</t>
  </si>
  <si>
    <t>Duration of degree</t>
  </si>
  <si>
    <t>• Financial hardship
• Studying Law
• Academic merit</t>
  </si>
  <si>
    <t>• Research</t>
  </si>
  <si>
    <t>• Secondary Education 
Degree
• Academic merit</t>
  </si>
  <si>
    <t>• Financial hardship
• Rural 
• Studying Business</t>
  </si>
  <si>
    <t>$20,000 (UG)
$40,000 (PG)</t>
  </si>
  <si>
    <t>• Teaching programs</t>
  </si>
  <si>
    <t xml:space="preserve">• Financial hardship or,
• Rural </t>
  </si>
  <si>
    <t>• Financial hardship
• UAC equity criteria
• Academic merit</t>
  </si>
  <si>
    <t>Honours/PG</t>
  </si>
  <si>
    <t>PG</t>
  </si>
  <si>
    <t>10% of course fee</t>
  </si>
  <si>
    <t>• Certain PG programs 
excluded</t>
  </si>
  <si>
    <t>10% of course fees</t>
  </si>
  <si>
    <t>25% of  course fees</t>
  </si>
  <si>
    <t>• Studying MBA
• Academic merit</t>
  </si>
  <si>
    <t>• Female
• UTS Wanago Program
• Studying Engineering or IT</t>
  </si>
  <si>
    <t>• UAC equity criteria
• Academic merit</t>
  </si>
  <si>
    <t>$7,500 </t>
  </si>
  <si>
    <t>• Female
• Studying engineering  or project management
• Academic merit</t>
  </si>
  <si>
    <t>• Bachelor of Construction Project management
• Academic merit</t>
  </si>
  <si>
    <t>• Bachelor of Design
• Academic merit</t>
  </si>
  <si>
    <t>• Female
• Selected programs in EDBE
• Academic merit</t>
  </si>
  <si>
    <t>• Selected Business programs 
• Academic merit</t>
  </si>
  <si>
    <t>• Bachelor of Design in Architecture
• Academic merit
• Portfolio</t>
  </si>
  <si>
    <t>• Female
• Bachelor of Construction Project Management
• Academic merit</t>
  </si>
  <si>
    <t>• Selected programs 
• Academic merit
• 19-29</t>
  </si>
  <si>
    <t>Diploma/UG</t>
  </si>
  <si>
    <t>• Selected engineering programs 
• Academic merit</t>
  </si>
  <si>
    <t>• Female
• Selected engineering programs 
• Academic merit</t>
  </si>
  <si>
    <t>• UAC equity criteria
• Selected engineering programs 
• Academic merit</t>
  </si>
  <si>
    <t>$6,000-$7,500</t>
  </si>
  <si>
    <t xml:space="preserve">• Selected engineering programs </t>
  </si>
  <si>
    <t>$24,000 - $39,000 </t>
  </si>
  <si>
    <t>0.5-1</t>
  </si>
  <si>
    <t>• Female
• Selected IT and Engineering programs
• Academic merit</t>
  </si>
  <si>
    <t>$25,000 - $39,000 </t>
  </si>
  <si>
    <t>0.5-0.75</t>
  </si>
  <si>
    <t>• Selected IT and Engineering programs
• Academic merit</t>
  </si>
  <si>
    <t>Placement</t>
  </si>
  <si>
    <t>• Faculty of Health
• Academic merit</t>
  </si>
  <si>
    <t>• Selected IT and CDMS programs
• Academic merit</t>
  </si>
  <si>
    <t>$49,500 (Yearly 
or total?)</t>
  </si>
  <si>
    <t>• Bachelor of Information Technology
• Academic merit</t>
  </si>
  <si>
    <t>• UAC equity criteria
• Studying Law</t>
  </si>
  <si>
    <t>• UAC equity criteria
• Studying Law
• Financial hardship</t>
  </si>
  <si>
    <t>• Studying Law
• Academic merit</t>
  </si>
  <si>
    <t>• UAC equity criteria
• Studying Law
• Preference for cetain disadvantages</t>
  </si>
  <si>
    <t>• Female
• Faculty of Science
• Academic merit</t>
  </si>
  <si>
    <t>• Faculty of Science
• Academic merit</t>
  </si>
  <si>
    <t>Diploma</t>
  </si>
  <si>
    <t>• Elite athlete
• Academic merit</t>
  </si>
  <si>
    <t>Certificate IV </t>
  </si>
  <si>
    <t>• Rural/semi rural
• Relocating</t>
  </si>
  <si>
    <t>$40,000 (Yearly 
or total?)</t>
  </si>
  <si>
    <t>• Under 23
• Academic merit</t>
  </si>
  <si>
    <t>$12,500 </t>
  </si>
  <si>
    <t>• UAC scholarship or EAS application
• Academic merit</t>
  </si>
  <si>
    <t>• Academic merit</t>
  </si>
  <si>
    <t>• Physical disability</t>
  </si>
  <si>
    <t>• Studying Business (economics)
• Academic merit</t>
  </si>
  <si>
    <t>• Studying Business (finance)
• Academic merit</t>
  </si>
  <si>
    <t xml:space="preserve">Honours </t>
  </si>
  <si>
    <t>• Studying Business 
honours
• Academic merit</t>
  </si>
  <si>
    <t>• Studying Marketing
honours
• Academic merit</t>
  </si>
  <si>
    <t>• Studying Accounting
honours
• Academic merit</t>
  </si>
  <si>
    <t>UG/Honours</t>
  </si>
  <si>
    <t>• Female
• Bachelor of Buniess (Finance) or Honours
• Academic merit</t>
  </si>
  <si>
    <t>$66,000 (Total?)</t>
  </si>
  <si>
    <t>$5,000 (tuition fees)</t>
  </si>
  <si>
    <t>• Starting MBA
• Academic merit</t>
  </si>
  <si>
    <t>$2,000 (tuition fees)</t>
  </si>
  <si>
    <t>$2,000 - $8,000</t>
  </si>
  <si>
    <t xml:space="preserve">• Studying Manufacturing </t>
  </si>
  <si>
    <t>• Master of Pharmacy
• Academic merit</t>
  </si>
  <si>
    <t>• Selected science programs
• Academic merit</t>
  </si>
  <si>
    <t>25% tuition fee</t>
  </si>
  <si>
    <t xml:space="preserve">• Master of Orthoptics
• Demonstrate disadvantaged. Oulined on page. </t>
  </si>
  <si>
    <t>$10,000 </t>
  </si>
  <si>
    <t xml:space="preserve">• Masters of Clinical Exercise Physiology
• Financial or educational disadvantages </t>
  </si>
  <si>
    <t>• Health or Business programs
• UAC equity criteria
• Culturally and Linguistically Diverse (C&amp;LD) background</t>
  </si>
  <si>
    <t>$2,500 - $5,000</t>
  </si>
  <si>
    <t>• Journalism  programs
• Academic merit</t>
  </si>
  <si>
    <t>• Faculty  of Health or Business
• Academic merit</t>
  </si>
  <si>
    <t>PG/Research</t>
  </si>
  <si>
    <t>$6,250 - $12,500</t>
  </si>
  <si>
    <t>• Business or Social Enterprise Management
• Financial hardship
• Academic merit</t>
  </si>
  <si>
    <t>$6,000 </t>
  </si>
  <si>
    <t>• Business programs
• Academic merit</t>
  </si>
  <si>
    <t>$400 - $5,000</t>
  </si>
  <si>
    <t>UG/PG/Research</t>
  </si>
  <si>
    <t>• UAC equity criteria</t>
  </si>
  <si>
    <t>$31,000  to $41,500</t>
  </si>
  <si>
    <t>0.75-1</t>
  </si>
  <si>
    <t>$35,000 (Total?)</t>
  </si>
  <si>
    <t xml:space="preserve">• Female
• Selected programs </t>
  </si>
  <si>
    <t>Honours</t>
  </si>
  <si>
    <t>• Finance Honours Program
• Academic merit</t>
  </si>
  <si>
    <t>• Selected economics programs
• Academic merit</t>
  </si>
  <si>
    <t>• Selected Desgin in Fashion programs
• Academic merit
• UAC equity criteria</t>
  </si>
  <si>
    <t>• Female
• Faculty of Engineering and IT
• Academic merit</t>
  </si>
  <si>
    <t>• Master of Orthoptics
• Academic merit</t>
  </si>
  <si>
    <t>• Master of Animation and Visualisation
• UAC equity criteria</t>
  </si>
  <si>
    <t>20% tuition fee</t>
  </si>
  <si>
    <t>• Studying Juris Doctor
• Academic merit</t>
  </si>
  <si>
    <t>30% tuition fee</t>
  </si>
  <si>
    <t>• Selected programs from the Faculty of Science
• Academic merit</t>
  </si>
  <si>
    <t>Humanitarian</t>
  </si>
  <si>
    <t>• Carer responsibilities or English language difficulty
• Refugee status (preference)</t>
  </si>
  <si>
    <t>• Resident Networker program
• A current resident of UTS Housing</t>
  </si>
  <si>
    <t>$5,000 </t>
  </si>
  <si>
    <t>• College of Engineering, Science and Environment programs
• Relocating to Newcastle
• Academic merit</t>
  </si>
  <si>
    <t>• Graduate Certificate of Business Administration or the Masters of Business Administration
• Academic merit</t>
  </si>
  <si>
    <t>• Female
• Engineering programs
• Academic merit</t>
  </si>
  <si>
    <t>One off</t>
  </si>
  <si>
    <t>• Bachelor of Physiotherapy
• UAC equity criteria
• Academic merit</t>
  </si>
  <si>
    <t>• Bachelor of Podiatric Medicine
• UAC equity criteria
• Academic merit</t>
  </si>
  <si>
    <t>• Female
• B Music
• Academic merit</t>
  </si>
  <si>
    <t>• Specific sporting 
requirements
• Academic merit</t>
  </si>
  <si>
    <t>• Bachelor of Construction Management (Building)(Honours)
• B Music
• Academic merit</t>
  </si>
  <si>
    <t>• Selected programs from engineering, business and IT
• Financial Hardship
• Academic merit</t>
  </si>
  <si>
    <t>• Identify as LGBTQIA+
• UAC equity criteria</t>
  </si>
  <si>
    <t>• On-campus accommodation with Student Living
• UAC equity criteria</t>
  </si>
  <si>
    <t>• Bachelor of Medical Science/Doctor of Medicine
• Academic merit</t>
  </si>
  <si>
    <t>• Selected allied health and medicine programs
• UAC equity criteria</t>
  </si>
  <si>
    <t>• Selected engineering programs
• UAC equity criteria</t>
  </si>
  <si>
    <t>• School of Environmental and Life Sciences
• Academic merit</t>
  </si>
  <si>
    <t>• Allied health or Psychology programs
• UAC equity criteria
• Academic merit</t>
  </si>
  <si>
    <t>• Bachelor of Civil Engineering (Honours) or Bachelor of Construction Management (Building) (Honours)
• Academic merit</t>
  </si>
  <si>
    <t>• Financial hardship or rural</t>
  </si>
  <si>
    <t>• UAC equity criteria
• Financial hardship</t>
  </si>
  <si>
    <t>$5,000
(100 available)</t>
  </si>
  <si>
    <t>• UAC equity criteria
• Academic merit
• Bachelor of Laws (Honours)</t>
  </si>
  <si>
    <t>• UAC equity criteria
• Bachelor of Nursing</t>
  </si>
  <si>
    <t>$2,000
(5 available)</t>
  </si>
  <si>
    <t>• Specific sporting 
requirements</t>
  </si>
  <si>
    <t>$4,000
(25 available)</t>
  </si>
  <si>
    <t>• College of Engineering, Science and Environment
• Academic merit</t>
  </si>
  <si>
    <t>$4,000
(20 available)</t>
  </si>
  <si>
    <t>• Female
• Selected College of Engineering, Science and Environment programs
• UAC equity criteria</t>
  </si>
  <si>
    <t>$7,000
(3 available)</t>
  </si>
  <si>
    <t>• UAC equity criteria
• Bachelor of Engineering</t>
  </si>
  <si>
    <t>• Bachelor of Engineering (Honours) 
• Academic merit</t>
  </si>
  <si>
    <t>• Bachelor of Science (Honours) 
• Academic merit
• Current Student</t>
  </si>
  <si>
    <t>• Female
• Selected Engineering and CDMS programs
• Academic merit</t>
  </si>
  <si>
    <t>• Bachelor of Construction Management (Building)(Honours)
• Academic merit
• Current Student</t>
  </si>
  <si>
    <t>• Selected CDMS programs
• Academic merit
• Current Student</t>
  </si>
  <si>
    <t>• STEM programs
• Academic merit
• Current Student</t>
  </si>
  <si>
    <t>• Female
• Selected STEM programs</t>
  </si>
  <si>
    <t xml:space="preserve">• UAC equity criteria
• Bachelor of Speech Pathology (Honours) </t>
  </si>
  <si>
    <t>• Female
• Selected Engineering programs
• Academic merit
• Current Student</t>
  </si>
  <si>
    <t>• Ongoing disability
• Academic merit</t>
  </si>
  <si>
    <t>$3000</t>
  </si>
  <si>
    <t>$80 per day of placement to a maximum of $2,400 per session.</t>
  </si>
  <si>
    <t>Determined through the assessment process</t>
  </si>
  <si>
    <t>$1,000.00</t>
  </si>
  <si>
    <t>Undefined</t>
  </si>
  <si>
    <t>$500</t>
  </si>
  <si>
    <t>Equity and Inclusion Grant</t>
  </si>
  <si>
    <t>$7500</t>
  </si>
  <si>
    <t>1 years</t>
  </si>
  <si>
    <t>$10,000</t>
  </si>
  <si>
    <t>$5000</t>
  </si>
  <si>
    <t>$8,000</t>
  </si>
  <si>
    <t>2 years</t>
  </si>
  <si>
    <t>$1,000</t>
  </si>
  <si>
    <t>• Financial hardship
• Rural or Regional</t>
  </si>
  <si>
    <t>$5,000</t>
  </si>
  <si>
    <t>up to $1500</t>
  </si>
  <si>
    <t>$3,000</t>
  </si>
  <si>
    <t>$4000</t>
  </si>
  <si>
    <t>$7,500</t>
  </si>
  <si>
    <t>$4500</t>
  </si>
  <si>
    <t>$2000</t>
  </si>
  <si>
    <t>$10000</t>
  </si>
  <si>
    <t>$1500</t>
  </si>
  <si>
    <t>• Academic merit
• 2nd year</t>
  </si>
  <si>
    <t>37 Week - $7,500  / 52 Week - $10,500</t>
  </si>
  <si>
    <t>3000</t>
  </si>
  <si>
    <t>$2,200</t>
  </si>
  <si>
    <t>• Provide statement
• Academic merit
• Financial hardship</t>
  </si>
  <si>
    <t>$7,560</t>
  </si>
  <si>
    <t>$1,500</t>
  </si>
  <si>
    <t>$1000</t>
  </si>
  <si>
    <t>$1100</t>
  </si>
  <si>
    <t>• Provide statement
• any course
• Financial hardship
• Academic merit</t>
  </si>
  <si>
    <t>$2,000</t>
  </si>
  <si>
    <t>$2500</t>
  </si>
  <si>
    <t>$18000 MAX</t>
  </si>
  <si>
    <t>$4,000</t>
  </si>
  <si>
    <t>$3500</t>
  </si>
  <si>
    <t>$20000 MAX</t>
  </si>
  <si>
    <t>$7,000 paid directly off tuition</t>
  </si>
  <si>
    <t>$6,000</t>
  </si>
  <si>
    <t>Other</t>
  </si>
  <si>
    <t>$9000 MAX</t>
  </si>
  <si>
    <t>$15,000 MAX</t>
  </si>
  <si>
    <t>$9000</t>
  </si>
  <si>
    <t>$3300</t>
  </si>
  <si>
    <t>$5,000.00</t>
  </si>
  <si>
    <t>$2,500</t>
  </si>
  <si>
    <t>$20,000</t>
  </si>
  <si>
    <t>5 years</t>
  </si>
  <si>
    <t>$5.000</t>
  </si>
  <si>
    <t>$3,500</t>
  </si>
  <si>
    <t>$1200</t>
  </si>
  <si>
    <t>$6000</t>
  </si>
  <si>
    <t>$15,000</t>
  </si>
  <si>
    <t>$15000</t>
  </si>
  <si>
    <t>$7000</t>
  </si>
  <si>
    <t>$12000</t>
  </si>
  <si>
    <t>$18,000 max</t>
  </si>
  <si>
    <t>$25,000</t>
  </si>
  <si>
    <t>$7,000</t>
  </si>
  <si>
    <t>$8,900</t>
  </si>
  <si>
    <t>$40000 MAX</t>
  </si>
  <si>
    <t>$20000</t>
  </si>
  <si>
    <t>• 1st year
• Rural or Regional
• doctor of medicine</t>
  </si>
  <si>
    <t>$80,000 MAX</t>
  </si>
  <si>
    <t>Academic</t>
  </si>
  <si>
    <t>$30,000</t>
  </si>
  <si>
    <t>4 years</t>
  </si>
  <si>
    <t>$5,000
12 available</t>
  </si>
  <si>
    <t>$5,000
44 available</t>
  </si>
  <si>
    <t>$5,000
20 available</t>
  </si>
  <si>
    <t>$5,000
29 available</t>
  </si>
  <si>
    <t>Community</t>
  </si>
  <si>
    <t>$2,500
1 available</t>
  </si>
  <si>
    <t>3 years</t>
  </si>
  <si>
    <t>$3,000
10 available</t>
  </si>
  <si>
    <t>$3,000
5 available</t>
  </si>
  <si>
    <t>$5,000
3 available</t>
  </si>
  <si>
    <t>$2,000
1 available</t>
  </si>
  <si>
    <t>• Equity criteria
• applicants must be enrolling in their 1st year of an undergraduate degree at the university of wollonong in 2024;</t>
  </si>
  <si>
    <t>$15,000
1 available</t>
  </si>
  <si>
    <t>• Rural or Regional
• Academic merit
• Equity criteria</t>
  </si>
  <si>
    <t>$7,000
1 available</t>
  </si>
  <si>
    <t>$5,000
1 available</t>
  </si>
  <si>
    <t>$3,000
1 available</t>
  </si>
  <si>
    <t>$5000
2 available</t>
  </si>
  <si>
    <t>Communtiy</t>
  </si>
  <si>
    <t>$3,000
6 available</t>
  </si>
  <si>
    <t>$3000
1 available</t>
  </si>
  <si>
    <t>$7,000
5 available</t>
  </si>
  <si>
    <t>$35,000
2 available</t>
  </si>
  <si>
    <t>$3,000
40 available</t>
  </si>
  <si>
    <t>$32,000
30 available</t>
  </si>
  <si>
    <t>$25,000
1 available</t>
  </si>
  <si>
    <t>$8,000
3 available</t>
  </si>
  <si>
    <t>Corporate</t>
  </si>
  <si>
    <t>$12,000
1 available</t>
  </si>
  <si>
    <t>$10,000
1 available</t>
  </si>
  <si>
    <t>Up
Varies available</t>
  </si>
  <si>
    <t>$1,000
Up available</t>
  </si>
  <si>
    <t>$1,600
2 available</t>
  </si>
  <si>
    <t>$2,000
2 available</t>
  </si>
  <si>
    <t>$5,250
1 available</t>
  </si>
  <si>
    <t>$5,000
2 available</t>
  </si>
  <si>
    <t>$1,500
1 available</t>
  </si>
  <si>
    <t>$1,500
3 available</t>
  </si>
  <si>
    <t>$5,000
Variable available</t>
  </si>
  <si>
    <t>Total
1 available</t>
  </si>
  <si>
    <t>$1,000
1 available</t>
  </si>
  <si>
    <t>$1,000
2 available</t>
  </si>
  <si>
    <t>$5,000
5 available</t>
  </si>
  <si>
    <t>$16,500
1 available</t>
  </si>
  <si>
    <t>$5,500
1 available</t>
  </si>
  <si>
    <t>$1,000
5 available</t>
  </si>
  <si>
    <t>$500
1 available</t>
  </si>
  <si>
    <t>$3000
2 available</t>
  </si>
  <si>
    <t>$1000
1 available</t>
  </si>
  <si>
    <t>US$2,000
1 available</t>
  </si>
  <si>
    <t>$2,000
6 available</t>
  </si>
  <si>
    <t>• applicants must be enrolled in their first (1st) year of an eligible degree with in the faculty of arts, social sciences and humanities (excluding; bachelor of science – assh, bachelor of arts in western civilisation, bachelor of neuroscience and bachelor of sport)
• applicants must be able to demonstrate involvement in the shellharbour shire and/or gerringong communities as well as detailing how the scholarship will assist with their career ambitions via a written statement.</t>
  </si>
  <si>
    <t>$8,000
1 available</t>
  </si>
  <si>
    <t>$10,000
2 available</t>
  </si>
  <si>
    <t>Work</t>
  </si>
  <si>
    <t>$16,000
1 available</t>
  </si>
  <si>
    <t>$15,000
2 available</t>
  </si>
  <si>
    <t>Sporting</t>
  </si>
  <si>
    <t>$3,
1 available</t>
  </si>
  <si>
    <t>$12,500</t>
  </si>
  <si>
    <t>• Be commencing an eligible UNSW coursework degree program in Term 1 2025*; and,
• Be an asylum seeker or refugee currently holding** one of the following visas:
• Temporary Protection Visa (Subclass 785)
• Safe Haven Enterprise Visa (Subclass 790)
• Bridging Visa***
• Temporary Humanitarian Concern Visa (Subclass 786)
• Humanitarian Stay (Temporary) Visa (Subclass 449)
• Passport
• Immicard
• Titre de Voyage
• PLO56 (M56)
• Document For Travel To Australia (DFTTA)</t>
  </si>
  <si>
    <t>• Be commencing an eligible UNSW coursework degree program in Term, 1 2025*; and,
• Have received an offer of admission into an eligible program for Term 1, 2025 by Saturday, 30 November 2024; and,
• Be a refugee currently holding** one of the following visas:
• Global Special Humanitarian Visa (Subclass 202)
• Protection Visa (Subclass 866)
• Refugee Visa (Subclass 200, 201, 203 or 204)
• Passport
• Immicard
• Titre de Voyage
• PLO56 (M56)
• Document For Travel To Australia (DFTTA)</t>
  </si>
  <si>
    <t>$5,500</t>
  </si>
  <si>
    <t>[]</t>
  </si>
  <si>
    <t>$12,000</t>
  </si>
  <si>
    <t>• 2nd or 3rd Year in the School of Mechanical and Manufacturing Engineering in the following areas:
• Mechanical and Manufacturing EngineeringMechanical EngineeringRobotics and Mechatronics Engineering
• Mechanical EngineeringRobotics and Mechatronics Engineering
• Robotics and Mechatronics Engineering
• 2nd or 3rd Year in the School of Electrical Engineering and Telecommunications in the following areas:Electrical EngineeringTelecommunications
• Electrical EngineeringTelecommunications
• Telecommunications
• 2nd or 3rd in the Year School of Computer Science and Engineering in the following areas:Computer ScienceSoftware Engineering
• Computer ScienceSoftware Engineering
• Software Engineering
• 3rd Year in Industrial Design</t>
  </si>
  <si>
    <t>5 years (MAX)</t>
  </si>
  <si>
    <t xml:space="preserve">• Financial hardship
• Resident of selected areas
• Academic merit
</t>
  </si>
  <si>
    <t>• Financial hardship
• Written statement</t>
  </si>
  <si>
    <t>• Resident of selected areas</t>
  </si>
  <si>
    <t>• Written statement
• Rural or Regional
• Preference for 1st year</t>
  </si>
  <si>
    <t>• Applicant must demonstrate in their application a commitment to the support of aboriginal communities</t>
  </si>
  <si>
    <t>• Written statement
• preference for international students
• Financial hardship
• Academic merit</t>
  </si>
  <si>
    <t>• Written statement
• School of allied health, exercise and sports sciences
• Financial hardship</t>
  </si>
  <si>
    <t>• Written statement
• Rural or Regional
• Academic merit</t>
  </si>
  <si>
    <t>• Candidate must have served in a correctional facility
• selection criteria:
• Any year, any course, full-time
• Preference for first in family to study at university.</t>
  </si>
  <si>
    <t>• Selected Allied Health and Psychology programs
• Written statement
• Rural or Regional</t>
  </si>
  <si>
    <t>• Financial hardship
• Academic merit</t>
  </si>
  <si>
    <t>• Written statement</t>
  </si>
  <si>
    <t>• Disability
• Written statement</t>
  </si>
  <si>
    <t>• Written statement
• Rural or Regional
• Resident of selected areas</t>
  </si>
  <si>
    <t>• Academic merit
• Written statement - community work</t>
  </si>
  <si>
    <t xml:space="preserve">• Written statement
• Rural or Regional
• Resident of selected areas
• Selected Business, Science, Teaching and Computer Science programs. </t>
  </si>
  <si>
    <t>• Written statement 
• Academic merit</t>
  </si>
  <si>
    <t>• Financial hardship
• Disability</t>
  </si>
  <si>
    <t>• Written statement - community work
• Rural or Regional
• 2nd, 3rd, 4th year
• Financial hardship</t>
  </si>
  <si>
    <t>•Resident of selected areas
• Written statement 
• Rural or Regional</t>
  </si>
  <si>
    <t>• Written statement - community work
• Rural or Regional
• Financial hardship
• 1st year
• Academic merit</t>
  </si>
  <si>
    <t>• Written statement 
• Rural or Regional</t>
  </si>
  <si>
    <t xml:space="preserve">• Applicant must be a currently serving or retired member of the australian services, or the son, daughter, spouse or grandchild of a currently serving or retired member of the australian services.
• Students from lower to middle income families or students from a single parent family or who are a single parent.
• Rural or Regional - Preference
</t>
  </si>
  <si>
    <t>•Demonstrate leadership skills
• Demonstrate a strong commitment to rugby union
• Provide a statement - Related to rugby involvement
• Academic merit</t>
  </si>
  <si>
    <t>• Written statement &amp; video introduction
• Academic merit</t>
  </si>
  <si>
    <t>• Rural or Regional
• Recipiants to be invloved in sporting at CS</t>
  </si>
  <si>
    <t>• Undertaking a subject for which Professional Placement attendance is compulsory</t>
  </si>
  <si>
    <t>• Able to demonstrate you are in financial need, and your continued study might be placed in jeopardy without assistance.</t>
  </si>
  <si>
    <t>• Undertaking a subject for which WIL is compulsory</t>
  </si>
  <si>
    <t>• Bachelor of Nursing or OT - Selected subjects
• Travel distance over 80km for placement</t>
  </si>
  <si>
    <t>• Written statement
• Financial hardship</t>
  </si>
  <si>
    <t>• Written statement
• Academic merit</t>
  </si>
  <si>
    <t>• Selected Allied Health and Science program
• Phone interview
• Rural or Regional
• Financial hardship
• Written statement - community work</t>
  </si>
  <si>
    <t xml:space="preserve">•Written statement 
• Rural or Regional
• Resident of selected areas </t>
  </si>
  <si>
    <t>• Work placement commitments over the the next 12 months.
• Bachelor/Master of social work
• Rural or Regional
• Financial hardship
• Academic merit</t>
  </si>
  <si>
    <t>• Written statement 
• Bachelor of Medical Radiation Science
• 3rd year &amp; 4th year
• Rural or Regional</t>
  </si>
  <si>
    <t>• Applicant must be a veteran or a currently serving member of the australian defence forces or the son, daughter, spouse or grandchild of a veteran or a currently serving member of the australian defence forces (evidence required).</t>
  </si>
  <si>
    <t>• 1st year
• Academic merit</t>
  </si>
  <si>
    <t>• Disability
• UAC Equity Criteria</t>
  </si>
  <si>
    <t>• Rural or Regional
• School of business
• Academic merit</t>
  </si>
  <si>
    <t>• Written statement 
• Rural or Regional
• Financial hardship
• 1st year
• Academic merit</t>
  </si>
  <si>
    <t>• Financial hardship
• Academic merit
• 
Resident of selected areas</t>
  </si>
  <si>
    <t xml:space="preserve">• Graduate Certificate in intersectionality, diversity and inclusion
• Financial hardship
• Written statement </t>
  </si>
  <si>
    <t xml:space="preserve">•Bachelor of communications
• Written statement </t>
  </si>
  <si>
    <t xml:space="preserve">• Must be enrolled inmicro-credentials in 2024: Selected subjects
</t>
  </si>
  <si>
    <t>Micro-Cred</t>
  </si>
  <si>
    <t>• Active participant in university and community life
• Final year or honours
• School of Business
• Engaged in team sports.
• Academic merit</t>
  </si>
  <si>
    <t>• Education programs
• Written statement
• Rural or Regional
• Academic merit</t>
  </si>
  <si>
    <t>• Selected Allied Health Programs
• Rural or Regional
• Written statement 
• Academic merit</t>
  </si>
  <si>
    <t>• Written statement 
• Bachelor of science (honours)
• Academic merit</t>
  </si>
  <si>
    <t>• Written statement
• Rural or Regional
• bachelor of nursing
• Academic merit</t>
  </si>
  <si>
    <t>• 3rd year
• Bachelor of paramedicine
• Rural or Regional</t>
  </si>
  <si>
    <t>• Student to outline their interest in the cropping section and future aspirations for employment in this area
• Bachelor of agricultural science or Bachelor of agribusiness</t>
  </si>
  <si>
    <t>• Written statement 
• Bachelor of paramedicine
• Rural or Regional
• Academic merit</t>
  </si>
  <si>
    <t>• Resident of selected areas - Preference
• Bachelor of agricultural business management or Bachelor of agricultural science
• Academic merit</t>
  </si>
  <si>
    <t>• Bachelor of paramedicine degree</t>
  </si>
  <si>
    <t>• Financial hardship
• Bachelor of  agriculture
• Provide a statement</t>
  </si>
  <si>
    <t>• Bachelor of paramedicine
• Rural or Regional</t>
  </si>
  <si>
    <t>• Bachelor of education (k-12) or  Bachelor of education (early childhood &amp; primary)
• Some work experience working with young children
• Academic merit
• 3rd year
• Rural or Regional</t>
  </si>
  <si>
    <t>• Bachelor of paramedicine
• Rural or Regional
• 2nd year</t>
  </si>
  <si>
    <r>
      <t xml:space="preserve">• Bachelor of horticulture, viticulture, agriculture, agricultural business management </t>
    </r>
    <r>
      <rPr>
        <b/>
        <sz val="11"/>
        <color theme="1"/>
        <rFont val="Calibri"/>
        <family val="2"/>
        <scheme val="minor"/>
      </rPr>
      <t xml:space="preserve">or </t>
    </r>
    <r>
      <rPr>
        <sz val="11"/>
        <color theme="1"/>
        <rFont val="Calibri"/>
        <family val="2"/>
        <scheme val="minor"/>
      </rPr>
      <t xml:space="preserve">agricultural science
• Financial hardship
• 1st year
• Written statement </t>
    </r>
  </si>
  <si>
    <t>• Selected environmental science programs
• Written statement - community work
• Resident of selected areas
• Academic merit</t>
  </si>
  <si>
    <t>• Bachelor of dental science
• Provide a statement
• Financial hardship</t>
  </si>
  <si>
    <t>• Female
• Any health related undergraduate degree
• Rural or Regional</t>
  </si>
  <si>
    <r>
      <rPr>
        <b/>
        <sz val="11"/>
        <color theme="1"/>
        <rFont val="Calibri"/>
        <family val="2"/>
        <scheme val="minor"/>
      </rPr>
      <t>•</t>
    </r>
    <r>
      <rPr>
        <sz val="11"/>
        <color theme="1"/>
        <rFont val="Calibri"/>
        <family val="2"/>
        <scheme val="minor"/>
      </rPr>
      <t xml:space="preserve"> Bachelor of agricultural science or Bachelor of agricultural business management
• final year / honours
• Academic merit</t>
    </r>
  </si>
  <si>
    <t>• Any course within the faculty of science
• Rural or Regional
• 1st year
• Academic merit</t>
  </si>
  <si>
    <t>• Written statement 
• any year  (preference for 1st year)
• Academic merit</t>
  </si>
  <si>
    <t xml:space="preserve">• Selected Education programs
• 4th year
• Rural or Regional
</t>
  </si>
  <si>
    <t>• Bachelor of agricultural science
• Honours year</t>
  </si>
  <si>
    <t>• Selected UG/PG programs in environmental science
• Resident of selected areas
• Financial hardship
• Academic merit</t>
  </si>
  <si>
    <t>•Allied Health programs
• Rural or Regional
• Written statement - community work</t>
  </si>
  <si>
    <t>• Resident of selected areas
• 1st year
• Female
• Any course in the faculty of science and health</t>
  </si>
  <si>
    <t>• Selected veterinary and agricultural programs
• Under 25 years 
• Financial hardship</t>
  </si>
  <si>
    <t>• Written statement 
• Bachelor of animal science or Bachelor of veterinary biology / Bachelor of veterinary science
• Rural or Regional
• Financial hardship
• Academic merit</t>
  </si>
  <si>
    <t>• Rural or Regional
• Resident of selected areas
• Bachelor of agricultural science
• Academic merit</t>
  </si>
  <si>
    <t>• Selected medicine/allied health programs
• Written statement
• Rural or Regional
• 1st year
• Academic merit</t>
  </si>
  <si>
    <t xml:space="preserve">• Selected veterinary and agriculture programs - specific years
• Written statement </t>
  </si>
  <si>
    <t>• 3rd year / final year
• Rural or Regional
• Bachelor of nursing</t>
  </si>
  <si>
    <t xml:space="preserve">• Written statement 
• Selected Horticulture and Agriculture programs
</t>
  </si>
  <si>
    <t>• Doctor of medicine</t>
  </si>
  <si>
    <t>• Financial hardship
• Bachelor of veterinary biology / Bachelor of veterinary science
• Rural or Regional
• First preference will be given to students from south west victoria.</t>
  </si>
  <si>
    <t>• Reference letter from placement supervisor
• Speech Pathology &amp; Occupational Therapy programs
• Disability
• Academic merit</t>
  </si>
  <si>
    <t>•Bachelor of nursing</t>
  </si>
  <si>
    <t>• students to discuss their chemical interests in their application
• bachelor of science (analytical chemistry major)
• Academic merit
• Rural or Regional
• 1st year</t>
  </si>
  <si>
    <t>• Master of Architecture</t>
  </si>
  <si>
    <t>• Major in either Mathematics, Chemistry or Physics.</t>
  </si>
  <si>
    <t xml:space="preserve">• Honours program in the School of Mathematics &amp; Statistics </t>
  </si>
  <si>
    <t xml:space="preserve">• Nuclear Engineering specialisation in the Master of Engineering Science </t>
  </si>
  <si>
    <t>• Honours study in an undergraduate degree in Built Environment</t>
  </si>
  <si>
    <t>• Academic merit (ATAR)
• Rural or Regional</t>
  </si>
  <si>
    <t>• Bachelor of Mining Engineering (Honours)</t>
  </si>
  <si>
    <t>• Female</t>
  </si>
  <si>
    <t>• Be commencing in the Bachelor of Science/Bachelor of Science (Computer Science)</t>
  </si>
  <si>
    <t>• Be an immediate family member of a current UNSW staff member (include UNSW Staff ID)</t>
  </si>
  <si>
    <t>•Criminology and Criminal Justice Programs</t>
  </si>
  <si>
    <t>• Bachelor of Medical Studies/Doctor of Medicine (BMed/MD)
• Be enrolled through the Gateway Medicine Pathway
• Be from the South-West Sydney region
• Be Female</t>
  </si>
  <si>
    <t xml:space="preserve">• Bachelor of Commerce (Marketing) </t>
  </si>
  <si>
    <t xml:space="preserve">• Honours year in the School of Optometry and Vision Science
</t>
  </si>
  <si>
    <t>• Master of Business Administration Executive Program - Executive Year</t>
  </si>
  <si>
    <t xml:space="preserve">• Female
• Bachelor of Construction Management and Property (Honours) or Master of Construction Project Management or double Master of Construction Management and Master of Property and Development </t>
  </si>
  <si>
    <t>• Science and Health programs
• Female
• Resident of selected areas</t>
  </si>
  <si>
    <t>• Bachelor of Engineering (Civil) (Honours)</t>
  </si>
  <si>
    <t>• Health related programs
• Resident of selected areas
• Written statement</t>
  </si>
  <si>
    <t>• Health related programs
• Resident of selected areas
• Written statement
• Rural or Regional</t>
  </si>
  <si>
    <t>• Bachelor of Education (Early Childhood and Primary)
•  3rd year
• Academic merit
• Written statement - community work</t>
  </si>
  <si>
    <t>• Animal science and/or agricultural business programs
•  3rd year/honours
• Academic merit</t>
  </si>
  <si>
    <t>• Bachelor of Science (Honours) 
• Rural or Regional
• Academic merit</t>
  </si>
  <si>
    <t>$20,000 (MAX)</t>
  </si>
  <si>
    <t>Various Durations</t>
  </si>
  <si>
    <t>6 months</t>
  </si>
  <si>
    <t>• Academic merit
• Phase 4 of a doctor of medicine (md)</t>
  </si>
  <si>
    <t>$3,000-5,000</t>
  </si>
  <si>
    <t>• Rural or Regional
• Under 22
• Relocating for University
• Parents income less than $250,000</t>
  </si>
  <si>
    <t>$6,000 (Per semester)</t>
  </si>
  <si>
    <t>• Female
• Born after Jan 1st 1988
• UAC Equity Criteria</t>
  </si>
  <si>
    <t>•  Disability
• Financial hardship
• Written statement</t>
  </si>
  <si>
    <t>•  Written statement - community work and leadership
• Residents from selected areas
• Academic merit</t>
  </si>
  <si>
    <t>•  High School Leavers - early admission
• Academic merit
• Written statement</t>
  </si>
  <si>
    <t>• Residents from selected areas
• Academic merit</t>
  </si>
  <si>
    <t>•  Equity Criteria</t>
  </si>
  <si>
    <t>•  Selected UG programs and Master of Teaching</t>
  </si>
  <si>
    <t>•  Community contribution</t>
  </si>
  <si>
    <t>• Resident of selected areas
• Honours
• Written statement 
• Academic merit</t>
  </si>
  <si>
    <t>• Current or former member of the ADF
• Must not be receiving any funding from the department of defence
• Resident of selected areas</t>
  </si>
  <si>
    <t>• Any course
• Any year</t>
  </si>
  <si>
    <t>• Provide a statement
• Rural or Regional
• Disability
•  Allied health related courses.</t>
  </si>
  <si>
    <t>• Written Statement
• Rural or Regional
• Any year
• Academic merit</t>
  </si>
  <si>
    <t>• Academic merit 
• Disability
• Written statement - community work</t>
  </si>
  <si>
    <t>• Rural or Regional
• Any year
• Financial hardship
• Academic merit</t>
  </si>
  <si>
    <t>• Written statement: evidence of sporting ability</t>
  </si>
  <si>
    <t>• Outline the main costs associated with their work placement (accommodation / uniform / travel / food etc)
• Written statement - community work
• Any course</t>
  </si>
  <si>
    <t>• Bachelor of social work or Human Services
• Provide statement
• Financial hardship
• Academic merit</t>
  </si>
  <si>
    <t>• Provide statement
• Rural or Regional
• Any year
• Financial hardship
• Academic merit</t>
  </si>
  <si>
    <t>• Bachelor of education (k-12) or (birth to five years), Bachelor of Psychology, Bachelor of Paramedicine,  and Bachelor of Nursing
• Preference to students who are first in family to attend university.
• Any year
• Financial hardship
• Academic merit</t>
  </si>
  <si>
    <t>• Provide statement
• Rural or Regional
• Any year
• Academic merit</t>
  </si>
  <si>
    <t>• Financial hardship
• Academic merit
• Any year</t>
  </si>
  <si>
    <t>• Selected ICT programs
• Preference for male students and mature age</t>
  </si>
  <si>
    <t>• Provide statement
• Any course
• Rural or Regional
• 1st year
• Academic merit</t>
  </si>
  <si>
    <t>• Financial hardship
• Provide statement
• Any year</t>
  </si>
  <si>
    <t>• Active in church
• any course
• Financial hardship</t>
  </si>
  <si>
    <t>• Outline the main costs associated with their work placement (accommodation / uniform / travel / food etc)
• Any course</t>
  </si>
  <si>
    <t>• Written statement - community work
• Resident of selected areas
• Any year
• Financial hardship</t>
  </si>
  <si>
    <t>• 1st year
• Resident of selected areas
• Any course</t>
  </si>
  <si>
    <t>• Financial hardship
• Final year 
• Academic merit
• Made a significant contribution to the corporate life of the university and/or to the community in general. attach evidence through a letter of reference or certificate.</t>
  </si>
  <si>
    <t>• Provide statement
• 1st year
• Rural or Regional</t>
  </si>
  <si>
    <t>• Provide statement
• Rural or Regional
• Academic merit</t>
  </si>
  <si>
    <t>• Financial hardship
• 1st year
• UAC Equity Criteria</t>
  </si>
  <si>
    <t>• Selected Business programs
• Provide statement
• Rural or Regional
• any year
• Academic merit</t>
  </si>
  <si>
    <t>• Written statement - community work
• Academic merit
• Bachelor of Accounting</t>
  </si>
  <si>
    <t>• School of Education and HCA programs
• Written statement - community work</t>
  </si>
  <si>
    <t>• Bachelor of Education programs
• Any year
• Provide statement
• Academic merit</t>
  </si>
  <si>
    <t>• Resident of selected areas
• any year
• Financial hardship</t>
  </si>
  <si>
    <t xml:space="preserve">• Bachelor of Information Technology
• Rural or Regional
</t>
  </si>
  <si>
    <t>• Bachelor of dental science or Doctor of Medicine
• Any year
• Rural or Regional
• Academic merit</t>
  </si>
  <si>
    <t>• Bachelors in: Pharmacy, Dental Science, Pysiotherapy, Nursing or Education. 
• Resident of selected areas
• Financial hardship
• Academic merit</t>
  </si>
  <si>
    <t>• Written statement - community work
• Financial hardship
• Academic merit</t>
  </si>
  <si>
    <t xml:space="preserve">• Bachelor of  Communication (with specialisations)
• Rural or Regional
• any year
</t>
  </si>
  <si>
    <t>• School of Business programs
• Rural or Regional
• Academic merit</t>
  </si>
  <si>
    <t>•Bachelors in: Pharmacy, Dental Science, Pysiotherapy, Nursing or Education. 
• Resident of selected areas
• Financial hardship
• Academic merit</t>
  </si>
  <si>
    <t>• Bachelor of Information Studies
• Any year</t>
  </si>
  <si>
    <t>• Graduate Certificate of Applied Business
• Resident of selected areas</t>
  </si>
  <si>
    <t>• Selected Horticulture or Agricultural programs
• Provide statement
• Rural or Regional
• Academic merit</t>
  </si>
  <si>
    <t>• Provide statement
• Master of Speech Pathology or Bachelor of OT
• Resident of selected areas - Preference
• The ability and desire to work at therapy alliance group in toowoomba.</t>
  </si>
  <si>
    <t>• 1st year
• Academic merit
• Provide statement
• Any course</t>
  </si>
  <si>
    <t>• Provide statement
• Preference for Master of Speech Pathology, Graduate Diploma of Speech and Language or Bachelor of Health and Medicine.
• Academic merit</t>
  </si>
  <si>
    <t>• School of Education programs
• Rural or Regional
• Any year
• Financial hardship
• Academic merit</t>
  </si>
  <si>
    <t>• Environmental Science &amp; Management, IT and Engineering programs
• Rural or Regional
• 1st year</t>
  </si>
  <si>
    <t>• preference may be given to students who have some experience working with young children.
• non-traditional students are encouraged to apply for this scholarship i.e. a tafe qualification, someone from a remote area or beginning a new career later in life.
• School of Education programs</t>
  </si>
  <si>
    <t>• School of Education programs
• Provide statement
• Rural or Regional
• any year
• Academic merit</t>
  </si>
  <si>
    <t>• Provide statement
• Bachelor of Paramedicine
• Resident of selected areas
• Rural or Regional
• Academic merit</t>
  </si>
  <si>
    <t>• Selected Psychology and Social Science programs (including Honours)
• Resident of selected areas
• Academic merit</t>
  </si>
  <si>
    <t>• Programs in Veterinary Biology, Veterinary Science, Animal Science and Equine Science
• Academic merit
• Provide statement - evidence of passion towards thoroughbred racing industry.</t>
  </si>
  <si>
    <t>• Written statement - community work
• 3rd year
• Bachelor of Communication (News and Media)
• Academic merit</t>
  </si>
  <si>
    <t>• Resident of selected areas - preference
• Provide statement
• Rural or Regional
• Any year
• Academic merit</t>
  </si>
  <si>
    <t>• Selected HCA programs
• Able to demonstrate a love for 'creating' theatre and a passion for education in the dramatic arts which represents the legacy of professor john carroll.
• Academic merit</t>
  </si>
  <si>
    <t>• Selected programs in Medical Radiation Science  (with specialisations), Veterinary Bbiology, Veterinary Science and Nursing
• Resident of selected areas
• Any year
• Academic merit</t>
  </si>
  <si>
    <t>• Selected Agricultural Science programs
• Academic merit</t>
  </si>
  <si>
    <t>• Bachelor of Dental Science
• 1st year
• Rural or Regional</t>
  </si>
  <si>
    <t>• Demonstrate an interest in the “future of the livestock industry” as it relates to their area of study in either agricultural business management / animal genetics or animal nutrition.
• Financial hardship
• Selected Science programs
• 3rd / 4th (honours)</t>
  </si>
  <si>
    <t>• Provide statement
• Rural or Regional
• Academic merit
• Graduate Certificate in Ornithology
• 1st year</t>
  </si>
  <si>
    <t>• Selected Agricultural programs
• Rural or Regional
• 1st year
• Academic merit</t>
  </si>
  <si>
    <t>• Provide statement
• 3rd year
• Bachelor of Nursing
• Academic merit</t>
  </si>
  <si>
    <t>• 1st year
• Provide statement
• Bachelor of Pharmacy</t>
  </si>
  <si>
    <t>• Preference for mature age students
• Bachelor of Paramedicine
• Financial hardship</t>
  </si>
  <si>
    <t>• Resident of selected areas
• Rural or Regional
• Academic merit</t>
  </si>
  <si>
    <t>• Financial hardship
• Resident of selected areas
• Bachelor of Nursing</t>
  </si>
  <si>
    <t>• Provide statement
• Rural or Regional
• Selected agricultural programs
• Financial hardship
• Academic merit</t>
  </si>
  <si>
    <t>• Resident of selected areas
• Academic merit</t>
  </si>
  <si>
    <t>• Financial hardship
• 1st year
• Selected agricultural programs</t>
  </si>
  <si>
    <t>• Provide statement
• Rural or Regional
• Selected agricultural programs
• 1st year
• Academic merit</t>
  </si>
  <si>
    <t>• Applicant to have a desire to work in a country area.
• Rural or Regional
• Bachelor of Nursing
• Financial hardship
• 2nd year</t>
  </si>
  <si>
    <t>• Written statement - community work
• Academic merit
• Interest in pursuing a career relevant to the australian sheep and/or wool industry.</t>
  </si>
  <si>
    <t>• Provide statement
• Academic merit
• Bachelor of Nursing</t>
  </si>
  <si>
    <t>• Written statement - community work
• 3rd year
• Academic merit
• Bachelor of Veterinary Biology/Bachelor of Veterinary Science</t>
  </si>
  <si>
    <t>• Bachelor of Veterinary Biology/Bachelor of Veterinary Science
• 4th / 5th / 6th year
• Rural or Regional
• UAC Equity Criteria</t>
  </si>
  <si>
    <t>• Bachelor of Veterinary Science and/or (Honours)
• Final year
• Financial hardship
• Academic merit</t>
  </si>
  <si>
    <t>• Selected Business programs
• Academic merit
• HSL or gap year</t>
  </si>
  <si>
    <t>• Female
• Resident of selected areas
• Provide statement
• 1st year
• Rural or Regional</t>
  </si>
  <si>
    <t>• Rural or Regional
• Resume
•  Written statement - community work and leadership</t>
  </si>
  <si>
    <t>• Rural or Regional
• Provide statement</t>
  </si>
  <si>
    <t xml:space="preserve">• Equity criteria
• Written statement - community work
• Rural or Regional
• Resident of selected areas
• 1st, 2nd or 3rd year </t>
  </si>
  <si>
    <t>• Bachelor of Nursing 
• Successful recipients will be expected to attend at least one event with the donor.
• Equity criteria
• Resident of selected areas</t>
  </si>
  <si>
    <t>• Resident of selected areas - preference
• Bachelor of Social Work
• 1st year
• Written statement - community work
• Mature age students - preference</t>
  </si>
  <si>
    <t>• Provide statement
• Shoalhaven campus</t>
  </si>
  <si>
    <t>• Resident of selected areas
• Must have had a parent or grandparent serve within a operational or peacekeeping role within the australian defence force, or they themselves have similarly served. Operational service with the army reserve qualifies.</t>
  </si>
  <si>
    <t>• Resident of selected areas
• Master of Teaching 
• Written statement - community work</t>
  </si>
  <si>
    <t>• Maintain regional residency</t>
  </si>
  <si>
    <t>• Resident of selected areas
• Written statement - community work</t>
  </si>
  <si>
    <t>• Rural or Regional
• Students from an agricultural background are strongly encouraged to apply.</t>
  </si>
  <si>
    <t>• Disability
• Preference will be giving to medicine (md) or engineering (eis) students
• Community involvement will be strongly considered when awarding this scholarship
• UG preference
• Provide statement</t>
  </si>
  <si>
    <t>• Rural or Regional
• HSC completed in selected regions.
• Faculty of science, medicine &amp; health or a bachelor of public health (arts, social sciences and humanities).</t>
  </si>
  <si>
    <t>• Written &amp; video statement
• 26 or younger
• Disbility</t>
  </si>
  <si>
    <t>• Financial hardship
• Written statement
• Some housing conditions/documentation required</t>
  </si>
  <si>
    <t>• Female Preference
• Written statement - community work
• Selected CDMS programs
• Rural or Regional
• 1st year</t>
  </si>
  <si>
    <t>• Resident of selected areas - preference
• Bachelor of Engineering.
• 1st year</t>
  </si>
  <si>
    <t>• HSL or gap year
• On-campus interview
• Written essay fpr Bachelor of Arts in Western Civilisation course.</t>
  </si>
  <si>
    <t>• Rural or Regional
• Doctor of Medicine (md)</t>
  </si>
  <si>
    <t>• Provide statement
• Academic merit
• Referee reports
• Rural or Regional</t>
  </si>
  <si>
    <t>• Female or non-binary
• Bachelor of Mathematics</t>
  </si>
  <si>
    <t>• Written statement - community work
• Equity criteria
• HSC in selected regions</t>
  </si>
  <si>
    <t>• Equity criteria
• Phase 4 in the doctor of medicine (md) 
• Rural or Regional</t>
  </si>
  <si>
    <t>• Provide statement
• Phase 3 Doctor of Medicine (md)
• Academic merit
• Equity criteria</t>
  </si>
  <si>
    <t>• Rural or Regional
• Written statement - community work</t>
  </si>
  <si>
    <t>• Selected Science programs
• Equity criteria</t>
  </si>
  <si>
    <t>• Doctor of Medicine (md) 
• Written &amp; video statement
• Equity criteria</t>
  </si>
  <si>
    <t>• Provide statement
• Equity criteria
• Rural or Regional
• Bachelor of engineering (mechanical, mechatronic or electrical) 
• 1st year</t>
  </si>
  <si>
    <t>• Resident of selected areas
• Equity criteria
• Written statement - community work
• Provide statement</t>
  </si>
  <si>
    <t>• Equity criteria
• Currently reside in or have completed their HSC in the city of Shoalhaven LGA.
• Written statement - community work</t>
  </si>
  <si>
    <t>• Equity criteria
• urrently reside in or have completed their HSC in the city of Shoalhaven LGA.
• Written statement - community work</t>
  </si>
  <si>
    <t>• Written statement - community work
• School of Education programs
• Equity criteria
• Female
• 1st year</t>
  </si>
  <si>
    <t>• Mature age preference
• Bachelor of Nursing
• Equity criteria</t>
  </si>
  <si>
    <t>• Provide statement
• Equity criteria
• Bachelor of Nursing - Selected subjects</t>
  </si>
  <si>
    <t>• Female
• Equity criteria
• Selected programs in finance/business</t>
  </si>
  <si>
    <t>• Written statement - community work
• Equity criteria</t>
  </si>
  <si>
    <t>• Rural or Regional
• 2nd year or higher of a Bachelor of Laws</t>
  </si>
  <si>
    <t>• Equity criteria</t>
  </si>
  <si>
    <t>• Equity criteria
• Demonstrate their interest and commitment to working well with people with lived experience of mental illness
• Bachelor of Nursing
• 1st year</t>
  </si>
  <si>
    <t>• Intending to apply uow graduate school of medicine md program in the year following the completion of their undergraduate degree.
• applicants must be in their final or penultimate year of any undergraduate degree at the university of wollongong.
• Financial hardship
• Graduate medical school admission test (gamsat).</t>
  </si>
  <si>
    <t>• Rural or Regional
• Equity criteria
• Written statement - community work</t>
  </si>
  <si>
    <t>• Equity criteria
• Bachelor of Engineering</t>
  </si>
  <si>
    <t>• Selected Business and Laws programs
• Female
• Equity criteria</t>
  </si>
  <si>
    <t>• Equity criteria
• Bachelor of Laws
• Written statement - community work
• Resident of selected areas</t>
  </si>
  <si>
    <t>• Phase 2 of the doctor of medicine (md) 
• Equity criteria</t>
  </si>
  <si>
    <t>• Equity criteria
• Written statement - community work</t>
  </si>
  <si>
    <t>• Provide statement
• Equity criteria</t>
  </si>
  <si>
    <t>• Resident of selected areas - preference
• Bachelor of Social Work 
• 1st year
• Written statement - community work
• mature age students are encouraged to apply</t>
  </si>
  <si>
    <t>• Written statement - community work
• Attend an interview
• Penultimate year of a Bachelor of Laws (single or combined llb degree)</t>
  </si>
  <si>
    <t>• Bachelor of medicine - Bachelor of Surgery (mbbs) in autumn 2017 at uow.
• Academic merit
• Must not have received any negative comments regarding personal and profession development (ppd).
• Female</t>
  </si>
  <si>
    <t>• Written statement - community work
• HSC in selected regions</t>
  </si>
  <si>
    <t>• Bega campus</t>
  </si>
  <si>
    <t>• Written statement - community work
• Bachelor of Commerce or Bachelor or Business</t>
  </si>
  <si>
    <t>• Enrolled in UG and plan to progress to honours (or equivalent)
• Written statement - community work</t>
  </si>
  <si>
    <t>• International Relations programs
• Written statement - community work
• 2nd year or PG
• Rural or Regional</t>
  </si>
  <si>
    <t>• Chemistry programs or programs with a major in Chemistry
• Provide statement
• Academic Merit</t>
  </si>
  <si>
    <t>• Written statement - community work
• Honours
• Selected Education programs</t>
  </si>
  <si>
    <t>• Practicum report
• Written statement - community work</t>
  </si>
  <si>
    <t xml:space="preserve">• Encourages applications from students that have a research focus in area such as: pathogenesis, diagnosis, treatment or prevention of meningococcal disease.
• Academic merit
• Bachelor of Medicine/Bachelor of Surgery (mbbs) or a Doctor of Medicine (md) </t>
  </si>
  <si>
    <t>• Written statement - community work
• Bachelor of Nursing</t>
  </si>
  <si>
    <t>• Written statement - community work</t>
  </si>
  <si>
    <t>• Written statement - community work
• Bachelor of Nursing
• Statement on how scholarship will assist</t>
  </si>
  <si>
    <t>• Resident of selected areas
• 1st or 2nd years</t>
  </si>
  <si>
    <t xml:space="preserve">• Provide statement
• Completed at least two professional experiences as part of their degree
• Demonstrate participation in activities that required leadership skills and commitment to quality teaching and provide professional experience reports from the past two years, if available
• Penultimate year of a Bachelor of Education (Primary) </t>
  </si>
  <si>
    <t>• Resident of selected areas
• Master of Teaching 
• Written statement - community work
• 1st year</t>
  </si>
  <si>
    <t xml:space="preserve">• Written statement - community work
• Master of Teaching </t>
  </si>
  <si>
    <t>Community/External</t>
  </si>
  <si>
    <t>• Intention of pursuing a career in a maritime or related field
• Academic Merit
• Masters of Maritime Policy</t>
  </si>
  <si>
    <t>• Graduate Certificate in Maritime Studies 
• Academic Merit</t>
  </si>
  <si>
    <t>• Phase 2 or phase 3 of the Doctor of Medicine 
• Provide statement
• Must have received and maintain a minimum satisfactory grade.</t>
  </si>
  <si>
    <t>• Disability
• Preference will be giving to Medicine (md) or Engineering (eis)
• Community involvement as presented in the application will be strongly considered when awarding this scholarship
• Preference will be given to undergraduate students, however masters and phd students are also welcome to apply
• Provide statement</t>
  </si>
  <si>
    <t>• Female
• Resident of selected areas
• Provide statement</t>
  </si>
  <si>
    <t>• Bachelor of Computer Science 
• Female</t>
  </si>
  <si>
    <t>• Doctor of Medicine (md)
• Provide statement
• Open to both domestic and international students.</t>
  </si>
  <si>
    <t>• Demonstrated interest in / commitment to legal practice
• Bachelor of Laws - 3rd or 4th year
• Academic Merit</t>
  </si>
  <si>
    <t>• Demonstrate an active involvement in a range of sports, social, community and/or charity activities
•  Provide a referenced letter/statement from their gp supervisor in phase 3
• Enrolled in selected subjects
• Available to both domestic and international students enrolled in graduate medicine.</t>
  </si>
  <si>
    <t>• Written and Video statement
• 26 or younger 
• Disability</t>
  </si>
  <si>
    <t>• Provide statement
• Bachelor of Engineering (mechanical, mechatronic or electrical) 
• 1st year</t>
  </si>
  <si>
    <t>• Must be a registered nurse intending to work/are working in nursing part-time during their studies;
• Selected Masters programs in Nursing, Science and Healthcare</t>
  </si>
  <si>
    <t>• Written statement - community work
•Bachelor of Nursing</t>
  </si>
  <si>
    <t>• Academic Merit
• Must be based in the Shoalhaven / Milton Ulladulla hubs;
• Phase 3 - Doctor of Medicine (md) 
• Rural or Regional</t>
  </si>
  <si>
    <t>• Faculty of Science, Medicine &amp; Health
• Academic Merit
• Applicant's supervisory team must consist of at least one molecular horizons primary member
• Provide statement</t>
  </si>
  <si>
    <t>• Demonstrate commitment to community and student life at uow
• Available to both domestic and international students
• 2nd year or above of a Bachelor of Engineering (Civil)</t>
  </si>
  <si>
    <t>• Phase 4 of Doctor of Dedicine (md)
• Academic merit
• Rural or Regional</t>
  </si>
  <si>
    <t>• Resident of selected areas - preference
• Doctor of Medicine 
• Must be planning to undertake their phase 3 placement or phase 4 selective and elective rotations in the clarence valley.
• Rural or Regional</t>
  </si>
  <si>
    <t>• Be a carer of someone living with a hearing and/or speech impairment, and be registered as a carer with uow disability services; or iii) be able to demonstrate a commitment to studying and/or working in an area relating to hearing and/or speech impairments
• OR: Be living with a hearing and/or speech impairment, and be registered with uow disability services. this may include hearing and/or speech impairments caused by a range of medical conditions, including but not limited to: ms (multiple sclerosis), brain tumour/cancer, acquired brain injury, cancer, cerebral palsy, dystonia, stroke/cva, muscular dystrophy, parkinson's disease, tourette's syndrome
• Written statement - community work</t>
  </si>
  <si>
    <t>• Resident of selected areas - preference
• Bachelor of Engineering</t>
  </si>
  <si>
    <t>• Bachelor of Engineering (Mining).
• Vacation work may be offered to the successful scholarship recipient.
• 1st or 2nd year</t>
  </si>
  <si>
    <t>• Students with an existing employment relationship with south 32 are not eligible for this scholarship
• 3rd year of a Bachelor of Engineering majoring in Mining, Electrical or Mechanical</t>
  </si>
  <si>
    <t>• 2nd or 3rd year of a Bachelor of Engineering (Mining) 
• Female</t>
  </si>
  <si>
    <t>• Final year of Business or Law program</t>
  </si>
  <si>
    <t>• Mature age - preference
• 2nd or 3rd year Bachelor of Nursing</t>
  </si>
  <si>
    <t>• 3rd or 4th year of eith Bachelor of Computer Science or Bachelor of Engineering
• Academic Merit
• Offered paid work placement 
• Female</t>
  </si>
  <si>
    <t>• 2nd year
• Selected CDMS pograms</t>
  </si>
  <si>
    <t>• Provide statement
• Penultimate year Bachelor of Laws</t>
  </si>
  <si>
    <t>• 3rd year of selected CDMS and Engineering programs
• Written statement</t>
  </si>
  <si>
    <t>• Preference for ACT students
• Complete their work experience in canberra.
• 2nd year of a Bachelor of Engineering (Civil)</t>
  </si>
  <si>
    <t>• Resident of selected areas
• 2nd year selected Engineering programs</t>
  </si>
  <si>
    <t>• 2nd year Bachelor of Business (Supply Chain Management)</t>
  </si>
  <si>
    <t>• Demonstrate an interest in criminal law and advocacy via a written statement.
• Bachelor of Laws</t>
  </si>
  <si>
    <t>• 3rd or 4th year Bachelor of Engineering (Electrical) or (Telecommunications) 
• Provide statement</t>
  </si>
  <si>
    <t>•Penultimate or final year of Bachelor of Engineering (Mechanical, Civil or Architectural) 
• Rural or Regional</t>
  </si>
  <si>
    <t>• Provide statement
• Selected subjects
• 2nd year of a Bachelor of Business (Accounting) or Bachelor of Commerce (Accounting)</t>
  </si>
  <si>
    <t xml:space="preserve">• 3rd year or higher of a Bachelor of Engineering (Mechanical) (Mechatronic) or (Electrical) </t>
  </si>
  <si>
    <t>• Provide statement
• Must have a range of interests and hobbies relevant and supportive of the southern districts rugby club scholarship
• Must be a registered playing member of the southern district rugby club (sdrc) for the duration of the scholarship,
• Academic Merit</t>
  </si>
  <si>
    <t>• Demonstrate involvement in rugby league via submission of a written statement
• Must have competed in either the Illawarra or South Coast junior rugby league (Helensburgh - Milton/Ulladulla) competitions during their hsc year</t>
  </si>
  <si>
    <t>• Must currently be part of or join the minerva network - including matching with a mentor - on awarding of the scholarship and must maintain the connection for the duration of the scholarship.
• Female</t>
  </si>
  <si>
    <t>• Selected Honours programs
• Academic Merit
• Thesis in the area of Operating Systems</t>
  </si>
  <si>
    <t xml:space="preserve">• 3rd year Bachelor of Engineering (Honours) (Mining) </t>
  </si>
  <si>
    <t>• Must be working in the Not-for-Profit sector
• Master of Business Administration or MBA (Executive)</t>
  </si>
  <si>
    <t>• Master of Law Degree 
• Have completed a Bachelor of Laws or a Juris Doctor degree.</t>
  </si>
  <si>
    <t xml:space="preserve">• Juris Doctor </t>
  </si>
  <si>
    <t>• Master of City Planning</t>
  </si>
  <si>
    <t xml:space="preserve">• Master of Architecture </t>
  </si>
  <si>
    <t>• Sporting performance in their nominated sport and/or their potential to become an outstanding sports person based on their performances and ability as at the time of application
• Be deemed an elite athlete representing at a minimum of state level (or similar).</t>
  </si>
  <si>
    <t>• Be a former or transitioning Australian Defence Force Personnel, or their dependent</t>
  </si>
  <si>
    <t>• Female
• Have submitted an Educational Access Scheme or Equity Scholarships application via UAC
• Selected Engineering and Food Science programs</t>
  </si>
  <si>
    <t>• Academic Merit (ATAR)</t>
  </si>
  <si>
    <t>• Bachelor of Cyber Security 
• Indigenous Australian (Aboriginal and/or Torres Strait Islander only) or,
• Be a woman, non-binary or gender-diverse student or,
• Be a former or transitioning Australian Defence Force Personnel</t>
  </si>
  <si>
    <t>• Rural or Regional
• 1st year Bachelor of Medical Studies-Doctor of Medicine
• Be residing at Forster House</t>
  </si>
  <si>
    <t>• Rural or Regional</t>
  </si>
  <si>
    <t>•  Dual Law programs</t>
  </si>
  <si>
    <t xml:space="preserve">• Female
• Bachelor of Construction Management and Property single degree </t>
  </si>
  <si>
    <t>• MBA (Executive) or AGSM MBAX
• Be employed in the not-for-profit sector</t>
  </si>
  <si>
    <t>• Sydney AFLW or Sydney Swans Academy Athlete
• No Residency</t>
  </si>
  <si>
    <t>• Selected Business and Commerce programs</t>
  </si>
  <si>
    <t>• Studying on an ageing related topic under the supervision of aCEPAR Chief Investigator,Associate Investigatoror Research Fellow
• Economics Actuarial StudiesPsychology
• Actuarial Studies Psychology
• Psychology</t>
  </si>
  <si>
    <t>• UG Engineering programs
• Selected PG programs in Business and Engineering</t>
  </si>
  <si>
    <t>• 1st year</t>
  </si>
  <si>
    <t>• 1st year
• Selected Law double degrees</t>
  </si>
  <si>
    <t>$5,000-$7,000</t>
  </si>
  <si>
    <t xml:space="preserve">• Academic Merit
• Written statement </t>
  </si>
  <si>
    <t>$5,000
9 different
scholarships</t>
  </si>
  <si>
    <t>• Academic merit (for all)
• Individial scholarships have their own criteria</t>
  </si>
  <si>
    <t>$5,000-$8,000
11 different
scholarships</t>
  </si>
  <si>
    <t>• Academic merit 
• Only 1 as of Nov 2024 - Sir Rupert Myers Scholarship</t>
  </si>
  <si>
    <t>$5,000
6 different 
scholarships</t>
  </si>
  <si>
    <t>$5,000
2 scholarships</t>
  </si>
  <si>
    <t>• Academic merit (for both)
• Individial scholarships have their own criteria</t>
  </si>
  <si>
    <t>$5,000-$7,000
3 scholarships</t>
  </si>
  <si>
    <t>$12,000-$15,000
3 scholarships</t>
  </si>
  <si>
    <t>$15,000
7 scholarships</t>
  </si>
  <si>
    <t>High Potential
3 scholarhips</t>
  </si>
  <si>
    <t xml:space="preserve">• Selected Engineering and Food Science programs
</t>
  </si>
  <si>
    <t>• Have applied for the Gateway Admissions Pathway (GAP)in 2024 in Round 1 or 2
• Low-socio economic areas (bottom 25%) are based on IRSAD and IEO indexes ofSEIFA criteria.</t>
  </si>
  <si>
    <t>• Year Program in Climate Change Research Centre,supervised by a researcher in the ARC Centre of Excellence</t>
  </si>
  <si>
    <t>• Be or intending to be an active member of the UNSW Touch Football Club</t>
  </si>
  <si>
    <t>$10,000
2 avaliable</t>
  </si>
  <si>
    <t>$5,000
7 avaliable</t>
  </si>
  <si>
    <t>$5,000-$10,000
5 avaliable</t>
  </si>
  <si>
    <t>• Selected allied health and Physiotherapy programs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</si>
</sst>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4" x14ac:knownFonts="1">
    <font>
      <sz val="11"/>
      <color theme="1"/>
      <name val="Calibri"/>
      <family val="2"/>
      <scheme val="minor"/>
    </font>
    <font>
      <b/>
      <sz val="11"/>
      <color theme="0"/>
      <name val="Calibri"/>
      <family val="2"/>
      <scheme val="minor"/>
    </font>
    <font>
      <u/>
      <sz val="11"/>
      <color theme="10"/>
      <name val="Calibri"/>
      <family val="2"/>
      <scheme val="minor"/>
    </font>
    <font>
      <b/>
      <sz val="11"/>
      <color theme="1"/>
      <name val="Calibri"/>
      <family val="2"/>
      <scheme val="minor"/>
    </font>
  </fonts>
  <fills count="9">
    <fill>
      <patternFill patternType="none"/>
    </fill>
    <fill>
      <patternFill patternType="gray125"/>
    </fill>
    <fill>
      <patternFill patternType="solid">
        <fgColor rgb="FFA5A5A5"/>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E1FF"/>
        <bgColor indexed="64"/>
      </patternFill>
    </fill>
    <fill>
      <patternFill patternType="solid">
        <fgColor rgb="FFE2FDFE"/>
        <bgColor indexed="64"/>
      </patternFill>
    </fill>
    <fill>
      <patternFill patternType="solid">
        <fgColor rgb="FFD2B9FF"/>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1" fillId="2" borderId="1" applyNumberFormat="0" applyAlignment="0" applyProtection="0"/>
    <xf numFmtId="0" fontId="2" fillId="0" borderId="0" applyNumberFormat="0" applyFill="0" applyBorder="0" applyAlignment="0" applyProtection="0"/>
  </cellStyleXfs>
  <cellXfs count="15">
    <xf numFmtId="0" fontId="0" fillId="0" borderId="0" xfId="0"/>
    <xf numFmtId="0" fontId="1" fillId="2" borderId="1" xfId="1" applyAlignment="1">
      <alignment horizontal="left"/>
    </xf>
    <xf numFmtId="0" fontId="0" fillId="4" borderId="0" xfId="0" applyFill="1" applyAlignment="1">
      <alignment horizontal="left"/>
    </xf>
    <xf numFmtId="0" fontId="0" fillId="5" borderId="0" xfId="0" applyFill="1" applyAlignment="1">
      <alignment horizontal="left"/>
    </xf>
    <xf numFmtId="0" fontId="0" fillId="6" borderId="0" xfId="0" applyFill="1" applyAlignment="1">
      <alignment horizontal="left"/>
    </xf>
    <xf numFmtId="0" fontId="0" fillId="7" borderId="0" xfId="0" applyFill="1" applyAlignment="1">
      <alignment horizontal="left"/>
    </xf>
    <xf numFmtId="0" fontId="0" fillId="3" borderId="0" xfId="0" applyFill="1" applyAlignment="1">
      <alignment horizontal="left"/>
    </xf>
    <xf numFmtId="0" fontId="0" fillId="0" borderId="0" xfId="0" applyAlignment="1">
      <alignment horizontal="left"/>
    </xf>
    <xf numFmtId="0" fontId="2" fillId="0" borderId="0" xfId="2" applyAlignment="1">
      <alignment horizontal="left"/>
    </xf>
    <xf numFmtId="6" fontId="0" fillId="0" borderId="0" xfId="0" applyNumberFormat="1" applyAlignment="1">
      <alignment horizontal="left"/>
    </xf>
    <xf numFmtId="0" fontId="0" fillId="0" borderId="0" xfId="0" applyAlignment="1">
      <alignment horizontal="left" wrapText="1"/>
    </xf>
    <xf numFmtId="6" fontId="0" fillId="0" borderId="0" xfId="0" applyNumberFormat="1" applyAlignment="1">
      <alignment horizontal="left" wrapText="1"/>
    </xf>
    <xf numFmtId="0" fontId="0" fillId="0" borderId="0" xfId="0" applyAlignment="1">
      <alignment wrapText="1"/>
    </xf>
    <xf numFmtId="0" fontId="0" fillId="8" borderId="0" xfId="0" applyFill="1"/>
    <xf numFmtId="0" fontId="2" fillId="0" borderId="0" xfId="2"/>
  </cellXfs>
  <cellStyles count="3">
    <cellStyle name="Check Cell" xfId="1" builtinId="23"/>
    <cellStyle name="Hyperlink" xfId="2" builtinId="8"/>
    <cellStyle name="Normal" xfId="0" builtinId="0"/>
  </cellStyles>
  <dxfs count="0"/>
  <tableStyles count="0" defaultTableStyle="TableStyleMedium2" defaultPivotStyle="PivotStyleLight16"/>
  <colors>
    <mruColors>
      <color rgb="FFD2B9FF"/>
      <color rgb="FFE2FDFE"/>
      <color rgb="FFFFC1C2"/>
      <color rgb="FFEBD1F9"/>
      <color rgb="FFFF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ad.uws.edu.au\dfshare\HomesCMB$\30064037\My%20Documents\Code\scraped_UNSW_data.xlsx" TargetMode="External"/><Relationship Id="rId1" Type="http://schemas.openxmlformats.org/officeDocument/2006/relationships/externalLinkPath" Target="/HomesCMB$/30064037/My%20Documents/Code/scraped_UNSW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F2" t="str">
            <v>['2nd or 3rd Year in the School of Mechanical and Manufacturing Engineering in the following areas:', 'Mechanical and Manufacturing EngineeringMechanical EngineeringRobotics and Mechatronics Engineering', 'Mechanical EngineeringRobotics and Mechatronics Engineering', 'Robotics and Mechatronics Engineering', '2nd or 3rd Year in the School of Electrical Engineering and Telecommunications in the following areas:Electrical EngineeringTelecommunications', 'Electrical EngineeringTelecommunications', 'Telecommunications', '2nd or 3rd in the Year School of Computer Science and Engineering in the following areas:Computer ScienceSoftware Engineering', 'Computer ScienceSoftware Engineering', 'Software Engineering', '3rd Year in Industrial Design']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3BD61-A8F4-4ACA-BB03-11DEBD312DAE}">
  <dimension ref="A1:I514"/>
  <sheetViews>
    <sheetView tabSelected="1" workbookViewId="0">
      <selection activeCell="C387" sqref="C387"/>
    </sheetView>
  </sheetViews>
  <sheetFormatPr defaultRowHeight="15" x14ac:dyDescent="0.25"/>
  <cols>
    <col min="1" max="1" width="22.85546875" style="7" customWidth="1"/>
    <col min="2" max="2" width="84.42578125" style="7" customWidth="1"/>
    <col min="3" max="3" width="16.42578125" style="7" customWidth="1"/>
    <col min="4" max="4" width="19.28515625" style="7" customWidth="1"/>
    <col min="5" max="5" width="18.28515625" style="7" customWidth="1"/>
    <col min="6" max="6" width="15.85546875" style="7" customWidth="1"/>
    <col min="7" max="7" width="21.42578125" style="7" customWidth="1"/>
    <col min="8" max="8" width="14.42578125" customWidth="1"/>
    <col min="9" max="9" width="20.5703125" customWidth="1"/>
  </cols>
  <sheetData>
    <row r="1" spans="1:9" ht="16.5" thickTop="1" thickBot="1" x14ac:dyDescent="0.3">
      <c r="A1" s="1" t="s">
        <v>0</v>
      </c>
      <c r="B1" s="1" t="s">
        <v>1</v>
      </c>
      <c r="C1" s="1" t="s">
        <v>2</v>
      </c>
      <c r="D1" s="1" t="s">
        <v>3</v>
      </c>
      <c r="E1" s="1" t="s">
        <v>12</v>
      </c>
      <c r="F1" s="1" t="s">
        <v>11</v>
      </c>
      <c r="G1" s="1" t="s">
        <v>4</v>
      </c>
      <c r="H1" s="1" t="s">
        <v>15</v>
      </c>
      <c r="I1" s="1" t="s">
        <v>80</v>
      </c>
    </row>
    <row r="2" spans="1:9" ht="60.75" thickTop="1" x14ac:dyDescent="0.25">
      <c r="A2" s="2" t="s">
        <v>6</v>
      </c>
      <c r="B2" t="str">
        <f>HYPERLINK("https://www.csu.edu.au/scholarships/scholarships-grants/find-scholarship/foundation/any-year/csu-foundation-rural-relief-scholarship", "CSU Foundation Rural Relief Scholarship")</f>
        <v>CSU Foundation Rural Relief Scholarship</v>
      </c>
      <c r="C2" t="s">
        <v>14</v>
      </c>
      <c r="D2" t="s">
        <v>193</v>
      </c>
      <c r="E2" t="s">
        <v>24</v>
      </c>
      <c r="F2" t="s">
        <v>35</v>
      </c>
      <c r="G2" s="12" t="s">
        <v>458</v>
      </c>
      <c r="H2" t="s">
        <v>25</v>
      </c>
      <c r="I2" t="s">
        <v>25</v>
      </c>
    </row>
    <row r="3" spans="1:9" ht="75" x14ac:dyDescent="0.25">
      <c r="A3" s="2" t="s">
        <v>6</v>
      </c>
      <c r="B3" t="str">
        <f>HYPERLINK("https://www.csu.edu.au/scholarships/scholarships-grants/find-scholarship/equity/ppeg", "Professional Placement Equity Grant")</f>
        <v>Professional Placement Equity Grant</v>
      </c>
      <c r="C3" t="s">
        <v>27</v>
      </c>
      <c r="D3" t="s">
        <v>194</v>
      </c>
      <c r="E3" t="s">
        <v>24</v>
      </c>
      <c r="F3" t="s">
        <v>35</v>
      </c>
      <c r="G3" s="12" t="s">
        <v>356</v>
      </c>
      <c r="H3" t="s">
        <v>25</v>
      </c>
      <c r="I3" t="s">
        <v>16</v>
      </c>
    </row>
    <row r="4" spans="1:9" ht="90" x14ac:dyDescent="0.25">
      <c r="A4" s="2" t="s">
        <v>6</v>
      </c>
      <c r="B4" t="str">
        <f>HYPERLINK("https://www.csu.edu.au/scholarships/scholarships-grants/find-scholarship/equity/eeg", "Student Emergency Equity Grant")</f>
        <v>Student Emergency Equity Grant</v>
      </c>
      <c r="C4" t="s">
        <v>14</v>
      </c>
      <c r="D4" t="s">
        <v>195</v>
      </c>
      <c r="E4" t="s">
        <v>24</v>
      </c>
      <c r="F4" t="s">
        <v>35</v>
      </c>
      <c r="G4" s="12" t="s">
        <v>357</v>
      </c>
      <c r="H4" t="s">
        <v>25</v>
      </c>
      <c r="I4" t="s">
        <v>25</v>
      </c>
    </row>
    <row r="5" spans="1:9" ht="45" x14ac:dyDescent="0.25">
      <c r="A5" s="2" t="s">
        <v>6</v>
      </c>
      <c r="B5" t="str">
        <f>HYPERLINK("https://www.csu.edu.au/scholarships/scholarships-grants/find-scholarship/equity/npilf-career-ready-grant", "NPILF Career Ready Grant")</f>
        <v>NPILF Career Ready Grant</v>
      </c>
      <c r="C5" t="s">
        <v>14</v>
      </c>
      <c r="D5" t="s">
        <v>196</v>
      </c>
      <c r="E5" t="s">
        <v>24</v>
      </c>
      <c r="F5" t="s">
        <v>35</v>
      </c>
      <c r="G5" s="12" t="s">
        <v>358</v>
      </c>
      <c r="H5" t="s">
        <v>25</v>
      </c>
      <c r="I5" t="s">
        <v>16</v>
      </c>
    </row>
    <row r="6" spans="1:9" ht="75" x14ac:dyDescent="0.25">
      <c r="A6" s="2" t="s">
        <v>6</v>
      </c>
      <c r="B6" t="str">
        <f>HYPERLINK("https://www.csu.edu.au/scholarships/scholarships-grants/find-scholarship/equity/national-mental-health-pathways-to-practice-scholarship-recovery-camp-placements", "National Mental Health Pathways to Practice Scholarship - Recovery Camp placements")</f>
        <v>National Mental Health Pathways to Practice Scholarship - Recovery Camp placements</v>
      </c>
      <c r="C6" t="s">
        <v>14</v>
      </c>
      <c r="D6" t="s">
        <v>198</v>
      </c>
      <c r="E6" t="s">
        <v>24</v>
      </c>
      <c r="F6" t="s">
        <v>13</v>
      </c>
      <c r="G6" s="12" t="s">
        <v>359</v>
      </c>
      <c r="H6" t="s">
        <v>25</v>
      </c>
      <c r="I6" t="s">
        <v>16</v>
      </c>
    </row>
    <row r="7" spans="1:9" ht="45" x14ac:dyDescent="0.25">
      <c r="A7" s="2" t="s">
        <v>6</v>
      </c>
      <c r="B7" t="str">
        <f>HYPERLINK("https://www.csu.edu.au/scholarships/scholarships-grants/find-scholarship/equity/equity-and-inclusion-grant", "Equity and Inclusion Grant")</f>
        <v>Equity and Inclusion Grant</v>
      </c>
      <c r="C7" t="s">
        <v>199</v>
      </c>
      <c r="D7" t="s">
        <v>195</v>
      </c>
      <c r="E7" t="s">
        <v>24</v>
      </c>
      <c r="F7" t="s">
        <v>35</v>
      </c>
      <c r="G7" s="12" t="s">
        <v>445</v>
      </c>
      <c r="H7" t="s">
        <v>25</v>
      </c>
      <c r="I7" t="s">
        <v>25</v>
      </c>
    </row>
    <row r="8" spans="1:9" x14ac:dyDescent="0.25">
      <c r="A8" s="2" t="s">
        <v>6</v>
      </c>
      <c r="B8" t="str">
        <f>HYPERLINK("https://www.csu.edu.au/scholarships/scholarships-grants/find-scholarship/foundation/any-year/bathurst-teachers-college-alumni-scholarship", "Bathurst Teachers’ College Alumni Scholarship")</f>
        <v>Bathurst Teachers’ College Alumni Scholarship</v>
      </c>
      <c r="C8" t="s">
        <v>27</v>
      </c>
      <c r="D8" t="s">
        <v>193</v>
      </c>
      <c r="E8" t="s">
        <v>24</v>
      </c>
      <c r="F8" t="s">
        <v>13</v>
      </c>
      <c r="G8" s="12" t="s">
        <v>341</v>
      </c>
      <c r="H8" t="s">
        <v>25</v>
      </c>
      <c r="I8" t="s">
        <v>25</v>
      </c>
    </row>
    <row r="9" spans="1:9" ht="30" x14ac:dyDescent="0.25">
      <c r="A9" s="2" t="s">
        <v>6</v>
      </c>
      <c r="B9" t="str">
        <f>HYPERLINK("https://www.csu.edu.au/scholarships/scholarships-grants/find-scholarship/foundation/any-year/glenray-commitment-scholarship", "Glenray Commitment Scholarship")</f>
        <v>Glenray Commitment Scholarship</v>
      </c>
      <c r="C9" t="s">
        <v>14</v>
      </c>
      <c r="D9" t="s">
        <v>200</v>
      </c>
      <c r="E9" t="s">
        <v>201</v>
      </c>
      <c r="F9" t="s">
        <v>13</v>
      </c>
      <c r="G9" s="12" t="s">
        <v>342</v>
      </c>
      <c r="H9" t="s">
        <v>25</v>
      </c>
      <c r="I9" t="s">
        <v>25</v>
      </c>
    </row>
    <row r="10" spans="1:9" ht="60" x14ac:dyDescent="0.25">
      <c r="A10" s="2" t="s">
        <v>6</v>
      </c>
      <c r="B10" t="str">
        <f>HYPERLINK("https://www.csu.edu.au/scholarships/scholarships-grants/find-scholarship/foundation/any-year/jenny-miller-legacy-scholarship", "Jenny Miller Legacy Scholarship")</f>
        <v>Jenny Miller Legacy Scholarship</v>
      </c>
      <c r="C10" t="s">
        <v>14</v>
      </c>
      <c r="D10" t="s">
        <v>202</v>
      </c>
      <c r="E10" t="s">
        <v>329</v>
      </c>
      <c r="F10" t="s">
        <v>13</v>
      </c>
      <c r="G10" s="12" t="s">
        <v>457</v>
      </c>
      <c r="H10" t="s">
        <v>25</v>
      </c>
      <c r="I10" t="s">
        <v>25</v>
      </c>
    </row>
    <row r="11" spans="1:9" ht="60" x14ac:dyDescent="0.25">
      <c r="A11" s="2" t="s">
        <v>6</v>
      </c>
      <c r="B11" t="str">
        <f>HYPERLINK("https://www.csu.edu.au/scholarships/scholarships-grants/find-scholarship/foundation/any-year/csu-give-scholarship", "Staffgive Scholarship")</f>
        <v>Staffgive Scholarship</v>
      </c>
      <c r="C11" t="s">
        <v>27</v>
      </c>
      <c r="D11" t="s">
        <v>203</v>
      </c>
      <c r="E11" t="s">
        <v>24</v>
      </c>
      <c r="F11" t="s">
        <v>35</v>
      </c>
      <c r="G11" s="12" t="s">
        <v>456</v>
      </c>
      <c r="H11" t="s">
        <v>25</v>
      </c>
      <c r="I11" t="s">
        <v>25</v>
      </c>
    </row>
    <row r="12" spans="1:9" ht="75" x14ac:dyDescent="0.25">
      <c r="A12" s="2" t="s">
        <v>6</v>
      </c>
      <c r="B12" t="str">
        <f>HYPERLINK("https://www.csu.edu.au/scholarships/scholarships-grants/find-scholarship/foundation/any-year/vivability-limited-empowered-futures-scholarship", "Vivability Limited Empowered Futures Scholarship")</f>
        <v>Vivability Limited Empowered Futures Scholarship</v>
      </c>
      <c r="C12" t="s">
        <v>14</v>
      </c>
      <c r="D12" t="s">
        <v>204</v>
      </c>
      <c r="E12" t="s">
        <v>205</v>
      </c>
      <c r="F12" t="s">
        <v>13</v>
      </c>
      <c r="G12" s="12" t="s">
        <v>455</v>
      </c>
      <c r="H12" t="s">
        <v>25</v>
      </c>
      <c r="I12" t="s">
        <v>25</v>
      </c>
    </row>
    <row r="13" spans="1:9" ht="30" x14ac:dyDescent="0.25">
      <c r="A13" s="2" t="s">
        <v>6</v>
      </c>
      <c r="B13" t="str">
        <f>HYPERLINK("https://www.csu.edu.au/scholarships/scholarships-grants/find-scholarship/foundation/any-year/alburywodonga-src-student-support-scholarship", "Albury/Wodonga SRC Student Support Scholarship")</f>
        <v>Albury/Wodonga SRC Student Support Scholarship</v>
      </c>
      <c r="C13" t="s">
        <v>14</v>
      </c>
      <c r="D13" t="s">
        <v>206</v>
      </c>
      <c r="E13" t="s">
        <v>24</v>
      </c>
      <c r="F13" t="s">
        <v>35</v>
      </c>
      <c r="G13" s="12" t="s">
        <v>207</v>
      </c>
      <c r="H13" t="s">
        <v>25</v>
      </c>
      <c r="I13" t="s">
        <v>25</v>
      </c>
    </row>
    <row r="14" spans="1:9" ht="30" x14ac:dyDescent="0.25">
      <c r="A14" s="2" t="s">
        <v>6</v>
      </c>
      <c r="B14" t="str">
        <f>HYPERLINK("https://www.csu.edu.au/scholarships/scholarships-grants/find-scholarship/equity/charles-sturt-kickstart-scholarship", "Charles Sturt Kickstart Scholarship")</f>
        <v>Charles Sturt Kickstart Scholarship</v>
      </c>
      <c r="C14" t="s">
        <v>14</v>
      </c>
      <c r="D14" t="s">
        <v>208</v>
      </c>
      <c r="E14" t="s">
        <v>201</v>
      </c>
      <c r="F14" t="s">
        <v>35</v>
      </c>
      <c r="G14" s="12" t="s">
        <v>360</v>
      </c>
      <c r="H14" t="s">
        <v>25</v>
      </c>
      <c r="I14" t="s">
        <v>25</v>
      </c>
    </row>
    <row r="15" spans="1:9" ht="30" x14ac:dyDescent="0.25">
      <c r="A15" s="2" t="s">
        <v>6</v>
      </c>
      <c r="B15" t="str">
        <f>HYPERLINK("https://www.csu.edu.au/scholarships/scholarships-grants/find-scholarship/equity/rseg", "Intensive School Equity Grant")</f>
        <v>Intensive School Equity Grant</v>
      </c>
      <c r="C15" t="s">
        <v>14</v>
      </c>
      <c r="D15" t="s">
        <v>209</v>
      </c>
      <c r="E15" t="s">
        <v>24</v>
      </c>
      <c r="F15" t="s">
        <v>35</v>
      </c>
      <c r="G15" s="12" t="s">
        <v>360</v>
      </c>
      <c r="H15" t="s">
        <v>25</v>
      </c>
      <c r="I15" t="s">
        <v>25</v>
      </c>
    </row>
    <row r="16" spans="1:9" ht="75" x14ac:dyDescent="0.25">
      <c r="A16" s="2" t="s">
        <v>6</v>
      </c>
      <c r="B16" t="str">
        <f>HYPERLINK("https://www.csu.edu.au/scholarships/scholarships-grants/find-scholarship/foundation/any-year/country-womens-association-of-nsw-scholarship", "Riverina Group Country Women’s Association of NSW Scholarship")</f>
        <v>Riverina Group Country Women’s Association of NSW Scholarship</v>
      </c>
      <c r="C16" t="s">
        <v>14</v>
      </c>
      <c r="D16" t="s">
        <v>193</v>
      </c>
      <c r="E16" t="s">
        <v>24</v>
      </c>
      <c r="F16" t="s">
        <v>13</v>
      </c>
      <c r="G16" s="12" t="s">
        <v>330</v>
      </c>
      <c r="H16" t="s">
        <v>25</v>
      </c>
      <c r="I16" t="s">
        <v>25</v>
      </c>
    </row>
    <row r="17" spans="1:9" ht="30" x14ac:dyDescent="0.25">
      <c r="A17" s="2" t="s">
        <v>6</v>
      </c>
      <c r="B17" t="str">
        <f>HYPERLINK("https://www.csu.edu.au/scholarships/scholarships-grants/find-scholarship/foundation/continuing/csu-persistence-scholarship", "CSU Foundation Persistence Scholarship")</f>
        <v>CSU Foundation Persistence Scholarship</v>
      </c>
      <c r="C17" t="s">
        <v>14</v>
      </c>
      <c r="D17" t="s">
        <v>203</v>
      </c>
      <c r="E17" t="s">
        <v>24</v>
      </c>
      <c r="F17" t="s">
        <v>35</v>
      </c>
      <c r="G17" s="12" t="s">
        <v>331</v>
      </c>
      <c r="H17" t="s">
        <v>25</v>
      </c>
      <c r="I17" t="s">
        <v>25</v>
      </c>
    </row>
    <row r="18" spans="1:9" ht="30" x14ac:dyDescent="0.25">
      <c r="A18" s="2" t="s">
        <v>6</v>
      </c>
      <c r="B18" t="str">
        <f>HYPERLINK("https://www.csu.edu.au/scholarships/scholarships-grants/find-scholarship/equity/charles-sturt-student-success-scholarship", "Charles Sturt Student Success Scholarship")</f>
        <v>Charles Sturt Student Success Scholarship</v>
      </c>
      <c r="C18" t="s">
        <v>27</v>
      </c>
      <c r="D18" t="s">
        <v>210</v>
      </c>
      <c r="E18" t="s">
        <v>201</v>
      </c>
      <c r="F18" t="s">
        <v>35</v>
      </c>
      <c r="G18" s="12" t="s">
        <v>361</v>
      </c>
      <c r="H18" t="s">
        <v>25</v>
      </c>
      <c r="I18" t="s">
        <v>25</v>
      </c>
    </row>
    <row r="19" spans="1:9" ht="30" x14ac:dyDescent="0.25">
      <c r="A19" s="2" t="s">
        <v>6</v>
      </c>
      <c r="B19" t="str">
        <f>HYPERLINK("https://www.csu.edu.au/scholarships/scholarships-grants/find-scholarship/foundation/any-year/veolia-mulwaree-scholarship", "Veolia Mulwaree Trust Scholarship")</f>
        <v>Veolia Mulwaree Trust Scholarship</v>
      </c>
      <c r="C19" t="s">
        <v>27</v>
      </c>
      <c r="D19" t="s">
        <v>193</v>
      </c>
      <c r="E19" t="s">
        <v>24</v>
      </c>
      <c r="F19" t="s">
        <v>197</v>
      </c>
      <c r="G19" s="12" t="s">
        <v>332</v>
      </c>
      <c r="H19" t="s">
        <v>25</v>
      </c>
      <c r="I19" t="s">
        <v>25</v>
      </c>
    </row>
    <row r="20" spans="1:9" ht="60" x14ac:dyDescent="0.25">
      <c r="A20" s="2" t="s">
        <v>6</v>
      </c>
      <c r="B20" t="str">
        <f>HYPERLINK("https://www.csu.edu.au/scholarships/scholarships-grants/find-scholarship/foundation/any-year/murrumbidgee-council-scholarship", "Murrumbidgee Council Scholarship")</f>
        <v>Murrumbidgee Council Scholarship</v>
      </c>
      <c r="C20" t="s">
        <v>14</v>
      </c>
      <c r="D20" s="7" t="s">
        <v>211</v>
      </c>
      <c r="E20" t="s">
        <v>24</v>
      </c>
      <c r="F20" t="s">
        <v>13</v>
      </c>
      <c r="G20" s="12" t="s">
        <v>333</v>
      </c>
      <c r="H20" t="s">
        <v>25</v>
      </c>
      <c r="I20" t="s">
        <v>25</v>
      </c>
    </row>
    <row r="21" spans="1:9" ht="90" x14ac:dyDescent="0.25">
      <c r="A21" s="2" t="s">
        <v>6</v>
      </c>
      <c r="B21" t="str">
        <f>HYPERLINK("https://www.csu.edu.au/scholarships/scholarships-grants/find-scholarship/foundation/any-year/moya-crowe-memorial-scholarship", "Moya Crowe Memorial Scholarship")</f>
        <v>Moya Crowe Memorial Scholarship</v>
      </c>
      <c r="C21" t="s">
        <v>14</v>
      </c>
      <c r="D21" t="s">
        <v>212</v>
      </c>
      <c r="E21" t="s">
        <v>201</v>
      </c>
      <c r="F21" t="s">
        <v>13</v>
      </c>
      <c r="G21" s="12" t="s">
        <v>334</v>
      </c>
      <c r="H21" t="s">
        <v>21</v>
      </c>
      <c r="I21" t="s">
        <v>25</v>
      </c>
    </row>
    <row r="22" spans="1:9" ht="75" x14ac:dyDescent="0.25">
      <c r="A22" s="2" t="s">
        <v>6</v>
      </c>
      <c r="B22" t="str">
        <f>HYPERLINK("https://www.csu.edu.au/scholarships/scholarships-grants/find-scholarship/foundation/any-year/tasdemir-family-scholarship", "Tasdemir Family Scholarship")</f>
        <v>Tasdemir Family Scholarship</v>
      </c>
      <c r="C22" t="s">
        <v>14</v>
      </c>
      <c r="D22" t="s">
        <v>208</v>
      </c>
      <c r="E22" t="s">
        <v>201</v>
      </c>
      <c r="F22" t="s">
        <v>13</v>
      </c>
      <c r="G22" s="12" t="s">
        <v>335</v>
      </c>
      <c r="H22" t="s">
        <v>25</v>
      </c>
      <c r="I22" t="s">
        <v>25</v>
      </c>
    </row>
    <row r="23" spans="1:9" ht="30" x14ac:dyDescent="0.25">
      <c r="A23" s="2" t="s">
        <v>6</v>
      </c>
      <c r="B23" t="str">
        <f>HYPERLINK("https://www.csu.edu.au/scholarships/scholarships-grants/find-scholarship/foundation/any-year/tony-mcgrane-scholarship", "Tony McGrane Memorial Scholarship")</f>
        <v>Tony McGrane Memorial Scholarship</v>
      </c>
      <c r="C23" t="s">
        <v>14</v>
      </c>
      <c r="D23" t="s">
        <v>213</v>
      </c>
      <c r="E23" t="s">
        <v>24</v>
      </c>
      <c r="F23" t="s">
        <v>13</v>
      </c>
      <c r="G23" s="12" t="s">
        <v>207</v>
      </c>
      <c r="H23" t="s">
        <v>25</v>
      </c>
      <c r="I23" t="s">
        <v>25</v>
      </c>
    </row>
    <row r="24" spans="1:9" ht="30" x14ac:dyDescent="0.25">
      <c r="A24" s="2" t="s">
        <v>6</v>
      </c>
      <c r="B24" s="14" t="str">
        <f>HYPERLINK("https://www.csu.edu.au/scholarships/scholarships-grants/find-scholarship/foundation/any-year/kempsey-shire-council-scholarship", "Kempsey Shire Council Scholarship")</f>
        <v>Kempsey Shire Council Scholarship</v>
      </c>
      <c r="C24" t="s">
        <v>27</v>
      </c>
      <c r="D24" s="7" t="s">
        <v>208</v>
      </c>
      <c r="E24" t="s">
        <v>201</v>
      </c>
      <c r="F24" t="s">
        <v>13</v>
      </c>
      <c r="G24" s="12" t="s">
        <v>454</v>
      </c>
      <c r="H24" t="s">
        <v>25</v>
      </c>
      <c r="I24" t="s">
        <v>25</v>
      </c>
    </row>
    <row r="25" spans="1:9" ht="75" x14ac:dyDescent="0.25">
      <c r="A25" s="2" t="s">
        <v>6</v>
      </c>
      <c r="B25" t="str">
        <f>HYPERLINK("https://www.csu.edu.au/scholarships/scholarships-grants/find-scholarship/foundation/any-year/csu-foundation-assistance-scholarship", "CSU Foundation Assistance Scholarship")</f>
        <v>CSU Foundation Assistance Scholarship</v>
      </c>
      <c r="C25" t="s">
        <v>14</v>
      </c>
      <c r="D25" t="s">
        <v>203</v>
      </c>
      <c r="E25" t="s">
        <v>24</v>
      </c>
      <c r="F25" t="s">
        <v>13</v>
      </c>
      <c r="G25" s="12" t="s">
        <v>336</v>
      </c>
      <c r="H25" t="s">
        <v>25</v>
      </c>
      <c r="I25" t="s">
        <v>25</v>
      </c>
    </row>
    <row r="26" spans="1:9" ht="45" x14ac:dyDescent="0.25">
      <c r="A26" s="2" t="s">
        <v>6</v>
      </c>
      <c r="B26" t="str">
        <f>HYPERLINK("https://www.csu.edu.au/scholarships/scholarships-grants/find-scholarship/foundation/any-year/mitchell-emeritus-club", "Mitchell Emeritus Club")</f>
        <v>Mitchell Emeritus Club</v>
      </c>
      <c r="C26" t="s">
        <v>27</v>
      </c>
      <c r="D26" t="s">
        <v>193</v>
      </c>
      <c r="E26" t="s">
        <v>24</v>
      </c>
      <c r="F26" t="s">
        <v>13</v>
      </c>
      <c r="G26" s="12" t="s">
        <v>337</v>
      </c>
      <c r="H26" t="s">
        <v>25</v>
      </c>
      <c r="I26" t="s">
        <v>25</v>
      </c>
    </row>
    <row r="27" spans="1:9" ht="135" x14ac:dyDescent="0.25">
      <c r="A27" s="2" t="s">
        <v>6</v>
      </c>
      <c r="B27" t="str">
        <f>HYPERLINK("https://www.csu.edu.au/scholarships/scholarships-grants/find-scholarship/foundation/any-year/reformer-new-start-scholarship", "Reformer New Start Scholarship")</f>
        <v>Reformer New Start Scholarship</v>
      </c>
      <c r="C27" t="s">
        <v>14</v>
      </c>
      <c r="D27" t="s">
        <v>208</v>
      </c>
      <c r="E27" t="s">
        <v>201</v>
      </c>
      <c r="F27" t="s">
        <v>13</v>
      </c>
      <c r="G27" s="12" t="s">
        <v>338</v>
      </c>
      <c r="H27" t="s">
        <v>25</v>
      </c>
      <c r="I27" t="s">
        <v>25</v>
      </c>
    </row>
    <row r="28" spans="1:9" ht="75" x14ac:dyDescent="0.25">
      <c r="A28" s="2" t="s">
        <v>6</v>
      </c>
      <c r="B28" t="str">
        <f>HYPERLINK("https://www.csu.edu.au/scholarships/scholarships-grants/find-scholarship/foundation/any-year/mal-walker-memorial-scholarship", "Dr Malcolm Walker Memorial Scholarship")</f>
        <v>Dr Malcolm Walker Memorial Scholarship</v>
      </c>
      <c r="C28" t="s">
        <v>27</v>
      </c>
      <c r="D28" t="s">
        <v>193</v>
      </c>
      <c r="E28" t="s">
        <v>24</v>
      </c>
      <c r="F28" t="s">
        <v>13</v>
      </c>
      <c r="G28" s="12" t="s">
        <v>339</v>
      </c>
      <c r="H28" t="s">
        <v>21</v>
      </c>
      <c r="I28" t="s">
        <v>25</v>
      </c>
    </row>
    <row r="29" spans="1:9" ht="30" x14ac:dyDescent="0.25">
      <c r="A29" s="2" t="s">
        <v>6</v>
      </c>
      <c r="B29" t="str">
        <f>HYPERLINK("https://www.csu.edu.au/scholarships/scholarships-grants/find-scholarship/foundation/any-year/dr-bal-krishan-scholarship", "Dr Bal Krishan Scholarship")</f>
        <v>Dr Bal Krishan Scholarship</v>
      </c>
      <c r="C29" t="s">
        <v>14</v>
      </c>
      <c r="D29" t="s">
        <v>214</v>
      </c>
      <c r="E29" t="s">
        <v>24</v>
      </c>
      <c r="F29" t="s">
        <v>197</v>
      </c>
      <c r="G29" s="12" t="s">
        <v>340</v>
      </c>
      <c r="H29" t="s">
        <v>25</v>
      </c>
      <c r="I29" t="s">
        <v>25</v>
      </c>
    </row>
    <row r="30" spans="1:9" ht="30" x14ac:dyDescent="0.25">
      <c r="A30" s="2" t="s">
        <v>6</v>
      </c>
      <c r="B30" t="str">
        <f>HYPERLINK("https://www.csu.edu.au/scholarships/scholarships-grants/find-scholarship/foundation/any-year/the-walter-and-eliza-hall-trust-opportunity-disability-scholarship", "Walter and Eliza Hall Trust Opportunity Disability Scholarship")</f>
        <v>Walter and Eliza Hall Trust Opportunity Disability Scholarship</v>
      </c>
      <c r="C30" t="s">
        <v>14</v>
      </c>
      <c r="D30" t="s">
        <v>215</v>
      </c>
      <c r="E30" t="s">
        <v>205</v>
      </c>
      <c r="F30" t="s">
        <v>13</v>
      </c>
      <c r="G30" s="12" t="s">
        <v>347</v>
      </c>
      <c r="H30" t="s">
        <v>25</v>
      </c>
      <c r="I30" t="s">
        <v>25</v>
      </c>
    </row>
    <row r="31" spans="1:9" ht="60" x14ac:dyDescent="0.25">
      <c r="A31" s="2" t="s">
        <v>6</v>
      </c>
      <c r="B31" t="str">
        <f>HYPERLINK("https://www.csu.edu.au/scholarships/scholarships-grants/find-scholarship/foundation/any-year/carathool-shire-council", "Carrathool Shire Council Scholarship")</f>
        <v>Carrathool Shire Council Scholarship</v>
      </c>
      <c r="C31" t="s">
        <v>27</v>
      </c>
      <c r="D31" t="s">
        <v>193</v>
      </c>
      <c r="E31" t="s">
        <v>201</v>
      </c>
      <c r="F31" t="s">
        <v>13</v>
      </c>
      <c r="G31" s="12" t="s">
        <v>343</v>
      </c>
      <c r="H31" t="s">
        <v>25</v>
      </c>
      <c r="I31" t="s">
        <v>25</v>
      </c>
    </row>
    <row r="32" spans="1:9" ht="45" x14ac:dyDescent="0.25">
      <c r="A32" s="2" t="s">
        <v>6</v>
      </c>
      <c r="B32" t="str">
        <f>HYPERLINK("https://www.csu.edu.au/scholarships/scholarships-grants/find-scholarship/foundation/any-year/src-wagga-student-support-scholarship", "SRC Wagga Student Support Scholarship")</f>
        <v>SRC Wagga Student Support Scholarship</v>
      </c>
      <c r="C32" t="s">
        <v>27</v>
      </c>
      <c r="D32" t="s">
        <v>214</v>
      </c>
      <c r="E32" t="s">
        <v>24</v>
      </c>
      <c r="F32" t="s">
        <v>35</v>
      </c>
      <c r="G32" s="12" t="s">
        <v>344</v>
      </c>
      <c r="H32" t="s">
        <v>25</v>
      </c>
      <c r="I32" t="s">
        <v>25</v>
      </c>
    </row>
    <row r="33" spans="1:9" ht="120" x14ac:dyDescent="0.25">
      <c r="A33" s="2" t="s">
        <v>6</v>
      </c>
      <c r="B33" t="str">
        <f>HYPERLINK("https://www.csu.edu.au/scholarships/scholarships-grants/find-scholarship/foundation/any-year/dubbo-rsl-sub-branch-and-dubbo-rsl-memorial-club-scholarship", "Dubbo RSL Sub Branch Scholarship")</f>
        <v>Dubbo RSL Sub Branch Scholarship</v>
      </c>
      <c r="C33" t="s">
        <v>14</v>
      </c>
      <c r="D33" t="s">
        <v>208</v>
      </c>
      <c r="E33" t="s">
        <v>201</v>
      </c>
      <c r="F33" t="s">
        <v>197</v>
      </c>
      <c r="G33" s="12" t="s">
        <v>453</v>
      </c>
      <c r="H33" t="s">
        <v>25</v>
      </c>
      <c r="I33" t="s">
        <v>25</v>
      </c>
    </row>
    <row r="34" spans="1:9" ht="30" x14ac:dyDescent="0.25">
      <c r="A34" s="2" t="s">
        <v>6</v>
      </c>
      <c r="B34" t="str">
        <f>HYPERLINK("https://www.csu.edu.au/scholarships/scholarships-grants/find-scholarship/foundation/any-year/hastings-co-op-scholarship", "Hastings Co-op Scholarship")</f>
        <v>Hastings Co-op Scholarship</v>
      </c>
      <c r="C34" t="s">
        <v>14</v>
      </c>
      <c r="D34" t="s">
        <v>216</v>
      </c>
      <c r="E34" t="s">
        <v>201</v>
      </c>
      <c r="F34" t="s">
        <v>13</v>
      </c>
      <c r="G34" s="12" t="s">
        <v>207</v>
      </c>
      <c r="H34" t="s">
        <v>25</v>
      </c>
      <c r="I34" t="s">
        <v>25</v>
      </c>
    </row>
    <row r="35" spans="1:9" ht="120" x14ac:dyDescent="0.25">
      <c r="A35" s="2" t="s">
        <v>6</v>
      </c>
      <c r="B35" t="str">
        <f>HYPERLINK("https://www.csu.edu.au/scholarships/scholarships-grants/find-scholarship/foundation/any-year/albury-city-scholarship", "AlburyCity Foundation Scholarship")</f>
        <v>AlburyCity Foundation Scholarship</v>
      </c>
      <c r="C35" t="s">
        <v>27</v>
      </c>
      <c r="D35" t="s">
        <v>193</v>
      </c>
      <c r="E35" t="s">
        <v>24</v>
      </c>
      <c r="F35" t="s">
        <v>13</v>
      </c>
      <c r="G35" s="12" t="s">
        <v>345</v>
      </c>
      <c r="H35" t="s">
        <v>25</v>
      </c>
      <c r="I35" t="s">
        <v>25</v>
      </c>
    </row>
    <row r="36" spans="1:9" ht="30" x14ac:dyDescent="0.25">
      <c r="A36" s="2" t="s">
        <v>6</v>
      </c>
      <c r="B36" t="str">
        <f>HYPERLINK("https://www.csu.edu.au/scholarships/scholarships-grants/find-scholarship/foundation/continuing/len-madigan-memorial-scholarship", "Len Madigan Memorial Scholarship")</f>
        <v>Len Madigan Memorial Scholarship</v>
      </c>
      <c r="C36" t="s">
        <v>27</v>
      </c>
      <c r="D36" t="s">
        <v>210</v>
      </c>
      <c r="E36" t="s">
        <v>24</v>
      </c>
      <c r="F36" t="s">
        <v>13</v>
      </c>
      <c r="G36" s="12" t="s">
        <v>217</v>
      </c>
      <c r="H36" t="s">
        <v>25</v>
      </c>
      <c r="I36" t="s">
        <v>25</v>
      </c>
    </row>
    <row r="37" spans="1:9" ht="30" x14ac:dyDescent="0.25">
      <c r="A37" s="2" t="s">
        <v>6</v>
      </c>
      <c r="B37" t="str">
        <f>HYPERLINK("https://www.csu.edu.au/scholarships/scholarships-grants/find-scholarship/foundation/accom/the-resident-leadership-accommodation-scholarship", "Resident Leadership Accommodation Scholarship ")</f>
        <v xml:space="preserve">Resident Leadership Accommodation Scholarship </v>
      </c>
      <c r="C37" t="s">
        <v>27</v>
      </c>
      <c r="D37" t="s">
        <v>218</v>
      </c>
      <c r="E37" t="s">
        <v>201</v>
      </c>
      <c r="F37" t="s">
        <v>51</v>
      </c>
      <c r="G37" s="12" t="s">
        <v>346</v>
      </c>
      <c r="H37" t="s">
        <v>25</v>
      </c>
      <c r="I37" t="s">
        <v>25</v>
      </c>
    </row>
    <row r="38" spans="1:9" ht="75" x14ac:dyDescent="0.25">
      <c r="A38" s="2" t="s">
        <v>6</v>
      </c>
      <c r="B38" t="str">
        <f>HYPERLINK("https://www.csu.edu.au/scholarships/scholarships-grants/find-scholarship/foundation/continuing/st-martins-heads-of-college-scholarship", "St Martin's Heads of College Scholarship")</f>
        <v>St Martin's Heads of College Scholarship</v>
      </c>
      <c r="C38" t="s">
        <v>27</v>
      </c>
      <c r="D38" t="s">
        <v>219</v>
      </c>
      <c r="E38" t="s">
        <v>24</v>
      </c>
      <c r="F38" t="s">
        <v>35</v>
      </c>
      <c r="G38" s="12" t="s">
        <v>452</v>
      </c>
      <c r="H38" t="s">
        <v>25</v>
      </c>
      <c r="I38" t="s">
        <v>25</v>
      </c>
    </row>
    <row r="39" spans="1:9" ht="30" x14ac:dyDescent="0.25">
      <c r="A39" s="2" t="s">
        <v>6</v>
      </c>
      <c r="B39" t="str">
        <f>HYPERLINK("https://www.csu.edu.au/scholarships/scholarships-grants/find-scholarship/foundation/any-year/thomas-a.-scahill-scholarship", "Thomas A. Scahill Scholarship")</f>
        <v>Thomas A. Scahill Scholarship</v>
      </c>
      <c r="C39" t="s">
        <v>14</v>
      </c>
      <c r="D39" t="s">
        <v>203</v>
      </c>
      <c r="E39" t="s">
        <v>201</v>
      </c>
      <c r="F39" t="s">
        <v>13</v>
      </c>
      <c r="G39" s="12" t="s">
        <v>340</v>
      </c>
      <c r="H39" t="s">
        <v>21</v>
      </c>
      <c r="I39" t="s">
        <v>25</v>
      </c>
    </row>
    <row r="40" spans="1:9" ht="75" x14ac:dyDescent="0.25">
      <c r="A40" s="2" t="s">
        <v>6</v>
      </c>
      <c r="B40" t="str">
        <f>HYPERLINK("https://www.csu.edu.au/scholarships/scholarships-grants/find-scholarship/foundation/continuing/rotary-club-of-port-macquarie-sunrise-scholarship", "Rotary Club of Port Macquarie Sunrise Scholarship")</f>
        <v>Rotary Club of Port Macquarie Sunrise Scholarship</v>
      </c>
      <c r="C40" t="s">
        <v>14</v>
      </c>
      <c r="D40" s="7" t="s">
        <v>210</v>
      </c>
      <c r="E40" t="s">
        <v>24</v>
      </c>
      <c r="F40" t="s">
        <v>13</v>
      </c>
      <c r="G40" s="12" t="s">
        <v>348</v>
      </c>
      <c r="H40" t="s">
        <v>25</v>
      </c>
      <c r="I40" t="s">
        <v>25</v>
      </c>
    </row>
    <row r="41" spans="1:9" ht="60" x14ac:dyDescent="0.25">
      <c r="A41" s="2" t="s">
        <v>6</v>
      </c>
      <c r="B41" t="str">
        <f>HYPERLINK("https://www.csu.edu.au/scholarships/scholarships-grants/find-scholarship/foundation/any-year/ron-wild,-rotary-club-of-tallangatta-scholarship", "Ron Wild, Rotary Club of Tallangatta Scholarship")</f>
        <v>Ron Wild, Rotary Club of Tallangatta Scholarship</v>
      </c>
      <c r="C41" t="s">
        <v>27</v>
      </c>
      <c r="D41" t="s">
        <v>214</v>
      </c>
      <c r="E41" t="s">
        <v>24</v>
      </c>
      <c r="F41" t="s">
        <v>13</v>
      </c>
      <c r="G41" s="12" t="s">
        <v>349</v>
      </c>
      <c r="H41" t="s">
        <v>25</v>
      </c>
      <c r="I41" t="s">
        <v>25</v>
      </c>
    </row>
    <row r="42" spans="1:9" ht="90" x14ac:dyDescent="0.25">
      <c r="A42" s="2" t="s">
        <v>6</v>
      </c>
      <c r="B42" t="str">
        <f>HYPERLINK("https://www.csu.edu.au/scholarships/scholarships-grants/find-scholarship/foundation/1st-year/csugive-geoff-honey-memorial-scholarship", "Staffgive Geoff Honey Memorial Scholarship")</f>
        <v>Staffgive Geoff Honey Memorial Scholarship</v>
      </c>
      <c r="C42" t="s">
        <v>14</v>
      </c>
      <c r="D42" t="s">
        <v>203</v>
      </c>
      <c r="E42" t="s">
        <v>24</v>
      </c>
      <c r="F42" t="s">
        <v>13</v>
      </c>
      <c r="G42" s="12" t="s">
        <v>350</v>
      </c>
      <c r="H42" t="s">
        <v>25</v>
      </c>
      <c r="I42" t="s">
        <v>25</v>
      </c>
    </row>
    <row r="43" spans="1:9" ht="45" x14ac:dyDescent="0.25">
      <c r="A43" s="2" t="s">
        <v>6</v>
      </c>
      <c r="B43" t="str">
        <f>HYPERLINK("https://www.csu.edu.au/scholarships/scholarships-grants/find-scholarship/foundation/continuing/online-study-student-representative-committee-post-graduate-scholarship", "Online Student Representative Committee Post-Graduate Scholarship")</f>
        <v>Online Student Representative Committee Post-Graduate Scholarship</v>
      </c>
      <c r="C43" t="s">
        <v>14</v>
      </c>
      <c r="D43" s="7" t="s">
        <v>220</v>
      </c>
      <c r="E43" t="s">
        <v>24</v>
      </c>
      <c r="F43" t="s">
        <v>51</v>
      </c>
      <c r="G43" s="12" t="s">
        <v>221</v>
      </c>
      <c r="H43" t="s">
        <v>25</v>
      </c>
      <c r="I43" t="s">
        <v>25</v>
      </c>
    </row>
    <row r="44" spans="1:9" ht="45" x14ac:dyDescent="0.25">
      <c r="A44" s="2" t="s">
        <v>6</v>
      </c>
      <c r="B44" t="str">
        <f>HYPERLINK("https://www.csu.edu.au/scholarships/scholarships-grants/find-scholarship/foundation/continuing/charles-sturt-foundation-sports-council-scholarship", "SRC Sports Scholarship")</f>
        <v>SRC Sports Scholarship</v>
      </c>
      <c r="C44" t="s">
        <v>27</v>
      </c>
      <c r="D44" t="s">
        <v>214</v>
      </c>
      <c r="E44" t="s">
        <v>24</v>
      </c>
      <c r="F44" t="s">
        <v>51</v>
      </c>
      <c r="G44" s="12" t="s">
        <v>459</v>
      </c>
      <c r="H44" t="s">
        <v>25</v>
      </c>
      <c r="I44" t="s">
        <v>25</v>
      </c>
    </row>
    <row r="45" spans="1:9" ht="30" x14ac:dyDescent="0.25">
      <c r="A45" s="2" t="s">
        <v>6</v>
      </c>
      <c r="B45" t="str">
        <f>HYPERLINK("https://www.csu.edu.au/scholarships/scholarships-grants/find-scholarship/foundation/accom/csu-bushpigs-football-club-accommodation-scholarship", "CSU Bushpigs Football Club Accommodation Scholarship")</f>
        <v>CSU Bushpigs Football Club Accommodation Scholarship</v>
      </c>
      <c r="C45" t="s">
        <v>27</v>
      </c>
      <c r="D45" s="7" t="s">
        <v>222</v>
      </c>
      <c r="E45" t="s">
        <v>31</v>
      </c>
      <c r="F45" t="s">
        <v>13</v>
      </c>
      <c r="G45" s="12" t="s">
        <v>351</v>
      </c>
      <c r="H45" t="s">
        <v>25</v>
      </c>
      <c r="I45" t="s">
        <v>25</v>
      </c>
    </row>
    <row r="46" spans="1:9" ht="285" x14ac:dyDescent="0.25">
      <c r="A46" s="2" t="s">
        <v>6</v>
      </c>
      <c r="B46" t="str">
        <f>HYPERLINK("https://www.csu.edu.au/scholarships/scholarships-grants/find-scholarship/foundation/any-year/the-wagga-rsl-club-scholarship", "The Wagga RSL Club Scholarship")</f>
        <v>The Wagga RSL Club Scholarship</v>
      </c>
      <c r="C46" t="s">
        <v>14</v>
      </c>
      <c r="D46" t="s">
        <v>203</v>
      </c>
      <c r="E46" t="s">
        <v>201</v>
      </c>
      <c r="F46" t="s">
        <v>13</v>
      </c>
      <c r="G46" s="12" t="s">
        <v>352</v>
      </c>
      <c r="H46" t="s">
        <v>25</v>
      </c>
      <c r="I46" t="s">
        <v>25</v>
      </c>
    </row>
    <row r="47" spans="1:9" ht="135" x14ac:dyDescent="0.25">
      <c r="A47" s="2" t="s">
        <v>6</v>
      </c>
      <c r="B47" t="str">
        <f>HYPERLINK("https://www.csu.edu.au/scholarships/scholarships-grants/find-scholarship/foundation/any-year/csu-rugby-alumni-scholarship", "CSU Rugby Alumni Scholarship")</f>
        <v>CSU Rugby Alumni Scholarship</v>
      </c>
      <c r="C47" t="s">
        <v>27</v>
      </c>
      <c r="D47" t="s">
        <v>193</v>
      </c>
      <c r="E47" t="s">
        <v>201</v>
      </c>
      <c r="F47" t="s">
        <v>13</v>
      </c>
      <c r="G47" s="12" t="s">
        <v>353</v>
      </c>
      <c r="H47" t="s">
        <v>25</v>
      </c>
      <c r="I47" t="s">
        <v>25</v>
      </c>
    </row>
    <row r="48" spans="1:9" ht="45" x14ac:dyDescent="0.25">
      <c r="A48" s="2" t="s">
        <v>6</v>
      </c>
      <c r="B48" t="str">
        <f>HYPERLINK("https://www.csu.edu.au/scholarships/scholarships-grants/find-scholarship/foundation/continuing/the-blair-milan-memorial-scholarship", "Blair Milan Memorial Scholarship")</f>
        <v>Blair Milan Memorial Scholarship</v>
      </c>
      <c r="C48" t="s">
        <v>27</v>
      </c>
      <c r="D48" t="s">
        <v>202</v>
      </c>
      <c r="E48" t="s">
        <v>205</v>
      </c>
      <c r="F48" t="s">
        <v>13</v>
      </c>
      <c r="G48" s="12" t="s">
        <v>354</v>
      </c>
      <c r="H48" t="s">
        <v>25</v>
      </c>
      <c r="I48" t="s">
        <v>25</v>
      </c>
    </row>
    <row r="49" spans="1:9" ht="60" x14ac:dyDescent="0.25">
      <c r="A49" s="2" t="s">
        <v>6</v>
      </c>
      <c r="B49" t="str">
        <f>HYPERLINK("https://www.csu.edu.au/scholarships/scholarships-grants/find-scholarship/foundation/any-year/CSU-Australian-Football-and-Netball-Club-Scholarships", "CSU Australian Football and Netball Club Prize")</f>
        <v>CSU Australian Football and Netball Club Prize</v>
      </c>
      <c r="C49" t="s">
        <v>27</v>
      </c>
      <c r="D49" s="7" t="s">
        <v>223</v>
      </c>
      <c r="E49" t="s">
        <v>24</v>
      </c>
      <c r="F49" t="s">
        <v>35</v>
      </c>
      <c r="G49" s="12" t="s">
        <v>355</v>
      </c>
      <c r="H49" t="s">
        <v>25</v>
      </c>
      <c r="I49" t="s">
        <v>25</v>
      </c>
    </row>
    <row r="50" spans="1:9" ht="60" x14ac:dyDescent="0.25">
      <c r="A50" s="2" t="s">
        <v>6</v>
      </c>
      <c r="B50" t="str">
        <f>HYPERLINK("https://www.csu.edu.au/scholarships/scholarships-grants/find-scholarship/foundation/any-year/online-study-student-representative-committee-scholarship", "Online Study Student Representative Committee Undergraduate Scholarship")</f>
        <v>Online Study Student Representative Committee Undergraduate Scholarship</v>
      </c>
      <c r="C50" t="s">
        <v>14</v>
      </c>
      <c r="D50" s="7" t="s">
        <v>225</v>
      </c>
      <c r="E50" t="s">
        <v>24</v>
      </c>
      <c r="F50" t="s">
        <v>13</v>
      </c>
      <c r="G50" s="12" t="s">
        <v>226</v>
      </c>
      <c r="H50" t="s">
        <v>25</v>
      </c>
      <c r="I50" t="s">
        <v>25</v>
      </c>
    </row>
    <row r="51" spans="1:9" ht="135" x14ac:dyDescent="0.25">
      <c r="A51" s="2" t="s">
        <v>6</v>
      </c>
      <c r="B51" t="str">
        <f>HYPERLINK("https://www.csu.edu.au/scholarships/scholarships-grants/find-scholarship/foundation/continuing/staffgive-work-placement-prize", "Staffgive Work Placement Prize")</f>
        <v>Staffgive Work Placement Prize</v>
      </c>
      <c r="C51" t="s">
        <v>27</v>
      </c>
      <c r="D51" t="s">
        <v>214</v>
      </c>
      <c r="E51" t="s">
        <v>24</v>
      </c>
      <c r="F51" t="s">
        <v>13</v>
      </c>
      <c r="G51" s="12" t="s">
        <v>460</v>
      </c>
      <c r="H51" t="s">
        <v>25</v>
      </c>
      <c r="I51" t="s">
        <v>16</v>
      </c>
    </row>
    <row r="52" spans="1:9" ht="90" x14ac:dyDescent="0.25">
      <c r="A52" s="2" t="s">
        <v>6</v>
      </c>
      <c r="B52" t="str">
        <f>HYPERLINK("https://www.csu.edu.au/scholarships/scholarships-grants/find-scholarship/foundation/continuing/lila-kirilik-human-servicessocial-work-scholarship", "Lila Kirilik Human Services/Social Work Scholarship")</f>
        <v>Lila Kirilik Human Services/Social Work Scholarship</v>
      </c>
      <c r="C52" t="s">
        <v>14</v>
      </c>
      <c r="D52" s="7" t="s">
        <v>227</v>
      </c>
      <c r="E52" t="s">
        <v>24</v>
      </c>
      <c r="F52" t="s">
        <v>13</v>
      </c>
      <c r="G52" s="12" t="s">
        <v>461</v>
      </c>
      <c r="H52" t="s">
        <v>25</v>
      </c>
      <c r="I52" t="s">
        <v>25</v>
      </c>
    </row>
    <row r="53" spans="1:9" ht="75" x14ac:dyDescent="0.25">
      <c r="A53" s="2" t="s">
        <v>6</v>
      </c>
      <c r="B53" t="str">
        <f>HYPERLINK("https://www.csu.edu.au/scholarships/scholarships-grants/find-scholarship/foundation/accom/st-martins-college-helen-and-james-faulks-scholarship", "St Martins College Helen and James Faulks Scholarship")</f>
        <v>St Martins College Helen and James Faulks Scholarship</v>
      </c>
      <c r="C53" t="s">
        <v>14</v>
      </c>
      <c r="D53" t="s">
        <v>193</v>
      </c>
      <c r="E53" t="s">
        <v>24</v>
      </c>
      <c r="F53" t="s">
        <v>13</v>
      </c>
      <c r="G53" s="12" t="s">
        <v>462</v>
      </c>
      <c r="H53" t="s">
        <v>25</v>
      </c>
      <c r="I53" t="s">
        <v>25</v>
      </c>
    </row>
    <row r="54" spans="1:9" ht="210" x14ac:dyDescent="0.25">
      <c r="A54" s="2" t="s">
        <v>6</v>
      </c>
      <c r="B54" t="str">
        <f>HYPERLINK("https://www.csu.edu.au/scholarships/scholarships-grants/find-scholarship/foundation/any-year/mr-gerry-and-mrs-helen-baber-scholarship", "Mr Gerry Baber &amp; Mrs Helen Baber OAM Scholarship")</f>
        <v>Mr Gerry Baber &amp; Mrs Helen Baber OAM Scholarship</v>
      </c>
      <c r="C54" t="s">
        <v>14</v>
      </c>
      <c r="D54" t="s">
        <v>193</v>
      </c>
      <c r="E54" t="s">
        <v>24</v>
      </c>
      <c r="F54" t="s">
        <v>13</v>
      </c>
      <c r="G54" s="12" t="s">
        <v>463</v>
      </c>
      <c r="H54" t="s">
        <v>25</v>
      </c>
      <c r="I54" t="s">
        <v>25</v>
      </c>
    </row>
    <row r="55" spans="1:9" ht="60" x14ac:dyDescent="0.25">
      <c r="A55" s="2" t="s">
        <v>6</v>
      </c>
      <c r="B55" t="str">
        <f>HYPERLINK("https://www.csu.edu.au/scholarships/scholarships-grants/find-scholarship/foundation/any-year/lions-club-of-albury-inc.-scholarship", "Lions Club of Albury Inc. Scholarship")</f>
        <v>Lions Club of Albury Inc. Scholarship</v>
      </c>
      <c r="C55" t="s">
        <v>27</v>
      </c>
      <c r="D55" t="s">
        <v>228</v>
      </c>
      <c r="E55" t="s">
        <v>24</v>
      </c>
      <c r="F55" t="s">
        <v>13</v>
      </c>
      <c r="G55" s="12" t="s">
        <v>464</v>
      </c>
      <c r="H55" t="s">
        <v>25</v>
      </c>
      <c r="I55" t="s">
        <v>25</v>
      </c>
    </row>
    <row r="56" spans="1:9" ht="45" x14ac:dyDescent="0.25">
      <c r="A56" s="2" t="s">
        <v>6</v>
      </c>
      <c r="B56" t="str">
        <f>HYPERLINK("https://www.csu.edu.au/scholarships/scholarships-grants/find-scholarship/foundation/accom/st-martins-college-financial-assistance-accommodation-scholarship", "St Martins College Academic Scholarship")</f>
        <v>St Martins College Academic Scholarship</v>
      </c>
      <c r="C56" t="s">
        <v>14</v>
      </c>
      <c r="D56" s="7" t="s">
        <v>193</v>
      </c>
      <c r="E56" t="s">
        <v>24</v>
      </c>
      <c r="F56" t="s">
        <v>13</v>
      </c>
      <c r="G56" s="12" t="s">
        <v>465</v>
      </c>
      <c r="H56" t="s">
        <v>25</v>
      </c>
      <c r="I56" t="s">
        <v>25</v>
      </c>
    </row>
    <row r="57" spans="1:9" ht="30" x14ac:dyDescent="0.25">
      <c r="A57" s="2" t="s">
        <v>6</v>
      </c>
      <c r="B57" t="str">
        <f>HYPERLINK("https://www.csu.edu.au/scholarships/scholarships-grants/find-scholarship/foundation/any-year/charles-sturt-campus-services-financial-assistance-scholarships", "Charles Sturt Campus Services Financial Assistance Scholarships")</f>
        <v>Charles Sturt Campus Services Financial Assistance Scholarships</v>
      </c>
      <c r="C57" t="s">
        <v>14</v>
      </c>
      <c r="D57" s="7" t="s">
        <v>203</v>
      </c>
      <c r="E57" t="s">
        <v>31</v>
      </c>
      <c r="F57" t="s">
        <v>13</v>
      </c>
      <c r="G57" s="12" t="s">
        <v>207</v>
      </c>
      <c r="H57" t="s">
        <v>25</v>
      </c>
      <c r="I57" t="s">
        <v>25</v>
      </c>
    </row>
    <row r="58" spans="1:9" ht="75" x14ac:dyDescent="0.25">
      <c r="A58" s="2" t="s">
        <v>6</v>
      </c>
      <c r="B58" t="str">
        <f>HYPERLINK("https://www.csu.edu.au/scholarships/scholarships-grants/find-scholarship/foundation/any-year/mark-lockyear-library-and-information-scholarship", "Mark Lockyear Library and Information Scholarship")</f>
        <v>Mark Lockyear Library and Information Scholarship</v>
      </c>
      <c r="C58" t="s">
        <v>27</v>
      </c>
      <c r="D58" s="7" t="s">
        <v>193</v>
      </c>
      <c r="E58" t="s">
        <v>24</v>
      </c>
      <c r="F58" t="s">
        <v>35</v>
      </c>
      <c r="G58" s="12" t="s">
        <v>466</v>
      </c>
      <c r="H58" t="s">
        <v>25</v>
      </c>
      <c r="I58" t="s">
        <v>25</v>
      </c>
    </row>
    <row r="59" spans="1:9" ht="75" x14ac:dyDescent="0.25">
      <c r="A59" s="2" t="s">
        <v>6</v>
      </c>
      <c r="B59" t="str">
        <f>HYPERLINK("https://www.csu.edu.au/scholarships/scholarships-grants/find-scholarship/foundation/1st-year/ron-camplin-scholarship", "Dr Ron Camplin Scholarship OAM")</f>
        <v>Dr Ron Camplin Scholarship OAM</v>
      </c>
      <c r="C59" t="s">
        <v>27</v>
      </c>
      <c r="D59" t="s">
        <v>229</v>
      </c>
      <c r="E59" t="s">
        <v>201</v>
      </c>
      <c r="F59" t="s">
        <v>13</v>
      </c>
      <c r="G59" s="12" t="s">
        <v>467</v>
      </c>
      <c r="H59" t="s">
        <v>25</v>
      </c>
      <c r="I59" t="s">
        <v>25</v>
      </c>
    </row>
    <row r="60" spans="1:9" ht="45" x14ac:dyDescent="0.25">
      <c r="A60" s="2" t="s">
        <v>6</v>
      </c>
      <c r="B60" t="str">
        <f>HYPERLINK("https://www.csu.edu.au/scholarships/scholarships-grants/find-scholarship/foundation/any-year/bathurst-mitchell-student-representative-committee-scholarship", "Bathurst (Mitchell) Student Representative Committee Scholarship")</f>
        <v>Bathurst (Mitchell) Student Representative Committee Scholarship</v>
      </c>
      <c r="C60" t="s">
        <v>14</v>
      </c>
      <c r="D60" t="s">
        <v>193</v>
      </c>
      <c r="E60" t="s">
        <v>24</v>
      </c>
      <c r="F60" t="s">
        <v>13</v>
      </c>
      <c r="G60" s="12" t="s">
        <v>468</v>
      </c>
      <c r="H60" t="s">
        <v>25</v>
      </c>
      <c r="I60" t="s">
        <v>25</v>
      </c>
    </row>
    <row r="61" spans="1:9" ht="45" x14ac:dyDescent="0.25">
      <c r="A61" s="2" t="s">
        <v>6</v>
      </c>
      <c r="B61" t="str">
        <f>HYPERLINK("https://www.csu.edu.au/scholarships/scholarships-grants/find-scholarship/foundation/any-year/bowcher-family-scholarship", "Bowcher Family Scholarship")</f>
        <v>Bowcher Family Scholarship</v>
      </c>
      <c r="C61" t="s">
        <v>14</v>
      </c>
      <c r="D61" t="s">
        <v>230</v>
      </c>
      <c r="E61" t="s">
        <v>24</v>
      </c>
      <c r="F61" t="s">
        <v>197</v>
      </c>
      <c r="G61" s="12" t="s">
        <v>469</v>
      </c>
      <c r="H61" t="s">
        <v>25</v>
      </c>
      <c r="I61" t="s">
        <v>25</v>
      </c>
    </row>
    <row r="62" spans="1:9" ht="105" x14ac:dyDescent="0.25">
      <c r="A62" s="2" t="s">
        <v>6</v>
      </c>
      <c r="B62" t="str">
        <f>HYPERLINK("https://www.csu.edu.au/scholarships/scholarships-grants/find-scholarship/foundation/continuing/csu-give-work-placement-scholarship", "Staffgive Work Placement Scholarship")</f>
        <v>Staffgive Work Placement Scholarship</v>
      </c>
      <c r="C62" t="s">
        <v>27</v>
      </c>
      <c r="D62" t="s">
        <v>203</v>
      </c>
      <c r="E62" t="s">
        <v>24</v>
      </c>
      <c r="F62" t="s">
        <v>13</v>
      </c>
      <c r="G62" s="12" t="s">
        <v>470</v>
      </c>
      <c r="H62" t="s">
        <v>25</v>
      </c>
      <c r="I62" t="s">
        <v>16</v>
      </c>
    </row>
    <row r="63" spans="1:9" ht="90" x14ac:dyDescent="0.25">
      <c r="A63" s="2" t="s">
        <v>6</v>
      </c>
      <c r="B63" t="str">
        <f>HYPERLINK("https://www.csu.edu.au/scholarships/scholarships-grants/find-scholarship/foundation/any-year/lions-club-port-macquarie-tacking-point", "Lions Club of Port Macquarie Tacking Point Scholarship")</f>
        <v>Lions Club of Port Macquarie Tacking Point Scholarship</v>
      </c>
      <c r="C63" t="s">
        <v>14</v>
      </c>
      <c r="D63" t="s">
        <v>214</v>
      </c>
      <c r="E63" t="s">
        <v>201</v>
      </c>
      <c r="F63" t="s">
        <v>35</v>
      </c>
      <c r="G63" s="12" t="s">
        <v>471</v>
      </c>
      <c r="H63" t="s">
        <v>25</v>
      </c>
      <c r="I63" t="s">
        <v>25</v>
      </c>
    </row>
    <row r="64" spans="1:9" ht="60" x14ac:dyDescent="0.25">
      <c r="A64" s="2" t="s">
        <v>6</v>
      </c>
      <c r="B64" t="str">
        <f>HYPERLINK("https://www.csu.edu.au/scholarships/scholarships-grants/find-scholarship/foundation/1st-year/wagga-wagga-city-council-scholarship", "Wagga Wagga City Council Scholarship")</f>
        <v>Wagga Wagga City Council Scholarship</v>
      </c>
      <c r="C64" t="s">
        <v>27</v>
      </c>
      <c r="D64" t="s">
        <v>211</v>
      </c>
      <c r="E64" t="s">
        <v>24</v>
      </c>
      <c r="F64" t="s">
        <v>13</v>
      </c>
      <c r="G64" s="12" t="s">
        <v>472</v>
      </c>
      <c r="H64" t="s">
        <v>25</v>
      </c>
      <c r="I64" t="s">
        <v>25</v>
      </c>
    </row>
    <row r="65" spans="1:9" ht="195" x14ac:dyDescent="0.25">
      <c r="A65" s="2" t="s">
        <v>6</v>
      </c>
      <c r="B65" t="str">
        <f>HYPERLINK("https://www.csu.edu.au/scholarships/scholarships-grants/find-scholarship/foundation/continuing/daily-advertiser-scholarship", "Daily Advertiser Scholarship")</f>
        <v>Daily Advertiser Scholarship</v>
      </c>
      <c r="C65" t="s">
        <v>14</v>
      </c>
      <c r="D65" t="s">
        <v>231</v>
      </c>
      <c r="E65" t="s">
        <v>24</v>
      </c>
      <c r="F65" t="s">
        <v>13</v>
      </c>
      <c r="G65" s="12" t="s">
        <v>473</v>
      </c>
      <c r="H65" t="s">
        <v>25</v>
      </c>
      <c r="I65" t="s">
        <v>25</v>
      </c>
    </row>
    <row r="66" spans="1:9" ht="45" x14ac:dyDescent="0.25">
      <c r="A66" s="2" t="s">
        <v>6</v>
      </c>
      <c r="B66" t="str">
        <f>HYPERLINK("https://www.csu.edu.au/scholarships/scholarships-grants/find-scholarship/foundation/1st-year/dubbo-regional-council-scholarship", "Dubbo Regional Council Scholarship")</f>
        <v>Dubbo Regional Council Scholarship</v>
      </c>
      <c r="C66" t="s">
        <v>27</v>
      </c>
      <c r="D66" t="s">
        <v>193</v>
      </c>
      <c r="E66" t="s">
        <v>24</v>
      </c>
      <c r="F66" t="s">
        <v>13</v>
      </c>
      <c r="G66" s="12" t="s">
        <v>474</v>
      </c>
      <c r="H66" t="s">
        <v>25</v>
      </c>
      <c r="I66" t="s">
        <v>25</v>
      </c>
    </row>
    <row r="67" spans="1:9" ht="45" x14ac:dyDescent="0.25">
      <c r="A67" s="2" t="s">
        <v>6</v>
      </c>
      <c r="B67" t="str">
        <f>HYPERLINK("https://www.csu.edu.au/scholarships/scholarships-grants/find-scholarship/foundation/1st-year/dr-doug-stace-scholarship", "Dr Doug Stace Scholarship")</f>
        <v>Dr Doug Stace Scholarship</v>
      </c>
      <c r="C67" t="s">
        <v>27</v>
      </c>
      <c r="D67" t="s">
        <v>203</v>
      </c>
      <c r="E67" t="s">
        <v>24</v>
      </c>
      <c r="F67" t="s">
        <v>13</v>
      </c>
      <c r="G67" s="12" t="s">
        <v>475</v>
      </c>
      <c r="H67" t="s">
        <v>25</v>
      </c>
      <c r="I67" t="s">
        <v>25</v>
      </c>
    </row>
    <row r="68" spans="1:9" ht="45" x14ac:dyDescent="0.25">
      <c r="A68" s="2" t="s">
        <v>6</v>
      </c>
      <c r="B68" t="str">
        <f>HYPERLINK("https://www.csu.edu.au/scholarships/scholarships-grants/find-scholarship/foundation/1st-year/the-carole-and-stan-droder-prize", "The Carole and Stan Droder Prize")</f>
        <v>The Carole and Stan Droder Prize</v>
      </c>
      <c r="C68" t="s">
        <v>14</v>
      </c>
      <c r="D68" t="s">
        <v>214</v>
      </c>
      <c r="E68" t="s">
        <v>24</v>
      </c>
      <c r="F68" t="s">
        <v>13</v>
      </c>
      <c r="G68" s="12" t="s">
        <v>476</v>
      </c>
      <c r="H68" t="s">
        <v>25</v>
      </c>
      <c r="I68" t="s">
        <v>25</v>
      </c>
    </row>
    <row r="69" spans="1:9" ht="120" x14ac:dyDescent="0.25">
      <c r="A69" s="2" t="s">
        <v>6</v>
      </c>
      <c r="B69" t="str">
        <f>HYPERLINK("https://www.csu.edu.au/scholarships/scholarships-grants/find-scholarship/foundation/1st-year/bush-childrens-education-foundation-bcef-scholarship2", "Bush Children's Education Foundation (BCEF) Scholarship ")</f>
        <v xml:space="preserve">Bush Children's Education Foundation (BCEF) Scholarship </v>
      </c>
      <c r="C69" t="s">
        <v>14</v>
      </c>
      <c r="D69" t="s">
        <v>215</v>
      </c>
      <c r="E69" t="s">
        <v>201</v>
      </c>
      <c r="F69" t="s">
        <v>35</v>
      </c>
      <c r="G69" s="12" t="s">
        <v>362</v>
      </c>
      <c r="H69" t="s">
        <v>25</v>
      </c>
      <c r="I69" t="s">
        <v>25</v>
      </c>
    </row>
    <row r="70" spans="1:9" ht="60" x14ac:dyDescent="0.25">
      <c r="A70" s="2" t="s">
        <v>6</v>
      </c>
      <c r="B70" t="str">
        <f>HYPERLINK("https://www.csu.edu.au/scholarships/scholarships-grants/find-scholarship/foundation/1st-year/bathurst-regional-council-scholarship", "Bathurst Regional Council Scholarship")</f>
        <v>Bathurst Regional Council Scholarship</v>
      </c>
      <c r="C70" t="s">
        <v>27</v>
      </c>
      <c r="D70" t="s">
        <v>203</v>
      </c>
      <c r="E70" t="s">
        <v>24</v>
      </c>
      <c r="F70" t="s">
        <v>13</v>
      </c>
      <c r="G70" s="12" t="s">
        <v>363</v>
      </c>
      <c r="H70" t="s">
        <v>25</v>
      </c>
      <c r="I70" t="s">
        <v>25</v>
      </c>
    </row>
    <row r="71" spans="1:9" ht="135" x14ac:dyDescent="0.25">
      <c r="A71" s="2" t="s">
        <v>6</v>
      </c>
      <c r="B71" t="str">
        <f>HYPERLINK("https://www.csu.edu.au/scholarships/scholarships-grants/find-scholarship/foundation/continuing/beth-montgomery-heath-social-work-scholarship", "Beth Montgomery Heath - Social Work Scholarship")</f>
        <v>Beth Montgomery Heath - Social Work Scholarship</v>
      </c>
      <c r="C71" t="s">
        <v>14</v>
      </c>
      <c r="D71" t="s">
        <v>203</v>
      </c>
      <c r="E71" t="s">
        <v>24</v>
      </c>
      <c r="F71" t="s">
        <v>35</v>
      </c>
      <c r="G71" s="12" t="s">
        <v>364</v>
      </c>
      <c r="H71" t="s">
        <v>25</v>
      </c>
      <c r="I71" t="s">
        <v>16</v>
      </c>
    </row>
    <row r="72" spans="1:9" ht="75" x14ac:dyDescent="0.25">
      <c r="A72" s="2" t="s">
        <v>6</v>
      </c>
      <c r="B72" t="str">
        <f>HYPERLINK("https://www.csu.edu.au/scholarships/scholarships-grants/find-scholarship/foundation/continuing/delwyn-nicholls-scholarship", "Delwyn Nicholls Scholarship")</f>
        <v>Delwyn Nicholls Scholarship</v>
      </c>
      <c r="C72" t="s">
        <v>27</v>
      </c>
      <c r="D72" t="s">
        <v>203</v>
      </c>
      <c r="E72" t="s">
        <v>24</v>
      </c>
      <c r="F72" t="s">
        <v>13</v>
      </c>
      <c r="G72" s="12" t="s">
        <v>365</v>
      </c>
      <c r="H72" t="s">
        <v>25</v>
      </c>
      <c r="I72" t="s">
        <v>25</v>
      </c>
    </row>
    <row r="73" spans="1:9" ht="180" x14ac:dyDescent="0.25">
      <c r="A73" s="2" t="s">
        <v>6</v>
      </c>
      <c r="B73" t="str">
        <f>HYPERLINK("https://www.csu.edu.au/scholarships/scholarships-grants/find-scholarship/foundation/1st-year/the-wagga-wagga-rsl-scholarship", "The Wagga Wagga  RSL Sub-Branch Scholarship")</f>
        <v>The Wagga Wagga  RSL Sub-Branch Scholarship</v>
      </c>
      <c r="C73" t="s">
        <v>14</v>
      </c>
      <c r="D73" t="s">
        <v>208</v>
      </c>
      <c r="E73" t="s">
        <v>205</v>
      </c>
      <c r="F73" t="s">
        <v>13</v>
      </c>
      <c r="G73" s="12" t="s">
        <v>366</v>
      </c>
      <c r="H73" t="s">
        <v>25</v>
      </c>
      <c r="I73" t="s">
        <v>25</v>
      </c>
    </row>
    <row r="74" spans="1:9" ht="30" x14ac:dyDescent="0.25">
      <c r="A74" s="2" t="s">
        <v>6</v>
      </c>
      <c r="B74" t="str">
        <f>HYPERLINK("https://www.csu.edu.au/scholarships/scholarships-grants/find-scholarship/foundation/1st-year/dr-peter-hodgson-scholarship", "Dr Peter Hodgson Scholarship")</f>
        <v>Dr Peter Hodgson Scholarship</v>
      </c>
      <c r="C74" t="s">
        <v>27</v>
      </c>
      <c r="D74" t="s">
        <v>203</v>
      </c>
      <c r="E74" t="s">
        <v>24</v>
      </c>
      <c r="F74" t="s">
        <v>197</v>
      </c>
      <c r="G74" s="12" t="s">
        <v>367</v>
      </c>
      <c r="H74" t="s">
        <v>25</v>
      </c>
      <c r="I74" t="s">
        <v>25</v>
      </c>
    </row>
    <row r="75" spans="1:9" ht="30" x14ac:dyDescent="0.25">
      <c r="A75" s="2" t="s">
        <v>6</v>
      </c>
      <c r="B75" t="str">
        <f>HYPERLINK("https://www.csu.edu.au/scholarships/scholarships-grants/find-scholarship/foundation/continuing/carole-and-stan-droder-scholarship", "Carole and Stan Droder Scholarship")</f>
        <v>Carole and Stan Droder Scholarship</v>
      </c>
      <c r="C75" t="s">
        <v>14</v>
      </c>
      <c r="D75" t="s">
        <v>232</v>
      </c>
      <c r="E75" t="s">
        <v>201</v>
      </c>
      <c r="F75" t="s">
        <v>35</v>
      </c>
      <c r="G75" s="12" t="s">
        <v>368</v>
      </c>
      <c r="H75" t="s">
        <v>25</v>
      </c>
      <c r="I75" t="s">
        <v>25</v>
      </c>
    </row>
    <row r="76" spans="1:9" ht="45" x14ac:dyDescent="0.25">
      <c r="A76" s="2" t="s">
        <v>6</v>
      </c>
      <c r="B76" t="str">
        <f>HYPERLINK("https://www.csu.edu.au/scholarships/scholarships-grants/find-scholarship/foundation/any-year/katie-burns-alumni-assistance-scholarship", "Katie Burns Alumni Assistance Scholarship")</f>
        <v>Katie Burns Alumni Assistance Scholarship</v>
      </c>
      <c r="C76" t="s">
        <v>27</v>
      </c>
      <c r="D76" t="s">
        <v>203</v>
      </c>
      <c r="E76" t="s">
        <v>201</v>
      </c>
      <c r="F76" t="s">
        <v>35</v>
      </c>
      <c r="G76" s="12" t="s">
        <v>369</v>
      </c>
      <c r="H76" t="s">
        <v>25</v>
      </c>
      <c r="I76" t="s">
        <v>25</v>
      </c>
    </row>
    <row r="77" spans="1:9" ht="75" x14ac:dyDescent="0.25">
      <c r="A77" s="2" t="s">
        <v>6</v>
      </c>
      <c r="B77" t="str">
        <f>HYPERLINK("https://www.csu.edu.au/scholarships/scholarships-grants/find-scholarship/foundation/accom/st-martins-college-richard-johnson-1st-year-scholarship", "St Martins College Richard Johnson 1st Year Scholarship")</f>
        <v>St Martins College Richard Johnson 1st Year Scholarship</v>
      </c>
      <c r="C77" t="s">
        <v>14</v>
      </c>
      <c r="D77" t="s">
        <v>219</v>
      </c>
      <c r="E77" t="s">
        <v>24</v>
      </c>
      <c r="F77" t="s">
        <v>13</v>
      </c>
      <c r="G77" s="12" t="s">
        <v>370</v>
      </c>
      <c r="H77" t="s">
        <v>25</v>
      </c>
      <c r="I77" t="s">
        <v>25</v>
      </c>
    </row>
    <row r="78" spans="1:9" ht="75" x14ac:dyDescent="0.25">
      <c r="A78" s="2" t="s">
        <v>6</v>
      </c>
      <c r="B78" t="str">
        <f>HYPERLINK("https://www.csu.edu.au/scholarships/scholarships-grants/find-scholarship/foundation/accom/laurel-trinidad-accommodation-scholarship-st-martins", "Laurel Trinidad Accommodation Scholarship (St Martin's)")</f>
        <v>Laurel Trinidad Accommodation Scholarship (St Martin's)</v>
      </c>
      <c r="C78" t="s">
        <v>14</v>
      </c>
      <c r="D78" t="s">
        <v>230</v>
      </c>
      <c r="E78" t="s">
        <v>201</v>
      </c>
      <c r="F78" t="s">
        <v>13</v>
      </c>
      <c r="G78" s="12" t="s">
        <v>371</v>
      </c>
      <c r="H78" t="s">
        <v>25</v>
      </c>
      <c r="I78" t="s">
        <v>25</v>
      </c>
    </row>
    <row r="79" spans="1:9" ht="75" x14ac:dyDescent="0.25">
      <c r="A79" s="2" t="s">
        <v>6</v>
      </c>
      <c r="B79" t="str">
        <f>HYPERLINK("https://www.csu.edu.au/scholarships/scholarships-grants/find-scholarship/foundation/1st-year/charles-sturt-library-sage-apac-diversity,-equity-and-inclusion-scholarship", "Charles Sturt Library Sage APAC – Diversity, Equity and Inclusion Scholarship")</f>
        <v>Charles Sturt Library Sage APAC – Diversity, Equity and Inclusion Scholarship</v>
      </c>
      <c r="C79" t="s">
        <v>14</v>
      </c>
      <c r="D79" t="s">
        <v>203</v>
      </c>
      <c r="E79" t="s">
        <v>201</v>
      </c>
      <c r="F79" t="s">
        <v>197</v>
      </c>
      <c r="G79" s="12" t="s">
        <v>372</v>
      </c>
      <c r="H79" t="s">
        <v>21</v>
      </c>
      <c r="I79" t="s">
        <v>25</v>
      </c>
    </row>
    <row r="80" spans="1:9" ht="45" x14ac:dyDescent="0.25">
      <c r="A80" s="2" t="s">
        <v>6</v>
      </c>
      <c r="B80" t="str">
        <f>HYPERLINK("https://www.csu.edu.au/scholarships/scholarships-grants/find-scholarship/foundation/any-year/aurecon-communication-scholarship", "Aurecon Communication Scholarship")</f>
        <v>Aurecon Communication Scholarship</v>
      </c>
      <c r="C80" t="s">
        <v>27</v>
      </c>
      <c r="D80" t="s">
        <v>233</v>
      </c>
      <c r="E80" t="s">
        <v>201</v>
      </c>
      <c r="F80" t="s">
        <v>13</v>
      </c>
      <c r="G80" s="12" t="s">
        <v>373</v>
      </c>
      <c r="H80" t="s">
        <v>25</v>
      </c>
      <c r="I80" t="s">
        <v>25</v>
      </c>
    </row>
    <row r="81" spans="1:9" ht="75" x14ac:dyDescent="0.25">
      <c r="A81" s="2" t="s">
        <v>6</v>
      </c>
      <c r="B81" t="str">
        <f>HYPERLINK("https://www.csu.edu.au/scholarships/scholarships-grants/find-scholarship/foundation/any-year/yirigaa-cyber-and-software-pathway-scholarship", "Yirigaa Cyber and Software Pathway Scholarship")</f>
        <v>Yirigaa Cyber and Software Pathway Scholarship</v>
      </c>
      <c r="C81" t="s">
        <v>27</v>
      </c>
      <c r="D81" t="s">
        <v>234</v>
      </c>
      <c r="E81" t="s">
        <v>201</v>
      </c>
      <c r="F81" t="s">
        <v>375</v>
      </c>
      <c r="G81" s="12" t="s">
        <v>374</v>
      </c>
      <c r="H81" t="s">
        <v>25</v>
      </c>
      <c r="I81" t="s">
        <v>25</v>
      </c>
    </row>
    <row r="82" spans="1:9" ht="120" x14ac:dyDescent="0.25">
      <c r="A82" s="2" t="s">
        <v>6</v>
      </c>
      <c r="B82" t="str">
        <f>HYPERLINK("https://www.csu.edu.au/scholarships/scholarships-grants/find-scholarship/foundation/continuing/olding-business-scholarship", "Olding Business Scholarship")</f>
        <v>Olding Business Scholarship</v>
      </c>
      <c r="C82" t="s">
        <v>27</v>
      </c>
      <c r="D82" t="s">
        <v>234</v>
      </c>
      <c r="E82" t="s">
        <v>201</v>
      </c>
      <c r="F82" t="s">
        <v>35</v>
      </c>
      <c r="G82" s="12" t="s">
        <v>376</v>
      </c>
      <c r="H82" t="s">
        <v>25</v>
      </c>
      <c r="I82" t="s">
        <v>25</v>
      </c>
    </row>
    <row r="83" spans="1:9" ht="60" x14ac:dyDescent="0.25">
      <c r="A83" s="2" t="s">
        <v>6</v>
      </c>
      <c r="B83" t="str">
        <f>HYPERLINK("https://www.csu.edu.au/scholarships/scholarships-grants/find-scholarship/foundation/any-year/wagga-wagga-teachers-alumni-scholarship", "Wagga Wagga Teachers College Alumni Association Scholarship")</f>
        <v>Wagga Wagga Teachers College Alumni Association Scholarship</v>
      </c>
      <c r="C83" t="s">
        <v>27</v>
      </c>
      <c r="D83" t="s">
        <v>236</v>
      </c>
      <c r="E83" t="s">
        <v>205</v>
      </c>
      <c r="F83" t="s">
        <v>35</v>
      </c>
      <c r="G83" s="12" t="s">
        <v>377</v>
      </c>
      <c r="H83" t="s">
        <v>25</v>
      </c>
      <c r="I83" t="s">
        <v>25</v>
      </c>
    </row>
    <row r="84" spans="1:9" ht="90" x14ac:dyDescent="0.25">
      <c r="A84" s="2" t="s">
        <v>6</v>
      </c>
      <c r="B84" t="str">
        <f>HYPERLINK("https://www.csu.edu.au/scholarships/scholarships-grants/find-scholarship/foundation/any-year/charles-sturt-foundation2", "Dr John Reid Scholarship")</f>
        <v>Dr John Reid Scholarship</v>
      </c>
      <c r="C84" t="s">
        <v>27</v>
      </c>
      <c r="D84" t="s">
        <v>193</v>
      </c>
      <c r="E84" t="s">
        <v>24</v>
      </c>
      <c r="F84" t="s">
        <v>13</v>
      </c>
      <c r="G84" s="12" t="s">
        <v>477</v>
      </c>
      <c r="H84" t="s">
        <v>25</v>
      </c>
      <c r="I84" t="s">
        <v>25</v>
      </c>
    </row>
    <row r="85" spans="1:9" ht="75" x14ac:dyDescent="0.25">
      <c r="A85" s="2" t="s">
        <v>6</v>
      </c>
      <c r="B85" t="str">
        <f>HYPERLINK("https://www.csu.edu.au/scholarships/scholarships-grants/find-scholarship/foundation/any-year/charles-sturt-accounting-alumni-academic-prize", "Charles Sturt Accounting Alumni Academic Prize")</f>
        <v>Charles Sturt Accounting Alumni Academic Prize</v>
      </c>
      <c r="C85" t="s">
        <v>27</v>
      </c>
      <c r="D85" t="s">
        <v>224</v>
      </c>
      <c r="E85" t="s">
        <v>24</v>
      </c>
      <c r="F85" t="s">
        <v>13</v>
      </c>
      <c r="G85" s="12" t="s">
        <v>478</v>
      </c>
      <c r="H85" t="s">
        <v>25</v>
      </c>
      <c r="I85" t="s">
        <v>25</v>
      </c>
    </row>
    <row r="86" spans="1:9" ht="60" x14ac:dyDescent="0.25">
      <c r="A86" s="2" t="s">
        <v>6</v>
      </c>
      <c r="B86" t="str">
        <f>HYPERLINK("https://www.csu.edu.au/scholarships/scholarships-grants/find-scholarship/foundation/any-year/the-hayes-scholarship", "The Hayes Scholarship")</f>
        <v>The Hayes Scholarship</v>
      </c>
      <c r="C86" t="s">
        <v>27</v>
      </c>
      <c r="D86" t="s">
        <v>208</v>
      </c>
      <c r="E86" t="s">
        <v>201</v>
      </c>
      <c r="F86" t="s">
        <v>197</v>
      </c>
      <c r="G86" s="12" t="s">
        <v>479</v>
      </c>
      <c r="H86" t="s">
        <v>25</v>
      </c>
      <c r="I86" t="s">
        <v>25</v>
      </c>
    </row>
    <row r="87" spans="1:9" ht="75" x14ac:dyDescent="0.25">
      <c r="A87" s="2" t="s">
        <v>6</v>
      </c>
      <c r="B87" t="str">
        <f>HYPERLINK("https://www.csu.edu.au/scholarships/scholarships-grants/find-scholarship/foundation/any-year/lionel-allen-memorial-scholarship", "Lionel Allen Memorial Scholarship")</f>
        <v>Lionel Allen Memorial Scholarship</v>
      </c>
      <c r="C87" t="s">
        <v>27</v>
      </c>
      <c r="D87" s="7" t="s">
        <v>210</v>
      </c>
      <c r="E87" t="s">
        <v>24</v>
      </c>
      <c r="F87" t="s">
        <v>13</v>
      </c>
      <c r="G87" s="12" t="s">
        <v>480</v>
      </c>
      <c r="H87" t="s">
        <v>25</v>
      </c>
      <c r="I87" t="s">
        <v>25</v>
      </c>
    </row>
    <row r="88" spans="1:9" ht="60" x14ac:dyDescent="0.25">
      <c r="A88" s="2" t="s">
        <v>6</v>
      </c>
      <c r="B88" t="str">
        <f>HYPERLINK("https://www.csu.edu.au/scholarships/scholarships-grants/find-scholarship/foundation/any-year/margaret-illuukol-trust-health-scholarship", "Margaret Illukol Trust Health Scholarship")</f>
        <v>Margaret Illukol Trust Health Scholarship</v>
      </c>
      <c r="C88" t="s">
        <v>27</v>
      </c>
      <c r="D88" t="s">
        <v>237</v>
      </c>
      <c r="E88" t="s">
        <v>201</v>
      </c>
      <c r="F88" t="s">
        <v>35</v>
      </c>
      <c r="G88" s="12" t="s">
        <v>481</v>
      </c>
      <c r="H88" t="s">
        <v>25</v>
      </c>
      <c r="I88" t="s">
        <v>25</v>
      </c>
    </row>
    <row r="89" spans="1:9" ht="45" x14ac:dyDescent="0.25">
      <c r="A89" s="2" t="s">
        <v>6</v>
      </c>
      <c r="B89" t="str">
        <f>HYPERLINK("https://www.csu.edu.au/scholarships/scholarships-grants/find-scholarship/equity/transgrid-scholarship", "Transgrid Civil Engineering Scholarship")</f>
        <v>Transgrid Civil Engineering Scholarship</v>
      </c>
      <c r="C89" t="s">
        <v>27</v>
      </c>
      <c r="D89" s="7" t="s">
        <v>437</v>
      </c>
      <c r="E89" t="s">
        <v>262</v>
      </c>
      <c r="F89" t="s">
        <v>13</v>
      </c>
      <c r="G89" s="12" t="s">
        <v>431</v>
      </c>
      <c r="H89" t="s">
        <v>21</v>
      </c>
      <c r="I89" t="s">
        <v>25</v>
      </c>
    </row>
    <row r="90" spans="1:9" ht="75" x14ac:dyDescent="0.25">
      <c r="A90" s="2" t="s">
        <v>6</v>
      </c>
      <c r="B90" t="str">
        <f>HYPERLINK("https://www.csu.edu.au/scholarships/scholarships-grants/find-scholarship/foundation/continuing/inland-digital-scholarship", "Inland Digital Scholarship")</f>
        <v>Inland Digital Scholarship</v>
      </c>
      <c r="C90" t="s">
        <v>27</v>
      </c>
      <c r="D90" t="s">
        <v>203</v>
      </c>
      <c r="E90" t="s">
        <v>205</v>
      </c>
      <c r="F90" t="s">
        <v>13</v>
      </c>
      <c r="G90" s="12" t="s">
        <v>482</v>
      </c>
      <c r="H90" t="s">
        <v>25</v>
      </c>
      <c r="I90" t="s">
        <v>25</v>
      </c>
    </row>
    <row r="91" spans="1:9" ht="90" x14ac:dyDescent="0.25">
      <c r="A91" s="2" t="s">
        <v>6</v>
      </c>
      <c r="B91" t="str">
        <f>HYPERLINK("https://www.csu.edu.au/scholarships/scholarships-grants/find-scholarship/foundation/any-year/westfund-healthy-futures-scholarship", "Westfund Healthy Futures Scholarship")</f>
        <v>Westfund Healthy Futures Scholarship</v>
      </c>
      <c r="C91" t="s">
        <v>27</v>
      </c>
      <c r="D91" t="s">
        <v>202</v>
      </c>
      <c r="E91" t="s">
        <v>201</v>
      </c>
      <c r="F91" t="s">
        <v>13</v>
      </c>
      <c r="G91" s="12" t="s">
        <v>483</v>
      </c>
      <c r="H91" t="s">
        <v>25</v>
      </c>
      <c r="I91" t="s">
        <v>25</v>
      </c>
    </row>
    <row r="92" spans="1:9" ht="120" x14ac:dyDescent="0.25">
      <c r="A92" s="2" t="s">
        <v>6</v>
      </c>
      <c r="B92" t="str">
        <f>HYPERLINK("https://www.csu.edu.au/scholarships/scholarships-grants/find-scholarship/foundation/any-year/rotary-club-of-liverpool-west-scholarship2", "Rotary Club of Liverpool West Scholarship")</f>
        <v>Rotary Club of Liverpool West Scholarship</v>
      </c>
      <c r="C92" t="s">
        <v>14</v>
      </c>
      <c r="D92" t="s">
        <v>238</v>
      </c>
      <c r="E92" t="s">
        <v>201</v>
      </c>
      <c r="F92" t="s">
        <v>13</v>
      </c>
      <c r="G92" s="12" t="s">
        <v>484</v>
      </c>
      <c r="H92" t="s">
        <v>25</v>
      </c>
      <c r="I92" t="s">
        <v>25</v>
      </c>
    </row>
    <row r="93" spans="1:9" ht="60" x14ac:dyDescent="0.25">
      <c r="A93" s="2" t="s">
        <v>6</v>
      </c>
      <c r="B93" t="str">
        <f>HYPERLINK("https://www.csu.edu.au/scholarships/scholarships-grants/find-scholarship/foundation/1st-year/the-dominos-pizza-business-and-leadership-scholarship", "The Domino's Pizza Business &amp; Leadership scholarship")</f>
        <v>The Domino's Pizza Business &amp; Leadership scholarship</v>
      </c>
      <c r="C93" t="s">
        <v>14</v>
      </c>
      <c r="D93" s="7" t="s">
        <v>210</v>
      </c>
      <c r="E93" t="s">
        <v>24</v>
      </c>
      <c r="F93" t="s">
        <v>13</v>
      </c>
      <c r="G93" s="12" t="s">
        <v>485</v>
      </c>
      <c r="H93" t="s">
        <v>25</v>
      </c>
      <c r="I93" t="s">
        <v>25</v>
      </c>
    </row>
    <row r="94" spans="1:9" ht="90" x14ac:dyDescent="0.25">
      <c r="A94" s="2" t="s">
        <v>6</v>
      </c>
      <c r="B94" s="14" t="str">
        <f>HYPERLINK("https://www.csu.edu.au/scholarships/scholarships-grants/find-scholarship/foundation/any-year/gordon-bullock-memorial-scholarship", "Gordon Bullock Memorial Scholarship")</f>
        <v>Gordon Bullock Memorial Scholarship</v>
      </c>
      <c r="C94" t="s">
        <v>27</v>
      </c>
      <c r="D94" s="7" t="s">
        <v>193</v>
      </c>
      <c r="E94" t="s">
        <v>24</v>
      </c>
      <c r="F94" t="s">
        <v>13</v>
      </c>
      <c r="G94" s="12" t="s">
        <v>486</v>
      </c>
      <c r="H94" t="s">
        <v>25</v>
      </c>
      <c r="I94" t="s">
        <v>25</v>
      </c>
    </row>
    <row r="95" spans="1:9" ht="60" x14ac:dyDescent="0.25">
      <c r="A95" s="2" t="s">
        <v>6</v>
      </c>
      <c r="B95" t="str">
        <f>HYPERLINK("https://www.csu.edu.au/scholarships/scholarships-grants/find-scholarship/foundation/continuing/boston-private-wealth-scholarship", "Boston Private Wealth Scholarship")</f>
        <v>Boston Private Wealth Scholarship</v>
      </c>
      <c r="C95" t="s">
        <v>27</v>
      </c>
      <c r="D95" t="s">
        <v>239</v>
      </c>
      <c r="E95" t="s">
        <v>24</v>
      </c>
      <c r="F95" t="s">
        <v>13</v>
      </c>
      <c r="G95" s="12" t="s">
        <v>487</v>
      </c>
      <c r="H95" t="s">
        <v>25</v>
      </c>
      <c r="I95" t="s">
        <v>25</v>
      </c>
    </row>
    <row r="96" spans="1:9" ht="120" x14ac:dyDescent="0.25">
      <c r="A96" s="2" t="s">
        <v>6</v>
      </c>
      <c r="B96" t="str">
        <f>HYPERLINK("https://www.csu.edu.au/scholarships/scholarships-grants/find-scholarship/foundation/any-year/precision-paper-coatings-pty-ltd-scholarship", "Precision Paper Coatings Pty Ltd Scholarship")</f>
        <v>Precision Paper Coatings Pty Ltd Scholarship</v>
      </c>
      <c r="C96" t="s">
        <v>27</v>
      </c>
      <c r="D96" t="s">
        <v>238</v>
      </c>
      <c r="E96" t="s">
        <v>201</v>
      </c>
      <c r="F96" t="s">
        <v>13</v>
      </c>
      <c r="G96" s="12" t="s">
        <v>488</v>
      </c>
      <c r="H96" t="s">
        <v>25</v>
      </c>
      <c r="I96" t="s">
        <v>25</v>
      </c>
    </row>
    <row r="97" spans="1:9" ht="45" x14ac:dyDescent="0.25">
      <c r="A97" s="2" t="s">
        <v>6</v>
      </c>
      <c r="B97" t="str">
        <f>HYPERLINK("https://www.csu.edu.au/scholarships/scholarships-grants/find-scholarship/foundation/any-year/nsw-public-libraries-association-scholarship", "NSW Public Libraries Association Scholarship")</f>
        <v>NSW Public Libraries Association Scholarship</v>
      </c>
      <c r="C97" t="s">
        <v>27</v>
      </c>
      <c r="D97" t="s">
        <v>208</v>
      </c>
      <c r="E97" t="s">
        <v>201</v>
      </c>
      <c r="F97" t="s">
        <v>13</v>
      </c>
      <c r="G97" s="12" t="s">
        <v>489</v>
      </c>
      <c r="H97" t="s">
        <v>25</v>
      </c>
      <c r="I97" t="s">
        <v>25</v>
      </c>
    </row>
    <row r="98" spans="1:9" ht="60" x14ac:dyDescent="0.25">
      <c r="A98" s="2" t="s">
        <v>6</v>
      </c>
      <c r="B98" t="str">
        <f>HYPERLINK("https://www.csu.edu.au/scholarships/scholarships-grants/find-scholarship/foundation/1st-year/albury-city-council-community-leadership-and-resilience-scholarship", "AlburyCity Council Community Leadership Scholarship")</f>
        <v>AlburyCity Council Community Leadership Scholarship</v>
      </c>
      <c r="C98" t="s">
        <v>27</v>
      </c>
      <c r="D98" t="s">
        <v>240</v>
      </c>
      <c r="E98" t="s">
        <v>201</v>
      </c>
      <c r="F98" t="s">
        <v>51</v>
      </c>
      <c r="G98" s="12" t="s">
        <v>490</v>
      </c>
      <c r="H98" t="s">
        <v>25</v>
      </c>
      <c r="I98" t="s">
        <v>25</v>
      </c>
    </row>
    <row r="99" spans="1:9" ht="90" x14ac:dyDescent="0.25">
      <c r="A99" s="2" t="s">
        <v>6</v>
      </c>
      <c r="B99" t="str">
        <f>HYPERLINK("https://www.csu.edu.au/scholarships/scholarships-grants/find-scholarship/foundation/any-year/rural-australia-foundation-scholarship", "Rural Australia Foundation Scholarship")</f>
        <v>Rural Australia Foundation Scholarship</v>
      </c>
      <c r="C99" t="s">
        <v>27</v>
      </c>
      <c r="D99" s="7" t="s">
        <v>208</v>
      </c>
      <c r="E99" t="s">
        <v>24</v>
      </c>
      <c r="F99" t="s">
        <v>13</v>
      </c>
      <c r="G99" s="12" t="s">
        <v>491</v>
      </c>
      <c r="H99" t="s">
        <v>25</v>
      </c>
      <c r="I99" t="s">
        <v>25</v>
      </c>
    </row>
    <row r="100" spans="1:9" ht="150" x14ac:dyDescent="0.25">
      <c r="A100" s="2" t="s">
        <v>6</v>
      </c>
      <c r="B100" t="str">
        <f>HYPERLINK("https://www.csu.edu.au/scholarships/scholarships-grants/find-scholarship/foundation/continuing/therapy-alliance-group-allied-health-scholarship", "Therapy Alliance Group Allied Health Scholarship")</f>
        <v>Therapy Alliance Group Allied Health Scholarship</v>
      </c>
      <c r="C100" t="s">
        <v>27</v>
      </c>
      <c r="D100" t="s">
        <v>203</v>
      </c>
      <c r="E100" t="s">
        <v>201</v>
      </c>
      <c r="F100" t="s">
        <v>35</v>
      </c>
      <c r="G100" s="12" t="s">
        <v>492</v>
      </c>
      <c r="H100" t="s">
        <v>25</v>
      </c>
      <c r="I100" t="s">
        <v>25</v>
      </c>
    </row>
    <row r="101" spans="1:9" ht="60" x14ac:dyDescent="0.25">
      <c r="A101" s="2" t="s">
        <v>6</v>
      </c>
      <c r="B101" t="str">
        <f>HYPERLINK("https://www.csu.edu.au/scholarships/scholarships-grants/find-scholarship/foundation/any-year/ann-gwynn-jones-memorial-scholarship", "Ann Gwynn-Jones Memorial Scholarship")</f>
        <v>Ann Gwynn-Jones Memorial Scholarship</v>
      </c>
      <c r="C101" t="s">
        <v>27</v>
      </c>
      <c r="D101" t="s">
        <v>216</v>
      </c>
      <c r="E101" t="s">
        <v>24</v>
      </c>
      <c r="F101" t="s">
        <v>197</v>
      </c>
      <c r="G101" s="12" t="s">
        <v>493</v>
      </c>
      <c r="H101" t="s">
        <v>25</v>
      </c>
      <c r="I101" t="s">
        <v>25</v>
      </c>
    </row>
    <row r="102" spans="1:9" ht="135" x14ac:dyDescent="0.25">
      <c r="A102" s="2" t="s">
        <v>6</v>
      </c>
      <c r="B102" t="str">
        <f>HYPERLINK("https://www.csu.edu.au/scholarships/scholarships-grants/find-scholarship/foundation/continuing/the-marila-kozdra-allied-health-excellence-scholarship", "The Marila Kozdra Allied Health Excellence Scholarship")</f>
        <v>The Marila Kozdra Allied Health Excellence Scholarship</v>
      </c>
      <c r="C102" t="s">
        <v>27</v>
      </c>
      <c r="D102" t="s">
        <v>203</v>
      </c>
      <c r="E102" t="s">
        <v>201</v>
      </c>
      <c r="F102" t="s">
        <v>35</v>
      </c>
      <c r="G102" s="12" t="s">
        <v>494</v>
      </c>
      <c r="H102" t="s">
        <v>25</v>
      </c>
      <c r="I102" t="s">
        <v>25</v>
      </c>
    </row>
    <row r="103" spans="1:9" ht="90" x14ac:dyDescent="0.25">
      <c r="A103" s="2" t="s">
        <v>6</v>
      </c>
      <c r="B103" t="str">
        <f>HYPERLINK("https://www.csu.edu.au/scholarships/scholarships-grants/find-scholarship/foundation/any-year/dawn-rigby-memorial-scholarship", "Dawn Rigby Memorial Scholarship")</f>
        <v>Dawn Rigby Memorial Scholarship</v>
      </c>
      <c r="C103" t="s">
        <v>14</v>
      </c>
      <c r="D103" s="7" t="s">
        <v>231</v>
      </c>
      <c r="E103" t="s">
        <v>24</v>
      </c>
      <c r="F103" t="s">
        <v>13</v>
      </c>
      <c r="G103" s="12" t="s">
        <v>495</v>
      </c>
      <c r="H103" t="s">
        <v>25</v>
      </c>
      <c r="I103" t="s">
        <v>25</v>
      </c>
    </row>
    <row r="104" spans="1:9" ht="90" x14ac:dyDescent="0.25">
      <c r="A104" s="2" t="s">
        <v>6</v>
      </c>
      <c r="B104" t="str">
        <f>HYPERLINK("https://www.csu.edu.au/scholarships/scholarships-grants/find-scholarship/foundation/1st-year/riverina-water-county-council-scholarship", "Riverina Water Scholarship")</f>
        <v>Riverina Water Scholarship</v>
      </c>
      <c r="C104" t="s">
        <v>27</v>
      </c>
      <c r="D104" t="s">
        <v>234</v>
      </c>
      <c r="E104" t="s">
        <v>201</v>
      </c>
      <c r="F104" t="s">
        <v>35</v>
      </c>
      <c r="G104" s="12" t="s">
        <v>496</v>
      </c>
      <c r="H104" t="s">
        <v>25</v>
      </c>
      <c r="I104" t="s">
        <v>25</v>
      </c>
    </row>
    <row r="105" spans="1:9" ht="240" x14ac:dyDescent="0.25">
      <c r="A105" s="2" t="s">
        <v>6</v>
      </c>
      <c r="B105" t="str">
        <f>HYPERLINK("https://www.csu.edu.au/scholarships/scholarships-grants/find-scholarship/foundation/continuing/white-family-scholarship", "White Family Scholarship")</f>
        <v>White Family Scholarship</v>
      </c>
      <c r="C105" t="s">
        <v>27</v>
      </c>
      <c r="D105" s="7" t="s">
        <v>211</v>
      </c>
      <c r="E105" t="s">
        <v>24</v>
      </c>
      <c r="F105" t="s">
        <v>13</v>
      </c>
      <c r="G105" s="12" t="s">
        <v>497</v>
      </c>
      <c r="H105" t="s">
        <v>25</v>
      </c>
      <c r="I105" t="s">
        <v>25</v>
      </c>
    </row>
    <row r="106" spans="1:9" ht="90" x14ac:dyDescent="0.25">
      <c r="A106" s="2" t="s">
        <v>6</v>
      </c>
      <c r="B106" t="str">
        <f>HYPERLINK("https://www.csu.edu.au/scholarships/scholarships-grants/find-scholarship/foundation/any-year/mr-oliver-and-mrs-heather-fiala-am-scholarship", "Dr Oliver &amp; Mrs Heather Fiala AM Scholarship")</f>
        <v>Dr Oliver &amp; Mrs Heather Fiala AM Scholarship</v>
      </c>
      <c r="C106" t="s">
        <v>27</v>
      </c>
      <c r="D106" t="s">
        <v>193</v>
      </c>
      <c r="E106" t="s">
        <v>24</v>
      </c>
      <c r="F106" t="s">
        <v>13</v>
      </c>
      <c r="G106" s="12" t="s">
        <v>498</v>
      </c>
      <c r="H106" t="s">
        <v>25</v>
      </c>
      <c r="I106" t="s">
        <v>25</v>
      </c>
    </row>
    <row r="107" spans="1:9" ht="75" x14ac:dyDescent="0.25">
      <c r="A107" s="2" t="s">
        <v>6</v>
      </c>
      <c r="B107" t="str">
        <f>HYPERLINK("https://www.csu.edu.au/scholarships/scholarships-grants/find-scholarship/equity/lachlan,-parkes-and-forbes-lga-allied-health-continuing-student-scholarship-three-rivers", "Lachlan, Parkes and Forbes LGA  Allied Health Continuing Student Scholarship (Three Rivers)")</f>
        <v>Lachlan, Parkes and Forbes LGA  Allied Health Continuing Student Scholarship (Three Rivers)</v>
      </c>
      <c r="C107" t="s">
        <v>27</v>
      </c>
      <c r="D107" t="s">
        <v>241</v>
      </c>
      <c r="E107" t="s">
        <v>201</v>
      </c>
      <c r="F107" t="s">
        <v>35</v>
      </c>
      <c r="G107" s="12" t="s">
        <v>432</v>
      </c>
      <c r="H107" t="s">
        <v>25</v>
      </c>
      <c r="I107" t="s">
        <v>25</v>
      </c>
    </row>
    <row r="108" spans="1:9" ht="90" x14ac:dyDescent="0.25">
      <c r="A108" s="2" t="s">
        <v>6</v>
      </c>
      <c r="B108" t="str">
        <f>HYPERLINK("https://www.csu.edu.au/scholarships/scholarships-grants/find-scholarship/equity/three-rivers-drh-commencing-student-scholarship", "Three Rivers DRH Commencing Student Scholarship")</f>
        <v>Three Rivers DRH Commencing Student Scholarship</v>
      </c>
      <c r="C108" t="s">
        <v>27</v>
      </c>
      <c r="D108" s="7" t="s">
        <v>208</v>
      </c>
      <c r="E108" t="s">
        <v>201</v>
      </c>
      <c r="F108" t="s">
        <v>35</v>
      </c>
      <c r="G108" s="12" t="s">
        <v>433</v>
      </c>
      <c r="H108" t="s">
        <v>25</v>
      </c>
      <c r="I108" t="s">
        <v>25</v>
      </c>
    </row>
    <row r="109" spans="1:9" ht="75" x14ac:dyDescent="0.25">
      <c r="A109" s="2" t="s">
        <v>6</v>
      </c>
      <c r="B109" t="str">
        <f>HYPERLINK("https://www.csu.edu.au/scholarships/scholarships-grants/find-scholarship/equity/three-rivers-drh-aged-care-commencing-student-scholarship", "Three Rivers DRH Aged Care Commencing Student Scholarship")</f>
        <v>Three Rivers DRH Aged Care Commencing Student Scholarship</v>
      </c>
      <c r="C109" t="s">
        <v>27</v>
      </c>
      <c r="D109" t="s">
        <v>242</v>
      </c>
      <c r="E109" t="s">
        <v>243</v>
      </c>
      <c r="F109" t="s">
        <v>35</v>
      </c>
      <c r="G109" s="12" t="s">
        <v>432</v>
      </c>
      <c r="H109" t="s">
        <v>25</v>
      </c>
      <c r="I109" t="s">
        <v>25</v>
      </c>
    </row>
    <row r="110" spans="1:9" ht="105" x14ac:dyDescent="0.25">
      <c r="A110" s="2" t="s">
        <v>6</v>
      </c>
      <c r="B110" t="str">
        <f>HYPERLINK("https://www.csu.edu.au/scholarships/scholarships-grants/find-scholarship/foundation/any-year/jacob-berry-memorial-scholarship", "Jacob Berry Memorial Scholarship")</f>
        <v>Jacob Berry Memorial Scholarship</v>
      </c>
      <c r="C110" t="s">
        <v>27</v>
      </c>
      <c r="D110" t="s">
        <v>228</v>
      </c>
      <c r="E110" t="s">
        <v>201</v>
      </c>
      <c r="F110" t="s">
        <v>13</v>
      </c>
      <c r="G110" s="12" t="s">
        <v>499</v>
      </c>
      <c r="H110" t="s">
        <v>25</v>
      </c>
      <c r="I110" t="s">
        <v>25</v>
      </c>
    </row>
    <row r="111" spans="1:9" ht="75" x14ac:dyDescent="0.25">
      <c r="A111" s="2" t="s">
        <v>6</v>
      </c>
      <c r="B111" t="str">
        <f>HYPERLINK("https://www.csu.edu.au/scholarships/scholarships-grants/find-scholarship/equity/lachlan,-parkes-and-forbes-lga-allied-health-commencing-student-scholarship-three-rivers", "Lachlan, Parkes and Forbes LGA  Allied Health Commencing Student Scholarship (Three Rivers)")</f>
        <v>Lachlan, Parkes and Forbes LGA  Allied Health Commencing Student Scholarship (Three Rivers)</v>
      </c>
      <c r="C111" t="s">
        <v>27</v>
      </c>
      <c r="D111" t="s">
        <v>244</v>
      </c>
      <c r="E111" t="s">
        <v>205</v>
      </c>
      <c r="F111" t="s">
        <v>35</v>
      </c>
      <c r="G111" s="12" t="s">
        <v>432</v>
      </c>
      <c r="H111" t="s">
        <v>25</v>
      </c>
      <c r="I111" t="s">
        <v>25</v>
      </c>
    </row>
    <row r="112" spans="1:9" ht="105" x14ac:dyDescent="0.25">
      <c r="A112" s="2" t="s">
        <v>6</v>
      </c>
      <c r="B112" t="str">
        <f>HYPERLINK("https://www.csu.edu.au/scholarships/scholarships-grants/find-scholarship/foundation/any-year/centacare-south-west-nsw-scholarship", "Centacare South West NSW Scholarship")</f>
        <v>Centacare South West NSW Scholarship</v>
      </c>
      <c r="C112" t="s">
        <v>27</v>
      </c>
      <c r="D112" t="s">
        <v>203</v>
      </c>
      <c r="E112" t="s">
        <v>24</v>
      </c>
      <c r="F112" t="s">
        <v>35</v>
      </c>
      <c r="G112" s="12" t="s">
        <v>500</v>
      </c>
      <c r="H112" t="s">
        <v>25</v>
      </c>
      <c r="I112" t="s">
        <v>25</v>
      </c>
    </row>
    <row r="113" spans="1:9" ht="75" x14ac:dyDescent="0.25">
      <c r="A113" s="2" t="s">
        <v>6</v>
      </c>
      <c r="B113" t="str">
        <f>HYPERLINK("https://www.csu.edu.au/scholarships/scholarships-grants/find-scholarship/foundation/any-year/charles-sturt-university-foundation-community-health-scholarship", "Charles Sturt University Foundation Community Health Scholarship")</f>
        <v>Charles Sturt University Foundation Community Health Scholarship</v>
      </c>
      <c r="C113" t="s">
        <v>27</v>
      </c>
      <c r="D113" s="7" t="s">
        <v>193</v>
      </c>
      <c r="E113" t="s">
        <v>24</v>
      </c>
      <c r="F113" t="s">
        <v>13</v>
      </c>
      <c r="G113" s="12" t="s">
        <v>378</v>
      </c>
      <c r="H113" t="s">
        <v>25</v>
      </c>
      <c r="I113" t="s">
        <v>25</v>
      </c>
    </row>
    <row r="114" spans="1:9" ht="60" x14ac:dyDescent="0.25">
      <c r="A114" s="2" t="s">
        <v>6</v>
      </c>
      <c r="B114" t="str">
        <f>HYPERLINK("https://www.csu.edu.au/scholarships/scholarships-grants/find-scholarship/foundation/any-year/laurel-trinidad-research-grant", "Laurel-Trinidad Research Grant")</f>
        <v>Laurel-Trinidad Research Grant</v>
      </c>
      <c r="C114" t="s">
        <v>27</v>
      </c>
      <c r="D114" t="s">
        <v>203</v>
      </c>
      <c r="E114" t="s">
        <v>24</v>
      </c>
      <c r="F114" t="s">
        <v>137</v>
      </c>
      <c r="G114" s="12" t="s">
        <v>379</v>
      </c>
      <c r="H114" t="s">
        <v>25</v>
      </c>
      <c r="I114" t="s">
        <v>25</v>
      </c>
    </row>
    <row r="115" spans="1:9" ht="150" x14ac:dyDescent="0.25">
      <c r="A115" s="2" t="s">
        <v>6</v>
      </c>
      <c r="B115" t="str">
        <f>HYPERLINK("https://www.csu.edu.au/scholarships/scholarships-grants/find-scholarship/foundation/any-year/women-in-racing-canberra-prize", "Women in Racing Canberra Prize")</f>
        <v>Women in Racing Canberra Prize</v>
      </c>
      <c r="C115" t="s">
        <v>27</v>
      </c>
      <c r="D115" t="s">
        <v>216</v>
      </c>
      <c r="E115" t="s">
        <v>24</v>
      </c>
      <c r="F115" t="s">
        <v>13</v>
      </c>
      <c r="G115" s="12" t="s">
        <v>501</v>
      </c>
      <c r="H115" t="s">
        <v>25</v>
      </c>
      <c r="I115" t="s">
        <v>25</v>
      </c>
    </row>
    <row r="116" spans="1:9" ht="105" x14ac:dyDescent="0.25">
      <c r="A116" s="2" t="s">
        <v>6</v>
      </c>
      <c r="B116" t="str">
        <f>HYPERLINK("https://www.csu.edu.au/scholarships/scholarships-grants/find-scholarship/foundation/continuing/Sky-News-Australia-Ian-Cook-Memorial-Scholarship", "Sky News Australia - Ian Cook Memorial Scholarship")</f>
        <v>Sky News Australia - Ian Cook Memorial Scholarship</v>
      </c>
      <c r="C116" t="s">
        <v>27</v>
      </c>
      <c r="D116" s="7" t="s">
        <v>245</v>
      </c>
      <c r="E116" t="s">
        <v>24</v>
      </c>
      <c r="F116" t="s">
        <v>13</v>
      </c>
      <c r="G116" s="12" t="s">
        <v>502</v>
      </c>
      <c r="H116" t="s">
        <v>25</v>
      </c>
      <c r="I116" t="s">
        <v>25</v>
      </c>
    </row>
    <row r="117" spans="1:9" ht="90" x14ac:dyDescent="0.25">
      <c r="A117" s="2" t="s">
        <v>6</v>
      </c>
      <c r="B117" t="str">
        <f>HYPERLINK("https://www.csu.edu.au/scholarships/scholarships-grants/find-scholarship/foundation/any-year/rotary-club-of-yenda-dick-and-lavelle-wallace-memorial-scholarship", "Rotary Club of Yenda, Dick and Lavelle Wallace Memorial Scholarship")</f>
        <v>Rotary Club of Yenda, Dick and Lavelle Wallace Memorial Scholarship</v>
      </c>
      <c r="C117" t="s">
        <v>27</v>
      </c>
      <c r="D117" s="7" t="s">
        <v>230</v>
      </c>
      <c r="E117" t="s">
        <v>24</v>
      </c>
      <c r="F117" t="s">
        <v>13</v>
      </c>
      <c r="G117" s="12" t="s">
        <v>503</v>
      </c>
      <c r="H117" t="s">
        <v>25</v>
      </c>
      <c r="I117" t="s">
        <v>16</v>
      </c>
    </row>
    <row r="118" spans="1:9" ht="60" x14ac:dyDescent="0.25">
      <c r="A118" s="2" t="s">
        <v>6</v>
      </c>
      <c r="B118" t="str">
        <f>HYPERLINK("https://www.csu.edu.au/scholarships/scholarships-grants/find-scholarship/foundation/any-year/jess-mclennan-memorial-prize", "Jess McLennan Memorial Prize")</f>
        <v>Jess McLennan Memorial Prize</v>
      </c>
      <c r="C118" t="s">
        <v>27</v>
      </c>
      <c r="D118" t="s">
        <v>246</v>
      </c>
      <c r="E118" t="s">
        <v>201</v>
      </c>
      <c r="F118" t="s">
        <v>13</v>
      </c>
      <c r="G118" s="12" t="s">
        <v>380</v>
      </c>
      <c r="H118" t="s">
        <v>25</v>
      </c>
      <c r="I118" t="s">
        <v>25</v>
      </c>
    </row>
    <row r="119" spans="1:9" ht="165" x14ac:dyDescent="0.25">
      <c r="A119" s="2" t="s">
        <v>6</v>
      </c>
      <c r="B119" t="str">
        <f>HYPERLINK("https://www.csu.edu.au/scholarships/scholarships-grants/find-scholarship/foundation/continuing/professor-john-carroll-memorial-scholarship", "Professor John Carroll Memorial Scholarship")</f>
        <v>Professor John Carroll Memorial Scholarship</v>
      </c>
      <c r="C119" t="s">
        <v>27</v>
      </c>
      <c r="D119" s="7" t="s">
        <v>227</v>
      </c>
      <c r="E119" t="s">
        <v>24</v>
      </c>
      <c r="F119" t="s">
        <v>13</v>
      </c>
      <c r="G119" s="12" t="s">
        <v>504</v>
      </c>
      <c r="H119" t="s">
        <v>25</v>
      </c>
      <c r="I119" t="s">
        <v>25</v>
      </c>
    </row>
    <row r="120" spans="1:9" ht="60" x14ac:dyDescent="0.25">
      <c r="A120" s="2" t="s">
        <v>6</v>
      </c>
      <c r="B120" t="str">
        <f>HYPERLINK("https://www.csu.edu.au/scholarships/scholarships-grants/find-scholarship/foundation/continuing/gita-belin-fortitude-foundation-paramedicine-3rd-year", "Gita Belin Fortitude Foundation Paramedicine 3rd Year")</f>
        <v>Gita Belin Fortitude Foundation Paramedicine 3rd Year</v>
      </c>
      <c r="C120" t="s">
        <v>27</v>
      </c>
      <c r="D120" t="s">
        <v>208</v>
      </c>
      <c r="E120" t="s">
        <v>205</v>
      </c>
      <c r="F120" t="s">
        <v>13</v>
      </c>
      <c r="G120" s="12" t="s">
        <v>381</v>
      </c>
      <c r="H120" t="s">
        <v>25</v>
      </c>
      <c r="I120" t="s">
        <v>25</v>
      </c>
    </row>
    <row r="121" spans="1:9" ht="150" x14ac:dyDescent="0.25">
      <c r="A121" s="2" t="s">
        <v>6</v>
      </c>
      <c r="B121" t="str">
        <f>HYPERLINK("https://www.csu.edu.au/scholarships/scholarships-grants/find-scholarship/foundation/continuing/warakirri-cropping-scholarship2", "Warakirri Cropping Scholarship")</f>
        <v>Warakirri Cropping Scholarship</v>
      </c>
      <c r="C121" t="s">
        <v>27</v>
      </c>
      <c r="D121" t="s">
        <v>208</v>
      </c>
      <c r="E121" t="s">
        <v>201</v>
      </c>
      <c r="F121" t="s">
        <v>13</v>
      </c>
      <c r="G121" s="12" t="s">
        <v>382</v>
      </c>
      <c r="H121" t="s">
        <v>25</v>
      </c>
      <c r="I121" t="s">
        <v>25</v>
      </c>
    </row>
    <row r="122" spans="1:9" ht="75" x14ac:dyDescent="0.25">
      <c r="A122" s="2" t="s">
        <v>6</v>
      </c>
      <c r="B122" t="str">
        <f>HYPERLINK("https://www.csu.edu.au/scholarships/scholarships-grants/find-scholarship/foundation/any-year/charles-sturt-foundation-paramedics-scholarship", "Charles Sturt Foundation Paramedics Scholarship")</f>
        <v>Charles Sturt Foundation Paramedics Scholarship</v>
      </c>
      <c r="C122" t="s">
        <v>27</v>
      </c>
      <c r="D122" t="s">
        <v>193</v>
      </c>
      <c r="E122" t="s">
        <v>24</v>
      </c>
      <c r="F122" t="s">
        <v>13</v>
      </c>
      <c r="G122" s="12" t="s">
        <v>383</v>
      </c>
      <c r="H122" t="s">
        <v>25</v>
      </c>
      <c r="I122" t="s">
        <v>25</v>
      </c>
    </row>
    <row r="123" spans="1:9" ht="120" x14ac:dyDescent="0.25">
      <c r="A123" s="2" t="s">
        <v>6</v>
      </c>
      <c r="B123" t="str">
        <f>HYPERLINK("https://www.csu.edu.au/scholarships/scholarships-grants/find-scholarship/foundation/continuing/hv-mckay-scholarship", "HV McKay II Memorial Scholarship")</f>
        <v>HV McKay II Memorial Scholarship</v>
      </c>
      <c r="C123" t="s">
        <v>27</v>
      </c>
      <c r="D123" t="s">
        <v>247</v>
      </c>
      <c r="E123" t="s">
        <v>201</v>
      </c>
      <c r="F123" t="s">
        <v>13</v>
      </c>
      <c r="G123" s="12" t="s">
        <v>384</v>
      </c>
      <c r="H123" t="s">
        <v>25</v>
      </c>
      <c r="I123" t="s">
        <v>25</v>
      </c>
    </row>
    <row r="124" spans="1:9" ht="30" x14ac:dyDescent="0.25">
      <c r="A124" s="2" t="s">
        <v>6</v>
      </c>
      <c r="B124" t="str">
        <f>HYPERLINK("https://www.csu.edu.au/scholarships/scholarships-grants/find-scholarship/foundation/continuing/a-and-k-gestier-veterinary-scholarship2/gita-belin-fortitude-foundation-paramedicine-2nd-year", "Gita Belin Fortitude Foundation Paramedicine 2nd Year")</f>
        <v>Gita Belin Fortitude Foundation Paramedicine 2nd Year</v>
      </c>
      <c r="C124" t="s">
        <v>27</v>
      </c>
      <c r="D124" t="s">
        <v>202</v>
      </c>
      <c r="E124" t="s">
        <v>205</v>
      </c>
      <c r="F124" t="s">
        <v>13</v>
      </c>
      <c r="G124" s="12" t="s">
        <v>385</v>
      </c>
      <c r="H124" t="s">
        <v>25</v>
      </c>
      <c r="I124" t="s">
        <v>25</v>
      </c>
    </row>
    <row r="125" spans="1:9" ht="60" x14ac:dyDescent="0.25">
      <c r="A125" s="2" t="s">
        <v>6</v>
      </c>
      <c r="B125" t="str">
        <f>HYPERLINK("https://www.csu.edu.au/scholarships/scholarships-grants/find-scholarship/foundation/1st-year/nutrien-ag-solutions-harvesting-the-future-scholarship", "Nutrien Ag Solutions - Harvesting the Future Scholarship")</f>
        <v>Nutrien Ag Solutions - Harvesting the Future Scholarship</v>
      </c>
      <c r="C125" t="s">
        <v>14</v>
      </c>
      <c r="D125" t="s">
        <v>242</v>
      </c>
      <c r="E125" t="s">
        <v>201</v>
      </c>
      <c r="F125" t="s">
        <v>13</v>
      </c>
      <c r="G125" s="12" t="s">
        <v>386</v>
      </c>
      <c r="H125" t="s">
        <v>25</v>
      </c>
      <c r="I125" t="s">
        <v>25</v>
      </c>
    </row>
    <row r="126" spans="1:9" ht="45" x14ac:dyDescent="0.25">
      <c r="A126" s="2" t="s">
        <v>6</v>
      </c>
      <c r="B126" t="str">
        <f>HYPERLINK("https://www.csu.edu.au/scholarships/scholarships-grants/find-scholarship/foundation/1st-year/gita-belin-fortitude-foundation-paramedicine-1st-year", "Gita Belin Fortitude Foundation Paramedicine 1st Year")</f>
        <v>Gita Belin Fortitude Foundation Paramedicine 1st Year</v>
      </c>
      <c r="C126" t="s">
        <v>27</v>
      </c>
      <c r="D126" t="s">
        <v>248</v>
      </c>
      <c r="E126" t="s">
        <v>205</v>
      </c>
      <c r="F126" t="s">
        <v>13</v>
      </c>
      <c r="G126" s="12" t="s">
        <v>387</v>
      </c>
      <c r="H126" t="s">
        <v>25</v>
      </c>
      <c r="I126" t="s">
        <v>25</v>
      </c>
    </row>
    <row r="127" spans="1:9" ht="120" x14ac:dyDescent="0.25">
      <c r="A127" s="2" t="s">
        <v>6</v>
      </c>
      <c r="B127" t="str">
        <f>HYPERLINK("https://www.csu.edu.au/scholarships/scholarships-grants/find-scholarship/foundation/any-year/bathurst-mitchell-student-representative-committee-scholarship/dawn-rigby-memorial-scholarship", "Dawn Rigby Memorial Scholarship")</f>
        <v>Dawn Rigby Memorial Scholarship</v>
      </c>
      <c r="C127" t="s">
        <v>27</v>
      </c>
      <c r="D127" t="s">
        <v>193</v>
      </c>
      <c r="E127" t="s">
        <v>24</v>
      </c>
      <c r="F127" t="s">
        <v>13</v>
      </c>
      <c r="G127" s="12" t="s">
        <v>434</v>
      </c>
      <c r="H127" t="s">
        <v>25</v>
      </c>
      <c r="I127" t="s">
        <v>25</v>
      </c>
    </row>
    <row r="128" spans="1:9" ht="165" x14ac:dyDescent="0.25">
      <c r="A128" s="2" t="s">
        <v>6</v>
      </c>
      <c r="B128" t="str">
        <f>HYPERLINK("https://www.csu.edu.au/scholarships/scholarships-grants/find-scholarship/foundation/any-year/wagga-wagga-teachers-alumni-scholarship/white-family-scholarship", "White Family Scholarship")</f>
        <v>White Family Scholarship</v>
      </c>
      <c r="C128" t="s">
        <v>27</v>
      </c>
      <c r="D128" t="s">
        <v>193</v>
      </c>
      <c r="E128" t="s">
        <v>24</v>
      </c>
      <c r="F128" t="s">
        <v>13</v>
      </c>
      <c r="G128" s="12" t="s">
        <v>388</v>
      </c>
      <c r="H128" t="s">
        <v>25</v>
      </c>
      <c r="I128" t="s">
        <v>25</v>
      </c>
    </row>
    <row r="129" spans="1:9" ht="60" x14ac:dyDescent="0.25">
      <c r="A129" s="2" t="s">
        <v>6</v>
      </c>
      <c r="B129" t="str">
        <f>HYPERLINK("https://www.csu.edu.au/scholarships/scholarships-grants/find-scholarship/foundation/continuing/gita-belin-fortitude-foundation-paramedicine-2nd-year", "Gita Belin Fortitude Foundation Paramedicine 2nd Year")</f>
        <v>Gita Belin Fortitude Foundation Paramedicine 2nd Year</v>
      </c>
      <c r="C129" t="s">
        <v>27</v>
      </c>
      <c r="D129" t="s">
        <v>202</v>
      </c>
      <c r="E129" t="s">
        <v>205</v>
      </c>
      <c r="F129" t="s">
        <v>13</v>
      </c>
      <c r="G129" s="12" t="s">
        <v>389</v>
      </c>
      <c r="H129" t="s">
        <v>25</v>
      </c>
      <c r="I129" t="s">
        <v>25</v>
      </c>
    </row>
    <row r="130" spans="1:9" ht="150" x14ac:dyDescent="0.25">
      <c r="A130" s="2" t="s">
        <v>6</v>
      </c>
      <c r="B130" t="str">
        <f>HYPERLINK("https://www.csu.edu.au/scholarships/scholarships-grants/find-scholarship/foundation/1st-year/Agcessibility-kickstart-scholarship", "AGcessibility Kickstart Scholarship")</f>
        <v>AGcessibility Kickstart Scholarship</v>
      </c>
      <c r="C130" t="s">
        <v>27</v>
      </c>
      <c r="D130" t="s">
        <v>249</v>
      </c>
      <c r="E130" t="s">
        <v>201</v>
      </c>
      <c r="F130" t="s">
        <v>13</v>
      </c>
      <c r="G130" s="12" t="s">
        <v>390</v>
      </c>
      <c r="H130" t="s">
        <v>25</v>
      </c>
      <c r="I130" t="s">
        <v>25</v>
      </c>
    </row>
    <row r="131" spans="1:9" ht="120" x14ac:dyDescent="0.25">
      <c r="A131" s="2" t="s">
        <v>6</v>
      </c>
      <c r="B131" t="str">
        <f>HYPERLINK("https://www.csu.edu.au/scholarships/scholarships-grants/find-scholarship/foundation/any-year/rotary-club-of-albury-scholarship", "Rotary Club of Albury Scholarship")</f>
        <v>Rotary Club of Albury Scholarship</v>
      </c>
      <c r="C131" t="s">
        <v>27</v>
      </c>
      <c r="D131" s="7" t="s">
        <v>210</v>
      </c>
      <c r="E131" t="s">
        <v>24</v>
      </c>
      <c r="F131" t="s">
        <v>13</v>
      </c>
      <c r="G131" s="12" t="s">
        <v>391</v>
      </c>
      <c r="H131" t="s">
        <v>25</v>
      </c>
      <c r="I131" t="s">
        <v>25</v>
      </c>
    </row>
    <row r="132" spans="1:9" ht="60" x14ac:dyDescent="0.25">
      <c r="A132" s="2" t="s">
        <v>6</v>
      </c>
      <c r="B132" t="str">
        <f>HYPERLINK("https://www.csu.edu.au/scholarships/scholarships-grants/find-scholarship/foundation/any-year/pay-it-forward-dentistry-scholarship", "Pay it Forward Dentistry Scholarship")</f>
        <v>Pay it Forward Dentistry Scholarship</v>
      </c>
      <c r="C132" t="s">
        <v>14</v>
      </c>
      <c r="D132" t="s">
        <v>202</v>
      </c>
      <c r="E132" t="s">
        <v>201</v>
      </c>
      <c r="F132" t="s">
        <v>13</v>
      </c>
      <c r="G132" s="12" t="s">
        <v>392</v>
      </c>
      <c r="H132" t="s">
        <v>25</v>
      </c>
      <c r="I132" t="s">
        <v>25</v>
      </c>
    </row>
    <row r="133" spans="1:9" ht="60" x14ac:dyDescent="0.25">
      <c r="A133" s="2" t="s">
        <v>6</v>
      </c>
      <c r="B133" t="str">
        <f>HYPERLINK("https://www.csu.edu.au/scholarships/scholarships-grants/find-scholarship/foundation/continuing/zonta-jill-salter-memorial-women-in-rural-health-scholarship", "ZONTA - Jill Salter Memorial - Women in Rural Health Scholarship")</f>
        <v>ZONTA - Jill Salter Memorial - Women in Rural Health Scholarship</v>
      </c>
      <c r="C133" t="s">
        <v>14</v>
      </c>
      <c r="D133" s="7" t="s">
        <v>193</v>
      </c>
      <c r="E133" t="s">
        <v>24</v>
      </c>
      <c r="F133" t="s">
        <v>13</v>
      </c>
      <c r="G133" s="12" t="s">
        <v>393</v>
      </c>
      <c r="H133" t="s">
        <v>25</v>
      </c>
      <c r="I133" t="s">
        <v>25</v>
      </c>
    </row>
    <row r="134" spans="1:9" ht="105" x14ac:dyDescent="0.25">
      <c r="A134" s="2" t="s">
        <v>6</v>
      </c>
      <c r="B134" t="str">
        <f>HYPERLINK("https://www.csu.edu.au/scholarships/scholarships-grants/find-scholarship/foundation/continuing/rabobank-tertiary-pathways-scholarship", "Rabobank Tertiary Pathways Scholarship")</f>
        <v>Rabobank Tertiary Pathways Scholarship</v>
      </c>
      <c r="C134" t="s">
        <v>27</v>
      </c>
      <c r="D134" t="s">
        <v>249</v>
      </c>
      <c r="E134" t="s">
        <v>201</v>
      </c>
      <c r="F134" t="s">
        <v>13</v>
      </c>
      <c r="G134" s="12" t="s">
        <v>394</v>
      </c>
      <c r="H134" t="s">
        <v>25</v>
      </c>
      <c r="I134" t="s">
        <v>25</v>
      </c>
    </row>
    <row r="135" spans="1:9" ht="75" x14ac:dyDescent="0.25">
      <c r="A135" s="2" t="s">
        <v>6</v>
      </c>
      <c r="B135" t="str">
        <f>HYPERLINK("https://www.csu.edu.au/scholarships/scholarships-grants/find-scholarship/foundation/1st-year/dr-julia-howitt-legacy-scholarship", "Dr Julia Howitt Legacy Scholarship")</f>
        <v>Dr Julia Howitt Legacy Scholarship</v>
      </c>
      <c r="C135" t="s">
        <v>27</v>
      </c>
      <c r="D135" s="7" t="s">
        <v>193</v>
      </c>
      <c r="E135" t="s">
        <v>24</v>
      </c>
      <c r="F135" t="s">
        <v>197</v>
      </c>
      <c r="G135" s="12" t="s">
        <v>395</v>
      </c>
      <c r="H135" t="s">
        <v>25</v>
      </c>
      <c r="I135" t="s">
        <v>25</v>
      </c>
    </row>
    <row r="136" spans="1:9" ht="75" x14ac:dyDescent="0.25">
      <c r="A136" s="2" t="s">
        <v>6</v>
      </c>
      <c r="B136" t="str">
        <f>HYPERLINK("https://www.csu.edu.au/scholarships/scholarships-grants/find-scholarship/foundation/1st-year/angel-family-trust-scholarship", "The Angel Family Trust Scholarship")</f>
        <v>The Angel Family Trust Scholarship</v>
      </c>
      <c r="C136" t="s">
        <v>27</v>
      </c>
      <c r="D136" t="s">
        <v>193</v>
      </c>
      <c r="E136" t="s">
        <v>24</v>
      </c>
      <c r="F136" t="s">
        <v>13</v>
      </c>
      <c r="G136" s="12" t="s">
        <v>396</v>
      </c>
      <c r="H136" t="s">
        <v>25</v>
      </c>
      <c r="I136" t="s">
        <v>25</v>
      </c>
    </row>
    <row r="137" spans="1:9" ht="75" x14ac:dyDescent="0.25">
      <c r="A137" s="2" t="s">
        <v>6</v>
      </c>
      <c r="B137" t="str">
        <f>HYPERLINK("https://www.csu.edu.au/scholarships/scholarships-grants/find-scholarship/foundation/continuing/cal-scholarship", "CAL Scholarship")</f>
        <v>CAL Scholarship</v>
      </c>
      <c r="C137" t="s">
        <v>27</v>
      </c>
      <c r="D137" t="s">
        <v>231</v>
      </c>
      <c r="E137" t="s">
        <v>24</v>
      </c>
      <c r="F137" t="s">
        <v>13</v>
      </c>
      <c r="G137" s="12" t="s">
        <v>397</v>
      </c>
      <c r="H137" t="s">
        <v>25</v>
      </c>
      <c r="I137" t="s">
        <v>25</v>
      </c>
    </row>
    <row r="138" spans="1:9" ht="45" x14ac:dyDescent="0.25">
      <c r="A138" s="2" t="s">
        <v>6</v>
      </c>
      <c r="B138" t="str">
        <f>HYPERLINK("https://www.csu.edu.au/scholarships/scholarships-grants/find-scholarship/foundation/continuing/meller-and-hume-research-scholarship", "Meller Hume Research Scholarship")</f>
        <v>Meller Hume Research Scholarship</v>
      </c>
      <c r="C138" t="s">
        <v>27</v>
      </c>
      <c r="D138" t="s">
        <v>250</v>
      </c>
      <c r="E138" t="s">
        <v>201</v>
      </c>
      <c r="F138" t="s">
        <v>13</v>
      </c>
      <c r="G138" s="12" t="s">
        <v>398</v>
      </c>
      <c r="H138" t="s">
        <v>25</v>
      </c>
      <c r="I138" t="s">
        <v>25</v>
      </c>
    </row>
    <row r="139" spans="1:9" ht="120" x14ac:dyDescent="0.25">
      <c r="A139" s="2" t="s">
        <v>6</v>
      </c>
      <c r="B139" t="str">
        <f>HYPERLINK("https://www.csu.edu.au/scholarships/scholarships-grants/find-scholarship/foundation/continuing/hicks-family-agricultural-scholarship", "Hicks Family Agricultural Scholarship")</f>
        <v>Hicks Family Agricultural Scholarship</v>
      </c>
      <c r="C139" t="s">
        <v>14</v>
      </c>
      <c r="D139" t="s">
        <v>251</v>
      </c>
      <c r="E139" t="s">
        <v>205</v>
      </c>
      <c r="F139" t="s">
        <v>35</v>
      </c>
      <c r="G139" s="12" t="s">
        <v>399</v>
      </c>
      <c r="H139" t="s">
        <v>25</v>
      </c>
      <c r="I139" t="s">
        <v>25</v>
      </c>
    </row>
    <row r="140" spans="1:9" ht="75" x14ac:dyDescent="0.25">
      <c r="A140" s="2" t="s">
        <v>6</v>
      </c>
      <c r="B140" t="str">
        <f>HYPERLINK("https://www.csu.edu.au/scholarships/scholarships-grants/find-scholarship/foundation/continuing/the-kerin-physio-co-allied-health-scholarship", "The Kerin Health Allied Health Scholarship")</f>
        <v>The Kerin Health Allied Health Scholarship</v>
      </c>
      <c r="C140" t="s">
        <v>27</v>
      </c>
      <c r="D140" t="s">
        <v>203</v>
      </c>
      <c r="E140" t="s">
        <v>201</v>
      </c>
      <c r="F140" t="s">
        <v>35</v>
      </c>
      <c r="G140" s="12" t="s">
        <v>400</v>
      </c>
      <c r="H140" t="s">
        <v>25</v>
      </c>
      <c r="I140" t="s">
        <v>25</v>
      </c>
    </row>
    <row r="141" spans="1:9" ht="105" x14ac:dyDescent="0.25">
      <c r="A141" s="2" t="s">
        <v>6</v>
      </c>
      <c r="B141" t="str">
        <f>HYPERLINK("https://www.csu.edu.au/scholarships/scholarships-grants/find-scholarship/foundation/1st-year/valerie-cox-memorial-scholarship-commencing", "Valerie Cox Memorial Scholarship - Commencing")</f>
        <v>Valerie Cox Memorial Scholarship - Commencing</v>
      </c>
      <c r="C141" t="s">
        <v>14</v>
      </c>
      <c r="D141" t="s">
        <v>232</v>
      </c>
      <c r="E141" t="s">
        <v>205</v>
      </c>
      <c r="F141" t="s">
        <v>197</v>
      </c>
      <c r="G141" s="12" t="s">
        <v>401</v>
      </c>
      <c r="H141" t="s">
        <v>25</v>
      </c>
      <c r="I141" t="s">
        <v>25</v>
      </c>
    </row>
    <row r="142" spans="1:9" ht="75" x14ac:dyDescent="0.25">
      <c r="A142" s="2" t="s">
        <v>6</v>
      </c>
      <c r="B142" t="str">
        <f>HYPERLINK("https://www.csu.edu.au/scholarships/scholarships-grants/find-scholarship/foundation/accom/percy-allan-foundation-accommodation-scholarship", "Percy Allan Foundation Accommodation Scholarship")</f>
        <v>Percy Allan Foundation Accommodation Scholarship</v>
      </c>
      <c r="C142" t="s">
        <v>14</v>
      </c>
      <c r="D142" t="s">
        <v>252</v>
      </c>
      <c r="E142" t="s">
        <v>201</v>
      </c>
      <c r="F142" t="s">
        <v>13</v>
      </c>
      <c r="G142" s="12" t="s">
        <v>402</v>
      </c>
      <c r="H142" t="s">
        <v>25</v>
      </c>
      <c r="I142" t="s">
        <v>25</v>
      </c>
    </row>
    <row r="143" spans="1:9" ht="135" x14ac:dyDescent="0.25">
      <c r="A143" s="2" t="s">
        <v>6</v>
      </c>
      <c r="B143" t="str">
        <f>HYPERLINK("https://www.csu.edu.au/scholarships/scholarships-grants/find-scholarship/foundation/any-year/lainy-mcfarland-memorial-scholarship", "Lainy McFarland Memorial Scholarship")</f>
        <v>Lainy McFarland Memorial Scholarship</v>
      </c>
      <c r="C143" t="s">
        <v>14</v>
      </c>
      <c r="D143" t="s">
        <v>193</v>
      </c>
      <c r="E143" t="s">
        <v>24</v>
      </c>
      <c r="F143" t="s">
        <v>13</v>
      </c>
      <c r="G143" s="12" t="s">
        <v>403</v>
      </c>
      <c r="H143" t="s">
        <v>25</v>
      </c>
      <c r="I143" t="s">
        <v>25</v>
      </c>
    </row>
    <row r="144" spans="1:9" ht="90" x14ac:dyDescent="0.25">
      <c r="A144" s="2" t="s">
        <v>6</v>
      </c>
      <c r="B144" t="str">
        <f>HYPERLINK("https://www.csu.edu.au/scholarships/scholarships-grants/find-scholarship/foundation/continuing/sarg-waerawi-scholarship", "SARG Waerawi Scholarship")</f>
        <v>SARG Waerawi Scholarship</v>
      </c>
      <c r="C144" t="s">
        <v>27</v>
      </c>
      <c r="D144" t="s">
        <v>193</v>
      </c>
      <c r="E144" t="s">
        <v>201</v>
      </c>
      <c r="F144" t="s">
        <v>13</v>
      </c>
      <c r="G144" s="12" t="s">
        <v>404</v>
      </c>
      <c r="H144" t="s">
        <v>25</v>
      </c>
      <c r="I144" t="s">
        <v>25</v>
      </c>
    </row>
    <row r="145" spans="1:9" ht="105" x14ac:dyDescent="0.25">
      <c r="A145" s="2" t="s">
        <v>6</v>
      </c>
      <c r="B145" t="str">
        <f>HYPERLINK("https://www.csu.edu.au/scholarships/scholarships-grants/find-scholarship/foundation/1st-year/casella-wines-health-science-scholarship", "Casella Family Brands Health Scholarship")</f>
        <v>Casella Family Brands Health Scholarship</v>
      </c>
      <c r="C145" t="s">
        <v>27</v>
      </c>
      <c r="D145" t="s">
        <v>215</v>
      </c>
      <c r="E145" t="s">
        <v>201</v>
      </c>
      <c r="F145" t="s">
        <v>13</v>
      </c>
      <c r="G145" s="12" t="s">
        <v>405</v>
      </c>
      <c r="H145" t="s">
        <v>25</v>
      </c>
      <c r="I145" t="s">
        <v>25</v>
      </c>
    </row>
    <row r="146" spans="1:9" ht="75" x14ac:dyDescent="0.25">
      <c r="A146" s="2" t="s">
        <v>6</v>
      </c>
      <c r="B146" t="str">
        <f>HYPERLINK("https://www.csu.edu.au/scholarships/scholarships-grants/find-scholarship/foundation/continuing/aurora-dairies-scholarship", "Aurora Dairies Scholarship")</f>
        <v>Aurora Dairies Scholarship</v>
      </c>
      <c r="C146" t="s">
        <v>27</v>
      </c>
      <c r="D146" t="s">
        <v>212</v>
      </c>
      <c r="E146" t="s">
        <v>201</v>
      </c>
      <c r="F146" t="s">
        <v>13</v>
      </c>
      <c r="G146" s="12" t="s">
        <v>406</v>
      </c>
      <c r="H146" t="s">
        <v>25</v>
      </c>
      <c r="I146" t="s">
        <v>25</v>
      </c>
    </row>
    <row r="147" spans="1:9" ht="45" x14ac:dyDescent="0.25">
      <c r="A147" s="2" t="s">
        <v>6</v>
      </c>
      <c r="B147" t="str">
        <f>HYPERLINK("https://www.csu.edu.au/scholarships/scholarships-grants/find-scholarship/foundation/continuing/dr-judith-van-der-wal-award", "Dr Judith van der Wal Award")</f>
        <v>Dr Judith van der Wal Award</v>
      </c>
      <c r="C147" t="s">
        <v>27</v>
      </c>
      <c r="D147" t="s">
        <v>224</v>
      </c>
      <c r="E147" t="s">
        <v>24</v>
      </c>
      <c r="F147" t="s">
        <v>13</v>
      </c>
      <c r="G147" s="12" t="s">
        <v>407</v>
      </c>
      <c r="H147" t="s">
        <v>25</v>
      </c>
      <c r="I147" t="s">
        <v>25</v>
      </c>
    </row>
    <row r="148" spans="1:9" ht="75" x14ac:dyDescent="0.25">
      <c r="A148" s="2" t="s">
        <v>6</v>
      </c>
      <c r="B148" t="str">
        <f>HYPERLINK("https://www.csu.edu.au/scholarships/scholarships-grants/find-scholarship/foundation/1st-year/western-sydney-schools-agriculture-scholarship", "Western Sydney Schools Agriculture Scholarship")</f>
        <v>Western Sydney Schools Agriculture Scholarship</v>
      </c>
      <c r="C148" t="s">
        <v>27</v>
      </c>
      <c r="D148" t="s">
        <v>203</v>
      </c>
      <c r="E148" t="s">
        <v>201</v>
      </c>
      <c r="F148" t="s">
        <v>13</v>
      </c>
      <c r="G148" s="12" t="s">
        <v>408</v>
      </c>
      <c r="H148" t="s">
        <v>25</v>
      </c>
      <c r="I148" t="s">
        <v>25</v>
      </c>
    </row>
    <row r="149" spans="1:9" x14ac:dyDescent="0.25">
      <c r="A149" s="2" t="s">
        <v>6</v>
      </c>
      <c r="B149" t="str">
        <f>HYPERLINK("https://www.csu.edu.au/scholarships/scholarships-grants/find-scholarship/foundation/1st-year/gita-belin-fortitude-foundation-rural-doctors-scholarship", "Gita Belin Fortitude Foundation Rural Doctors Scholarship")</f>
        <v>Gita Belin Fortitude Foundation Rural Doctors Scholarship</v>
      </c>
      <c r="C149" t="s">
        <v>27</v>
      </c>
      <c r="D149" t="s">
        <v>253</v>
      </c>
      <c r="E149" t="s">
        <v>205</v>
      </c>
      <c r="F149" t="s">
        <v>13</v>
      </c>
      <c r="G149" s="12" t="s">
        <v>409</v>
      </c>
      <c r="H149" t="s">
        <v>25</v>
      </c>
      <c r="I149" t="s">
        <v>25</v>
      </c>
    </row>
    <row r="150" spans="1:9" ht="150" x14ac:dyDescent="0.25">
      <c r="A150" s="2" t="s">
        <v>6</v>
      </c>
      <c r="B150" t="str">
        <f>HYPERLINK("https://www.csu.edu.au/scholarships/scholarships-grants/find-scholarship/foundation/any-year/legacy-of-bob-and-pam-knight-of-noorat-scholarship", "Legacy of Bob and Pam Knight from Noorat Scholarship")</f>
        <v>Legacy of Bob and Pam Knight from Noorat Scholarship</v>
      </c>
      <c r="C150" t="s">
        <v>14</v>
      </c>
      <c r="D150" t="s">
        <v>203</v>
      </c>
      <c r="E150" t="s">
        <v>24</v>
      </c>
      <c r="F150" t="s">
        <v>13</v>
      </c>
      <c r="G150" s="12" t="s">
        <v>410</v>
      </c>
      <c r="H150" t="s">
        <v>25</v>
      </c>
      <c r="I150" t="s">
        <v>25</v>
      </c>
    </row>
    <row r="151" spans="1:9" ht="120" x14ac:dyDescent="0.25">
      <c r="A151" s="2" t="s">
        <v>6</v>
      </c>
      <c r="B151" t="str">
        <f>HYPERLINK("https://www.csu.edu.au/scholarships/scholarships-grants/find-scholarship/foundation/continuing/cerebral-palsy-alliance-allied-health-scholarship", "Cerebral Palsy Alliance Allied Health Scholarship")</f>
        <v>Cerebral Palsy Alliance Allied Health Scholarship</v>
      </c>
      <c r="C151" t="s">
        <v>14</v>
      </c>
      <c r="D151" t="s">
        <v>216</v>
      </c>
      <c r="E151" t="s">
        <v>24</v>
      </c>
      <c r="F151" t="s">
        <v>35</v>
      </c>
      <c r="G151" s="12" t="s">
        <v>411</v>
      </c>
      <c r="H151" t="s">
        <v>25</v>
      </c>
      <c r="I151" t="s">
        <v>25</v>
      </c>
    </row>
    <row r="152" spans="1:9" x14ac:dyDescent="0.25">
      <c r="A152" s="2" t="s">
        <v>6</v>
      </c>
      <c r="B152" t="str">
        <f>HYPERLINK("https://www.csu.edu.au/scholarships/scholarships-grants/find-scholarship/foundation/any-year/emma-accolade-scholarship", "EMMA Accolade Scholarship ")</f>
        <v xml:space="preserve">EMMA Accolade Scholarship </v>
      </c>
      <c r="C152" t="s">
        <v>27</v>
      </c>
      <c r="D152" t="s">
        <v>216</v>
      </c>
      <c r="E152" t="s">
        <v>24</v>
      </c>
      <c r="F152" t="s">
        <v>13</v>
      </c>
      <c r="G152" s="12" t="s">
        <v>412</v>
      </c>
      <c r="H152" t="s">
        <v>25</v>
      </c>
      <c r="I152" t="s">
        <v>25</v>
      </c>
    </row>
    <row r="153" spans="1:9" ht="165" x14ac:dyDescent="0.25">
      <c r="A153" s="2" t="s">
        <v>6</v>
      </c>
      <c r="B153" t="str">
        <f>HYPERLINK("https://www.csu.edu.au/scholarships/scholarships-grants/find-scholarship/foundation/accom/st-martins-college-accommodation-scholarship", "St Martins College Accommodation Scholarship")</f>
        <v>St Martins College Accommodation Scholarship</v>
      </c>
      <c r="C153" t="s">
        <v>27</v>
      </c>
      <c r="D153" t="s">
        <v>193</v>
      </c>
      <c r="E153" t="s">
        <v>24</v>
      </c>
      <c r="F153" t="s">
        <v>13</v>
      </c>
      <c r="G153" s="12" t="s">
        <v>505</v>
      </c>
      <c r="H153" t="s">
        <v>25</v>
      </c>
      <c r="I153" t="s">
        <v>25</v>
      </c>
    </row>
    <row r="154" spans="1:9" ht="75" x14ac:dyDescent="0.25">
      <c r="A154" s="2" t="s">
        <v>6</v>
      </c>
      <c r="B154" t="str">
        <f>HYPERLINK("https://www.csu.edu.au/scholarships/scholarships-grants/find-scholarship/foundation/continuing/rennylea-future-in-livestock-scholarship/vetprac-workshops-scholarship", "VetPrac Workshops Scholarship")</f>
        <v>VetPrac Workshops Scholarship</v>
      </c>
      <c r="C154" t="s">
        <v>27</v>
      </c>
      <c r="D154" t="s">
        <v>203</v>
      </c>
      <c r="E154" t="s">
        <v>24</v>
      </c>
      <c r="F154" t="s">
        <v>13</v>
      </c>
      <c r="G154" s="12" t="s">
        <v>435</v>
      </c>
      <c r="H154" t="s">
        <v>25</v>
      </c>
      <c r="I154" t="s">
        <v>25</v>
      </c>
    </row>
    <row r="155" spans="1:9" ht="90" x14ac:dyDescent="0.25">
      <c r="A155" s="2" t="s">
        <v>6</v>
      </c>
      <c r="B155" t="str">
        <f>HYPERLINK("https://www.csu.edu.au/scholarships/scholarships-grants/find-scholarship/equity/three-rivers-drh-aged-care-continuing-student-scholarship", "Three Rivers DRH Aged Care  Continuing Student Scholarship")</f>
        <v>Three Rivers DRH Aged Care  Continuing Student Scholarship</v>
      </c>
      <c r="C155" t="s">
        <v>27</v>
      </c>
      <c r="D155" t="s">
        <v>241</v>
      </c>
      <c r="E155" t="s">
        <v>201</v>
      </c>
      <c r="F155" t="s">
        <v>35</v>
      </c>
      <c r="G155" s="12" t="s">
        <v>433</v>
      </c>
      <c r="H155" t="s">
        <v>25</v>
      </c>
      <c r="I155" t="s">
        <v>25</v>
      </c>
    </row>
    <row r="156" spans="1:9" ht="45" x14ac:dyDescent="0.25">
      <c r="A156" s="2" t="s">
        <v>6</v>
      </c>
      <c r="B156" t="str">
        <f>HYPERLINK("https://www.csu.edu.au/scholarships/scholarships-grants/find-scholarship/foundation/continuing/wagga-agricultural-college-old-boys-union-wacobu-scholarship", "Wagga Agricultural College Old Boys' Union (WACOBU) Scholarship ")</f>
        <v xml:space="preserve">Wagga Agricultural College Old Boys' Union (WACOBU) Scholarship </v>
      </c>
      <c r="C156" t="s">
        <v>27</v>
      </c>
      <c r="D156" t="s">
        <v>214</v>
      </c>
      <c r="E156" t="s">
        <v>24</v>
      </c>
      <c r="F156" t="s">
        <v>13</v>
      </c>
      <c r="G156" s="12" t="s">
        <v>506</v>
      </c>
      <c r="H156" t="s">
        <v>25</v>
      </c>
      <c r="I156" t="s">
        <v>25</v>
      </c>
    </row>
    <row r="157" spans="1:9" ht="60" x14ac:dyDescent="0.25">
      <c r="A157" s="2" t="s">
        <v>6</v>
      </c>
      <c r="B157" t="str">
        <f>HYPERLINK("https://www.csu.edu.au/scholarships/scholarships-grants/find-scholarship/foundation/accom/colgate-accommodation-scholarship", "Colgate Accommodation Scholarship")</f>
        <v>Colgate Accommodation Scholarship</v>
      </c>
      <c r="C157" t="s">
        <v>27</v>
      </c>
      <c r="D157" t="s">
        <v>203</v>
      </c>
      <c r="E157" t="s">
        <v>201</v>
      </c>
      <c r="F157" t="s">
        <v>13</v>
      </c>
      <c r="G157" s="12" t="s">
        <v>507</v>
      </c>
      <c r="H157" t="s">
        <v>25</v>
      </c>
      <c r="I157" t="s">
        <v>25</v>
      </c>
    </row>
    <row r="158" spans="1:9" ht="150" x14ac:dyDescent="0.25">
      <c r="A158" s="2" t="s">
        <v>6</v>
      </c>
      <c r="B158" t="str">
        <f>HYPERLINK("https://www.csu.edu.au/scholarships/scholarships-grants/find-scholarship/foundation/any-year/rowe-scientific-chemistry-scholarship", "Rowe Scientific Chemistry Scholarship")</f>
        <v>Rowe Scientific Chemistry Scholarship</v>
      </c>
      <c r="C158" t="s">
        <v>27</v>
      </c>
      <c r="D158" t="s">
        <v>208</v>
      </c>
      <c r="E158" t="s">
        <v>201</v>
      </c>
      <c r="F158" t="s">
        <v>13</v>
      </c>
      <c r="G158" s="12" t="s">
        <v>413</v>
      </c>
      <c r="H158" t="s">
        <v>25</v>
      </c>
      <c r="I158" t="s">
        <v>25</v>
      </c>
    </row>
    <row r="159" spans="1:9" ht="195" x14ac:dyDescent="0.25">
      <c r="A159" s="2" t="s">
        <v>6</v>
      </c>
      <c r="B159" t="str">
        <f>HYPERLINK("https://www.csu.edu.au/scholarships/scholarships-grants/find-scholarship/foundation/continuing/rennylea-future-in-livestock-scholarship", "Rennylea - The Future in Livestock Scholarship")</f>
        <v>Rennylea - The Future in Livestock Scholarship</v>
      </c>
      <c r="C159" t="s">
        <v>14</v>
      </c>
      <c r="D159" t="s">
        <v>254</v>
      </c>
      <c r="E159" t="s">
        <v>201</v>
      </c>
      <c r="F159" t="s">
        <v>235</v>
      </c>
      <c r="G159" s="12" t="s">
        <v>508</v>
      </c>
      <c r="H159" t="s">
        <v>25</v>
      </c>
      <c r="I159" t="s">
        <v>25</v>
      </c>
    </row>
    <row r="160" spans="1:9" ht="75" x14ac:dyDescent="0.25">
      <c r="A160" s="2" t="s">
        <v>6</v>
      </c>
      <c r="B160" t="str">
        <f>HYPERLINK("https://www.csu.edu.au/scholarships/scholarships-grants/find-scholarship/foundation/continuing/valerie-cox-memorial-scholarship-continuing", "Valerie Cox Memorial Scholarship - Continuing")</f>
        <v>Valerie Cox Memorial Scholarship - Continuing</v>
      </c>
      <c r="C160" t="s">
        <v>27</v>
      </c>
      <c r="D160" t="s">
        <v>203</v>
      </c>
      <c r="E160" t="s">
        <v>24</v>
      </c>
      <c r="F160" t="s">
        <v>13</v>
      </c>
      <c r="G160" s="12" t="s">
        <v>430</v>
      </c>
      <c r="H160" t="s">
        <v>25</v>
      </c>
      <c r="I160" t="s">
        <v>25</v>
      </c>
    </row>
    <row r="161" spans="1:9" ht="60" x14ac:dyDescent="0.25">
      <c r="A161" s="2" t="s">
        <v>6</v>
      </c>
      <c r="B161" t="str">
        <f>HYPERLINK("https://www.csu.edu.au/scholarships/scholarships-grants/find-scholarship/equity/three-rivers-department-of-rural-health-honours-scholarship", "Three Rivers Department of Rural Health Honours Scholarship")</f>
        <v>Three Rivers Department of Rural Health Honours Scholarship</v>
      </c>
      <c r="C161" t="s">
        <v>27</v>
      </c>
      <c r="D161" s="7" t="s">
        <v>255</v>
      </c>
      <c r="E161" t="s">
        <v>201</v>
      </c>
      <c r="F161" t="s">
        <v>137</v>
      </c>
      <c r="G161" s="12" t="s">
        <v>436</v>
      </c>
      <c r="H161" t="s">
        <v>25</v>
      </c>
      <c r="I161" t="s">
        <v>25</v>
      </c>
    </row>
    <row r="162" spans="1:9" ht="90" x14ac:dyDescent="0.25">
      <c r="A162" s="2" t="s">
        <v>6</v>
      </c>
      <c r="B162" t="str">
        <f>HYPERLINK("https://www.csu.edu.au/scholarships/scholarships-grants/find-scholarship/foundation/1st-year/chris-and-gina-grubb-scholarship", "Chris and Gina Grubb Ornithology Scholarship")</f>
        <v>Chris and Gina Grubb Ornithology Scholarship</v>
      </c>
      <c r="C162" t="s">
        <v>27</v>
      </c>
      <c r="D162" s="7" t="s">
        <v>203</v>
      </c>
      <c r="E162" t="s">
        <v>24</v>
      </c>
      <c r="F162" t="s">
        <v>13</v>
      </c>
      <c r="G162" s="12" t="s">
        <v>509</v>
      </c>
      <c r="H162" t="s">
        <v>25</v>
      </c>
      <c r="I162" t="s">
        <v>25</v>
      </c>
    </row>
    <row r="163" spans="1:9" ht="75" x14ac:dyDescent="0.25">
      <c r="A163" s="2" t="s">
        <v>6</v>
      </c>
      <c r="B163" t="str">
        <f>HYPERLINK("https://www.csu.edu.au/scholarships/scholarships-grants/find-scholarship/foundation/1st-year/The-Roberton-Scholarship", "The Roberton Scholarship")</f>
        <v>The Roberton Scholarship</v>
      </c>
      <c r="C163" t="s">
        <v>27</v>
      </c>
      <c r="D163" t="s">
        <v>256</v>
      </c>
      <c r="E163" t="s">
        <v>201</v>
      </c>
      <c r="F163" t="s">
        <v>13</v>
      </c>
      <c r="G163" s="12" t="s">
        <v>510</v>
      </c>
      <c r="H163" t="s">
        <v>25</v>
      </c>
      <c r="I163" t="s">
        <v>25</v>
      </c>
    </row>
    <row r="164" spans="1:9" ht="60" x14ac:dyDescent="0.25">
      <c r="A164" s="2" t="s">
        <v>6</v>
      </c>
      <c r="B164" t="str">
        <f>HYPERLINK("https://www.csu.edu.au/scholarships/scholarships-grants/find-scholarship/foundation/continuing/calvary-health-care-riverina-scholarship", "Calvary Health Care Riverina Scholarship")</f>
        <v>Calvary Health Care Riverina Scholarship</v>
      </c>
      <c r="C164" t="s">
        <v>27</v>
      </c>
      <c r="D164" t="s">
        <v>214</v>
      </c>
      <c r="E164" t="s">
        <v>24</v>
      </c>
      <c r="F164" t="s">
        <v>13</v>
      </c>
      <c r="G164" s="12" t="s">
        <v>511</v>
      </c>
      <c r="H164" t="s">
        <v>25</v>
      </c>
      <c r="I164" t="s">
        <v>25</v>
      </c>
    </row>
    <row r="165" spans="1:9" ht="60" x14ac:dyDescent="0.25">
      <c r="A165" s="2" t="s">
        <v>6</v>
      </c>
      <c r="B165" t="str">
        <f>HYPERLINK("https://www.csu.edu.au/scholarships/scholarships-grants/find-scholarship/foundation/1st-year/csu-pharmacy-foundation-scholarship", "CSU Pharmacy Foundation Scholarship")</f>
        <v>CSU Pharmacy Foundation Scholarship</v>
      </c>
      <c r="C165" t="s">
        <v>27</v>
      </c>
      <c r="D165" t="s">
        <v>203</v>
      </c>
      <c r="E165" t="s">
        <v>24</v>
      </c>
      <c r="F165" t="s">
        <v>13</v>
      </c>
      <c r="G165" s="12" t="s">
        <v>512</v>
      </c>
      <c r="H165" t="s">
        <v>21</v>
      </c>
      <c r="I165" t="s">
        <v>25</v>
      </c>
    </row>
    <row r="166" spans="1:9" ht="75" x14ac:dyDescent="0.25">
      <c r="A166" s="2" t="s">
        <v>6</v>
      </c>
      <c r="B166" t="str">
        <f>HYPERLINK("https://www.csu.edu.au/scholarships/scholarships-grants/find-scholarship/foundation/continuing/geoff-quick-paramedicine-scholarship", "Geoff Quick Paramedicine Scholarship")</f>
        <v>Geoff Quick Paramedicine Scholarship</v>
      </c>
      <c r="C166" t="s">
        <v>14</v>
      </c>
      <c r="D166" t="s">
        <v>203</v>
      </c>
      <c r="E166" t="s">
        <v>201</v>
      </c>
      <c r="F166" t="s">
        <v>13</v>
      </c>
      <c r="G166" s="12" t="s">
        <v>513</v>
      </c>
      <c r="H166" t="s">
        <v>25</v>
      </c>
      <c r="I166" t="s">
        <v>25</v>
      </c>
    </row>
    <row r="167" spans="1:9" ht="60" x14ac:dyDescent="0.25">
      <c r="A167" s="2" t="s">
        <v>6</v>
      </c>
      <c r="B167" t="str">
        <f>HYPERLINK("https://www.csu.edu.au/scholarships/scholarships-grants/find-scholarship/foundation/any-year/rotary-club-of-wollundry-scholarship-wagga-wagga", "Rotary Club of Wollundry Scholarship, Wagga Wagga ")</f>
        <v xml:space="preserve">Rotary Club of Wollundry Scholarship, Wagga Wagga </v>
      </c>
      <c r="C167" t="s">
        <v>27</v>
      </c>
      <c r="D167" t="s">
        <v>248</v>
      </c>
      <c r="E167" t="s">
        <v>201</v>
      </c>
      <c r="F167" t="s">
        <v>13</v>
      </c>
      <c r="G167" s="12" t="s">
        <v>514</v>
      </c>
      <c r="H167" t="s">
        <v>25</v>
      </c>
      <c r="I167" t="s">
        <v>25</v>
      </c>
    </row>
    <row r="168" spans="1:9" ht="60" x14ac:dyDescent="0.25">
      <c r="A168" s="2" t="s">
        <v>6</v>
      </c>
      <c r="B168" t="str">
        <f>HYPERLINK("https://www.csu.edu.au/scholarships/scholarships-grants/find-scholarship/foundation/1st-year/rotary-club-of-liverpool-west-nursing-scholarship", "Rotary Club of Liverpool West Nursing Scholarship")</f>
        <v>Rotary Club of Liverpool West Nursing Scholarship</v>
      </c>
      <c r="C168" t="s">
        <v>14</v>
      </c>
      <c r="D168" t="s">
        <v>238</v>
      </c>
      <c r="E168" t="s">
        <v>201</v>
      </c>
      <c r="F168" t="s">
        <v>13</v>
      </c>
      <c r="G168" s="12" t="s">
        <v>515</v>
      </c>
      <c r="H168" t="s">
        <v>25</v>
      </c>
      <c r="I168" t="s">
        <v>25</v>
      </c>
    </row>
    <row r="169" spans="1:9" ht="90" x14ac:dyDescent="0.25">
      <c r="A169" s="2" t="s">
        <v>6</v>
      </c>
      <c r="B169" t="str">
        <f>HYPERLINK("https://www.csu.edu.au/scholarships/scholarships-grants/find-scholarship/foundation/1st-year/vp-bragg-bequest-trust-fund-scholarship", "VP Bragg Bequest Trust Fund Scholarship")</f>
        <v>VP Bragg Bequest Trust Fund Scholarship</v>
      </c>
      <c r="C169" t="s">
        <v>14</v>
      </c>
      <c r="D169" t="s">
        <v>193</v>
      </c>
      <c r="E169" t="s">
        <v>24</v>
      </c>
      <c r="F169" t="s">
        <v>13</v>
      </c>
      <c r="G169" s="12" t="s">
        <v>516</v>
      </c>
      <c r="H169" t="s">
        <v>25</v>
      </c>
      <c r="I169" t="s">
        <v>25</v>
      </c>
    </row>
    <row r="170" spans="1:9" ht="45" x14ac:dyDescent="0.25">
      <c r="A170" s="2" t="s">
        <v>6</v>
      </c>
      <c r="B170" t="str">
        <f>HYPERLINK("https://www.csu.edu.au/scholarships/scholarships-grants/find-scholarship/foundation/1st-year/central-west-medical-association-medical-student-scholarship", "Central West Medical Association Medical Student Scholarship")</f>
        <v>Central West Medical Association Medical Student Scholarship</v>
      </c>
      <c r="C170" t="s">
        <v>27</v>
      </c>
      <c r="D170" t="s">
        <v>257</v>
      </c>
      <c r="E170" t="s">
        <v>201</v>
      </c>
      <c r="F170" t="s">
        <v>197</v>
      </c>
      <c r="G170" s="12" t="s">
        <v>258</v>
      </c>
      <c r="H170" t="s">
        <v>25</v>
      </c>
      <c r="I170" t="s">
        <v>25</v>
      </c>
    </row>
    <row r="171" spans="1:9" ht="45" x14ac:dyDescent="0.25">
      <c r="A171" s="2" t="s">
        <v>6</v>
      </c>
      <c r="B171" t="str">
        <f>HYPERLINK("https://www.csu.edu.au/scholarships/scholarships-grants/find-scholarship/foundation/any-year/widgiewa-school-scholarship", "Widgiewa School Scholarship ")</f>
        <v xml:space="preserve">Widgiewa School Scholarship </v>
      </c>
      <c r="C171" t="s">
        <v>27</v>
      </c>
      <c r="D171" t="s">
        <v>203</v>
      </c>
      <c r="E171" t="s">
        <v>24</v>
      </c>
      <c r="F171" t="s">
        <v>13</v>
      </c>
      <c r="G171" s="12" t="s">
        <v>517</v>
      </c>
      <c r="H171" t="s">
        <v>25</v>
      </c>
      <c r="I171" t="s">
        <v>25</v>
      </c>
    </row>
    <row r="172" spans="1:9" ht="60" x14ac:dyDescent="0.25">
      <c r="A172" s="2" t="s">
        <v>6</v>
      </c>
      <c r="B172" t="str">
        <f>HYPERLINK("https://www.csu.edu.au/scholarships/scholarships-grants/find-scholarship/foundation/1st-year/the-james-mcinerney-memorial-scholarship", "The James McInerney Memorial Scholarship")</f>
        <v>The James McInerney Memorial Scholarship</v>
      </c>
      <c r="C172" t="s">
        <v>14</v>
      </c>
      <c r="D172" t="s">
        <v>259</v>
      </c>
      <c r="E172" t="s">
        <v>201</v>
      </c>
      <c r="F172" t="s">
        <v>13</v>
      </c>
      <c r="G172" s="12" t="s">
        <v>518</v>
      </c>
      <c r="H172" t="s">
        <v>25</v>
      </c>
      <c r="I172" t="s">
        <v>25</v>
      </c>
    </row>
    <row r="173" spans="1:9" ht="90" x14ac:dyDescent="0.25">
      <c r="A173" s="2" t="s">
        <v>6</v>
      </c>
      <c r="B173" t="str">
        <f>HYPERLINK("https://www.csu.edu.au/scholarships/scholarships-grants/find-scholarship/foundation/1st-year/fc-pye-rural-australia-foundation", "FC Pye Rural Australia Foundation")</f>
        <v>FC Pye Rural Australia Foundation</v>
      </c>
      <c r="C173" t="s">
        <v>27</v>
      </c>
      <c r="D173" t="s">
        <v>214</v>
      </c>
      <c r="E173" t="s">
        <v>24</v>
      </c>
      <c r="F173" t="s">
        <v>13</v>
      </c>
      <c r="G173" s="12" t="s">
        <v>519</v>
      </c>
      <c r="H173" t="s">
        <v>25</v>
      </c>
      <c r="I173" t="s">
        <v>25</v>
      </c>
    </row>
    <row r="174" spans="1:9" ht="105" x14ac:dyDescent="0.25">
      <c r="A174" s="2" t="s">
        <v>6</v>
      </c>
      <c r="B174" t="str">
        <f>HYPERLINK("https://www.csu.edu.au/scholarships/scholarships-grants/find-scholarship/foundation/continuing/matron-hertzog-scholarship", "Matron Herzog Scholarship")</f>
        <v>Matron Herzog Scholarship</v>
      </c>
      <c r="C174" t="s">
        <v>14</v>
      </c>
      <c r="D174" s="7" t="s">
        <v>210</v>
      </c>
      <c r="E174" t="s">
        <v>24</v>
      </c>
      <c r="F174" t="s">
        <v>13</v>
      </c>
      <c r="G174" s="12" t="s">
        <v>520</v>
      </c>
      <c r="H174" t="s">
        <v>25</v>
      </c>
      <c r="I174" t="s">
        <v>25</v>
      </c>
    </row>
    <row r="175" spans="1:9" ht="105" x14ac:dyDescent="0.25">
      <c r="A175" s="2" t="s">
        <v>6</v>
      </c>
      <c r="B175" t="str">
        <f>HYPERLINK("https://www.csu.edu.au/scholarships/scholarships-grants/find-scholarship/foundation/continuing/tarcutta-and-wantabadgery-merino-breeders-association-scholarship", "Tarcutta and Wantabadgery Merino Breeders Association Scholarship ")</f>
        <v xml:space="preserve">Tarcutta and Wantabadgery Merino Breeders Association Scholarship </v>
      </c>
      <c r="C175" t="s">
        <v>27</v>
      </c>
      <c r="D175" t="s">
        <v>224</v>
      </c>
      <c r="E175" t="s">
        <v>24</v>
      </c>
      <c r="F175" t="s">
        <v>13</v>
      </c>
      <c r="G175" s="12" t="s">
        <v>521</v>
      </c>
      <c r="H175" t="s">
        <v>25</v>
      </c>
      <c r="I175" t="s">
        <v>25</v>
      </c>
    </row>
    <row r="176" spans="1:9" ht="45" x14ac:dyDescent="0.25">
      <c r="A176" s="2" t="s">
        <v>6</v>
      </c>
      <c r="B176" t="str">
        <f>HYPERLINK("https://www.csu.edu.au/scholarships/scholarships-grants/find-scholarship/foundation/1st-year/ron-and-stephanie-camplin-oam-nursing-scholarship", "Ron and Stephanie Camplin OAM Nursing Scholarship")</f>
        <v>Ron and Stephanie Camplin OAM Nursing Scholarship</v>
      </c>
      <c r="C176" t="s">
        <v>27</v>
      </c>
      <c r="D176" t="s">
        <v>248</v>
      </c>
      <c r="E176" t="s">
        <v>201</v>
      </c>
      <c r="F176" t="s">
        <v>13</v>
      </c>
      <c r="G176" s="12" t="s">
        <v>522</v>
      </c>
      <c r="H176" t="s">
        <v>25</v>
      </c>
      <c r="I176" t="s">
        <v>25</v>
      </c>
    </row>
    <row r="177" spans="1:9" ht="120" x14ac:dyDescent="0.25">
      <c r="A177" s="2" t="s">
        <v>6</v>
      </c>
      <c r="B177" t="str">
        <f>HYPERLINK("https://www.csu.edu.au/scholarships/scholarships-grants/find-scholarship/foundation/continuing/j-h-chalmers-memorial-veterinary-science-scholarship", "J H Chalmers Memorial Veterinary Science Scholarship ")</f>
        <v xml:space="preserve">J H Chalmers Memorial Veterinary Science Scholarship </v>
      </c>
      <c r="C177" t="s">
        <v>27</v>
      </c>
      <c r="D177" t="s">
        <v>214</v>
      </c>
      <c r="E177" t="s">
        <v>24</v>
      </c>
      <c r="F177" t="s">
        <v>13</v>
      </c>
      <c r="G177" s="12" t="s">
        <v>523</v>
      </c>
      <c r="H177" t="s">
        <v>25</v>
      </c>
      <c r="I177" t="s">
        <v>25</v>
      </c>
    </row>
    <row r="178" spans="1:9" ht="105" x14ac:dyDescent="0.25">
      <c r="A178" s="2" t="s">
        <v>6</v>
      </c>
      <c r="B178" t="str">
        <f>HYPERLINK("https://www.csu.edu.au/scholarships/scholarships-grants/find-scholarship/foundation/continuing/a-and-k-gestier-veterinary-scholarship2", "A&amp;K Gestier Veterinary Scholarship")</f>
        <v>A&amp;K Gestier Veterinary Scholarship</v>
      </c>
      <c r="C178" t="s">
        <v>14</v>
      </c>
      <c r="D178" t="s">
        <v>193</v>
      </c>
      <c r="E178" t="s">
        <v>24</v>
      </c>
      <c r="F178" t="s">
        <v>13</v>
      </c>
      <c r="G178" s="12" t="s">
        <v>524</v>
      </c>
      <c r="H178" t="s">
        <v>25</v>
      </c>
      <c r="I178" t="s">
        <v>25</v>
      </c>
    </row>
    <row r="179" spans="1:9" ht="90" x14ac:dyDescent="0.25">
      <c r="A179" s="2" t="s">
        <v>6</v>
      </c>
      <c r="B179" t="str">
        <f>HYPERLINK("https://www.csu.edu.au/scholarships/scholarships-grants/find-scholarship/foundation/continuing/the-ak-and-ia-sutherland-scholarship", "The AK &amp; IA Sutherland Scholarship")</f>
        <v>The AK &amp; IA Sutherland Scholarship</v>
      </c>
      <c r="C179" t="s">
        <v>14</v>
      </c>
      <c r="D179" t="s">
        <v>193</v>
      </c>
      <c r="E179" t="s">
        <v>24</v>
      </c>
      <c r="F179" t="s">
        <v>13</v>
      </c>
      <c r="G179" s="12" t="s">
        <v>525</v>
      </c>
      <c r="H179" t="s">
        <v>25</v>
      </c>
      <c r="I179" t="s">
        <v>25</v>
      </c>
    </row>
    <row r="180" spans="1:9" x14ac:dyDescent="0.25">
      <c r="A180" s="6" t="s">
        <v>5</v>
      </c>
      <c r="B180" s="8" t="str">
        <f>HYPERLINK("https://www.mq.edu.au/study/admissions-and-entry/scholarships/domestic/indigenous-education-costs-scholarship","Indigenous Education Costs Scholarship")</f>
        <v>Indigenous Education Costs Scholarship</v>
      </c>
      <c r="C180" s="7" t="s">
        <v>14</v>
      </c>
      <c r="D180" s="9">
        <v>3000</v>
      </c>
      <c r="E180" s="7">
        <v>4</v>
      </c>
      <c r="F180" s="7" t="s">
        <v>13</v>
      </c>
      <c r="G180" s="7" t="s">
        <v>17</v>
      </c>
      <c r="H180" t="s">
        <v>16</v>
      </c>
      <c r="I180" s="7" t="s">
        <v>25</v>
      </c>
    </row>
    <row r="181" spans="1:9" ht="30" x14ac:dyDescent="0.25">
      <c r="A181" s="6" t="s">
        <v>5</v>
      </c>
      <c r="B181" s="8" t="str">
        <f>HYPERLINK(" https://www.mq.edu.au/study/admissions-and-entry/scholarships/domestic/indigenous-commonwealth-assistance-scholarship", "Indigenous Commonwealth Assistance Scholarship")</f>
        <v>Indigenous Commonwealth Assistance Scholarship</v>
      </c>
      <c r="C181" s="7" t="s">
        <v>19</v>
      </c>
      <c r="D181" s="9">
        <v>6000</v>
      </c>
      <c r="E181" s="7">
        <v>4</v>
      </c>
      <c r="F181" s="7" t="s">
        <v>13</v>
      </c>
      <c r="G181" s="10" t="s">
        <v>18</v>
      </c>
      <c r="H181" t="s">
        <v>16</v>
      </c>
      <c r="I181" s="7" t="s">
        <v>25</v>
      </c>
    </row>
    <row r="182" spans="1:9" ht="45" x14ac:dyDescent="0.25">
      <c r="A182" s="6" t="s">
        <v>5</v>
      </c>
      <c r="B182" s="8" t="str">
        <f>HYPERLINK(" https://www.mq.edu.au/study/admissions-and-entry/scholarships/domestic/macquarie-regional-and-remote-support-scholarship", "Macquarie Regional and Remote Support Scholarship")</f>
        <v>Macquarie Regional and Remote Support Scholarship</v>
      </c>
      <c r="C182" s="7" t="s">
        <v>14</v>
      </c>
      <c r="D182" s="9">
        <v>10000</v>
      </c>
      <c r="E182" s="7">
        <v>4</v>
      </c>
      <c r="F182" s="7" t="s">
        <v>13</v>
      </c>
      <c r="G182" s="10" t="s">
        <v>20</v>
      </c>
      <c r="H182" s="7" t="s">
        <v>21</v>
      </c>
      <c r="I182" s="7" t="s">
        <v>25</v>
      </c>
    </row>
    <row r="183" spans="1:9" ht="60" x14ac:dyDescent="0.25">
      <c r="A183" s="6" t="s">
        <v>5</v>
      </c>
      <c r="B183" s="8" t="str">
        <f>HYPERLINK(" https://www.mq.edu.au/study/admissions-and-entry/scholarships/domestic/macquarie-education-costs-scholarship", "Macquarie Education Costs Scholarship")</f>
        <v>Macquarie Education Costs Scholarship</v>
      </c>
      <c r="C183" s="7" t="s">
        <v>14</v>
      </c>
      <c r="D183" s="9">
        <v>6000</v>
      </c>
      <c r="E183" s="7">
        <v>4</v>
      </c>
      <c r="F183" s="7" t="s">
        <v>13</v>
      </c>
      <c r="G183" s="10" t="s">
        <v>22</v>
      </c>
      <c r="H183" s="7" t="s">
        <v>21</v>
      </c>
      <c r="I183" s="7" t="s">
        <v>25</v>
      </c>
    </row>
    <row r="184" spans="1:9" ht="60" x14ac:dyDescent="0.25">
      <c r="A184" s="6" t="s">
        <v>5</v>
      </c>
      <c r="B184" s="8" t="str">
        <f>HYPERLINK(" https://www.mq.edu.au/study/admissions-and-entry/scholarships/domestic/tertiary-access-payment", "Tertiary Access Payment")</f>
        <v>Tertiary Access Payment</v>
      </c>
      <c r="C184" s="7" t="s">
        <v>14</v>
      </c>
      <c r="D184" s="7" t="s">
        <v>23</v>
      </c>
      <c r="E184" s="7" t="s">
        <v>24</v>
      </c>
      <c r="F184" s="7" t="s">
        <v>13</v>
      </c>
      <c r="G184" s="10" t="s">
        <v>26</v>
      </c>
      <c r="H184" s="7" t="s">
        <v>25</v>
      </c>
      <c r="I184" s="7" t="s">
        <v>25</v>
      </c>
    </row>
    <row r="185" spans="1:9" ht="45" x14ac:dyDescent="0.25">
      <c r="A185" s="6" t="s">
        <v>5</v>
      </c>
      <c r="B185" s="8" t="str">
        <f>HYPERLINK(" https://www.mq.edu.au/study/admissions-and-entry/scholarships/domestic/jennifer-barton-memorial-law-scholarship", "
Jennifer Barton Memorial Law Scholarship")</f>
        <v xml:space="preserve">
Jennifer Barton Memorial Law Scholarship</v>
      </c>
      <c r="C185" s="7" t="s">
        <v>27</v>
      </c>
      <c r="D185" s="9">
        <v>10000</v>
      </c>
      <c r="E185" s="7">
        <v>1</v>
      </c>
      <c r="F185" s="7" t="s">
        <v>13</v>
      </c>
      <c r="G185" s="10" t="s">
        <v>28</v>
      </c>
      <c r="H185" s="7" t="s">
        <v>25</v>
      </c>
      <c r="I185" s="7" t="s">
        <v>25</v>
      </c>
    </row>
    <row r="186" spans="1:9" ht="30" x14ac:dyDescent="0.25">
      <c r="A186" s="6" t="s">
        <v>5</v>
      </c>
      <c r="B186" s="8" t="str">
        <f>HYPERLINK("https://www.mq.edu.au/study/admissions-and-entry/scholarships/domestic/macquarie-business-school-academic-excellence-scholarship", "Macquarie Business School Academic Excellence Scholarship")</f>
        <v>Macquarie Business School Academic Excellence Scholarship</v>
      </c>
      <c r="C186" s="7" t="s">
        <v>27</v>
      </c>
      <c r="D186" s="7" t="s">
        <v>29</v>
      </c>
      <c r="E186" s="7">
        <v>4</v>
      </c>
      <c r="F186" s="7" t="s">
        <v>13</v>
      </c>
      <c r="G186" s="10" t="s">
        <v>30</v>
      </c>
      <c r="H186" s="7" t="s">
        <v>25</v>
      </c>
      <c r="I186" s="7" t="s">
        <v>25</v>
      </c>
    </row>
    <row r="187" spans="1:9" ht="30" x14ac:dyDescent="0.25">
      <c r="A187" s="6" t="s">
        <v>5</v>
      </c>
      <c r="B187" s="8" t="str">
        <f>HYPERLINK(" https://www.mq.edu.au/study/admissions-and-entry/scholarships/domestic/macquarie-advantage-accommodation-scholarship-dunmore-lang-college", "Macquarie Advantage Accommodation Scholarship (Dunmore Lang College)")</f>
        <v>Macquarie Advantage Accommodation Scholarship (Dunmore Lang College)</v>
      </c>
      <c r="C187" s="7" t="s">
        <v>14</v>
      </c>
      <c r="D187" s="7" t="s">
        <v>31</v>
      </c>
      <c r="E187" s="7">
        <v>4</v>
      </c>
      <c r="F187" s="7" t="s">
        <v>13</v>
      </c>
      <c r="G187" s="10" t="s">
        <v>18</v>
      </c>
      <c r="H187" s="7" t="s">
        <v>21</v>
      </c>
      <c r="I187" s="7" t="s">
        <v>25</v>
      </c>
    </row>
    <row r="188" spans="1:9" ht="60" x14ac:dyDescent="0.25">
      <c r="A188" s="6" t="s">
        <v>5</v>
      </c>
      <c r="B188" s="8" t="str">
        <f>HYPERLINK(" https://www.mq.edu.au/study/admissions-and-entry/scholarships/domestic/macquarie-advantage-accommodation-scholarship-robert-menzies-college", "Macquarie Advantage Accommodation Scholarship (Robert Menzies College)")</f>
        <v>Macquarie Advantage Accommodation Scholarship (Robert Menzies College)</v>
      </c>
      <c r="C188" s="7" t="s">
        <v>14</v>
      </c>
      <c r="D188" s="7" t="s">
        <v>31</v>
      </c>
      <c r="E188" s="7">
        <v>1</v>
      </c>
      <c r="F188" s="7" t="s">
        <v>13</v>
      </c>
      <c r="G188" s="10" t="s">
        <v>32</v>
      </c>
      <c r="H188" s="7" t="s">
        <v>21</v>
      </c>
      <c r="I188" s="7" t="s">
        <v>25</v>
      </c>
    </row>
    <row r="189" spans="1:9" ht="60" x14ac:dyDescent="0.25">
      <c r="A189" s="6" t="s">
        <v>5</v>
      </c>
      <c r="B189" s="8" t="str">
        <f>HYPERLINK(" https://www.mq.edu.au/study/admissions-and-entry/scholarships/domestic/macquarie-leaders-and-achievers-scholarship", "Macquarie Leaders and Achievers Scholarship")</f>
        <v>Macquarie Leaders and Achievers Scholarship</v>
      </c>
      <c r="C189" s="7" t="s">
        <v>27</v>
      </c>
      <c r="D189" s="9">
        <v>10000</v>
      </c>
      <c r="E189" s="7">
        <v>5</v>
      </c>
      <c r="F189" s="7" t="s">
        <v>13</v>
      </c>
      <c r="G189" s="10" t="s">
        <v>33</v>
      </c>
      <c r="H189" s="7" t="s">
        <v>25</v>
      </c>
      <c r="I189" s="7" t="s">
        <v>25</v>
      </c>
    </row>
    <row r="190" spans="1:9" ht="45" x14ac:dyDescent="0.25">
      <c r="A190" s="6" t="s">
        <v>5</v>
      </c>
      <c r="B190" s="8" t="str">
        <f>HYPERLINK(" https://www.mq.edu.au/study/admissions-and-entry/scholarships/domestic/dr-arthur-pryor-scholarship", "Dr Arthur Pryor Scholarship")</f>
        <v>Dr Arthur Pryor Scholarship</v>
      </c>
      <c r="C190" s="7" t="s">
        <v>27</v>
      </c>
      <c r="D190" s="9">
        <v>5000</v>
      </c>
      <c r="E190" s="7">
        <v>3</v>
      </c>
      <c r="F190" s="7" t="s">
        <v>13</v>
      </c>
      <c r="G190" s="10" t="s">
        <v>34</v>
      </c>
      <c r="H190" s="7" t="s">
        <v>25</v>
      </c>
      <c r="I190" s="7" t="s">
        <v>25</v>
      </c>
    </row>
    <row r="191" spans="1:9" ht="45" x14ac:dyDescent="0.25">
      <c r="A191" s="6" t="s">
        <v>5</v>
      </c>
      <c r="B191" s="8" t="str">
        <f>HYPERLINK("https://www.mq.edu.au/study/admissions-and-entry/scholarships/domestic/faculty-of-science-and-engineering-sustainability-scholarship", "Faculty of Science and Engineering Sustainability Scholarship")</f>
        <v>Faculty of Science and Engineering Sustainability Scholarship</v>
      </c>
      <c r="C191" s="7" t="s">
        <v>27</v>
      </c>
      <c r="D191" s="9">
        <v>5000</v>
      </c>
      <c r="E191" s="7">
        <v>4</v>
      </c>
      <c r="F191" s="7" t="s">
        <v>35</v>
      </c>
      <c r="G191" s="10" t="s">
        <v>36</v>
      </c>
      <c r="H191" s="7" t="s">
        <v>25</v>
      </c>
      <c r="I191" s="7" t="s">
        <v>25</v>
      </c>
    </row>
    <row r="192" spans="1:9" ht="60" x14ac:dyDescent="0.25">
      <c r="A192" s="6" t="s">
        <v>5</v>
      </c>
      <c r="B192" s="8" t="str">
        <f>HYPERLINK(" https://www.mq.edu.au/study/admissions-and-entry/scholarships/domestic/faculty-of-science-and-engineering-women-in-stem-scholarship", "Faculty of Science and Engineering Women in STEM Scholarship")</f>
        <v>Faculty of Science and Engineering Women in STEM Scholarship</v>
      </c>
      <c r="C192" s="7" t="s">
        <v>27</v>
      </c>
      <c r="D192" s="9">
        <v>5000</v>
      </c>
      <c r="E192" s="7">
        <v>4</v>
      </c>
      <c r="F192" s="7" t="s">
        <v>35</v>
      </c>
      <c r="G192" s="10" t="s">
        <v>37</v>
      </c>
      <c r="H192" s="7" t="s">
        <v>25</v>
      </c>
      <c r="I192" s="7" t="s">
        <v>25</v>
      </c>
    </row>
    <row r="193" spans="1:9" ht="45" x14ac:dyDescent="0.25">
      <c r="A193" s="6" t="s">
        <v>5</v>
      </c>
      <c r="B193" s="8" t="str">
        <f>HYPERLINK("https://www.mq.edu.au/study/admissions-and-entry/scholarships/domestic/dr-melanie-beresford-scholarship", "Dr Melanie Beresford Scholarship")</f>
        <v>Dr Melanie Beresford Scholarship</v>
      </c>
      <c r="C193" s="7" t="s">
        <v>27</v>
      </c>
      <c r="D193" s="9">
        <v>7500</v>
      </c>
      <c r="E193" s="7" t="s">
        <v>24</v>
      </c>
      <c r="F193" s="7" t="s">
        <v>35</v>
      </c>
      <c r="G193" s="10" t="s">
        <v>38</v>
      </c>
      <c r="H193" s="7" t="s">
        <v>25</v>
      </c>
      <c r="I193" s="7" t="s">
        <v>25</v>
      </c>
    </row>
    <row r="194" spans="1:9" ht="45" x14ac:dyDescent="0.25">
      <c r="A194" s="6" t="s">
        <v>5</v>
      </c>
      <c r="B194" s="8" t="str">
        <f>[1]Sheet1!$F$2</f>
        <v>['2nd or 3rd Year in the School of Mechanical and Manufacturing Engineering in the following areas:', 'Mechanical and Manufacturing EngineeringMechanical EngineeringRobotics and Mechatronics Engineering', 'Mechanical EngineeringRobotics and Mechatronics Engineering', 'Robotics and Mechatronics Engineering', '2nd or 3rd Year in the School of Electrical Engineering and Telecommunications in the following areas:Electrical EngineeringTelecommunications', 'Electrical EngineeringTelecommunications', 'Telecommunications', '2nd or 3rd in the Year School of Computer Science and Engineering in the following areas:Computer ScienceSoftware Engineering', 'Computer ScienceSoftware Engineering', 'Software Engineering', '3rd Year in Industrial Design']</v>
      </c>
      <c r="C194" s="7" t="s">
        <v>27</v>
      </c>
      <c r="D194" s="9">
        <v>10000</v>
      </c>
      <c r="E194" s="7" t="s">
        <v>24</v>
      </c>
      <c r="F194" s="7" t="s">
        <v>13</v>
      </c>
      <c r="G194" s="10" t="s">
        <v>39</v>
      </c>
      <c r="H194" s="7" t="s">
        <v>25</v>
      </c>
      <c r="I194" s="7" t="s">
        <v>25</v>
      </c>
    </row>
    <row r="195" spans="1:9" ht="30" x14ac:dyDescent="0.25">
      <c r="A195" s="6" t="s">
        <v>5</v>
      </c>
      <c r="B195" s="8" t="str">
        <f>HYPERLINK("https://www.mq.edu.au/study/admissions-and-entry/scholarships/domestic/sports-scholarship", "Sports Scholarship")</f>
        <v>Sports Scholarship</v>
      </c>
      <c r="C195" s="7" t="s">
        <v>27</v>
      </c>
      <c r="D195" s="7" t="s">
        <v>40</v>
      </c>
      <c r="E195" s="7">
        <v>1</v>
      </c>
      <c r="F195" s="7" t="s">
        <v>35</v>
      </c>
      <c r="G195" s="10" t="s">
        <v>176</v>
      </c>
      <c r="H195" s="7" t="s">
        <v>25</v>
      </c>
      <c r="I195" s="7" t="s">
        <v>25</v>
      </c>
    </row>
    <row r="196" spans="1:9" ht="45" x14ac:dyDescent="0.25">
      <c r="A196" s="6" t="s">
        <v>5</v>
      </c>
      <c r="B196" s="8" t="str">
        <f>HYPERLINK(" https://www.mq.edu.au/study/admissions-and-entry/scholarships/domestic/the-mark-pezzano-memorial-scholarship-in-law", "The Mark Pezzano Memorial Scholarship in Law")</f>
        <v>The Mark Pezzano Memorial Scholarship in Law</v>
      </c>
      <c r="C196" s="7" t="s">
        <v>14</v>
      </c>
      <c r="D196" s="9">
        <v>10000</v>
      </c>
      <c r="E196" s="7" t="s">
        <v>41</v>
      </c>
      <c r="F196" s="7" t="s">
        <v>13</v>
      </c>
      <c r="G196" s="10" t="s">
        <v>42</v>
      </c>
      <c r="H196" s="7" t="s">
        <v>25</v>
      </c>
      <c r="I196" s="7" t="s">
        <v>25</v>
      </c>
    </row>
    <row r="197" spans="1:9" ht="60" x14ac:dyDescent="0.25">
      <c r="A197" s="6" t="s">
        <v>5</v>
      </c>
      <c r="B197" s="8" t="str">
        <f>HYPERLINK(" https://www.mq.edu.au/study/admissions-and-entry/scholarships/domestic/macquarie-university-accommodation-sustainability-scholarship", "Macquarie University Accommodation Sustainability Scholarship")</f>
        <v>Macquarie University Accommodation Sustainability Scholarship</v>
      </c>
      <c r="C197" s="7" t="s">
        <v>14</v>
      </c>
      <c r="D197" s="7" t="s">
        <v>31</v>
      </c>
      <c r="E197" s="7">
        <v>3</v>
      </c>
      <c r="F197" s="7" t="s">
        <v>13</v>
      </c>
      <c r="G197" s="10" t="s">
        <v>22</v>
      </c>
      <c r="H197" s="7" t="s">
        <v>25</v>
      </c>
      <c r="I197" s="7" t="s">
        <v>25</v>
      </c>
    </row>
    <row r="198" spans="1:9" x14ac:dyDescent="0.25">
      <c r="A198" s="6" t="s">
        <v>5</v>
      </c>
      <c r="B198" s="8" t="str">
        <f>HYPERLINK("https://www.mq.edu.au/study/admissions-and-entry/scholarships/domestic/sqa-undergraduate-research-scholarship", "
SQA Undergraduate Research Scholarship")</f>
        <v xml:space="preserve">
SQA Undergraduate Research Scholarship</v>
      </c>
      <c r="C198" s="7" t="s">
        <v>27</v>
      </c>
      <c r="D198" s="9">
        <v>3333</v>
      </c>
      <c r="E198" s="7" t="s">
        <v>24</v>
      </c>
      <c r="F198" s="7" t="s">
        <v>13</v>
      </c>
      <c r="G198" s="7" t="s">
        <v>43</v>
      </c>
      <c r="H198" s="7" t="s">
        <v>25</v>
      </c>
      <c r="I198" s="7" t="s">
        <v>25</v>
      </c>
    </row>
    <row r="199" spans="1:9" ht="45" x14ac:dyDescent="0.25">
      <c r="A199" s="6" t="s">
        <v>5</v>
      </c>
      <c r="B199" s="8" t="str">
        <f>HYPERLINK(" https://www.mq.edu.au/study/admissions-and-entry/scholarships/domestic/knox-grammar-school-teacher-education-scholarship", "Knox Grammar School Teacher Education Scholarship")</f>
        <v>Knox Grammar School Teacher Education Scholarship</v>
      </c>
      <c r="C199" s="7" t="s">
        <v>27</v>
      </c>
      <c r="D199" s="9">
        <v>8000</v>
      </c>
      <c r="E199" s="7">
        <v>1</v>
      </c>
      <c r="F199" s="7" t="s">
        <v>35</v>
      </c>
      <c r="G199" s="10" t="s">
        <v>44</v>
      </c>
      <c r="H199" s="7" t="s">
        <v>25</v>
      </c>
      <c r="I199" s="7" t="s">
        <v>25</v>
      </c>
    </row>
    <row r="200" spans="1:9" ht="45" x14ac:dyDescent="0.25">
      <c r="A200" s="6" t="s">
        <v>5</v>
      </c>
      <c r="B200" s="8" t="str">
        <f>HYPERLINK("https://www.mq.edu.au/study/admissions-and-entry/scholarships/domestic/the-goodacre-scholarship", "The Goodacre Scholarship")</f>
        <v>The Goodacre Scholarship</v>
      </c>
      <c r="C200" s="7" t="s">
        <v>14</v>
      </c>
      <c r="D200" s="9">
        <v>10000</v>
      </c>
      <c r="E200" s="7">
        <v>1</v>
      </c>
      <c r="F200" s="7" t="s">
        <v>13</v>
      </c>
      <c r="G200" s="10" t="s">
        <v>45</v>
      </c>
      <c r="H200" t="s">
        <v>16</v>
      </c>
      <c r="I200" s="7" t="s">
        <v>25</v>
      </c>
    </row>
    <row r="201" spans="1:9" ht="30" x14ac:dyDescent="0.25">
      <c r="A201" s="6" t="s">
        <v>5</v>
      </c>
      <c r="B201" s="8" t="str">
        <f>HYPERLINK(" https://www.mq.edu.au/study/admissions-and-entry/scholarships/domestic/commonwealth-teaching-scholarships", "Commonwealth Teaching Scholarships")</f>
        <v>Commonwealth Teaching Scholarships</v>
      </c>
      <c r="C201" s="7" t="s">
        <v>27</v>
      </c>
      <c r="D201" s="11" t="s">
        <v>46</v>
      </c>
      <c r="E201" s="7" t="s">
        <v>41</v>
      </c>
      <c r="F201" s="7" t="s">
        <v>35</v>
      </c>
      <c r="G201" s="7" t="s">
        <v>47</v>
      </c>
      <c r="H201" s="7" t="s">
        <v>25</v>
      </c>
      <c r="I201" s="7" t="s">
        <v>25</v>
      </c>
    </row>
    <row r="202" spans="1:9" ht="45" x14ac:dyDescent="0.25">
      <c r="A202" s="6" t="s">
        <v>5</v>
      </c>
      <c r="B202" s="8" t="str">
        <f>HYPERLINK(" https://www.mq.edu.au/study/admissions-and-entry/scholarships/domestic/bertha-mckenzie-endowment-scholarship", "Bertha McKenzie Endowment Scholarship")</f>
        <v>Bertha McKenzie Endowment Scholarship</v>
      </c>
      <c r="C202" s="7" t="s">
        <v>14</v>
      </c>
      <c r="D202" s="9">
        <v>5058</v>
      </c>
      <c r="E202" s="7" t="s">
        <v>24</v>
      </c>
      <c r="F202" s="7" t="s">
        <v>13</v>
      </c>
      <c r="G202" s="10" t="s">
        <v>48</v>
      </c>
      <c r="H202" s="7" t="s">
        <v>25</v>
      </c>
      <c r="I202" s="7" t="s">
        <v>25</v>
      </c>
    </row>
    <row r="203" spans="1:9" x14ac:dyDescent="0.25">
      <c r="A203" s="6" t="s">
        <v>5</v>
      </c>
      <c r="B203" s="8" t="str">
        <f>HYPERLINK(" https://www.mq.edu.au/study/admissions-and-entry/scholarships/domestic/dr-john-waters-equity-scholarship", "Dr John Waters Equity Scholarship")</f>
        <v>Dr John Waters Equity Scholarship</v>
      </c>
      <c r="C203" s="7" t="s">
        <v>14</v>
      </c>
      <c r="D203" s="9">
        <v>10000</v>
      </c>
      <c r="E203" s="7" t="s">
        <v>24</v>
      </c>
      <c r="F203" s="7" t="s">
        <v>13</v>
      </c>
      <c r="G203" s="7" t="s">
        <v>17</v>
      </c>
      <c r="H203" s="7" t="s">
        <v>25</v>
      </c>
      <c r="I203" s="7" t="s">
        <v>25</v>
      </c>
    </row>
    <row r="204" spans="1:9" ht="45" x14ac:dyDescent="0.25">
      <c r="A204" s="6" t="s">
        <v>5</v>
      </c>
      <c r="B204" s="8" t="str">
        <f>HYPERLINK(" https://www.mq.edu.au/study/admissions-and-entry/scholarships/domestic/macquarie-university-higher-study-scholarship-full-time-rate", "Macquarie University Higher Study Scholarship - Full time rate")</f>
        <v>Macquarie University Higher Study Scholarship - Full time rate</v>
      </c>
      <c r="C204" s="7" t="s">
        <v>14</v>
      </c>
      <c r="D204" s="9">
        <v>12000</v>
      </c>
      <c r="E204" s="7" t="s">
        <v>41</v>
      </c>
      <c r="F204" s="7" t="s">
        <v>50</v>
      </c>
      <c r="G204" s="10" t="s">
        <v>49</v>
      </c>
      <c r="H204" t="s">
        <v>21</v>
      </c>
      <c r="I204" s="7" t="s">
        <v>25</v>
      </c>
    </row>
    <row r="205" spans="1:9" ht="30" x14ac:dyDescent="0.25">
      <c r="A205" s="6" t="s">
        <v>5</v>
      </c>
      <c r="B205" s="8" t="str">
        <f>HYPERLINK(" https://www.mq.edu.au/study/admissions-and-entry/scholarships/domestic/macquarie-university-postgraduate-loyalty-scheme-10-sponsorship", "
Macquarie University Postgraduate Loyalty Scheme 10% sponsorship")</f>
        <v xml:space="preserve">
Macquarie University Postgraduate Loyalty Scheme 10% sponsorship</v>
      </c>
      <c r="C205" s="7" t="s">
        <v>27</v>
      </c>
      <c r="D205" s="7" t="s">
        <v>52</v>
      </c>
      <c r="E205" s="7" t="s">
        <v>41</v>
      </c>
      <c r="F205" s="7" t="s">
        <v>51</v>
      </c>
      <c r="G205" s="10" t="s">
        <v>53</v>
      </c>
      <c r="H205" t="s">
        <v>25</v>
      </c>
      <c r="I205" s="7" t="s">
        <v>25</v>
      </c>
    </row>
    <row r="206" spans="1:9" x14ac:dyDescent="0.25">
      <c r="A206" s="6" t="s">
        <v>5</v>
      </c>
      <c r="B206" s="8" t="str">
        <f>HYPERLINK(" https://www.mq.edu.au/study/admissions-and-entry/scholarships/domestic/macquarie-university-higher-study-scholarship-part-time-rate", "Macquarie University Higher Study Scholarship - Part time rate")</f>
        <v>Macquarie University Higher Study Scholarship - Part time rate</v>
      </c>
      <c r="C206" s="7" t="s">
        <v>14</v>
      </c>
      <c r="D206" s="9">
        <v>6000</v>
      </c>
      <c r="E206" s="7" t="s">
        <v>41</v>
      </c>
      <c r="F206" s="7" t="s">
        <v>50</v>
      </c>
      <c r="G206" s="7" t="s">
        <v>17</v>
      </c>
      <c r="H206" t="s">
        <v>25</v>
      </c>
      <c r="I206" s="7" t="s">
        <v>25</v>
      </c>
    </row>
    <row r="207" spans="1:9" ht="30" x14ac:dyDescent="0.25">
      <c r="A207" s="6" t="s">
        <v>5</v>
      </c>
      <c r="B207" s="8" t="str">
        <f>HYPERLINK(" https://www.mq.edu.au/study/admissions-and-entry/scholarships/domestic/macquarie-university-anu-alumni-postgraduate-support-scheme", "Macquarie University-ANU Alumni Postgraduate Support Scheme")</f>
        <v>Macquarie University-ANU Alumni Postgraduate Support Scheme</v>
      </c>
      <c r="C207" s="7" t="s">
        <v>27</v>
      </c>
      <c r="D207" s="7" t="s">
        <v>54</v>
      </c>
      <c r="E207" s="7" t="s">
        <v>41</v>
      </c>
      <c r="F207" s="7" t="s">
        <v>51</v>
      </c>
      <c r="G207" s="10" t="s">
        <v>53</v>
      </c>
      <c r="H207" t="s">
        <v>25</v>
      </c>
      <c r="I207" s="7" t="s">
        <v>25</v>
      </c>
    </row>
    <row r="208" spans="1:9" ht="30" x14ac:dyDescent="0.25">
      <c r="A208" s="6" t="s">
        <v>5</v>
      </c>
      <c r="B208" s="8" t="str">
        <f>HYPERLINK(" https://www.mq.edu.au/study/admissions-and-entry/scholarships/domestic/the-sir-theo-kelly-sustainable-leadership-scholarship", "The Sir Theo Kelly Sustainable Leadership Scholarship")</f>
        <v>The Sir Theo Kelly Sustainable Leadership Scholarship</v>
      </c>
      <c r="C208" s="7" t="s">
        <v>27</v>
      </c>
      <c r="D208" s="9" t="s">
        <v>55</v>
      </c>
      <c r="E208" s="7">
        <v>3</v>
      </c>
      <c r="F208" s="7" t="s">
        <v>51</v>
      </c>
      <c r="G208" s="10" t="s">
        <v>56</v>
      </c>
      <c r="H208" t="s">
        <v>25</v>
      </c>
      <c r="I208" s="7" t="s">
        <v>25</v>
      </c>
    </row>
    <row r="209" spans="1:9" ht="105" x14ac:dyDescent="0.25">
      <c r="A209" s="5" t="s">
        <v>9</v>
      </c>
      <c r="B209" s="8" t="str">
        <f>HYPERLINK("https://www.newcastle.edu.au/scholarships/CESE_04", "College of Engineering, Science and Environment Relocation Scholarship")</f>
        <v>College of Engineering, Science and Environment Relocation Scholarship</v>
      </c>
      <c r="C209" s="7" t="s">
        <v>27</v>
      </c>
      <c r="D209" s="9">
        <v>5000</v>
      </c>
      <c r="E209" s="7">
        <v>2</v>
      </c>
      <c r="F209" s="7" t="s">
        <v>13</v>
      </c>
      <c r="G209" s="10" t="s">
        <v>152</v>
      </c>
      <c r="H209" t="s">
        <v>21</v>
      </c>
      <c r="I209" t="s">
        <v>25</v>
      </c>
    </row>
    <row r="210" spans="1:9" ht="90" x14ac:dyDescent="0.25">
      <c r="A210" s="5" t="s">
        <v>9</v>
      </c>
      <c r="B210" s="8" t="str">
        <f>HYPERLINK("https://www.newcastle.edu.au/scholarships/BUSLAW_012", "Neville Sawyer AM Scholarship")</f>
        <v>Neville Sawyer AM Scholarship</v>
      </c>
      <c r="C210" s="7" t="s">
        <v>27</v>
      </c>
      <c r="D210" s="9">
        <v>10000</v>
      </c>
      <c r="E210" s="7">
        <v>1</v>
      </c>
      <c r="F210" s="7" t="s">
        <v>51</v>
      </c>
      <c r="G210" s="10" t="s">
        <v>153</v>
      </c>
      <c r="H210" t="s">
        <v>25</v>
      </c>
      <c r="I210" t="s">
        <v>25</v>
      </c>
    </row>
    <row r="211" spans="1:9" ht="60" x14ac:dyDescent="0.25">
      <c r="A211" s="5" t="s">
        <v>9</v>
      </c>
      <c r="B211" s="8" t="str">
        <f>HYPERLINK("https://www.newcastle.edu.au/scholarships/ENGB_070", "CSIRO Women in Energy Scholarship")</f>
        <v>CSIRO Women in Energy Scholarship</v>
      </c>
      <c r="C211" s="7" t="s">
        <v>27</v>
      </c>
      <c r="D211" s="9">
        <v>10000</v>
      </c>
      <c r="E211" s="7">
        <v>4</v>
      </c>
      <c r="F211" s="7" t="s">
        <v>13</v>
      </c>
      <c r="G211" s="10" t="s">
        <v>154</v>
      </c>
      <c r="H211" t="s">
        <v>25</v>
      </c>
      <c r="I211" t="s">
        <v>25</v>
      </c>
    </row>
    <row r="212" spans="1:9" ht="60" x14ac:dyDescent="0.25">
      <c r="A212" s="5" t="s">
        <v>9</v>
      </c>
      <c r="B212" s="8" t="str">
        <f>HYPERLINK("https://www.newcastle.edu.au/scholarships/EXT_068", "Lewis Ewart Lewis Physiotherapy Scholarship")</f>
        <v>Lewis Ewart Lewis Physiotherapy Scholarship</v>
      </c>
      <c r="C212" s="7" t="s">
        <v>14</v>
      </c>
      <c r="D212" s="7" t="s">
        <v>151</v>
      </c>
      <c r="E212" s="7" t="s">
        <v>155</v>
      </c>
      <c r="F212" s="7" t="s">
        <v>13</v>
      </c>
      <c r="G212" s="10" t="s">
        <v>156</v>
      </c>
      <c r="H212" t="s">
        <v>25</v>
      </c>
      <c r="I212" t="s">
        <v>25</v>
      </c>
    </row>
    <row r="213" spans="1:9" ht="60" x14ac:dyDescent="0.25">
      <c r="A213" s="5" t="s">
        <v>9</v>
      </c>
      <c r="B213" s="8" t="str">
        <f>HYPERLINK("https://www.newcastle.edu.au/scholarships/EXT_131", "Ingrid and Ryszard Knopf Podiatric Medicine Scholarship")</f>
        <v>Ingrid and Ryszard Knopf Podiatric Medicine Scholarship</v>
      </c>
      <c r="C213" s="7" t="s">
        <v>14</v>
      </c>
      <c r="D213" s="9">
        <v>5000</v>
      </c>
      <c r="E213" s="7" t="s">
        <v>155</v>
      </c>
      <c r="F213" s="7" t="s">
        <v>13</v>
      </c>
      <c r="G213" s="10" t="s">
        <v>157</v>
      </c>
      <c r="H213" t="s">
        <v>25</v>
      </c>
      <c r="I213" t="s">
        <v>25</v>
      </c>
    </row>
    <row r="214" spans="1:9" ht="30" x14ac:dyDescent="0.25">
      <c r="A214" s="5" t="s">
        <v>9</v>
      </c>
      <c r="B214" s="8" t="str">
        <f>HYPERLINK("https://www.newcastle.edu.au/scholarships/EXT_140", "Shaping Futures Scholarships")</f>
        <v>Shaping Futures Scholarships</v>
      </c>
      <c r="C214" s="7" t="s">
        <v>14</v>
      </c>
      <c r="D214" s="7" t="s">
        <v>151</v>
      </c>
      <c r="E214" s="7" t="s">
        <v>155</v>
      </c>
      <c r="F214" s="7" t="s">
        <v>13</v>
      </c>
      <c r="G214" s="10" t="s">
        <v>58</v>
      </c>
      <c r="H214" t="s">
        <v>25</v>
      </c>
      <c r="I214" t="s">
        <v>25</v>
      </c>
    </row>
    <row r="215" spans="1:9" ht="90" x14ac:dyDescent="0.25">
      <c r="A215" s="5" t="s">
        <v>9</v>
      </c>
      <c r="B215" s="8" t="str">
        <f>HYPERLINK("https://www.newcastle.edu.au/scholarships/EXT_238", "MBC Group Construction Management Scholarship")</f>
        <v>MBC Group Construction Management Scholarship</v>
      </c>
      <c r="C215" s="7" t="s">
        <v>14</v>
      </c>
      <c r="D215" s="9">
        <v>5000</v>
      </c>
      <c r="E215" s="7">
        <v>2</v>
      </c>
      <c r="F215" s="7" t="s">
        <v>13</v>
      </c>
      <c r="G215" s="10" t="s">
        <v>160</v>
      </c>
      <c r="H215" t="s">
        <v>25</v>
      </c>
      <c r="I215" t="s">
        <v>25</v>
      </c>
    </row>
    <row r="216" spans="1:9" ht="75" x14ac:dyDescent="0.25">
      <c r="A216" s="5" t="s">
        <v>9</v>
      </c>
      <c r="B216" s="8" t="str">
        <f>HYPERLINK("https://www.newcastle.edu.au/scholarships/EXT_241", "The Bloomfield Group Foundation Scholarship")</f>
        <v>The Bloomfield Group Foundation Scholarship</v>
      </c>
      <c r="C216" s="7" t="s">
        <v>14</v>
      </c>
      <c r="D216" s="9">
        <v>5000</v>
      </c>
      <c r="E216" s="7">
        <v>1</v>
      </c>
      <c r="F216" s="7" t="s">
        <v>13</v>
      </c>
      <c r="G216" s="10" t="s">
        <v>161</v>
      </c>
      <c r="H216" t="s">
        <v>25</v>
      </c>
      <c r="I216" t="s">
        <v>25</v>
      </c>
    </row>
    <row r="217" spans="1:9" ht="45" x14ac:dyDescent="0.25">
      <c r="A217" s="5" t="s">
        <v>9</v>
      </c>
      <c r="B217" s="8" t="str">
        <f>HYPERLINK("https://www.newcastle.edu.au/scholarships/EXT_196", "Valasi Bleazard Memorial Scholarship in Music")</f>
        <v>Valasi Bleazard Memorial Scholarship in Music</v>
      </c>
      <c r="C217" s="7" t="s">
        <v>27</v>
      </c>
      <c r="D217" s="9">
        <v>12500</v>
      </c>
      <c r="E217" s="7">
        <v>1</v>
      </c>
      <c r="F217" s="7" t="s">
        <v>13</v>
      </c>
      <c r="G217" s="10" t="s">
        <v>158</v>
      </c>
      <c r="H217" t="s">
        <v>25</v>
      </c>
      <c r="I217" t="s">
        <v>25</v>
      </c>
    </row>
    <row r="218" spans="1:9" ht="45" x14ac:dyDescent="0.25">
      <c r="A218" s="5" t="s">
        <v>9</v>
      </c>
      <c r="B218" s="8" t="str">
        <f>HYPERLINK("https://www.newcastle.edu.au/scholarships/EXT_199", "Friends of the University Sport Scholarship")</f>
        <v>Friends of the University Sport Scholarship</v>
      </c>
      <c r="C218" s="7" t="s">
        <v>27</v>
      </c>
      <c r="D218" s="9">
        <v>5000</v>
      </c>
      <c r="E218" s="7" t="s">
        <v>155</v>
      </c>
      <c r="F218" s="7" t="s">
        <v>13</v>
      </c>
      <c r="G218" s="10" t="s">
        <v>159</v>
      </c>
      <c r="H218" t="s">
        <v>25</v>
      </c>
      <c r="I218" t="s">
        <v>25</v>
      </c>
    </row>
    <row r="219" spans="1:9" ht="60" x14ac:dyDescent="0.25">
      <c r="A219" s="5" t="s">
        <v>9</v>
      </c>
      <c r="B219" s="8" t="str">
        <f>HYPERLINK("https://www.newcastle.edu.au/scholarships/EXT_251", "Student Residences Scholarship")</f>
        <v>Student Residences Scholarship</v>
      </c>
      <c r="C219" s="7" t="s">
        <v>14</v>
      </c>
      <c r="D219" s="9">
        <v>5000</v>
      </c>
      <c r="E219" s="7" t="s">
        <v>155</v>
      </c>
      <c r="F219" s="7" t="s">
        <v>13</v>
      </c>
      <c r="G219" s="10" t="s">
        <v>163</v>
      </c>
      <c r="H219" t="s">
        <v>25</v>
      </c>
      <c r="I219" t="s">
        <v>25</v>
      </c>
    </row>
    <row r="220" spans="1:9" ht="30" x14ac:dyDescent="0.25">
      <c r="A220" s="5" t="s">
        <v>9</v>
      </c>
      <c r="B220" s="8" t="str">
        <f>HYPERLINK("https://www.newcastle.edu.au/scholarships/EXT_252", "LGBTQIA+ Shaping Futures Scholarship")</f>
        <v>LGBTQIA+ Shaping Futures Scholarship</v>
      </c>
      <c r="C220" s="7" t="s">
        <v>14</v>
      </c>
      <c r="D220" s="9">
        <v>5000</v>
      </c>
      <c r="E220" s="7" t="s">
        <v>155</v>
      </c>
      <c r="F220" s="7" t="s">
        <v>13</v>
      </c>
      <c r="G220" s="10" t="s">
        <v>162</v>
      </c>
      <c r="H220" t="s">
        <v>25</v>
      </c>
      <c r="I220" t="s">
        <v>25</v>
      </c>
    </row>
    <row r="221" spans="1:9" ht="60" x14ac:dyDescent="0.25">
      <c r="A221" s="5" t="s">
        <v>9</v>
      </c>
      <c r="B221" s="8" t="str">
        <f>HYPERLINK("https://www.newcastle.edu.au/scholarships/EXT_257", "Betty Josephine Fyffe Rural Medical Excellence Scholarship")</f>
        <v>Betty Josephine Fyffe Rural Medical Excellence Scholarship</v>
      </c>
      <c r="C221" s="7" t="s">
        <v>27</v>
      </c>
      <c r="D221" s="9">
        <v>10000</v>
      </c>
      <c r="E221" s="7">
        <v>5</v>
      </c>
      <c r="F221" s="7" t="s">
        <v>13</v>
      </c>
      <c r="G221" s="10" t="s">
        <v>164</v>
      </c>
      <c r="H221" t="s">
        <v>25</v>
      </c>
      <c r="I221" t="s">
        <v>25</v>
      </c>
    </row>
    <row r="222" spans="1:9" ht="60" x14ac:dyDescent="0.25">
      <c r="A222" s="5" t="s">
        <v>9</v>
      </c>
      <c r="B222" s="8" t="str">
        <f>HYPERLINK("https://www.newcastle.edu.au/scholarships/EXT_258", "Betty Josephine Fyffe Rural Equity Scholarships")</f>
        <v>Betty Josephine Fyffe Rural Equity Scholarships</v>
      </c>
      <c r="C222" s="7" t="s">
        <v>14</v>
      </c>
      <c r="D222" s="9">
        <v>10000</v>
      </c>
      <c r="E222" s="7">
        <v>5</v>
      </c>
      <c r="F222" s="7" t="s">
        <v>13</v>
      </c>
      <c r="G222" s="10" t="s">
        <v>165</v>
      </c>
      <c r="H222" t="s">
        <v>25</v>
      </c>
      <c r="I222" t="s">
        <v>25</v>
      </c>
    </row>
    <row r="223" spans="1:9" ht="45" x14ac:dyDescent="0.25">
      <c r="A223" s="5" t="s">
        <v>9</v>
      </c>
      <c r="B223" s="8" t="str">
        <f>HYPERLINK("https://www.newcastle.edu.au/scholarships/EXT_262", "Idemitsu Australia Scholarship")</f>
        <v>Idemitsu Australia Scholarship</v>
      </c>
      <c r="C223" s="7" t="s">
        <v>14</v>
      </c>
      <c r="D223" s="9">
        <v>10000</v>
      </c>
      <c r="E223" s="7">
        <v>1</v>
      </c>
      <c r="F223" s="7" t="s">
        <v>13</v>
      </c>
      <c r="G223" s="10" t="s">
        <v>166</v>
      </c>
      <c r="H223" t="s">
        <v>25</v>
      </c>
      <c r="I223" t="s">
        <v>25</v>
      </c>
    </row>
    <row r="224" spans="1:9" x14ac:dyDescent="0.25">
      <c r="A224" s="5" t="s">
        <v>9</v>
      </c>
      <c r="B224" s="8" t="str">
        <f>HYPERLINK("https://www.newcastle.edu.au/scholarships/EXT_272", "Shaping Futures Postgraduate Scholarship")</f>
        <v>Shaping Futures Postgraduate Scholarship</v>
      </c>
      <c r="C224" s="7" t="s">
        <v>14</v>
      </c>
      <c r="D224" s="9">
        <v>5000</v>
      </c>
      <c r="E224" s="7" t="s">
        <v>155</v>
      </c>
      <c r="F224" s="7" t="s">
        <v>51</v>
      </c>
      <c r="G224" s="10" t="s">
        <v>132</v>
      </c>
      <c r="H224" t="s">
        <v>25</v>
      </c>
      <c r="I224" t="s">
        <v>25</v>
      </c>
    </row>
    <row r="225" spans="1:9" ht="60" x14ac:dyDescent="0.25">
      <c r="A225" s="5" t="s">
        <v>9</v>
      </c>
      <c r="B225" s="8" t="str">
        <f>HYPERLINK("https://www.newcastle.edu.au/scholarships/EXT_283", "Crystalbrook Kingsley Environmental Scholarship")</f>
        <v>Crystalbrook Kingsley Environmental Scholarship</v>
      </c>
      <c r="C225" s="7" t="s">
        <v>27</v>
      </c>
      <c r="D225" s="9">
        <v>5000</v>
      </c>
      <c r="E225" s="7" t="s">
        <v>155</v>
      </c>
      <c r="F225" s="7" t="s">
        <v>107</v>
      </c>
      <c r="G225" s="10" t="s">
        <v>167</v>
      </c>
      <c r="H225" t="s">
        <v>25</v>
      </c>
      <c r="I225" t="s">
        <v>25</v>
      </c>
    </row>
    <row r="226" spans="1:9" ht="60" x14ac:dyDescent="0.25">
      <c r="A226" s="5" t="s">
        <v>9</v>
      </c>
      <c r="B226" s="8" t="str">
        <f>HYPERLINK("https://www.newcastle.edu.au/scholarships/EXT_311", "Friends of the University Lorna George Memorial Scholarship for Allied Health and Psychology")</f>
        <v>Friends of the University Lorna George Memorial Scholarship for Allied Health and Psychology</v>
      </c>
      <c r="C226" s="7" t="s">
        <v>14</v>
      </c>
      <c r="D226" s="9">
        <v>5000</v>
      </c>
      <c r="E226" s="7">
        <v>1</v>
      </c>
      <c r="F226" s="7" t="s">
        <v>13</v>
      </c>
      <c r="G226" s="10" t="s">
        <v>168</v>
      </c>
      <c r="H226" t="s">
        <v>25</v>
      </c>
      <c r="I226" t="s">
        <v>25</v>
      </c>
    </row>
    <row r="227" spans="1:9" ht="105" x14ac:dyDescent="0.25">
      <c r="A227" s="5" t="s">
        <v>9</v>
      </c>
      <c r="B227" s="8" t="str">
        <f>HYPERLINK("https://www.newcastle.edu.au/scholarships/EXT_318", "Western Earthmoving Scholarship for Construction and Engineering")</f>
        <v>Western Earthmoving Scholarship for Construction and Engineering</v>
      </c>
      <c r="C227" s="7" t="s">
        <v>27</v>
      </c>
      <c r="D227" s="9">
        <v>15000</v>
      </c>
      <c r="E227" s="7">
        <v>1</v>
      </c>
      <c r="F227" s="7" t="s">
        <v>13</v>
      </c>
      <c r="G227" s="10" t="s">
        <v>169</v>
      </c>
      <c r="H227" t="s">
        <v>25</v>
      </c>
      <c r="I227" t="s">
        <v>25</v>
      </c>
    </row>
    <row r="228" spans="1:9" ht="30" x14ac:dyDescent="0.25">
      <c r="A228" s="5" t="s">
        <v>9</v>
      </c>
      <c r="B228" s="8" t="str">
        <f>HYPERLINK("https://www.newcastle.edu.au/scholarships/EXT_332", "Greater Charitable Foundation Equity Scholarship")</f>
        <v>Greater Charitable Foundation Equity Scholarship</v>
      </c>
      <c r="C228" s="7" t="s">
        <v>14</v>
      </c>
      <c r="D228" s="9">
        <v>10000</v>
      </c>
      <c r="E228" s="7">
        <v>3</v>
      </c>
      <c r="F228" s="7" t="s">
        <v>13</v>
      </c>
      <c r="G228" s="10" t="s">
        <v>170</v>
      </c>
      <c r="H228" t="s">
        <v>25</v>
      </c>
      <c r="I228" t="s">
        <v>25</v>
      </c>
    </row>
    <row r="229" spans="1:9" x14ac:dyDescent="0.25">
      <c r="A229" s="5" t="s">
        <v>9</v>
      </c>
      <c r="B229" s="8" t="str">
        <f>HYPERLINK("https://www.newcastle.edu.au/scholarships/EXT_333", "Shamila, Ravendra and Roneal Naidu Scholarship")</f>
        <v>Shamila, Ravendra and Roneal Naidu Scholarship</v>
      </c>
      <c r="C229" s="7" t="s">
        <v>14</v>
      </c>
      <c r="D229" s="9">
        <v>8000</v>
      </c>
      <c r="E229" s="7">
        <v>4</v>
      </c>
      <c r="F229" s="7" t="s">
        <v>13</v>
      </c>
      <c r="G229" s="10" t="s">
        <v>132</v>
      </c>
      <c r="H229" t="s">
        <v>21</v>
      </c>
      <c r="I229" t="s">
        <v>25</v>
      </c>
    </row>
    <row r="230" spans="1:9" ht="30" x14ac:dyDescent="0.25">
      <c r="A230" s="5" t="s">
        <v>9</v>
      </c>
      <c r="B230" s="8" t="str">
        <f>HYPERLINK(" https://www.newcastle.edu.au/scholarships/ESSUN_3000", "Equity Scholarships Scheme University of Newcastle (ESSUN)")</f>
        <v>Equity Scholarships Scheme University of Newcastle (ESSUN)</v>
      </c>
      <c r="C230" s="7" t="s">
        <v>14</v>
      </c>
      <c r="D230" s="11" t="s">
        <v>172</v>
      </c>
      <c r="E230" s="7">
        <v>1</v>
      </c>
      <c r="F230" s="7" t="s">
        <v>13</v>
      </c>
      <c r="G230" s="10" t="s">
        <v>171</v>
      </c>
      <c r="H230" t="s">
        <v>25</v>
      </c>
      <c r="I230" t="s">
        <v>25</v>
      </c>
    </row>
    <row r="231" spans="1:9" ht="60" x14ac:dyDescent="0.25">
      <c r="A231" s="5" t="s">
        <v>9</v>
      </c>
      <c r="B231" s="8" t="str">
        <f>HYPERLINK("https://www.newcastle.edu.au/scholarships/EXT_336", "Sparke Helmore Law Scholarship")</f>
        <v>Sparke Helmore Law Scholarship</v>
      </c>
      <c r="C231" s="7" t="s">
        <v>14</v>
      </c>
      <c r="D231" s="9">
        <v>5000</v>
      </c>
      <c r="E231" s="7" t="s">
        <v>155</v>
      </c>
      <c r="F231" s="7" t="s">
        <v>137</v>
      </c>
      <c r="G231" s="10" t="s">
        <v>173</v>
      </c>
      <c r="H231" t="s">
        <v>25</v>
      </c>
      <c r="I231" t="s">
        <v>25</v>
      </c>
    </row>
    <row r="232" spans="1:9" ht="30" x14ac:dyDescent="0.25">
      <c r="A232" s="5" t="s">
        <v>9</v>
      </c>
      <c r="B232" s="8" t="str">
        <f>HYPERLINK("https://www.newcastle.edu.au/scholarships/EXT_348", "Evelyn Brown Scholarship in Nursing")</f>
        <v>Evelyn Brown Scholarship in Nursing</v>
      </c>
      <c r="C232" s="7" t="s">
        <v>14</v>
      </c>
      <c r="D232" s="9">
        <v>6000</v>
      </c>
      <c r="E232" s="7" t="s">
        <v>155</v>
      </c>
      <c r="F232" s="7" t="s">
        <v>13</v>
      </c>
      <c r="G232" s="10" t="s">
        <v>174</v>
      </c>
      <c r="H232" t="s">
        <v>25</v>
      </c>
      <c r="I232" t="s">
        <v>25</v>
      </c>
    </row>
    <row r="233" spans="1:9" ht="30" x14ac:dyDescent="0.25">
      <c r="A233" s="5" t="s">
        <v>9</v>
      </c>
      <c r="B233" s="8" t="str">
        <f>HYPERLINK("https://www.newcastle.edu.au/scholarships/UNI_025", "University of Newcastle Sports Scholarships")</f>
        <v>University of Newcastle Sports Scholarships</v>
      </c>
      <c r="C233" s="7" t="s">
        <v>27</v>
      </c>
      <c r="D233" s="11" t="s">
        <v>175</v>
      </c>
      <c r="E233" s="7" t="s">
        <v>155</v>
      </c>
      <c r="F233" s="7" t="s">
        <v>13</v>
      </c>
      <c r="G233" s="10" t="s">
        <v>176</v>
      </c>
      <c r="H233" t="s">
        <v>25</v>
      </c>
      <c r="I233" t="s">
        <v>25</v>
      </c>
    </row>
    <row r="234" spans="1:9" ht="60" x14ac:dyDescent="0.25">
      <c r="A234" s="5" t="s">
        <v>9</v>
      </c>
      <c r="B234" s="8" t="str">
        <f>HYPERLINK("https://www.newcastle.edu.au/scholarships/CESE_02", "College of Engineering, Science and Environment High Achiever Scholarship")</f>
        <v>College of Engineering, Science and Environment High Achiever Scholarship</v>
      </c>
      <c r="C234" s="7" t="s">
        <v>27</v>
      </c>
      <c r="D234" s="11" t="s">
        <v>177</v>
      </c>
      <c r="E234" s="7">
        <v>1</v>
      </c>
      <c r="F234" s="7" t="s">
        <v>13</v>
      </c>
      <c r="G234" s="10" t="s">
        <v>178</v>
      </c>
      <c r="H234" t="s">
        <v>25</v>
      </c>
      <c r="I234" t="s">
        <v>25</v>
      </c>
    </row>
    <row r="235" spans="1:9" ht="90" x14ac:dyDescent="0.25">
      <c r="A235" s="5" t="s">
        <v>9</v>
      </c>
      <c r="B235" s="8" t="str">
        <f>HYPERLINK("https://www.newcastle.edu.au/scholarships/CESE_03", "College of Engineering, Science and Environment Gender Equity Scholarship")</f>
        <v>College of Engineering, Science and Environment Gender Equity Scholarship</v>
      </c>
      <c r="C235" s="7" t="s">
        <v>14</v>
      </c>
      <c r="D235" s="11" t="s">
        <v>179</v>
      </c>
      <c r="E235" s="7">
        <v>1</v>
      </c>
      <c r="F235" s="7" t="s">
        <v>13</v>
      </c>
      <c r="G235" s="10" t="s">
        <v>180</v>
      </c>
      <c r="H235" t="s">
        <v>25</v>
      </c>
      <c r="I235" t="s">
        <v>25</v>
      </c>
    </row>
    <row r="236" spans="1:9" ht="45" x14ac:dyDescent="0.25">
      <c r="A236" s="5" t="s">
        <v>9</v>
      </c>
      <c r="B236" s="8" t="str">
        <f>HYPERLINK("https://www.newcastle.edu.au/scholarships/EXT_029", "Port Waratah Coal Services Undergraduate Engineering Scholarship")</f>
        <v>Port Waratah Coal Services Undergraduate Engineering Scholarship</v>
      </c>
      <c r="C236" s="7" t="s">
        <v>14</v>
      </c>
      <c r="D236" s="11" t="s">
        <v>181</v>
      </c>
      <c r="E236" s="7">
        <v>3</v>
      </c>
      <c r="F236" s="7" t="s">
        <v>13</v>
      </c>
      <c r="G236" s="10" t="s">
        <v>182</v>
      </c>
      <c r="H236" t="s">
        <v>21</v>
      </c>
      <c r="I236" t="s">
        <v>25</v>
      </c>
    </row>
    <row r="237" spans="1:9" ht="45" x14ac:dyDescent="0.25">
      <c r="A237" s="5" t="s">
        <v>9</v>
      </c>
      <c r="B237" s="8" t="str">
        <f>HYPERLINK("https://www.newcastle.edu.au/scholarships/EXT_177", "Catherine and Peter Tay High Achiever Engineering Undergraduate Scholarship")</f>
        <v>Catherine and Peter Tay High Achiever Engineering Undergraduate Scholarship</v>
      </c>
      <c r="C237" s="7" t="s">
        <v>27</v>
      </c>
      <c r="D237" s="9">
        <v>8000</v>
      </c>
      <c r="E237" s="7">
        <v>4</v>
      </c>
      <c r="F237" s="7" t="s">
        <v>13</v>
      </c>
      <c r="G237" s="10" t="s">
        <v>183</v>
      </c>
      <c r="H237" t="s">
        <v>25</v>
      </c>
      <c r="I237" t="s">
        <v>25</v>
      </c>
    </row>
    <row r="238" spans="1:9" ht="60" x14ac:dyDescent="0.25">
      <c r="A238" s="5" t="s">
        <v>9</v>
      </c>
      <c r="B238" s="8" t="str">
        <f>HYPERLINK("https://www.newcastle.edu.au/scholarships/EXT_185", "Professor Beryl Nashar Scholarship for Excellence in Geology")</f>
        <v>Professor Beryl Nashar Scholarship for Excellence in Geology</v>
      </c>
      <c r="C238" s="7" t="s">
        <v>27</v>
      </c>
      <c r="D238" s="9">
        <v>1000</v>
      </c>
      <c r="E238" s="7" t="s">
        <v>155</v>
      </c>
      <c r="F238" s="7" t="s">
        <v>137</v>
      </c>
      <c r="G238" s="10" t="s">
        <v>184</v>
      </c>
      <c r="H238" t="s">
        <v>25</v>
      </c>
      <c r="I238" t="s">
        <v>25</v>
      </c>
    </row>
    <row r="239" spans="1:9" ht="75" x14ac:dyDescent="0.25">
      <c r="A239" s="5" t="s">
        <v>9</v>
      </c>
      <c r="B239" s="8" t="str">
        <f>HYPERLINK("https://www.newcastle.edu.au/scholarships/EXT_229", "Boeing Engineering and IT Scholarship for Women")</f>
        <v>Boeing Engineering and IT Scholarship for Women</v>
      </c>
      <c r="C239" s="7" t="s">
        <v>27</v>
      </c>
      <c r="D239" s="9">
        <v>5000</v>
      </c>
      <c r="E239" s="7">
        <v>1</v>
      </c>
      <c r="F239" s="7" t="s">
        <v>13</v>
      </c>
      <c r="G239" s="10" t="s">
        <v>185</v>
      </c>
      <c r="H239" t="s">
        <v>25</v>
      </c>
      <c r="I239" t="s">
        <v>25</v>
      </c>
    </row>
    <row r="240" spans="1:9" ht="90" x14ac:dyDescent="0.25">
      <c r="A240" s="5" t="s">
        <v>9</v>
      </c>
      <c r="B240" s="8" t="str">
        <f>HYPERLINK("https://www.newcastle.edu.au/scholarships/EXT_240", "Malcolm Benaud Smith Construction Management (Building) Scholarship")</f>
        <v>Malcolm Benaud Smith Construction Management (Building) Scholarship</v>
      </c>
      <c r="C240" s="7" t="s">
        <v>27</v>
      </c>
      <c r="D240" s="9">
        <v>10000</v>
      </c>
      <c r="E240" s="7">
        <v>1</v>
      </c>
      <c r="F240" s="7" t="s">
        <v>13</v>
      </c>
      <c r="G240" s="10" t="s">
        <v>186</v>
      </c>
      <c r="H240" t="s">
        <v>25</v>
      </c>
      <c r="I240" t="s">
        <v>25</v>
      </c>
    </row>
    <row r="241" spans="1:9" ht="60" x14ac:dyDescent="0.25">
      <c r="A241" s="5" t="s">
        <v>9</v>
      </c>
      <c r="B241" s="8" t="str">
        <f>HYPERLINK("https://www.newcastle.edu.au/scholarships/EXT_320", "Boeing IT and Computer Systems Scholarship")</f>
        <v>Boeing IT and Computer Systems Scholarship</v>
      </c>
      <c r="C241" s="7" t="s">
        <v>27</v>
      </c>
      <c r="D241" s="9">
        <v>5000</v>
      </c>
      <c r="E241" s="7">
        <v>1</v>
      </c>
      <c r="F241" s="7" t="s">
        <v>13</v>
      </c>
      <c r="G241" s="10" t="s">
        <v>187</v>
      </c>
      <c r="H241" t="s">
        <v>25</v>
      </c>
      <c r="I241" t="s">
        <v>25</v>
      </c>
    </row>
    <row r="242" spans="1:9" ht="45" x14ac:dyDescent="0.25">
      <c r="A242" s="5" t="s">
        <v>9</v>
      </c>
      <c r="B242" s="8" t="str">
        <f>HYPERLINK("https://www.newcastle.edu.au/scholarships/EXT_322", "Boeing Environmental Sustainability in STEM Scholarship")</f>
        <v>Boeing Environmental Sustainability in STEM Scholarship</v>
      </c>
      <c r="C242" s="7" t="s">
        <v>27</v>
      </c>
      <c r="D242" s="9">
        <v>5000</v>
      </c>
      <c r="E242" s="7">
        <v>1</v>
      </c>
      <c r="F242" s="7" t="s">
        <v>13</v>
      </c>
      <c r="G242" s="10" t="s">
        <v>188</v>
      </c>
      <c r="H242" t="s">
        <v>25</v>
      </c>
      <c r="I242" t="s">
        <v>25</v>
      </c>
    </row>
    <row r="243" spans="1:9" ht="45" x14ac:dyDescent="0.25">
      <c r="A243" s="5" t="s">
        <v>9</v>
      </c>
      <c r="B243" s="8" t="str">
        <f>HYPERLINK("https://www.newcastle.edu.au/scholarships/EXT_328", "HunterWiSE Scholarship for Women in STEM")</f>
        <v>HunterWiSE Scholarship for Women in STEM</v>
      </c>
      <c r="C243" s="7" t="s">
        <v>27</v>
      </c>
      <c r="D243" s="9">
        <v>5000</v>
      </c>
      <c r="E243" s="7" t="s">
        <v>155</v>
      </c>
      <c r="F243" s="7" t="s">
        <v>13</v>
      </c>
      <c r="G243" s="10" t="s">
        <v>189</v>
      </c>
      <c r="H243" t="s">
        <v>25</v>
      </c>
      <c r="I243" t="s">
        <v>25</v>
      </c>
    </row>
    <row r="244" spans="1:9" ht="45" x14ac:dyDescent="0.25">
      <c r="A244" s="5" t="s">
        <v>9</v>
      </c>
      <c r="B244" s="8" t="str">
        <f>HYPERLINK("https://www.newcastle.edu.au/scholarships/EXT_330", "Valley Industries Speech Pathology Scholarship")</f>
        <v>Valley Industries Speech Pathology Scholarship</v>
      </c>
      <c r="C244" s="7" t="s">
        <v>14</v>
      </c>
      <c r="D244" s="9">
        <v>5000</v>
      </c>
      <c r="E244" s="7" t="s">
        <v>155</v>
      </c>
      <c r="F244" s="7" t="s">
        <v>13</v>
      </c>
      <c r="G244" s="10" t="s">
        <v>190</v>
      </c>
      <c r="H244" t="s">
        <v>25</v>
      </c>
      <c r="I244" t="s">
        <v>25</v>
      </c>
    </row>
    <row r="245" spans="1:9" ht="75" x14ac:dyDescent="0.25">
      <c r="A245" s="5" t="s">
        <v>9</v>
      </c>
      <c r="B245" s="8" t="str">
        <f>HYPERLINK("https://www.newcastle.edu.au/scholarships/EXT_338", "AGL Bayswater Power Station Scholarships for Females in Engineering")</f>
        <v>AGL Bayswater Power Station Scholarships for Females in Engineering</v>
      </c>
      <c r="C245" s="7" t="s">
        <v>27</v>
      </c>
      <c r="D245" s="9">
        <v>15000</v>
      </c>
      <c r="E245" s="7">
        <v>3</v>
      </c>
      <c r="F245" s="7" t="s">
        <v>13</v>
      </c>
      <c r="G245" s="10" t="s">
        <v>191</v>
      </c>
      <c r="H245" t="s">
        <v>25</v>
      </c>
      <c r="I245" t="s">
        <v>25</v>
      </c>
    </row>
    <row r="246" spans="1:9" ht="30" x14ac:dyDescent="0.25">
      <c r="A246" s="5" t="s">
        <v>9</v>
      </c>
      <c r="B246" s="8" t="str">
        <f>HYPERLINK("https://www.newcastle.edu.au/scholarships/EXT_350", "Boeing Disability Scholarship")</f>
        <v>Boeing Disability Scholarship</v>
      </c>
      <c r="C246" s="7" t="s">
        <v>14</v>
      </c>
      <c r="D246" s="9">
        <v>5000</v>
      </c>
      <c r="E246" s="7" t="s">
        <v>155</v>
      </c>
      <c r="F246" s="7" t="s">
        <v>13</v>
      </c>
      <c r="G246" s="10" t="s">
        <v>192</v>
      </c>
      <c r="H246" t="s">
        <v>25</v>
      </c>
      <c r="I246" t="s">
        <v>25</v>
      </c>
    </row>
    <row r="247" spans="1:9" ht="60" x14ac:dyDescent="0.25">
      <c r="A247" s="3" t="s">
        <v>7</v>
      </c>
      <c r="B247" t="str">
        <f>HYPERLINK("https://scholarships.uow.edu.au/scholarships/search?scholarship=3121", "Business Undergraduate Academic Excellence Scholarship")</f>
        <v>Business Undergraduate Academic Excellence Scholarship</v>
      </c>
      <c r="C247" t="s">
        <v>260</v>
      </c>
      <c r="D247" s="12" t="s">
        <v>241</v>
      </c>
      <c r="E247" t="s">
        <v>201</v>
      </c>
      <c r="F247" t="s">
        <v>13</v>
      </c>
      <c r="G247" s="12" t="s">
        <v>526</v>
      </c>
      <c r="H247" t="s">
        <v>25</v>
      </c>
      <c r="I247" t="s">
        <v>25</v>
      </c>
    </row>
    <row r="248" spans="1:9" ht="90" x14ac:dyDescent="0.25">
      <c r="A248" s="3" t="s">
        <v>7</v>
      </c>
      <c r="B248" t="str">
        <f>HYPERLINK("https://scholarships.uow.edu.au/scholarships/search?scholarship=2881", "Vice-Chancellor's Leadership Scholarship – South Western Sydney")</f>
        <v>Vice-Chancellor's Leadership Scholarship – South Western Sydney</v>
      </c>
      <c r="C248" t="s">
        <v>260</v>
      </c>
      <c r="D248" s="12" t="s">
        <v>261</v>
      </c>
      <c r="E248" t="s">
        <v>262</v>
      </c>
      <c r="F248" t="s">
        <v>13</v>
      </c>
      <c r="G248" s="12" t="s">
        <v>446</v>
      </c>
      <c r="H248" t="s">
        <v>25</v>
      </c>
      <c r="I248" t="s">
        <v>25</v>
      </c>
    </row>
    <row r="249" spans="1:9" ht="60" x14ac:dyDescent="0.25">
      <c r="A249" s="3" t="s">
        <v>7</v>
      </c>
      <c r="B249" t="str">
        <f>HYPERLINK("https://scholarships.uow.edu.au/scholarships/search?scholarship=1581", "UOW Liverpool Undergraduate Scholarship")</f>
        <v>UOW Liverpool Undergraduate Scholarship</v>
      </c>
      <c r="C249" t="s">
        <v>260</v>
      </c>
      <c r="D249" s="12" t="s">
        <v>263</v>
      </c>
      <c r="E249" t="s">
        <v>201</v>
      </c>
      <c r="F249" t="s">
        <v>13</v>
      </c>
      <c r="G249" s="12" t="s">
        <v>447</v>
      </c>
      <c r="H249" t="s">
        <v>25</v>
      </c>
      <c r="I249" t="s">
        <v>25</v>
      </c>
    </row>
    <row r="250" spans="1:9" ht="45" x14ac:dyDescent="0.25">
      <c r="A250" s="3" t="s">
        <v>7</v>
      </c>
      <c r="B250" t="str">
        <f>HYPERLINK("https://scholarships.uow.edu.au/scholarships/search?scholarship=2321", "Illawarra Principal's Recommendation Scholarship")</f>
        <v>Illawarra Principal's Recommendation Scholarship</v>
      </c>
      <c r="C250" t="s">
        <v>260</v>
      </c>
      <c r="D250" s="12" t="s">
        <v>264</v>
      </c>
      <c r="E250" t="s">
        <v>201</v>
      </c>
      <c r="F250" t="s">
        <v>13</v>
      </c>
      <c r="G250" s="12" t="s">
        <v>448</v>
      </c>
      <c r="H250" t="s">
        <v>25</v>
      </c>
      <c r="I250" t="s">
        <v>25</v>
      </c>
    </row>
    <row r="251" spans="1:9" ht="45" x14ac:dyDescent="0.25">
      <c r="A251" s="3" t="s">
        <v>7</v>
      </c>
      <c r="B251" t="str">
        <f>HYPERLINK("https://scholarships.uow.edu.au/scholarships/search?scholarship=2322", "Sutherland Shire Principal's Recommendation Scholarship")</f>
        <v>Sutherland Shire Principal's Recommendation Scholarship</v>
      </c>
      <c r="C251" t="s">
        <v>260</v>
      </c>
      <c r="D251" s="12" t="s">
        <v>265</v>
      </c>
      <c r="E251" t="s">
        <v>201</v>
      </c>
      <c r="F251" t="s">
        <v>13</v>
      </c>
      <c r="G251" s="12" t="s">
        <v>448</v>
      </c>
      <c r="H251" t="s">
        <v>25</v>
      </c>
      <c r="I251" t="s">
        <v>25</v>
      </c>
    </row>
    <row r="252" spans="1:9" ht="45" x14ac:dyDescent="0.25">
      <c r="A252" s="3" t="s">
        <v>7</v>
      </c>
      <c r="B252" t="str">
        <f>HYPERLINK("https://scholarships.uow.edu.au/scholarships/search?scholarship=2481", "Macarthur Principal's Recommendation Scholarship")</f>
        <v>Macarthur Principal's Recommendation Scholarship</v>
      </c>
      <c r="C252" t="s">
        <v>260</v>
      </c>
      <c r="D252" s="12" t="s">
        <v>266</v>
      </c>
      <c r="E252" t="s">
        <v>201</v>
      </c>
      <c r="F252" t="s">
        <v>13</v>
      </c>
      <c r="G252" s="12" t="s">
        <v>448</v>
      </c>
      <c r="H252" t="s">
        <v>25</v>
      </c>
      <c r="I252" t="s">
        <v>25</v>
      </c>
    </row>
    <row r="253" spans="1:9" ht="90" x14ac:dyDescent="0.25">
      <c r="A253" s="3" t="s">
        <v>7</v>
      </c>
      <c r="B253" t="str">
        <f>HYPERLINK("https://scholarships.uow.edu.au/scholarships/search?scholarship=401", "The Edna Campbell Scholarship for Women")</f>
        <v>The Edna Campbell Scholarship for Women</v>
      </c>
      <c r="C253" t="s">
        <v>267</v>
      </c>
      <c r="D253" s="12" t="s">
        <v>268</v>
      </c>
      <c r="E253" t="s">
        <v>269</v>
      </c>
      <c r="F253" t="s">
        <v>13</v>
      </c>
      <c r="G253" s="12" t="s">
        <v>527</v>
      </c>
      <c r="H253" t="s">
        <v>25</v>
      </c>
      <c r="I253" t="s">
        <v>25</v>
      </c>
    </row>
    <row r="254" spans="1:9" ht="75" x14ac:dyDescent="0.25">
      <c r="A254" s="3" t="s">
        <v>7</v>
      </c>
      <c r="B254" t="str">
        <f>HYPERLINK("https://scholarships.uow.edu.au/scholarships/search?scholarship=654", "John, Belle &amp; Richard Miller, Bridgewater Scholarships for Opportunity")</f>
        <v>John, Belle &amp; Richard Miller, Bridgewater Scholarships for Opportunity</v>
      </c>
      <c r="C254" t="s">
        <v>267</v>
      </c>
      <c r="D254" s="12" t="s">
        <v>270</v>
      </c>
      <c r="E254" t="s">
        <v>201</v>
      </c>
      <c r="F254" t="s">
        <v>13</v>
      </c>
      <c r="G254" s="12" t="s">
        <v>528</v>
      </c>
      <c r="H254" t="s">
        <v>25</v>
      </c>
      <c r="I254" t="s">
        <v>25</v>
      </c>
    </row>
    <row r="255" spans="1:9" ht="30" x14ac:dyDescent="0.25">
      <c r="A255" s="3" t="s">
        <v>7</v>
      </c>
      <c r="B255" t="str">
        <f>HYPERLINK("https://scholarships.uow.edu.au/scholarships/search?scholarship=2021", "Transforming Futures Scholarship - Future Students")</f>
        <v>Transforming Futures Scholarship - Future Students</v>
      </c>
      <c r="C255" t="s">
        <v>267</v>
      </c>
      <c r="D255" s="12" t="s">
        <v>271</v>
      </c>
      <c r="E255" t="s">
        <v>269</v>
      </c>
      <c r="F255" t="s">
        <v>13</v>
      </c>
      <c r="G255" s="12" t="s">
        <v>529</v>
      </c>
      <c r="H255" t="s">
        <v>25</v>
      </c>
      <c r="I255" t="s">
        <v>25</v>
      </c>
    </row>
    <row r="256" spans="1:9" ht="105" x14ac:dyDescent="0.25">
      <c r="A256" s="3" t="s">
        <v>7</v>
      </c>
      <c r="B256" t="str">
        <f>HYPERLINK("https://scholarships.uow.edu.au/scholarships/search?scholarship=1181", "Liverpool City Council Opportunity Scholarship")</f>
        <v>Liverpool City Council Opportunity Scholarship</v>
      </c>
      <c r="C256" t="s">
        <v>267</v>
      </c>
      <c r="D256" s="12" t="s">
        <v>272</v>
      </c>
      <c r="E256" t="s">
        <v>201</v>
      </c>
      <c r="F256" t="s">
        <v>13</v>
      </c>
      <c r="G256" s="12" t="s">
        <v>530</v>
      </c>
      <c r="H256" t="s">
        <v>25</v>
      </c>
      <c r="I256" t="s">
        <v>25</v>
      </c>
    </row>
    <row r="257" spans="1:9" ht="105" x14ac:dyDescent="0.25">
      <c r="A257" s="3" t="s">
        <v>7</v>
      </c>
      <c r="B257" t="str">
        <f>HYPERLINK("https://scholarships.uow.edu.au/scholarships/search?scholarship=1641", "The Salvestrin Sartor Jones Scholarship")</f>
        <v>The Salvestrin Sartor Jones Scholarship</v>
      </c>
      <c r="C257" t="s">
        <v>267</v>
      </c>
      <c r="D257" s="12" t="s">
        <v>273</v>
      </c>
      <c r="E257" t="s">
        <v>41</v>
      </c>
      <c r="F257" t="s">
        <v>13</v>
      </c>
      <c r="G257" s="12" t="s">
        <v>274</v>
      </c>
      <c r="H257" t="s">
        <v>25</v>
      </c>
      <c r="I257" t="s">
        <v>25</v>
      </c>
    </row>
    <row r="258" spans="1:9" ht="45" x14ac:dyDescent="0.25">
      <c r="A258" s="3" t="s">
        <v>7</v>
      </c>
      <c r="B258" t="str">
        <f>HYPERLINK("https://scholarships.uow.edu.au/scholarships/search?scholarship=2642", "De Dominicis Foundation Opportunity Scholarship for STEM Students")</f>
        <v>De Dominicis Foundation Opportunity Scholarship for STEM Students</v>
      </c>
      <c r="C258" t="s">
        <v>267</v>
      </c>
      <c r="D258" s="12" t="s">
        <v>275</v>
      </c>
      <c r="E258" t="s">
        <v>269</v>
      </c>
      <c r="F258" t="s">
        <v>13</v>
      </c>
      <c r="G258" s="12" t="s">
        <v>276</v>
      </c>
      <c r="H258" t="s">
        <v>25</v>
      </c>
      <c r="I258" t="s">
        <v>25</v>
      </c>
    </row>
    <row r="259" spans="1:9" ht="120" x14ac:dyDescent="0.25">
      <c r="A259" s="3" t="s">
        <v>7</v>
      </c>
      <c r="B259" t="str">
        <f>HYPERLINK("https://scholarships.uow.edu.au/scholarships/search?scholarship=2761", "Wollongong Chapter No. 59 Order of the Eastern Star Nursing Opportunity Scholarship")</f>
        <v>Wollongong Chapter No. 59 Order of the Eastern Star Nursing Opportunity Scholarship</v>
      </c>
      <c r="C259" t="s">
        <v>267</v>
      </c>
      <c r="D259" s="12" t="s">
        <v>277</v>
      </c>
      <c r="E259" t="s">
        <v>269</v>
      </c>
      <c r="F259" t="s">
        <v>13</v>
      </c>
      <c r="G259" s="12" t="s">
        <v>531</v>
      </c>
      <c r="H259" t="s">
        <v>25</v>
      </c>
      <c r="I259" t="s">
        <v>25</v>
      </c>
    </row>
    <row r="260" spans="1:9" ht="135" x14ac:dyDescent="0.25">
      <c r="A260" s="3" t="s">
        <v>7</v>
      </c>
      <c r="B260" t="str">
        <f>HYPERLINK("https://scholarships.uow.edu.au/scholarships/search?scholarship=361", "The Stevenson Family Scholarship in Social Work")</f>
        <v>The Stevenson Family Scholarship in Social Work</v>
      </c>
      <c r="C260" t="s">
        <v>267</v>
      </c>
      <c r="D260" s="12" t="s">
        <v>278</v>
      </c>
      <c r="E260" t="s">
        <v>41</v>
      </c>
      <c r="F260" t="s">
        <v>13</v>
      </c>
      <c r="G260" s="12" t="s">
        <v>532</v>
      </c>
      <c r="H260" t="s">
        <v>25</v>
      </c>
      <c r="I260" t="s">
        <v>25</v>
      </c>
    </row>
    <row r="261" spans="1:9" ht="30" x14ac:dyDescent="0.25">
      <c r="A261" s="3" t="s">
        <v>7</v>
      </c>
      <c r="B261" t="str">
        <f>HYPERLINK("https://scholarships.uow.edu.au/scholarships/search?scholarship=640", "St Georges Basin Community Scholarship")</f>
        <v>St Georges Basin Community Scholarship</v>
      </c>
      <c r="C261" t="s">
        <v>267</v>
      </c>
      <c r="D261" s="12" t="s">
        <v>279</v>
      </c>
      <c r="E261" t="s">
        <v>201</v>
      </c>
      <c r="F261" t="s">
        <v>13</v>
      </c>
      <c r="G261" s="12" t="s">
        <v>533</v>
      </c>
      <c r="H261" t="s">
        <v>25</v>
      </c>
      <c r="I261" t="s">
        <v>25</v>
      </c>
    </row>
    <row r="262" spans="1:9" ht="210" x14ac:dyDescent="0.25">
      <c r="A262" s="3" t="s">
        <v>7</v>
      </c>
      <c r="B262" t="str">
        <f>HYPERLINK("https://scholarships.uow.edu.au/scholarships/search?scholarship=321", "The Illawarra Centenary of ANZAC Scholarship")</f>
        <v>The Illawarra Centenary of ANZAC Scholarship</v>
      </c>
      <c r="C262" t="s">
        <v>267</v>
      </c>
      <c r="D262" s="12" t="s">
        <v>280</v>
      </c>
      <c r="E262" t="s">
        <v>269</v>
      </c>
      <c r="F262" t="s">
        <v>13</v>
      </c>
      <c r="G262" s="12" t="s">
        <v>534</v>
      </c>
      <c r="H262" t="s">
        <v>25</v>
      </c>
      <c r="I262" t="s">
        <v>25</v>
      </c>
    </row>
    <row r="263" spans="1:9" ht="75" x14ac:dyDescent="0.25">
      <c r="A263" s="3" t="s">
        <v>7</v>
      </c>
      <c r="B263" t="str">
        <f>HYPERLINK("https://scholarships.uow.edu.au/scholarships/search?scholarship=630", "Ivan Bandur Master of Teaching Scholarship")</f>
        <v>Ivan Bandur Master of Teaching Scholarship</v>
      </c>
      <c r="C263" t="s">
        <v>267</v>
      </c>
      <c r="D263" s="12" t="s">
        <v>273</v>
      </c>
      <c r="E263" t="s">
        <v>205</v>
      </c>
      <c r="F263" t="s">
        <v>51</v>
      </c>
      <c r="G263" s="12" t="s">
        <v>535</v>
      </c>
      <c r="H263" t="s">
        <v>25</v>
      </c>
      <c r="I263" t="s">
        <v>25</v>
      </c>
    </row>
    <row r="264" spans="1:9" ht="30" x14ac:dyDescent="0.25">
      <c r="A264" s="3" t="s">
        <v>7</v>
      </c>
      <c r="B264" s="14" t="str">
        <f>HYPERLINK("https://scholarships.uow.edu.au/scholarships/search?scholarship=2203", "Destination Australia Scholarship (Domestic Students)")</f>
        <v>Destination Australia Scholarship (Domestic Students)</v>
      </c>
      <c r="C264" t="s">
        <v>281</v>
      </c>
      <c r="D264" s="10" t="s">
        <v>248</v>
      </c>
      <c r="E264" t="s">
        <v>438</v>
      </c>
      <c r="F264" t="s">
        <v>35</v>
      </c>
      <c r="G264" s="12" t="s">
        <v>536</v>
      </c>
      <c r="H264" t="s">
        <v>25</v>
      </c>
      <c r="I264" t="s">
        <v>25</v>
      </c>
    </row>
    <row r="265" spans="1:9" ht="60" x14ac:dyDescent="0.25">
      <c r="A265" s="3" t="s">
        <v>7</v>
      </c>
      <c r="B265" t="str">
        <f>HYPERLINK("https://scholarships.uow.edu.au/scholarships/search?scholarship=1681", "Club Liverpool Community Scholarship")</f>
        <v>Club Liverpool Community Scholarship</v>
      </c>
      <c r="C265" t="s">
        <v>267</v>
      </c>
      <c r="D265" s="12" t="s">
        <v>282</v>
      </c>
      <c r="E265" t="s">
        <v>201</v>
      </c>
      <c r="F265" t="s">
        <v>13</v>
      </c>
      <c r="G265" s="12" t="s">
        <v>537</v>
      </c>
      <c r="H265" t="s">
        <v>25</v>
      </c>
      <c r="I265" t="s">
        <v>25</v>
      </c>
    </row>
    <row r="266" spans="1:9" ht="90" x14ac:dyDescent="0.25">
      <c r="A266" s="3" t="s">
        <v>7</v>
      </c>
      <c r="B266" t="str">
        <f>HYPERLINK("https://scholarships.uow.edu.au/scholarships/search?scholarship=2161", "Rural and Regional Agricultural Scholarship")</f>
        <v>Rural and Regional Agricultural Scholarship</v>
      </c>
      <c r="C266" t="s">
        <v>267</v>
      </c>
      <c r="D266" s="12" t="s">
        <v>283</v>
      </c>
      <c r="E266" t="s">
        <v>262</v>
      </c>
      <c r="F266" t="s">
        <v>13</v>
      </c>
      <c r="G266" s="12" t="s">
        <v>538</v>
      </c>
      <c r="H266" t="s">
        <v>25</v>
      </c>
      <c r="I266" t="s">
        <v>25</v>
      </c>
    </row>
    <row r="267" spans="1:9" ht="180" x14ac:dyDescent="0.25">
      <c r="A267" s="3" t="s">
        <v>7</v>
      </c>
      <c r="B267" t="str">
        <f>HYPERLINK("https://scholarships.uow.edu.au/scholarships/search?scholarship=1121", "The Movement Disorder Foundation Scholarship")</f>
        <v>The Movement Disorder Foundation Scholarship</v>
      </c>
      <c r="C267" t="s">
        <v>267</v>
      </c>
      <c r="D267" s="12" t="s">
        <v>284</v>
      </c>
      <c r="E267" t="s">
        <v>262</v>
      </c>
      <c r="F267" t="s">
        <v>35</v>
      </c>
      <c r="G267" s="12" t="s">
        <v>539</v>
      </c>
      <c r="H267" t="s">
        <v>25</v>
      </c>
      <c r="I267" t="s">
        <v>25</v>
      </c>
    </row>
    <row r="268" spans="1:9" ht="135" x14ac:dyDescent="0.25">
      <c r="A268" s="3" t="s">
        <v>7</v>
      </c>
      <c r="B268" t="str">
        <f>HYPERLINK("https://scholarships.uow.edu.au/scholarships/search?scholarship=1302", "Mudgee Region Community Scholarship")</f>
        <v>Mudgee Region Community Scholarship</v>
      </c>
      <c r="C268" t="s">
        <v>267</v>
      </c>
      <c r="D268" s="12" t="s">
        <v>278</v>
      </c>
      <c r="E268" t="s">
        <v>41</v>
      </c>
      <c r="F268" t="s">
        <v>13</v>
      </c>
      <c r="G268" s="12" t="s">
        <v>540</v>
      </c>
      <c r="H268" t="s">
        <v>25</v>
      </c>
      <c r="I268" t="s">
        <v>25</v>
      </c>
    </row>
    <row r="269" spans="1:9" ht="60" x14ac:dyDescent="0.25">
      <c r="A269" s="3" t="s">
        <v>7</v>
      </c>
      <c r="B269" t="str">
        <f>HYPERLINK("https://scholarships.uow.edu.au/scholarships/search?scholarship=3202", "Dylan Alcott Foundation Scholarship")</f>
        <v>Dylan Alcott Foundation Scholarship</v>
      </c>
      <c r="C269" t="s">
        <v>267</v>
      </c>
      <c r="D269" s="12" t="s">
        <v>285</v>
      </c>
      <c r="E269" t="s">
        <v>269</v>
      </c>
      <c r="F269" t="s">
        <v>13</v>
      </c>
      <c r="G269" s="12" t="s">
        <v>541</v>
      </c>
      <c r="H269" t="s">
        <v>25</v>
      </c>
      <c r="I269" t="s">
        <v>25</v>
      </c>
    </row>
    <row r="270" spans="1:9" ht="75" x14ac:dyDescent="0.25">
      <c r="A270" s="3" t="s">
        <v>7</v>
      </c>
      <c r="B270" t="str">
        <f>HYPERLINK("https://scholarships.uow.edu.au/scholarships/search?scholarship=2961", "Housing Trust Opportunity Scholarship")</f>
        <v>Housing Trust Opportunity Scholarship</v>
      </c>
      <c r="C270" t="s">
        <v>267</v>
      </c>
      <c r="D270" s="12" t="s">
        <v>278</v>
      </c>
      <c r="E270" t="s">
        <v>269</v>
      </c>
      <c r="F270" t="s">
        <v>13</v>
      </c>
      <c r="G270" s="12" t="s">
        <v>542</v>
      </c>
      <c r="H270" t="s">
        <v>25</v>
      </c>
      <c r="I270" t="s">
        <v>25</v>
      </c>
    </row>
    <row r="271" spans="1:9" ht="45" x14ac:dyDescent="0.25">
      <c r="A271" s="3" t="s">
        <v>7</v>
      </c>
      <c r="B271" t="str">
        <f>HYPERLINK("https://scholarships.uow.edu.au/scholarships/search?scholarship=2941", "Regional Kick Start Scholarships")</f>
        <v>Regional Kick Start Scholarships</v>
      </c>
      <c r="C271" t="s">
        <v>267</v>
      </c>
      <c r="D271" s="12" t="s">
        <v>286</v>
      </c>
      <c r="E271" t="s">
        <v>201</v>
      </c>
      <c r="F271" t="s">
        <v>35</v>
      </c>
      <c r="G271" s="12" t="s">
        <v>450</v>
      </c>
      <c r="H271" t="s">
        <v>25</v>
      </c>
      <c r="I271" t="s">
        <v>25</v>
      </c>
    </row>
    <row r="272" spans="1:9" ht="210" x14ac:dyDescent="0.25">
      <c r="A272" s="3" t="s">
        <v>7</v>
      </c>
      <c r="B272" t="str">
        <f>HYPERLINK("https://scholarships.uow.edu.au/scholarships/search?scholarship=2821", "The City of Wollongong RSL Sub-Branch ANZAC Scholarship")</f>
        <v>The City of Wollongong RSL Sub-Branch ANZAC Scholarship</v>
      </c>
      <c r="C272" t="s">
        <v>267</v>
      </c>
      <c r="D272" s="12" t="s">
        <v>278</v>
      </c>
      <c r="E272" t="s">
        <v>269</v>
      </c>
      <c r="F272" t="s">
        <v>13</v>
      </c>
      <c r="G272" s="12" t="s">
        <v>534</v>
      </c>
      <c r="H272" t="s">
        <v>25</v>
      </c>
      <c r="I272" t="s">
        <v>25</v>
      </c>
    </row>
    <row r="273" spans="1:9" ht="105" x14ac:dyDescent="0.25">
      <c r="A273" s="3" t="s">
        <v>7</v>
      </c>
      <c r="B273" t="str">
        <f>HYPERLINK("https://scholarships.uow.edu.au/scholarships/search?scholarship=2522", "The Tibra Foundation Scholarship in Mathematics")</f>
        <v>The Tibra Foundation Scholarship in Mathematics</v>
      </c>
      <c r="C273" t="s">
        <v>267</v>
      </c>
      <c r="D273" s="12" t="s">
        <v>277</v>
      </c>
      <c r="E273" t="s">
        <v>205</v>
      </c>
      <c r="F273" t="s">
        <v>13</v>
      </c>
      <c r="G273" s="12" t="s">
        <v>543</v>
      </c>
      <c r="H273" t="s">
        <v>25</v>
      </c>
      <c r="I273" t="s">
        <v>25</v>
      </c>
    </row>
    <row r="274" spans="1:9" ht="75" x14ac:dyDescent="0.25">
      <c r="A274" s="3" t="s">
        <v>7</v>
      </c>
      <c r="B274" t="str">
        <f>HYPERLINK("https://scholarships.uow.edu.au/scholarships/search?scholarship=2981", "Risland Community Scholarship in Engineering")</f>
        <v>Risland Community Scholarship in Engineering</v>
      </c>
      <c r="C274" t="s">
        <v>267</v>
      </c>
      <c r="D274" s="12" t="s">
        <v>278</v>
      </c>
      <c r="E274" t="s">
        <v>269</v>
      </c>
      <c r="F274" t="s">
        <v>13</v>
      </c>
      <c r="G274" s="12" t="s">
        <v>544</v>
      </c>
      <c r="H274" t="s">
        <v>25</v>
      </c>
      <c r="I274" t="s">
        <v>25</v>
      </c>
    </row>
    <row r="275" spans="1:9" ht="105" x14ac:dyDescent="0.25">
      <c r="A275" s="3" t="s">
        <v>7</v>
      </c>
      <c r="B275" t="str">
        <f>HYPERLINK("https://scholarships.uow.edu.au/scholarships/search?scholarship=2061", "UOW Ramsay Scholarship")</f>
        <v>UOW Ramsay Scholarship</v>
      </c>
      <c r="C275" t="s">
        <v>267</v>
      </c>
      <c r="D275" s="12" t="s">
        <v>287</v>
      </c>
      <c r="E275" t="s">
        <v>243</v>
      </c>
      <c r="F275" t="s">
        <v>13</v>
      </c>
      <c r="G275" s="12" t="s">
        <v>545</v>
      </c>
      <c r="H275" t="s">
        <v>25</v>
      </c>
      <c r="I275" t="s">
        <v>25</v>
      </c>
    </row>
    <row r="276" spans="1:9" ht="45" x14ac:dyDescent="0.25">
      <c r="A276" s="3" t="s">
        <v>7</v>
      </c>
      <c r="B276" t="str">
        <f>HYPERLINK("https://scholarships.uow.edu.au/scholarships/search?scholarship=2543", "Rhondda and Margaret Williams Scholarship for Rural Medicine")</f>
        <v>Rhondda and Margaret Williams Scholarship for Rural Medicine</v>
      </c>
      <c r="C276" t="s">
        <v>267</v>
      </c>
      <c r="D276" s="12" t="s">
        <v>288</v>
      </c>
      <c r="E276" t="s">
        <v>262</v>
      </c>
      <c r="F276" t="s">
        <v>51</v>
      </c>
      <c r="G276" s="12" t="s">
        <v>546</v>
      </c>
      <c r="H276" t="s">
        <v>25</v>
      </c>
      <c r="I276" t="s">
        <v>25</v>
      </c>
    </row>
    <row r="277" spans="1:9" ht="60" x14ac:dyDescent="0.25">
      <c r="A277" s="3" t="s">
        <v>7</v>
      </c>
      <c r="B277" t="str">
        <f>HYPERLINK("https://scholarships.uow.edu.au/scholarships/search?scholarship=1381", "The George Alexander Foundation Scholarship")</f>
        <v>The George Alexander Foundation Scholarship</v>
      </c>
      <c r="C277" t="s">
        <v>267</v>
      </c>
      <c r="D277" s="12" t="s">
        <v>289</v>
      </c>
      <c r="E277" t="s">
        <v>269</v>
      </c>
      <c r="F277" t="s">
        <v>13</v>
      </c>
      <c r="G277" s="12" t="s">
        <v>547</v>
      </c>
      <c r="H277" t="s">
        <v>25</v>
      </c>
      <c r="I277" t="s">
        <v>25</v>
      </c>
    </row>
    <row r="278" spans="1:9" ht="30" x14ac:dyDescent="0.25">
      <c r="A278" s="3" t="s">
        <v>7</v>
      </c>
      <c r="B278" t="str">
        <f>HYPERLINK("https://scholarships.uow.edu.au/scholarships/search?scholarship=3101", "McLoughlin Minerva Scholarship for Sportswomen")</f>
        <v>McLoughlin Minerva Scholarship for Sportswomen</v>
      </c>
      <c r="C278" t="s">
        <v>267</v>
      </c>
      <c r="D278" s="12" t="s">
        <v>291</v>
      </c>
      <c r="E278" t="s">
        <v>269</v>
      </c>
      <c r="F278" t="s">
        <v>13</v>
      </c>
      <c r="G278" s="12" t="s">
        <v>421</v>
      </c>
      <c r="H278" t="s">
        <v>25</v>
      </c>
      <c r="I278" t="s">
        <v>25</v>
      </c>
    </row>
    <row r="279" spans="1:9" ht="60" x14ac:dyDescent="0.25">
      <c r="A279" s="3" t="s">
        <v>7</v>
      </c>
      <c r="B279" t="str">
        <f>HYPERLINK("https://scholarships.uow.edu.au/scholarships/search?scholarship=1761", "Women in Pure Mathematics Honours Scholarship")</f>
        <v>Women in Pure Mathematics Honours Scholarship</v>
      </c>
      <c r="C279" t="s">
        <v>27</v>
      </c>
      <c r="D279" s="12" t="s">
        <v>279</v>
      </c>
      <c r="E279" t="s">
        <v>201</v>
      </c>
      <c r="F279" t="s">
        <v>13</v>
      </c>
      <c r="G279" s="12" t="s">
        <v>548</v>
      </c>
      <c r="H279" t="s">
        <v>25</v>
      </c>
      <c r="I279" t="s">
        <v>25</v>
      </c>
    </row>
    <row r="280" spans="1:9" ht="30" x14ac:dyDescent="0.25">
      <c r="A280" s="3" t="s">
        <v>7</v>
      </c>
      <c r="B280" t="str">
        <f>HYPERLINK("https://scholarships.uow.edu.au/scholarships/search?scholarship=1661", "UOW Equity Scholarships")</f>
        <v>UOW Equity Scholarships</v>
      </c>
      <c r="C280" t="s">
        <v>14</v>
      </c>
      <c r="D280" s="12" t="s">
        <v>293</v>
      </c>
      <c r="E280" t="s">
        <v>201</v>
      </c>
      <c r="F280" t="s">
        <v>13</v>
      </c>
      <c r="G280" s="12" t="s">
        <v>449</v>
      </c>
      <c r="H280" t="s">
        <v>25</v>
      </c>
      <c r="I280" t="s">
        <v>25</v>
      </c>
    </row>
    <row r="281" spans="1:9" ht="75" x14ac:dyDescent="0.25">
      <c r="A281" s="3" t="s">
        <v>7</v>
      </c>
      <c r="B281" t="str">
        <f>HYPERLINK("https://scholarships.uow.edu.au/scholarships/search?scholarship=659", "Veolia Mulwaree Trust Community Equity Scholarship")</f>
        <v>Veolia Mulwaree Trust Community Equity Scholarship</v>
      </c>
      <c r="C281" t="s">
        <v>267</v>
      </c>
      <c r="D281" s="12" t="s">
        <v>279</v>
      </c>
      <c r="E281" t="s">
        <v>201</v>
      </c>
      <c r="F281" t="s">
        <v>13</v>
      </c>
      <c r="G281" s="12" t="s">
        <v>549</v>
      </c>
      <c r="H281" t="s">
        <v>25</v>
      </c>
      <c r="I281" t="s">
        <v>25</v>
      </c>
    </row>
    <row r="282" spans="1:9" ht="60" x14ac:dyDescent="0.25">
      <c r="A282" s="3" t="s">
        <v>7</v>
      </c>
      <c r="B282" t="str">
        <f>HYPERLINK("https://scholarships.uow.edu.au/scholarships/search?scholarship=624", "Graduate School of Medicine Phase 4 Rural Placement Scholarship")</f>
        <v>Graduate School of Medicine Phase 4 Rural Placement Scholarship</v>
      </c>
      <c r="C282" t="s">
        <v>267</v>
      </c>
      <c r="D282" s="12" t="s">
        <v>294</v>
      </c>
      <c r="E282" t="s">
        <v>201</v>
      </c>
      <c r="F282" t="s">
        <v>51</v>
      </c>
      <c r="G282" s="12" t="s">
        <v>550</v>
      </c>
      <c r="H282" t="s">
        <v>25</v>
      </c>
      <c r="I282" t="s">
        <v>16</v>
      </c>
    </row>
    <row r="283" spans="1:9" ht="75" x14ac:dyDescent="0.25">
      <c r="A283" s="3" t="s">
        <v>7</v>
      </c>
      <c r="B283" t="str">
        <f>HYPERLINK("https://scholarships.uow.edu.au/scholarships/search?scholarship=601", "Graduate School of Medicine Phase 3 Community Funded Scholarship")</f>
        <v>Graduate School of Medicine Phase 3 Community Funded Scholarship</v>
      </c>
      <c r="C283" t="s">
        <v>267</v>
      </c>
      <c r="D283" s="12" t="s">
        <v>295</v>
      </c>
      <c r="E283" t="s">
        <v>201</v>
      </c>
      <c r="F283" t="s">
        <v>51</v>
      </c>
      <c r="G283" s="12" t="s">
        <v>551</v>
      </c>
      <c r="H283" t="s">
        <v>25</v>
      </c>
      <c r="I283" t="s">
        <v>25</v>
      </c>
    </row>
    <row r="284" spans="1:9" ht="45" x14ac:dyDescent="0.25">
      <c r="A284" s="3" t="s">
        <v>7</v>
      </c>
      <c r="B284" t="str">
        <f>HYPERLINK("https://scholarships.uow.edu.au/scholarships/search?scholarship=602", "UOW Alumni Bookshop Scholarship")</f>
        <v>UOW Alumni Bookshop Scholarship</v>
      </c>
      <c r="C284" t="s">
        <v>267</v>
      </c>
      <c r="D284" s="12" t="s">
        <v>296</v>
      </c>
      <c r="E284" t="s">
        <v>269</v>
      </c>
      <c r="F284" t="s">
        <v>13</v>
      </c>
      <c r="G284" s="12" t="s">
        <v>552</v>
      </c>
      <c r="H284" t="s">
        <v>25</v>
      </c>
      <c r="I284" t="s">
        <v>25</v>
      </c>
    </row>
    <row r="285" spans="1:9" ht="105" x14ac:dyDescent="0.25">
      <c r="A285" s="3" t="s">
        <v>7</v>
      </c>
      <c r="B285" t="str">
        <f>HYPERLINK("https://scholarships.uow.edu.au/scholarships/search?scholarship=1181", "Liverpool City Council Opportunity Scholarship")</f>
        <v>Liverpool City Council Opportunity Scholarship</v>
      </c>
      <c r="C285" t="s">
        <v>267</v>
      </c>
      <c r="D285" s="12" t="s">
        <v>272</v>
      </c>
      <c r="E285" t="s">
        <v>201</v>
      </c>
      <c r="F285" t="s">
        <v>13</v>
      </c>
      <c r="G285" s="12" t="s">
        <v>530</v>
      </c>
      <c r="H285" t="s">
        <v>25</v>
      </c>
      <c r="I285" t="s">
        <v>25</v>
      </c>
    </row>
    <row r="286" spans="1:9" ht="45" x14ac:dyDescent="0.25">
      <c r="A286" s="3" t="s">
        <v>7</v>
      </c>
      <c r="B286" t="str">
        <f>HYPERLINK("https://scholarships.uow.edu.au/scholarships/search?scholarship=2081", "The Holt Estate Environmental Science Scholarship")</f>
        <v>The Holt Estate Environmental Science Scholarship</v>
      </c>
      <c r="C286" t="s">
        <v>267</v>
      </c>
      <c r="D286" s="12" t="s">
        <v>292</v>
      </c>
      <c r="E286" t="s">
        <v>269</v>
      </c>
      <c r="F286" t="s">
        <v>13</v>
      </c>
      <c r="G286" s="12" t="s">
        <v>553</v>
      </c>
      <c r="H286" t="s">
        <v>21</v>
      </c>
      <c r="I286" t="s">
        <v>25</v>
      </c>
    </row>
    <row r="287" spans="1:9" ht="30" x14ac:dyDescent="0.25">
      <c r="A287" s="3" t="s">
        <v>7</v>
      </c>
      <c r="B287" t="str">
        <f>HYPERLINK("https://scholarships.uow.edu.au/scholarships/search?scholarship=1821", "Transforming Futures Scholarship- Current Students")</f>
        <v>Transforming Futures Scholarship- Current Students</v>
      </c>
      <c r="C287" t="s">
        <v>267</v>
      </c>
      <c r="D287" s="12" t="s">
        <v>271</v>
      </c>
      <c r="E287" t="s">
        <v>269</v>
      </c>
      <c r="F287" t="s">
        <v>13</v>
      </c>
      <c r="G287" s="12" t="s">
        <v>529</v>
      </c>
      <c r="H287" t="s">
        <v>25</v>
      </c>
      <c r="I287" t="s">
        <v>25</v>
      </c>
    </row>
    <row r="288" spans="1:9" ht="75" x14ac:dyDescent="0.25">
      <c r="A288" s="3" t="s">
        <v>7</v>
      </c>
      <c r="B288" t="str">
        <f>HYPERLINK("https://scholarships.uow.edu.au/scholarships/search?scholarship=3021", "The Robert Sidhwani Memorial Scholarship in Medicine")</f>
        <v>The Robert Sidhwani Memorial Scholarship in Medicine</v>
      </c>
      <c r="C288" t="s">
        <v>267</v>
      </c>
      <c r="D288" s="12" t="s">
        <v>278</v>
      </c>
      <c r="E288" t="s">
        <v>201</v>
      </c>
      <c r="F288" t="s">
        <v>51</v>
      </c>
      <c r="G288" s="12" t="s">
        <v>554</v>
      </c>
      <c r="H288" t="s">
        <v>25</v>
      </c>
      <c r="I288" t="s">
        <v>25</v>
      </c>
    </row>
    <row r="289" spans="1:9" ht="135" x14ac:dyDescent="0.25">
      <c r="A289" s="3" t="s">
        <v>7</v>
      </c>
      <c r="B289" t="str">
        <f>HYPERLINK("https://scholarships.uow.edu.au/scholarships/search?scholarship=2501", "Motion Asia Pacific Opportunity Scholarship")</f>
        <v>Motion Asia Pacific Opportunity Scholarship</v>
      </c>
      <c r="C289" t="s">
        <v>267</v>
      </c>
      <c r="D289" s="12" t="s">
        <v>278</v>
      </c>
      <c r="E289" t="s">
        <v>262</v>
      </c>
      <c r="F289" t="s">
        <v>13</v>
      </c>
      <c r="G289" s="12" t="s">
        <v>555</v>
      </c>
      <c r="H289" t="s">
        <v>25</v>
      </c>
      <c r="I289" t="s">
        <v>25</v>
      </c>
    </row>
    <row r="290" spans="1:9" ht="105" x14ac:dyDescent="0.25">
      <c r="A290" s="3" t="s">
        <v>7</v>
      </c>
      <c r="B290" t="str">
        <f>HYPERLINK("https://scholarships.uow.edu.au/scholarships/search?scholarship=3221", "Bomaderry Bowling Club Opportunity Scholarship")</f>
        <v>Bomaderry Bowling Club Opportunity Scholarship</v>
      </c>
      <c r="C290" t="s">
        <v>267</v>
      </c>
      <c r="D290" s="12" t="s">
        <v>297</v>
      </c>
      <c r="E290" t="s">
        <v>201</v>
      </c>
      <c r="F290" t="s">
        <v>13</v>
      </c>
      <c r="G290" s="12" t="s">
        <v>557</v>
      </c>
      <c r="H290" t="s">
        <v>25</v>
      </c>
      <c r="I290" t="s">
        <v>25</v>
      </c>
    </row>
    <row r="291" spans="1:9" ht="90" x14ac:dyDescent="0.25">
      <c r="A291" s="3" t="s">
        <v>7</v>
      </c>
      <c r="B291" t="str">
        <f>HYPERLINK("https://scholarships.uow.edu.au/scholarships/search?scholarship=2922", "St Georges Basin Country Club Opportunity Scholarship")</f>
        <v>St Georges Basin Country Club Opportunity Scholarship</v>
      </c>
      <c r="C291" t="s">
        <v>267</v>
      </c>
      <c r="D291" s="12" t="s">
        <v>297</v>
      </c>
      <c r="E291" t="s">
        <v>201</v>
      </c>
      <c r="F291" t="s">
        <v>13</v>
      </c>
      <c r="G291" s="12" t="s">
        <v>556</v>
      </c>
      <c r="H291" t="s">
        <v>25</v>
      </c>
      <c r="I291" t="s">
        <v>25</v>
      </c>
    </row>
    <row r="292" spans="1:9" ht="105" x14ac:dyDescent="0.25">
      <c r="A292" s="3" t="s">
        <v>7</v>
      </c>
      <c r="B292" t="str">
        <f>HYPERLINK("https://scholarships.uow.edu.au/scholarships/search?scholarship=3281", "Albion Park RSL Memorial Club Scholarship")</f>
        <v>Albion Park RSL Memorial Club Scholarship</v>
      </c>
      <c r="C292" t="s">
        <v>267</v>
      </c>
      <c r="D292" s="10" t="s">
        <v>298</v>
      </c>
      <c r="E292" t="s">
        <v>201</v>
      </c>
      <c r="F292" t="s">
        <v>13</v>
      </c>
      <c r="G292" s="12" t="s">
        <v>558</v>
      </c>
      <c r="H292" t="s">
        <v>25</v>
      </c>
      <c r="I292" t="s">
        <v>25</v>
      </c>
    </row>
    <row r="293" spans="1:9" ht="105" x14ac:dyDescent="0.25">
      <c r="A293" s="3" t="s">
        <v>7</v>
      </c>
      <c r="B293" t="str">
        <f>HYPERLINK("https://scholarships.uow.edu.au/scholarships/search?scholarship=461", "The Patterson Family Scholarship")</f>
        <v>The Patterson Family Scholarship</v>
      </c>
      <c r="C293" t="s">
        <v>267</v>
      </c>
      <c r="D293" s="12" t="s">
        <v>299</v>
      </c>
      <c r="E293" t="s">
        <v>201</v>
      </c>
      <c r="F293" t="s">
        <v>13</v>
      </c>
      <c r="G293" s="12" t="s">
        <v>559</v>
      </c>
      <c r="H293" t="s">
        <v>25</v>
      </c>
      <c r="I293" t="s">
        <v>25</v>
      </c>
    </row>
    <row r="294" spans="1:9" ht="60" x14ac:dyDescent="0.25">
      <c r="A294" s="3" t="s">
        <v>7</v>
      </c>
      <c r="B294" t="str">
        <f>HYPERLINK("https://scholarships.uow.edu.au/scholarships/search?scholarship=3061", "Clever Care Now Nursing Opportunity Scholarship")</f>
        <v>Clever Care Now Nursing Opportunity Scholarship</v>
      </c>
      <c r="C294" t="s">
        <v>267</v>
      </c>
      <c r="D294" s="12" t="s">
        <v>298</v>
      </c>
      <c r="E294" t="s">
        <v>201</v>
      </c>
      <c r="F294" t="s">
        <v>13</v>
      </c>
      <c r="G294" s="12" t="s">
        <v>560</v>
      </c>
      <c r="H294" t="s">
        <v>21</v>
      </c>
      <c r="I294" t="s">
        <v>25</v>
      </c>
    </row>
    <row r="295" spans="1:9" ht="60" x14ac:dyDescent="0.25">
      <c r="A295" s="3" t="s">
        <v>7</v>
      </c>
      <c r="B295" t="str">
        <f>HYPERLINK("https://scholarships.uow.edu.au/scholarships/search?scholarship=2461", "Nursing Clinical Placement Scholarship")</f>
        <v>Nursing Clinical Placement Scholarship</v>
      </c>
      <c r="C295" t="s">
        <v>267</v>
      </c>
      <c r="D295" s="12" t="s">
        <v>300</v>
      </c>
      <c r="E295" t="s">
        <v>201</v>
      </c>
      <c r="F295" t="s">
        <v>13</v>
      </c>
      <c r="G295" s="12" t="s">
        <v>561</v>
      </c>
      <c r="H295" t="s">
        <v>25</v>
      </c>
      <c r="I295" t="s">
        <v>16</v>
      </c>
    </row>
    <row r="296" spans="1:9" ht="60" x14ac:dyDescent="0.25">
      <c r="A296" s="3" t="s">
        <v>7</v>
      </c>
      <c r="B296" t="str">
        <f>HYPERLINK("https://scholarships.uow.edu.au/scholarships/search?scholarship=2742", "Women in Finance and Economics Scholarship Program (Postgraduate)")</f>
        <v>Women in Finance and Economics Scholarship Program (Postgraduate)</v>
      </c>
      <c r="C296" t="s">
        <v>267</v>
      </c>
      <c r="D296" s="12" t="s">
        <v>301</v>
      </c>
      <c r="E296" t="s">
        <v>201</v>
      </c>
      <c r="F296" t="s">
        <v>51</v>
      </c>
      <c r="G296" s="12" t="s">
        <v>562</v>
      </c>
      <c r="H296" t="s">
        <v>25</v>
      </c>
      <c r="I296" t="s">
        <v>25</v>
      </c>
    </row>
    <row r="297" spans="1:9" ht="45" x14ac:dyDescent="0.25">
      <c r="A297" s="3" t="s">
        <v>7</v>
      </c>
      <c r="B297" t="str">
        <f>HYPERLINK("https://scholarships.uow.edu.au/scholarships/search?scholarship=3063", "Sustainable Futures Opportunity Scholarship")</f>
        <v>Sustainable Futures Opportunity Scholarship</v>
      </c>
      <c r="C297" t="s">
        <v>267</v>
      </c>
      <c r="D297" s="12" t="s">
        <v>302</v>
      </c>
      <c r="E297" t="s">
        <v>269</v>
      </c>
      <c r="F297" t="s">
        <v>13</v>
      </c>
      <c r="G297" s="12" t="s">
        <v>563</v>
      </c>
      <c r="H297" t="s">
        <v>25</v>
      </c>
      <c r="I297" t="s">
        <v>25</v>
      </c>
    </row>
    <row r="298" spans="1:9" ht="45" x14ac:dyDescent="0.25">
      <c r="A298" s="3" t="s">
        <v>7</v>
      </c>
      <c r="B298" t="str">
        <f>HYPERLINK("https://scholarships.uow.edu.au/scholarships/search?scholarship=658", "Tom Maguire Memorial Scholarship for Law")</f>
        <v>Tom Maguire Memorial Scholarship for Law</v>
      </c>
      <c r="C298" t="s">
        <v>267</v>
      </c>
      <c r="D298" s="12" t="s">
        <v>278</v>
      </c>
      <c r="E298" t="s">
        <v>201</v>
      </c>
      <c r="F298" t="s">
        <v>13</v>
      </c>
      <c r="G298" s="12" t="s">
        <v>564</v>
      </c>
      <c r="H298" t="s">
        <v>25</v>
      </c>
      <c r="I298" t="s">
        <v>25</v>
      </c>
    </row>
    <row r="299" spans="1:9" ht="30" x14ac:dyDescent="0.25">
      <c r="A299" s="3" t="s">
        <v>7</v>
      </c>
      <c r="B299" t="str">
        <f>HYPERLINK("https://scholarships.uow.edu.au/scholarships/search?scholarship=3103", "ZML Foundation Opportunity Scholarship")</f>
        <v>ZML Foundation Opportunity Scholarship</v>
      </c>
      <c r="C299" t="s">
        <v>267</v>
      </c>
      <c r="D299" s="12" t="s">
        <v>298</v>
      </c>
      <c r="E299" t="s">
        <v>201</v>
      </c>
      <c r="F299" t="s">
        <v>13</v>
      </c>
      <c r="G299" s="12" t="s">
        <v>565</v>
      </c>
      <c r="H299" t="s">
        <v>25</v>
      </c>
      <c r="I299" t="s">
        <v>25</v>
      </c>
    </row>
    <row r="300" spans="1:9" ht="150" x14ac:dyDescent="0.25">
      <c r="A300" s="3" t="s">
        <v>7</v>
      </c>
      <c r="B300" t="str">
        <f>HYPERLINK("https://scholarships.uow.edu.au/scholarships/search?scholarship=2462", "Recovery Camp Nursing Scholarship")</f>
        <v>Recovery Camp Nursing Scholarship</v>
      </c>
      <c r="C300" t="s">
        <v>267</v>
      </c>
      <c r="D300" s="12" t="s">
        <v>303</v>
      </c>
      <c r="E300" t="s">
        <v>269</v>
      </c>
      <c r="F300" t="s">
        <v>13</v>
      </c>
      <c r="G300" s="12" t="s">
        <v>566</v>
      </c>
      <c r="H300" t="s">
        <v>25</v>
      </c>
      <c r="I300" t="s">
        <v>25</v>
      </c>
    </row>
    <row r="301" spans="1:9" ht="285" x14ac:dyDescent="0.25">
      <c r="A301" s="3" t="s">
        <v>7</v>
      </c>
      <c r="B301" t="str">
        <f>HYPERLINK("https://scholarships.uow.edu.au/scholarships/search?scholarship=3162", "UOW Medical and Health Society Opportunity Scholarship")</f>
        <v>UOW Medical and Health Society Opportunity Scholarship</v>
      </c>
      <c r="C301" t="s">
        <v>267</v>
      </c>
      <c r="D301" s="12" t="s">
        <v>304</v>
      </c>
      <c r="E301" t="s">
        <v>201</v>
      </c>
      <c r="F301" t="s">
        <v>13</v>
      </c>
      <c r="G301" s="12" t="s">
        <v>567</v>
      </c>
      <c r="H301" t="s">
        <v>25</v>
      </c>
      <c r="I301" t="s">
        <v>25</v>
      </c>
    </row>
    <row r="302" spans="1:9" ht="60" x14ac:dyDescent="0.25">
      <c r="A302" s="3" t="s">
        <v>7</v>
      </c>
      <c r="B302" t="str">
        <f>HYPERLINK("https://scholarships.uow.edu.au/scholarships/search?scholarship=3341", "Andrew Ferrier Scholarship in Technology &amp; Engineering")</f>
        <v>Andrew Ferrier Scholarship in Technology &amp; Engineering</v>
      </c>
      <c r="C302" t="s">
        <v>267</v>
      </c>
      <c r="D302" s="12" t="s">
        <v>278</v>
      </c>
      <c r="E302" t="s">
        <v>269</v>
      </c>
      <c r="F302" t="s">
        <v>13</v>
      </c>
      <c r="G302" s="12" t="s">
        <v>568</v>
      </c>
      <c r="H302" t="s">
        <v>25</v>
      </c>
      <c r="I302" t="s">
        <v>25</v>
      </c>
    </row>
    <row r="303" spans="1:9" ht="45" x14ac:dyDescent="0.25">
      <c r="A303" s="3" t="s">
        <v>7</v>
      </c>
      <c r="B303" t="str">
        <f>HYPERLINK("https://scholarships.uow.edu.au/scholarships/search?scholarship=3102", "Delivering 4 Customers (D4C) Opportunity Scholarship for Engineering")</f>
        <v>Delivering 4 Customers (D4C) Opportunity Scholarship for Engineering</v>
      </c>
      <c r="C303" t="s">
        <v>267</v>
      </c>
      <c r="D303" s="12" t="s">
        <v>305</v>
      </c>
      <c r="E303" t="s">
        <v>201</v>
      </c>
      <c r="F303" t="s">
        <v>13</v>
      </c>
      <c r="G303" s="12" t="s">
        <v>569</v>
      </c>
      <c r="H303" t="s">
        <v>25</v>
      </c>
      <c r="I303" t="s">
        <v>25</v>
      </c>
    </row>
    <row r="304" spans="1:9" ht="60" x14ac:dyDescent="0.25">
      <c r="A304" s="3" t="s">
        <v>7</v>
      </c>
      <c r="B304" t="str">
        <f>HYPERLINK("https://scholarships.uow.edu.au/scholarships/search?scholarship=2741", "Women in Finance and Economics Scholarship Program (Undergraduate)")</f>
        <v>Women in Finance and Economics Scholarship Program (Undergraduate)</v>
      </c>
      <c r="C304" t="s">
        <v>267</v>
      </c>
      <c r="D304" s="12" t="s">
        <v>278</v>
      </c>
      <c r="E304" t="s">
        <v>201</v>
      </c>
      <c r="F304" t="s">
        <v>13</v>
      </c>
      <c r="G304" s="12" t="s">
        <v>570</v>
      </c>
      <c r="H304" t="s">
        <v>25</v>
      </c>
      <c r="I304" t="s">
        <v>25</v>
      </c>
    </row>
    <row r="305" spans="1:9" ht="90" x14ac:dyDescent="0.25">
      <c r="A305" s="3" t="s">
        <v>7</v>
      </c>
      <c r="B305" t="str">
        <f>HYPERLINK("https://scholarships.uow.edu.au/scholarships/search?scholarship=2541", "Doris Matlok Law Scholarship")</f>
        <v>Doris Matlok Law Scholarship</v>
      </c>
      <c r="C305" t="s">
        <v>267</v>
      </c>
      <c r="D305" s="12" t="s">
        <v>278</v>
      </c>
      <c r="E305" t="s">
        <v>201</v>
      </c>
      <c r="F305" t="s">
        <v>13</v>
      </c>
      <c r="G305" s="12" t="s">
        <v>571</v>
      </c>
      <c r="H305" t="s">
        <v>25</v>
      </c>
      <c r="I305" t="s">
        <v>25</v>
      </c>
    </row>
    <row r="306" spans="1:9" ht="45" x14ac:dyDescent="0.25">
      <c r="A306" s="3" t="s">
        <v>7</v>
      </c>
      <c r="B306" t="str">
        <f>HYPERLINK("https://scholarships.uow.edu.au/scholarships/search?scholarship=2681", "Ray and Peggy Allen Graduate School of Medicine Scholarship")</f>
        <v>Ray and Peggy Allen Graduate School of Medicine Scholarship</v>
      </c>
      <c r="C306" t="s">
        <v>267</v>
      </c>
      <c r="D306" s="12" t="s">
        <v>292</v>
      </c>
      <c r="E306" t="s">
        <v>201</v>
      </c>
      <c r="F306" t="s">
        <v>51</v>
      </c>
      <c r="G306" s="12" t="s">
        <v>572</v>
      </c>
      <c r="H306" t="s">
        <v>25</v>
      </c>
      <c r="I306" t="s">
        <v>25</v>
      </c>
    </row>
    <row r="307" spans="1:9" ht="45" x14ac:dyDescent="0.25">
      <c r="A307" s="3" t="s">
        <v>7</v>
      </c>
      <c r="B307" t="str">
        <f>HYPERLINK("https://scholarships.uow.edu.au/scholarships/search?scholarship=3261", "Advanced Buildings Opportunity Scholarship in OHS")</f>
        <v>Advanced Buildings Opportunity Scholarship in OHS</v>
      </c>
      <c r="C307" t="s">
        <v>267</v>
      </c>
      <c r="D307" s="10" t="s">
        <v>306</v>
      </c>
      <c r="E307" t="s">
        <v>201</v>
      </c>
      <c r="F307" t="s">
        <v>51</v>
      </c>
      <c r="G307" s="12" t="s">
        <v>573</v>
      </c>
      <c r="H307" t="s">
        <v>25</v>
      </c>
      <c r="I307" t="s">
        <v>25</v>
      </c>
    </row>
    <row r="308" spans="1:9" ht="30" x14ac:dyDescent="0.25">
      <c r="A308" s="3" t="s">
        <v>7</v>
      </c>
      <c r="B308" t="str">
        <f>HYPERLINK("https://scholarships.uow.edu.au/scholarships/search?scholarship=1822", "Honorary Chapter Scholarship Program")</f>
        <v>Honorary Chapter Scholarship Program</v>
      </c>
      <c r="C308" t="s">
        <v>267</v>
      </c>
      <c r="D308" s="12" t="s">
        <v>279</v>
      </c>
      <c r="E308" t="s">
        <v>201</v>
      </c>
      <c r="F308" t="s">
        <v>13</v>
      </c>
      <c r="G308" s="12" t="s">
        <v>574</v>
      </c>
      <c r="H308" t="s">
        <v>25</v>
      </c>
      <c r="I308" t="s">
        <v>25</v>
      </c>
    </row>
    <row r="309" spans="1:9" ht="150" x14ac:dyDescent="0.25">
      <c r="A309" s="3" t="s">
        <v>7</v>
      </c>
      <c r="B309" t="str">
        <f>HYPERLINK("https://scholarships.uow.edu.au/scholarships/search?scholarship=361", "The Stevenson Family Scholarship in Social Work")</f>
        <v>The Stevenson Family Scholarship in Social Work</v>
      </c>
      <c r="C309" t="s">
        <v>267</v>
      </c>
      <c r="D309" s="12" t="s">
        <v>278</v>
      </c>
      <c r="E309" t="s">
        <v>41</v>
      </c>
      <c r="F309" t="s">
        <v>13</v>
      </c>
      <c r="G309" s="12" t="s">
        <v>575</v>
      </c>
      <c r="H309" t="s">
        <v>25</v>
      </c>
      <c r="I309" t="s">
        <v>25</v>
      </c>
    </row>
    <row r="310" spans="1:9" ht="105" x14ac:dyDescent="0.25">
      <c r="A310" s="3" t="s">
        <v>7</v>
      </c>
      <c r="B310" t="str">
        <f>HYPERLINK("https://scholarships.uow.edu.au/scholarships/search?scholarship=561", "Jack Goldring Memorial Scholarship")</f>
        <v>Jack Goldring Memorial Scholarship</v>
      </c>
      <c r="C310" t="s">
        <v>267</v>
      </c>
      <c r="D310" s="12" t="s">
        <v>292</v>
      </c>
      <c r="E310" t="s">
        <v>201</v>
      </c>
      <c r="F310" t="s">
        <v>13</v>
      </c>
      <c r="G310" s="12" t="s">
        <v>576</v>
      </c>
      <c r="H310" t="s">
        <v>25</v>
      </c>
      <c r="I310" t="s">
        <v>25</v>
      </c>
    </row>
    <row r="311" spans="1:9" ht="180" x14ac:dyDescent="0.25">
      <c r="A311" s="3" t="s">
        <v>7</v>
      </c>
      <c r="B311" t="str">
        <f>HYPERLINK("https://scholarships.uow.edu.au/scholarships/search?scholarship=633", "M.J Wraight Scholarship for Women in Medicine")</f>
        <v>M.J Wraight Scholarship for Women in Medicine</v>
      </c>
      <c r="C311" t="s">
        <v>27</v>
      </c>
      <c r="D311" s="12" t="s">
        <v>307</v>
      </c>
      <c r="E311" t="s">
        <v>269</v>
      </c>
      <c r="F311" t="s">
        <v>13</v>
      </c>
      <c r="G311" s="12" t="s">
        <v>577</v>
      </c>
      <c r="H311" t="s">
        <v>25</v>
      </c>
      <c r="I311" t="s">
        <v>25</v>
      </c>
    </row>
    <row r="312" spans="1:9" ht="60" x14ac:dyDescent="0.25">
      <c r="A312" s="3" t="s">
        <v>7</v>
      </c>
      <c r="B312" t="str">
        <f>HYPERLINK("https://scholarships.uow.edu.au/scholarships/search?scholarship=634", "Mollymook Golf Club Community Scholarship")</f>
        <v>Mollymook Golf Club Community Scholarship</v>
      </c>
      <c r="C312" t="s">
        <v>267</v>
      </c>
      <c r="D312" s="12" t="s">
        <v>273</v>
      </c>
      <c r="E312" t="s">
        <v>201</v>
      </c>
      <c r="F312" t="s">
        <v>13</v>
      </c>
      <c r="G312" s="12" t="s">
        <v>578</v>
      </c>
      <c r="H312" t="s">
        <v>25</v>
      </c>
      <c r="I312" t="s">
        <v>25</v>
      </c>
    </row>
    <row r="313" spans="1:9" ht="30" x14ac:dyDescent="0.25">
      <c r="A313" s="3" t="s">
        <v>7</v>
      </c>
      <c r="B313" t="str">
        <f>HYPERLINK("https://scholarships.uow.edu.au/scholarships/search?scholarship=635", "Mumbulla Foundation Community Scholarships")</f>
        <v>Mumbulla Foundation Community Scholarships</v>
      </c>
      <c r="C313" t="s">
        <v>267</v>
      </c>
      <c r="D313" s="12" t="s">
        <v>308</v>
      </c>
      <c r="E313" t="s">
        <v>201</v>
      </c>
      <c r="F313" t="s">
        <v>13</v>
      </c>
      <c r="G313" s="12" t="s">
        <v>579</v>
      </c>
      <c r="H313" t="s">
        <v>25</v>
      </c>
      <c r="I313" t="s">
        <v>25</v>
      </c>
    </row>
    <row r="314" spans="1:9" ht="75" x14ac:dyDescent="0.25">
      <c r="A314" s="3" t="s">
        <v>7</v>
      </c>
      <c r="B314" t="str">
        <f>HYPERLINK("https://scholarships.uow.edu.au/scholarships/search?scholarship=637", "Rotary Club of Bega Commerce Scholarship")</f>
        <v>Rotary Club of Bega Commerce Scholarship</v>
      </c>
      <c r="C314" t="s">
        <v>267</v>
      </c>
      <c r="D314" s="12" t="s">
        <v>309</v>
      </c>
      <c r="E314" t="s">
        <v>201</v>
      </c>
      <c r="F314" t="s">
        <v>13</v>
      </c>
      <c r="G314" s="12" t="s">
        <v>580</v>
      </c>
      <c r="H314" t="s">
        <v>25</v>
      </c>
      <c r="I314" t="s">
        <v>25</v>
      </c>
    </row>
    <row r="315" spans="1:9" ht="90" x14ac:dyDescent="0.25">
      <c r="A315" s="3" t="s">
        <v>7</v>
      </c>
      <c r="B315" t="str">
        <f>HYPERLINK("https://scholarships.uow.edu.au/scholarships/search?scholarship=638", "Rotary Club of West Wollongong John Chaplin Memorial Scholarship")</f>
        <v>Rotary Club of West Wollongong John Chaplin Memorial Scholarship</v>
      </c>
      <c r="C315" t="s">
        <v>267</v>
      </c>
      <c r="D315" s="12" t="s">
        <v>279</v>
      </c>
      <c r="E315" t="s">
        <v>205</v>
      </c>
      <c r="F315" t="s">
        <v>13</v>
      </c>
      <c r="G315" s="12" t="s">
        <v>581</v>
      </c>
      <c r="H315" t="s">
        <v>25</v>
      </c>
      <c r="I315" t="s">
        <v>25</v>
      </c>
    </row>
    <row r="316" spans="1:9" ht="75" x14ac:dyDescent="0.25">
      <c r="A316" s="3" t="s">
        <v>7</v>
      </c>
      <c r="B316" t="str">
        <f>HYPERLINK("https://scholarships.uow.edu.au/scholarships/search?scholarship=648", "UOW Bega Alumni Business Scholarship")</f>
        <v>UOW Bega Alumni Business Scholarship</v>
      </c>
      <c r="C316" t="s">
        <v>267</v>
      </c>
      <c r="D316" s="12" t="s">
        <v>309</v>
      </c>
      <c r="E316" t="s">
        <v>201</v>
      </c>
      <c r="F316" t="s">
        <v>13</v>
      </c>
      <c r="G316" s="12" t="s">
        <v>580</v>
      </c>
      <c r="H316" t="s">
        <v>25</v>
      </c>
      <c r="I316" t="s">
        <v>25</v>
      </c>
    </row>
    <row r="317" spans="1:9" ht="90" x14ac:dyDescent="0.25">
      <c r="A317" s="3" t="s">
        <v>7</v>
      </c>
      <c r="B317" t="str">
        <f>HYPERLINK("https://scholarships.uow.edu.au/scholarships/search?scholarship=649", "World Transformation Scholarship")</f>
        <v>World Transformation Scholarship</v>
      </c>
      <c r="C317" t="s">
        <v>267</v>
      </c>
      <c r="D317" s="12" t="s">
        <v>310</v>
      </c>
      <c r="E317" t="s">
        <v>201</v>
      </c>
      <c r="F317" t="s">
        <v>35</v>
      </c>
      <c r="G317" s="12" t="s">
        <v>582</v>
      </c>
      <c r="H317" t="s">
        <v>25</v>
      </c>
      <c r="I317" t="s">
        <v>25</v>
      </c>
    </row>
    <row r="318" spans="1:9" ht="75" x14ac:dyDescent="0.25">
      <c r="A318" s="3" t="s">
        <v>7</v>
      </c>
      <c r="B318" t="str">
        <f>HYPERLINK("https://scholarships.uow.edu.au/scholarships/search?scholarship=702", "Rowe Scientific Chemistry Scholarship")</f>
        <v>Rowe Scientific Chemistry Scholarship</v>
      </c>
      <c r="C318" t="s">
        <v>267</v>
      </c>
      <c r="D318" s="12" t="s">
        <v>278</v>
      </c>
      <c r="E318" t="s">
        <v>201</v>
      </c>
      <c r="F318" t="s">
        <v>13</v>
      </c>
      <c r="G318" s="12" t="s">
        <v>583</v>
      </c>
      <c r="H318" t="s">
        <v>25</v>
      </c>
      <c r="I318" t="s">
        <v>25</v>
      </c>
    </row>
    <row r="319" spans="1:9" ht="75" x14ac:dyDescent="0.25">
      <c r="A319" s="3" t="s">
        <v>7</v>
      </c>
      <c r="B319" t="str">
        <f>HYPERLINK("https://scholarships.uow.edu.au/scholarships/search?scholarship=1701", "Cunningham D'Souza Family Scholarship")</f>
        <v>Cunningham D'Souza Family Scholarship</v>
      </c>
      <c r="C319" t="s">
        <v>267</v>
      </c>
      <c r="D319" s="12" t="s">
        <v>278</v>
      </c>
      <c r="E319" t="s">
        <v>201</v>
      </c>
      <c r="F319" t="s">
        <v>13</v>
      </c>
      <c r="G319" s="12" t="s">
        <v>584</v>
      </c>
      <c r="H319" t="s">
        <v>25</v>
      </c>
      <c r="I319" t="s">
        <v>25</v>
      </c>
    </row>
    <row r="320" spans="1:9" ht="45" x14ac:dyDescent="0.25">
      <c r="A320" s="3" t="s">
        <v>7</v>
      </c>
      <c r="B320" t="str">
        <f>HYPERLINK("https://scholarships.uow.edu.au/scholarships/search?scholarship=583", "The Rotary Club of Pambula John Moffatt Memorial Scholarship")</f>
        <v>The Rotary Club of Pambula John Moffatt Memorial Scholarship</v>
      </c>
      <c r="C320" t="s">
        <v>267</v>
      </c>
      <c r="D320" s="10" t="s">
        <v>273</v>
      </c>
      <c r="E320" t="s">
        <v>24</v>
      </c>
      <c r="F320" t="s">
        <v>51</v>
      </c>
      <c r="G320" s="12" t="s">
        <v>585</v>
      </c>
      <c r="H320" t="s">
        <v>25</v>
      </c>
      <c r="I320" t="s">
        <v>25</v>
      </c>
    </row>
    <row r="321" spans="1:9" ht="225" x14ac:dyDescent="0.25">
      <c r="A321" s="3" t="s">
        <v>7</v>
      </c>
      <c r="B321" t="str">
        <f>HYPERLINK("https://scholarships.uow.edu.au/scholarships/search?scholarship=584", "Troy Pocock Meningococcal Scholarship for Medicine")</f>
        <v>Troy Pocock Meningococcal Scholarship for Medicine</v>
      </c>
      <c r="C321" t="s">
        <v>27</v>
      </c>
      <c r="D321" s="12" t="s">
        <v>273</v>
      </c>
      <c r="E321" t="s">
        <v>201</v>
      </c>
      <c r="F321" t="s">
        <v>35</v>
      </c>
      <c r="G321" s="12" t="s">
        <v>586</v>
      </c>
      <c r="H321" t="s">
        <v>25</v>
      </c>
      <c r="I321" t="s">
        <v>25</v>
      </c>
    </row>
    <row r="322" spans="1:9" ht="45" x14ac:dyDescent="0.25">
      <c r="A322" s="3" t="s">
        <v>7</v>
      </c>
      <c r="B322" t="str">
        <f>HYPERLINK("https://scholarships.uow.edu.au/scholarships/search?scholarship=585", "Winifred Smith Scholarship for Excellence in Nursing")</f>
        <v>Winifred Smith Scholarship for Excellence in Nursing</v>
      </c>
      <c r="C322" t="s">
        <v>267</v>
      </c>
      <c r="D322" s="12" t="s">
        <v>298</v>
      </c>
      <c r="E322" t="s">
        <v>205</v>
      </c>
      <c r="F322" t="s">
        <v>13</v>
      </c>
      <c r="G322" s="12" t="s">
        <v>587</v>
      </c>
      <c r="H322" t="s">
        <v>25</v>
      </c>
      <c r="I322" t="s">
        <v>25</v>
      </c>
    </row>
    <row r="323" spans="1:9" ht="30" x14ac:dyDescent="0.25">
      <c r="A323" s="3" t="s">
        <v>7</v>
      </c>
      <c r="B323" t="str">
        <f>HYPERLINK("https://scholarships.uow.edu.au/scholarships/search?scholarship=609", "Bega Cheese Community Scholarship")</f>
        <v>Bega Cheese Community Scholarship</v>
      </c>
      <c r="C323" t="s">
        <v>267</v>
      </c>
      <c r="D323" s="12" t="s">
        <v>309</v>
      </c>
      <c r="E323" t="s">
        <v>201</v>
      </c>
      <c r="F323" t="s">
        <v>13</v>
      </c>
      <c r="G323" s="12" t="s">
        <v>588</v>
      </c>
      <c r="H323" t="s">
        <v>25</v>
      </c>
      <c r="I323" t="s">
        <v>25</v>
      </c>
    </row>
    <row r="324" spans="1:9" ht="45" x14ac:dyDescent="0.25">
      <c r="A324" s="3" t="s">
        <v>7</v>
      </c>
      <c r="B324" t="str">
        <f>HYPERLINK("https://scholarships.uow.edu.au/scholarships/search?scholarship=610", "Bega Lions Club Trevor Prescott Memorial Scholarship")</f>
        <v>Bega Lions Club Trevor Prescott Memorial Scholarship</v>
      </c>
      <c r="C324" t="s">
        <v>267</v>
      </c>
      <c r="D324" s="12" t="s">
        <v>309</v>
      </c>
      <c r="E324" t="s">
        <v>41</v>
      </c>
      <c r="F324" t="s">
        <v>13</v>
      </c>
      <c r="G324" s="12" t="s">
        <v>587</v>
      </c>
      <c r="H324" t="s">
        <v>25</v>
      </c>
      <c r="I324" t="s">
        <v>25</v>
      </c>
    </row>
    <row r="325" spans="1:9" ht="45" x14ac:dyDescent="0.25">
      <c r="A325" s="3" t="s">
        <v>7</v>
      </c>
      <c r="B325" t="str">
        <f>HYPERLINK("https://scholarships.uow.edu.au/scholarships/search?scholarship=611", "Bega RSL Sub Branch Christine Farrow Nursing Scholarship")</f>
        <v>Bega RSL Sub Branch Christine Farrow Nursing Scholarship</v>
      </c>
      <c r="C325" t="s">
        <v>267</v>
      </c>
      <c r="D325" s="12" t="s">
        <v>309</v>
      </c>
      <c r="E325" t="s">
        <v>201</v>
      </c>
      <c r="F325" t="s">
        <v>13</v>
      </c>
      <c r="G325" s="12" t="s">
        <v>587</v>
      </c>
      <c r="H325" t="s">
        <v>25</v>
      </c>
      <c r="I325" t="s">
        <v>25</v>
      </c>
    </row>
    <row r="326" spans="1:9" ht="75" x14ac:dyDescent="0.25">
      <c r="A326" s="3" t="s">
        <v>7</v>
      </c>
      <c r="B326" t="str">
        <f>HYPERLINK("https://scholarships.uow.edu.au/scholarships/search?scholarship=612", "Bendigo Bank's Bruce Hetherington Memorial Community Scholarship")</f>
        <v>Bendigo Bank's Bruce Hetherington Memorial Community Scholarship</v>
      </c>
      <c r="C326" t="s">
        <v>267</v>
      </c>
      <c r="D326" s="12" t="s">
        <v>296</v>
      </c>
      <c r="E326" t="s">
        <v>201</v>
      </c>
      <c r="F326" t="s">
        <v>13</v>
      </c>
      <c r="G326" s="12" t="s">
        <v>589</v>
      </c>
      <c r="H326" t="s">
        <v>25</v>
      </c>
      <c r="I326" t="s">
        <v>25</v>
      </c>
    </row>
    <row r="327" spans="1:9" ht="45" x14ac:dyDescent="0.25">
      <c r="A327" s="3" t="s">
        <v>7</v>
      </c>
      <c r="B327" t="str">
        <f>HYPERLINK("https://scholarships.uow.edu.au/scholarships/search?scholarship=614", "Bomaderry Bowling Club Community Scholarship")</f>
        <v>Bomaderry Bowling Club Community Scholarship</v>
      </c>
      <c r="C327" t="s">
        <v>267</v>
      </c>
      <c r="D327" s="12" t="s">
        <v>303</v>
      </c>
      <c r="E327" t="s">
        <v>269</v>
      </c>
      <c r="F327" t="s">
        <v>13</v>
      </c>
      <c r="G327" s="12" t="s">
        <v>590</v>
      </c>
      <c r="H327" t="s">
        <v>25</v>
      </c>
      <c r="I327" t="s">
        <v>25</v>
      </c>
    </row>
    <row r="328" spans="1:9" ht="45" x14ac:dyDescent="0.25">
      <c r="A328" s="3" t="s">
        <v>7</v>
      </c>
      <c r="B328" t="str">
        <f>HYPERLINK("https://scholarships.uow.edu.au/scholarships/search?scholarship=618", "Collins Nursing Scholarship")</f>
        <v>Collins Nursing Scholarship</v>
      </c>
      <c r="C328" t="s">
        <v>267</v>
      </c>
      <c r="D328" s="12" t="s">
        <v>309</v>
      </c>
      <c r="E328" t="s">
        <v>201</v>
      </c>
      <c r="F328" t="s">
        <v>13</v>
      </c>
      <c r="G328" s="12" t="s">
        <v>587</v>
      </c>
      <c r="H328" t="s">
        <v>25</v>
      </c>
      <c r="I328" t="s">
        <v>25</v>
      </c>
    </row>
    <row r="329" spans="1:9" ht="45" x14ac:dyDescent="0.25">
      <c r="A329" s="3" t="s">
        <v>7</v>
      </c>
      <c r="B329" t="str">
        <f>HYPERLINK("https://scholarships.uow.edu.au/scholarships/search?scholarship=621", "Rotary Club of Bega - Dr Blomfield Memorial Nursing Scholarship")</f>
        <v>Rotary Club of Bega - Dr Blomfield Memorial Nursing Scholarship</v>
      </c>
      <c r="C329" t="s">
        <v>267</v>
      </c>
      <c r="D329" s="12" t="s">
        <v>309</v>
      </c>
      <c r="E329" t="s">
        <v>201</v>
      </c>
      <c r="F329" t="s">
        <v>13</v>
      </c>
      <c r="G329" s="12" t="s">
        <v>587</v>
      </c>
      <c r="H329" t="s">
        <v>25</v>
      </c>
      <c r="I329" t="s">
        <v>25</v>
      </c>
    </row>
    <row r="330" spans="1:9" ht="285" x14ac:dyDescent="0.25">
      <c r="A330" s="3" t="s">
        <v>7</v>
      </c>
      <c r="B330" t="str">
        <f>HYPERLINK("https://scholarships.uow.edu.au/scholarships/search?scholarship=627", "Hazel Holmwood Scholarship for Excellence in Leadership and Quality Teaching")</f>
        <v>Hazel Holmwood Scholarship for Excellence in Leadership and Quality Teaching</v>
      </c>
      <c r="C330" t="s">
        <v>267</v>
      </c>
      <c r="D330" s="12" t="s">
        <v>303</v>
      </c>
      <c r="E330" t="s">
        <v>201</v>
      </c>
      <c r="F330" t="s">
        <v>13</v>
      </c>
      <c r="G330" s="12" t="s">
        <v>591</v>
      </c>
      <c r="H330" t="s">
        <v>25</v>
      </c>
      <c r="I330" t="s">
        <v>25</v>
      </c>
    </row>
    <row r="331" spans="1:9" ht="30" x14ac:dyDescent="0.25">
      <c r="A331" s="3" t="s">
        <v>7</v>
      </c>
      <c r="B331" t="str">
        <f>HYPERLINK("https://scholarships.uow.edu.au/scholarships/search?scholarship=628", "Howard Worner Memorial Scholarship")</f>
        <v>Howard Worner Memorial Scholarship</v>
      </c>
      <c r="C331" t="s">
        <v>267</v>
      </c>
      <c r="D331" s="12" t="s">
        <v>277</v>
      </c>
      <c r="E331" t="s">
        <v>262</v>
      </c>
      <c r="F331" t="s">
        <v>13</v>
      </c>
      <c r="G331" s="12" t="s">
        <v>451</v>
      </c>
      <c r="H331" t="s">
        <v>25</v>
      </c>
      <c r="I331" t="s">
        <v>25</v>
      </c>
    </row>
    <row r="332" spans="1:9" ht="90" x14ac:dyDescent="0.25">
      <c r="A332" s="3" t="s">
        <v>7</v>
      </c>
      <c r="B332" t="str">
        <f>HYPERLINK("https://scholarships.uow.edu.au/scholarships/search?scholarship=630", "Ivan Bandur Master of Teaching Scholarship")</f>
        <v>Ivan Bandur Master of Teaching Scholarship</v>
      </c>
      <c r="C332" t="s">
        <v>267</v>
      </c>
      <c r="D332" s="12" t="s">
        <v>273</v>
      </c>
      <c r="E332" t="s">
        <v>205</v>
      </c>
      <c r="F332" t="s">
        <v>51</v>
      </c>
      <c r="G332" s="12" t="s">
        <v>592</v>
      </c>
      <c r="H332" t="s">
        <v>25</v>
      </c>
      <c r="I332" t="s">
        <v>25</v>
      </c>
    </row>
    <row r="333" spans="1:9" ht="45" x14ac:dyDescent="0.25">
      <c r="A333" s="3" t="s">
        <v>7</v>
      </c>
      <c r="B333" t="str">
        <f>HYPERLINK("https://scholarships.uow.edu.au/scholarships/search?scholarship=581", "Mumbulla Foundation Community Scholarship (Master of Teaching)")</f>
        <v>Mumbulla Foundation Community Scholarship (Master of Teaching)</v>
      </c>
      <c r="C333" t="s">
        <v>267</v>
      </c>
      <c r="D333" s="12" t="s">
        <v>311</v>
      </c>
      <c r="E333" t="s">
        <v>201</v>
      </c>
      <c r="F333" t="s">
        <v>51</v>
      </c>
      <c r="G333" s="12" t="s">
        <v>593</v>
      </c>
      <c r="H333" t="s">
        <v>25</v>
      </c>
      <c r="I333" t="s">
        <v>25</v>
      </c>
    </row>
    <row r="334" spans="1:9" ht="105" x14ac:dyDescent="0.25">
      <c r="A334" s="3" t="s">
        <v>7</v>
      </c>
      <c r="B334" t="str">
        <f>HYPERLINK("https://scholarships.uow.edu.au/scholarships/search?scholarship=2181", "Australian Maritime Safety Authority Excellence in Maritime Policy Postgraduate Scholarship")</f>
        <v>Australian Maritime Safety Authority Excellence in Maritime Policy Postgraduate Scholarship</v>
      </c>
      <c r="C334" t="s">
        <v>594</v>
      </c>
      <c r="D334" s="12" t="s">
        <v>292</v>
      </c>
      <c r="E334" t="s">
        <v>201</v>
      </c>
      <c r="F334" t="s">
        <v>51</v>
      </c>
      <c r="G334" s="12" t="s">
        <v>595</v>
      </c>
      <c r="H334" t="s">
        <v>25</v>
      </c>
      <c r="I334" t="s">
        <v>25</v>
      </c>
    </row>
    <row r="335" spans="1:9" ht="45" x14ac:dyDescent="0.25">
      <c r="A335" s="3" t="s">
        <v>7</v>
      </c>
      <c r="B335" t="str">
        <f>HYPERLINK("https://scholarships.uow.edu.au/scholarships/search?scholarship=2182", "Australian Maritime Safety Authority Excellence in Maritime Studies Postgraduate Scholarship")</f>
        <v>Australian Maritime Safety Authority Excellence in Maritime Studies Postgraduate Scholarship</v>
      </c>
      <c r="C335" t="s">
        <v>594</v>
      </c>
      <c r="D335" s="10" t="s">
        <v>292</v>
      </c>
      <c r="E335" t="s">
        <v>439</v>
      </c>
      <c r="F335" t="s">
        <v>51</v>
      </c>
      <c r="G335" s="12" t="s">
        <v>596</v>
      </c>
      <c r="H335" t="s">
        <v>25</v>
      </c>
      <c r="I335" t="s">
        <v>25</v>
      </c>
    </row>
    <row r="336" spans="1:9" ht="60" x14ac:dyDescent="0.25">
      <c r="A336" s="3" t="s">
        <v>7</v>
      </c>
      <c r="B336" t="str">
        <f>HYPERLINK("https://scholarships.uow.edu.au/scholarships/search?scholarship=1681", "Club Liverpool Community Scholarship")</f>
        <v>Club Liverpool Community Scholarship</v>
      </c>
      <c r="C336" t="s">
        <v>267</v>
      </c>
      <c r="D336" s="12" t="s">
        <v>282</v>
      </c>
      <c r="E336" t="s">
        <v>201</v>
      </c>
      <c r="F336" t="s">
        <v>13</v>
      </c>
      <c r="G336" s="12" t="s">
        <v>537</v>
      </c>
      <c r="H336" t="s">
        <v>25</v>
      </c>
      <c r="I336" t="s">
        <v>25</v>
      </c>
    </row>
    <row r="337" spans="1:9" ht="120" x14ac:dyDescent="0.25">
      <c r="A337" s="3" t="s">
        <v>7</v>
      </c>
      <c r="B337" t="str">
        <f>HYPERLINK("https://scholarships.uow.edu.au/scholarships/search?scholarship=1961", "Graduate School of Medicine Critical Care Scholarship")</f>
        <v>Graduate School of Medicine Critical Care Scholarship</v>
      </c>
      <c r="C337" t="s">
        <v>267</v>
      </c>
      <c r="D337" s="12" t="s">
        <v>311</v>
      </c>
      <c r="E337" t="s">
        <v>201</v>
      </c>
      <c r="F337" t="s">
        <v>51</v>
      </c>
      <c r="G337" s="12" t="s">
        <v>597</v>
      </c>
      <c r="H337" t="s">
        <v>25</v>
      </c>
      <c r="I337" t="s">
        <v>25</v>
      </c>
    </row>
    <row r="338" spans="1:9" ht="90" x14ac:dyDescent="0.25">
      <c r="A338" s="3" t="s">
        <v>7</v>
      </c>
      <c r="B338" t="str">
        <f>HYPERLINK("https://scholarships.uow.edu.au/scholarships/search?scholarship=2161", "Rural and Regional Agricultural Scholarship")</f>
        <v>Rural and Regional Agricultural Scholarship</v>
      </c>
      <c r="C338" t="s">
        <v>267</v>
      </c>
      <c r="D338" s="12" t="s">
        <v>283</v>
      </c>
      <c r="E338" t="s">
        <v>262</v>
      </c>
      <c r="F338" t="s">
        <v>13</v>
      </c>
      <c r="G338" s="12" t="s">
        <v>538</v>
      </c>
      <c r="H338" t="s">
        <v>25</v>
      </c>
      <c r="I338" t="s">
        <v>25</v>
      </c>
    </row>
    <row r="339" spans="1:9" ht="300" x14ac:dyDescent="0.25">
      <c r="A339" s="3" t="s">
        <v>7</v>
      </c>
      <c r="B339" t="str">
        <f>HYPERLINK("https://scholarships.uow.edu.au/scholarships/search?scholarship=1121", "The Movement Disorder Foundation Scholarship")</f>
        <v>The Movement Disorder Foundation Scholarship</v>
      </c>
      <c r="C339" t="s">
        <v>267</v>
      </c>
      <c r="D339" s="12" t="s">
        <v>284</v>
      </c>
      <c r="E339" t="s">
        <v>262</v>
      </c>
      <c r="F339" t="s">
        <v>35</v>
      </c>
      <c r="G339" s="12" t="s">
        <v>598</v>
      </c>
      <c r="H339" t="s">
        <v>25</v>
      </c>
      <c r="I339" t="s">
        <v>25</v>
      </c>
    </row>
    <row r="340" spans="1:9" ht="60" x14ac:dyDescent="0.25">
      <c r="A340" s="3" t="s">
        <v>7</v>
      </c>
      <c r="B340" t="str">
        <f>HYPERLINK("https://scholarships.uow.edu.au/scholarships/search?scholarship=1101", "Zonta Club of Wollongong Community Scholarship")</f>
        <v>Zonta Club of Wollongong Community Scholarship</v>
      </c>
      <c r="C340" t="s">
        <v>267</v>
      </c>
      <c r="D340" s="12" t="s">
        <v>273</v>
      </c>
      <c r="E340" t="s">
        <v>201</v>
      </c>
      <c r="F340" t="s">
        <v>13</v>
      </c>
      <c r="G340" s="12" t="s">
        <v>599</v>
      </c>
      <c r="H340" t="s">
        <v>25</v>
      </c>
      <c r="I340" t="s">
        <v>25</v>
      </c>
    </row>
    <row r="341" spans="1:9" ht="45" x14ac:dyDescent="0.25">
      <c r="A341" s="3" t="s">
        <v>7</v>
      </c>
      <c r="B341" t="str">
        <f>HYPERLINK("https://scholarships.uow.edu.au/scholarships/search?scholarship=1481", "The Do Your Thing Scholarship for Female Developers")</f>
        <v>The Do Your Thing Scholarship for Female Developers</v>
      </c>
      <c r="C341" t="s">
        <v>267</v>
      </c>
      <c r="D341" s="12" t="s">
        <v>273</v>
      </c>
      <c r="E341" t="s">
        <v>201</v>
      </c>
      <c r="F341" t="s">
        <v>13</v>
      </c>
      <c r="G341" s="12" t="s">
        <v>600</v>
      </c>
      <c r="H341" t="s">
        <v>25</v>
      </c>
      <c r="I341" t="s">
        <v>25</v>
      </c>
    </row>
    <row r="342" spans="1:9" ht="105" x14ac:dyDescent="0.25">
      <c r="A342" s="3" t="s">
        <v>7</v>
      </c>
      <c r="B342" t="str">
        <f>HYPERLINK("https://scholarships.uow.edu.au/scholarships/search?scholarship=541", "Emeritus Professor John Hogg Memorial Scholarship")</f>
        <v>Emeritus Professor John Hogg Memorial Scholarship</v>
      </c>
      <c r="C342" t="s">
        <v>267</v>
      </c>
      <c r="D342" s="12" t="s">
        <v>279</v>
      </c>
      <c r="E342" t="s">
        <v>201</v>
      </c>
      <c r="F342" t="s">
        <v>51</v>
      </c>
      <c r="G342" s="12" t="s">
        <v>601</v>
      </c>
      <c r="H342" t="s">
        <v>25</v>
      </c>
      <c r="I342" t="s">
        <v>25</v>
      </c>
    </row>
    <row r="343" spans="1:9" ht="105" x14ac:dyDescent="0.25">
      <c r="A343" s="3" t="s">
        <v>7</v>
      </c>
      <c r="B343" t="str">
        <f>HYPERLINK("https://scholarships.uow.edu.au/scholarships/search?scholarship=3041", "The Acorn Lawyers Scholarship")</f>
        <v>The Acorn Lawyers Scholarship</v>
      </c>
      <c r="C343" t="s">
        <v>267</v>
      </c>
      <c r="D343" s="12" t="s">
        <v>278</v>
      </c>
      <c r="E343" t="s">
        <v>201</v>
      </c>
      <c r="F343" t="s">
        <v>13</v>
      </c>
      <c r="G343" s="12" t="s">
        <v>602</v>
      </c>
      <c r="H343" t="s">
        <v>25</v>
      </c>
      <c r="I343" t="s">
        <v>25</v>
      </c>
    </row>
    <row r="344" spans="1:9" ht="270" x14ac:dyDescent="0.25">
      <c r="A344" s="3" t="s">
        <v>7</v>
      </c>
      <c r="B344" t="str">
        <f>HYPERLINK("https://scholarships.uow.edu.au/scholarships/search?scholarship=623", "Dr SC &amp; SL Loomba Commitment to Medicine Scholarship")</f>
        <v>Dr SC &amp; SL Loomba Commitment to Medicine Scholarship</v>
      </c>
      <c r="C344" t="s">
        <v>267</v>
      </c>
      <c r="D344" s="12" t="s">
        <v>273</v>
      </c>
      <c r="E344" t="s">
        <v>201</v>
      </c>
      <c r="F344" t="s">
        <v>51</v>
      </c>
      <c r="G344" s="12" t="s">
        <v>603</v>
      </c>
      <c r="H344" t="s">
        <v>25</v>
      </c>
      <c r="I344" t="s">
        <v>25</v>
      </c>
    </row>
    <row r="345" spans="1:9" ht="60" x14ac:dyDescent="0.25">
      <c r="A345" s="3" t="s">
        <v>7</v>
      </c>
      <c r="B345" t="str">
        <f>HYPERLINK("https://scholarships.uow.edu.au/scholarships/search?scholarship=3202", "Dylan Alcott Foundation Scholarship")</f>
        <v>Dylan Alcott Foundation Scholarship</v>
      </c>
      <c r="C345" t="s">
        <v>267</v>
      </c>
      <c r="D345" s="12" t="s">
        <v>285</v>
      </c>
      <c r="E345" t="s">
        <v>269</v>
      </c>
      <c r="F345" t="s">
        <v>13</v>
      </c>
      <c r="G345" s="12" t="s">
        <v>604</v>
      </c>
      <c r="H345" t="s">
        <v>25</v>
      </c>
      <c r="I345" t="s">
        <v>25</v>
      </c>
    </row>
    <row r="346" spans="1:9" ht="105" x14ac:dyDescent="0.25">
      <c r="A346" s="3" t="s">
        <v>7</v>
      </c>
      <c r="B346" t="str">
        <f>HYPERLINK("https://scholarships.uow.edu.au/scholarships/search?scholarship=2561", "Motion Asia Pacific Community Scholarship")</f>
        <v>Motion Asia Pacific Community Scholarship</v>
      </c>
      <c r="C346" t="s">
        <v>267</v>
      </c>
      <c r="D346" s="12" t="s">
        <v>278</v>
      </c>
      <c r="E346" t="s">
        <v>262</v>
      </c>
      <c r="F346" t="s">
        <v>13</v>
      </c>
      <c r="G346" s="12" t="s">
        <v>605</v>
      </c>
      <c r="H346" t="s">
        <v>25</v>
      </c>
      <c r="I346" t="s">
        <v>25</v>
      </c>
    </row>
    <row r="347" spans="1:9" ht="135" x14ac:dyDescent="0.25">
      <c r="A347" s="3" t="s">
        <v>7</v>
      </c>
      <c r="B347" t="str">
        <f>HYPERLINK("https://scholarships.uow.edu.au/scholarships/search?scholarship=2601", "Pamela Jane Nye Working Nurse Scholarship")</f>
        <v>Pamela Jane Nye Working Nurse Scholarship</v>
      </c>
      <c r="C347" t="s">
        <v>267</v>
      </c>
      <c r="D347" s="12" t="s">
        <v>312</v>
      </c>
      <c r="E347" t="s">
        <v>201</v>
      </c>
      <c r="F347" t="s">
        <v>51</v>
      </c>
      <c r="G347" s="12" t="s">
        <v>606</v>
      </c>
      <c r="H347" t="s">
        <v>25</v>
      </c>
      <c r="I347" t="s">
        <v>25</v>
      </c>
    </row>
    <row r="348" spans="1:9" ht="45" x14ac:dyDescent="0.25">
      <c r="A348" s="3" t="s">
        <v>7</v>
      </c>
      <c r="B348" t="str">
        <f>HYPERLINK("https://scholarships.uow.edu.au/scholarships/search?scholarship=2341", "Lions Club of Tathra Nursing Scholarship")</f>
        <v>Lions Club of Tathra Nursing Scholarship</v>
      </c>
      <c r="C348" t="s">
        <v>267</v>
      </c>
      <c r="D348" s="12" t="s">
        <v>309</v>
      </c>
      <c r="E348" t="s">
        <v>201</v>
      </c>
      <c r="F348" t="s">
        <v>13</v>
      </c>
      <c r="G348" s="12" t="s">
        <v>607</v>
      </c>
      <c r="H348" t="s">
        <v>25</v>
      </c>
      <c r="I348" t="s">
        <v>25</v>
      </c>
    </row>
    <row r="349" spans="1:9" ht="105" x14ac:dyDescent="0.25">
      <c r="A349" s="3" t="s">
        <v>7</v>
      </c>
      <c r="B349" t="str">
        <f>HYPERLINK("https://scholarships.uow.edu.au/scholarships/search?scholarship=582", "The John Ryan Memorial Scholarship")</f>
        <v>The John Ryan Memorial Scholarship</v>
      </c>
      <c r="C349" t="s">
        <v>267</v>
      </c>
      <c r="D349" s="12" t="s">
        <v>298</v>
      </c>
      <c r="E349" t="s">
        <v>201</v>
      </c>
      <c r="F349" t="s">
        <v>51</v>
      </c>
      <c r="G349" s="12" t="s">
        <v>608</v>
      </c>
      <c r="H349" t="s">
        <v>25</v>
      </c>
      <c r="I349" t="s">
        <v>25</v>
      </c>
    </row>
    <row r="350" spans="1:9" ht="210" x14ac:dyDescent="0.25">
      <c r="A350" s="3" t="s">
        <v>7</v>
      </c>
      <c r="B350" t="str">
        <f>HYPERLINK("https://scholarships.uow.edu.au/scholarships/search?scholarship=2821", "The City of Wollongong RSL Sub-Branch ANZAC Scholarship")</f>
        <v>The City of Wollongong RSL Sub-Branch ANZAC Scholarship</v>
      </c>
      <c r="C350" t="s">
        <v>267</v>
      </c>
      <c r="D350" s="12" t="s">
        <v>278</v>
      </c>
      <c r="E350" t="s">
        <v>269</v>
      </c>
      <c r="F350" t="s">
        <v>13</v>
      </c>
      <c r="G350" s="12" t="s">
        <v>534</v>
      </c>
      <c r="H350" t="s">
        <v>25</v>
      </c>
      <c r="I350" t="s">
        <v>25</v>
      </c>
    </row>
    <row r="351" spans="1:9" ht="150" x14ac:dyDescent="0.25">
      <c r="A351" s="3" t="s">
        <v>7</v>
      </c>
      <c r="B351" t="str">
        <f>HYPERLINK("https://scholarships.uow.edu.au/scholarships/search?scholarship=2401", "Tynan Family Molecular Horizons Honours Scholarship")</f>
        <v>Tynan Family Molecular Horizons Honours Scholarship</v>
      </c>
      <c r="C351" t="s">
        <v>267</v>
      </c>
      <c r="D351" s="12" t="s">
        <v>313</v>
      </c>
      <c r="E351" t="s">
        <v>201</v>
      </c>
      <c r="F351" t="s">
        <v>13</v>
      </c>
      <c r="G351" s="12" t="s">
        <v>609</v>
      </c>
      <c r="H351" t="s">
        <v>25</v>
      </c>
      <c r="I351" t="s">
        <v>25</v>
      </c>
    </row>
    <row r="352" spans="1:9" ht="150" x14ac:dyDescent="0.25">
      <c r="A352" s="3" t="s">
        <v>7</v>
      </c>
      <c r="B352" t="str">
        <f>HYPERLINK("https://scholarships.uow.edu.au/scholarships/search?scholarship=2441", "The Wang Family Scholarship in Civil Engineering")</f>
        <v>The Wang Family Scholarship in Civil Engineering</v>
      </c>
      <c r="C352" t="s">
        <v>267</v>
      </c>
      <c r="D352" s="12" t="s">
        <v>292</v>
      </c>
      <c r="E352" t="s">
        <v>41</v>
      </c>
      <c r="F352" t="s">
        <v>13</v>
      </c>
      <c r="G352" s="12" t="s">
        <v>610</v>
      </c>
      <c r="H352" t="s">
        <v>25</v>
      </c>
      <c r="I352" t="s">
        <v>25</v>
      </c>
    </row>
    <row r="353" spans="1:9" ht="60" x14ac:dyDescent="0.25">
      <c r="A353" s="3" t="s">
        <v>7</v>
      </c>
      <c r="B353" t="str">
        <f>HYPERLINK("https://scholarships.uow.edu.au/scholarships/search?scholarship=2281", "Graduate School of Medicine Phase 4 Clarence Valley Placement Scholarship")</f>
        <v>Graduate School of Medicine Phase 4 Clarence Valley Placement Scholarship</v>
      </c>
      <c r="C353" t="s">
        <v>267</v>
      </c>
      <c r="D353" s="12" t="s">
        <v>294</v>
      </c>
      <c r="E353" t="s">
        <v>201</v>
      </c>
      <c r="F353" t="s">
        <v>51</v>
      </c>
      <c r="G353" s="12" t="s">
        <v>611</v>
      </c>
      <c r="H353" t="s">
        <v>25</v>
      </c>
      <c r="I353" t="s">
        <v>16</v>
      </c>
    </row>
    <row r="354" spans="1:9" ht="45" x14ac:dyDescent="0.25">
      <c r="A354" s="3" t="s">
        <v>7</v>
      </c>
      <c r="B354" t="str">
        <f>HYPERLINK("https://scholarships.uow.edu.au/scholarships/search?scholarship=2644", "The Bega Valley Medical Student Scholarship")</f>
        <v>The Bega Valley Medical Student Scholarship</v>
      </c>
      <c r="C354" t="s">
        <v>267</v>
      </c>
      <c r="D354" s="10" t="s">
        <v>278</v>
      </c>
      <c r="E354" t="s">
        <v>201</v>
      </c>
      <c r="F354" t="s">
        <v>51</v>
      </c>
      <c r="G354" s="12" t="s">
        <v>440</v>
      </c>
      <c r="H354" t="s">
        <v>25</v>
      </c>
      <c r="I354" t="s">
        <v>25</v>
      </c>
    </row>
    <row r="355" spans="1:9" ht="150" x14ac:dyDescent="0.25">
      <c r="A355" s="3" t="s">
        <v>7</v>
      </c>
      <c r="B355" t="str">
        <f>HYPERLINK("https://scholarships.uow.edu.au/scholarships/search?scholarship=3161", "Clarence Valley Orchestra Medical Student Scholarship")</f>
        <v>Clarence Valley Orchestra Medical Student Scholarship</v>
      </c>
      <c r="C355" t="s">
        <v>267</v>
      </c>
      <c r="D355" s="12" t="s">
        <v>278</v>
      </c>
      <c r="E355" t="s">
        <v>201</v>
      </c>
      <c r="F355" t="s">
        <v>51</v>
      </c>
      <c r="G355" s="12" t="s">
        <v>612</v>
      </c>
      <c r="H355" t="s">
        <v>25</v>
      </c>
      <c r="I355" t="s">
        <v>25</v>
      </c>
    </row>
    <row r="356" spans="1:9" ht="409.5" x14ac:dyDescent="0.25">
      <c r="A356" s="3" t="s">
        <v>7</v>
      </c>
      <c r="B356" t="str">
        <f>HYPERLINK("https://scholarships.uow.edu.au/scholarships/search?scholarship=2722", "Illawarra Quota Speech and Hearing Scholarship")</f>
        <v>Illawarra Quota Speech and Hearing Scholarship</v>
      </c>
      <c r="C356" t="s">
        <v>267</v>
      </c>
      <c r="D356" s="12" t="s">
        <v>303</v>
      </c>
      <c r="E356" t="s">
        <v>269</v>
      </c>
      <c r="F356" t="s">
        <v>13</v>
      </c>
      <c r="G356" s="12" t="s">
        <v>613</v>
      </c>
      <c r="H356" t="s">
        <v>25</v>
      </c>
      <c r="I356" t="s">
        <v>25</v>
      </c>
    </row>
    <row r="357" spans="1:9" ht="375" x14ac:dyDescent="0.25">
      <c r="A357" s="3" t="s">
        <v>7</v>
      </c>
      <c r="B357" t="str">
        <f>HYPERLINK("https://scholarships.uow.edu.au/scholarships/search?scholarship=619", "Connie Gamble Community Scholarship")</f>
        <v>Connie Gamble Community Scholarship</v>
      </c>
      <c r="C357" t="s">
        <v>267</v>
      </c>
      <c r="D357" s="12" t="s">
        <v>278</v>
      </c>
      <c r="E357" t="s">
        <v>269</v>
      </c>
      <c r="F357" t="s">
        <v>13</v>
      </c>
      <c r="G357" s="12" t="s">
        <v>314</v>
      </c>
      <c r="H357" t="s">
        <v>25</v>
      </c>
      <c r="I357" t="s">
        <v>25</v>
      </c>
    </row>
    <row r="358" spans="1:9" ht="60" x14ac:dyDescent="0.25">
      <c r="A358" s="3" t="s">
        <v>7</v>
      </c>
      <c r="B358" t="str">
        <f>HYPERLINK("https://scholarships.uow.edu.au/scholarships/search?scholarship=2981", "Risland Community Scholarship in Engineering")</f>
        <v>Risland Community Scholarship in Engineering</v>
      </c>
      <c r="C358" t="s">
        <v>267</v>
      </c>
      <c r="D358" s="12" t="s">
        <v>278</v>
      </c>
      <c r="E358" t="s">
        <v>269</v>
      </c>
      <c r="F358" t="s">
        <v>13</v>
      </c>
      <c r="G358" s="12" t="s">
        <v>614</v>
      </c>
      <c r="H358" t="s">
        <v>25</v>
      </c>
      <c r="I358" t="s">
        <v>25</v>
      </c>
    </row>
    <row r="359" spans="1:9" ht="105" x14ac:dyDescent="0.25">
      <c r="A359" s="3" t="s">
        <v>7</v>
      </c>
      <c r="B359" t="str">
        <f>HYPERLINK("https://scholarships.uow.edu.au/scholarships/search?scholarship=743", "Glencore Corporate Scholarship")</f>
        <v>Glencore Corporate Scholarship</v>
      </c>
      <c r="C359" t="s">
        <v>290</v>
      </c>
      <c r="D359" s="12" t="s">
        <v>292</v>
      </c>
      <c r="E359" t="s">
        <v>41</v>
      </c>
      <c r="F359" t="s">
        <v>13</v>
      </c>
      <c r="G359" s="12" t="s">
        <v>615</v>
      </c>
      <c r="H359" t="s">
        <v>25</v>
      </c>
      <c r="I359" t="s">
        <v>16</v>
      </c>
    </row>
    <row r="360" spans="1:9" ht="165" x14ac:dyDescent="0.25">
      <c r="A360" s="3" t="s">
        <v>7</v>
      </c>
      <c r="B360" t="str">
        <f>HYPERLINK("https://scholarships.uow.edu.au/scholarships/search?scholarship=2201", "South32 David Crawford Scholarship")</f>
        <v>South32 David Crawford Scholarship</v>
      </c>
      <c r="C360" t="s">
        <v>290</v>
      </c>
      <c r="D360" s="12" t="s">
        <v>292</v>
      </c>
      <c r="E360" t="s">
        <v>201</v>
      </c>
      <c r="F360" t="s">
        <v>13</v>
      </c>
      <c r="G360" s="12" t="s">
        <v>616</v>
      </c>
      <c r="H360" t="s">
        <v>25</v>
      </c>
      <c r="I360" t="s">
        <v>25</v>
      </c>
    </row>
    <row r="361" spans="1:9" ht="60" x14ac:dyDescent="0.25">
      <c r="A361" s="3" t="s">
        <v>7</v>
      </c>
      <c r="B361" t="str">
        <f>HYPERLINK("https://scholarships.uow.edu.au/scholarships/search?scholarship=2202", "Yancoal Mining Engineering Scholarship")</f>
        <v>Yancoal Mining Engineering Scholarship</v>
      </c>
      <c r="C361" t="s">
        <v>290</v>
      </c>
      <c r="D361" s="12" t="s">
        <v>292</v>
      </c>
      <c r="E361" t="s">
        <v>205</v>
      </c>
      <c r="F361" t="s">
        <v>13</v>
      </c>
      <c r="G361" s="12" t="s">
        <v>617</v>
      </c>
      <c r="H361" t="s">
        <v>25</v>
      </c>
      <c r="I361" t="s">
        <v>25</v>
      </c>
    </row>
    <row r="362" spans="1:9" ht="45" x14ac:dyDescent="0.25">
      <c r="A362" s="3" t="s">
        <v>7</v>
      </c>
      <c r="B362" t="str">
        <f>HYPERLINK("https://scholarships.uow.edu.au/scholarships/search?scholarship=981", "Mainfreight Group Corporate Scholarship")</f>
        <v>Mainfreight Group Corporate Scholarship</v>
      </c>
      <c r="C362" t="s">
        <v>290</v>
      </c>
      <c r="D362" s="12" t="s">
        <v>315</v>
      </c>
      <c r="E362" t="s">
        <v>201</v>
      </c>
      <c r="F362" t="s">
        <v>13</v>
      </c>
      <c r="G362" s="12" t="s">
        <v>618</v>
      </c>
      <c r="H362" t="s">
        <v>25</v>
      </c>
      <c r="I362" t="s">
        <v>25</v>
      </c>
    </row>
    <row r="363" spans="1:9" ht="60" x14ac:dyDescent="0.25">
      <c r="A363" s="3" t="s">
        <v>7</v>
      </c>
      <c r="B363" t="str">
        <f>HYPERLINK("https://scholarships.uow.edu.au/scholarships/search?scholarship=3062", "Clever Care Now Nursing Corporate Scholarship")</f>
        <v>Clever Care Now Nursing Corporate Scholarship</v>
      </c>
      <c r="C363" t="s">
        <v>290</v>
      </c>
      <c r="D363" s="12" t="s">
        <v>316</v>
      </c>
      <c r="E363" t="s">
        <v>201</v>
      </c>
      <c r="F363" t="s">
        <v>13</v>
      </c>
      <c r="G363" s="12" t="s">
        <v>619</v>
      </c>
      <c r="H363" t="s">
        <v>21</v>
      </c>
      <c r="I363" t="s">
        <v>25</v>
      </c>
    </row>
    <row r="364" spans="1:9" ht="135" x14ac:dyDescent="0.25">
      <c r="A364" s="3" t="s">
        <v>7</v>
      </c>
      <c r="B364" t="str">
        <f>HYPERLINK("https://scholarships.uow.edu.au/scholarships/search?scholarship=2841", "CEA Technologies Corporate Scholarship")</f>
        <v>CEA Technologies Corporate Scholarship</v>
      </c>
      <c r="C364" t="s">
        <v>290</v>
      </c>
      <c r="D364" s="12" t="s">
        <v>316</v>
      </c>
      <c r="E364" t="s">
        <v>201</v>
      </c>
      <c r="F364" t="s">
        <v>13</v>
      </c>
      <c r="G364" s="12" t="s">
        <v>620</v>
      </c>
      <c r="H364" t="s">
        <v>25</v>
      </c>
      <c r="I364" t="s">
        <v>16</v>
      </c>
    </row>
    <row r="365" spans="1:9" ht="45" x14ac:dyDescent="0.25">
      <c r="A365" s="3" t="s">
        <v>7</v>
      </c>
      <c r="B365" t="str">
        <f>HYPERLINK("https://scholarships.uow.edu.au/scholarships/search?scholarship=2721", "Scalapay Next Generation Scholarship")</f>
        <v>Scalapay Next Generation Scholarship</v>
      </c>
      <c r="C365" t="s">
        <v>290</v>
      </c>
      <c r="D365" s="12" t="s">
        <v>292</v>
      </c>
      <c r="E365" t="s">
        <v>201</v>
      </c>
      <c r="F365" t="s">
        <v>13</v>
      </c>
      <c r="G365" s="12" t="s">
        <v>621</v>
      </c>
      <c r="H365" t="s">
        <v>25</v>
      </c>
      <c r="I365" t="s">
        <v>25</v>
      </c>
    </row>
    <row r="366" spans="1:9" ht="45" x14ac:dyDescent="0.25">
      <c r="A366" s="3" t="s">
        <v>7</v>
      </c>
      <c r="B366" t="str">
        <f>HYPERLINK("https://scholarships.uow.edu.au/scholarships/search?scholarship=603", "WMD Law Work Integrated Learning Scholarship")</f>
        <v>WMD Law Work Integrated Learning Scholarship</v>
      </c>
      <c r="C366" t="s">
        <v>317</v>
      </c>
      <c r="D366" s="12" t="s">
        <v>292</v>
      </c>
      <c r="E366" t="s">
        <v>201</v>
      </c>
      <c r="F366" t="s">
        <v>13</v>
      </c>
      <c r="G366" s="12" t="s">
        <v>622</v>
      </c>
      <c r="H366" t="s">
        <v>25</v>
      </c>
      <c r="I366" t="s">
        <v>16</v>
      </c>
    </row>
    <row r="367" spans="1:9" ht="60" x14ac:dyDescent="0.25">
      <c r="A367" s="3" t="s">
        <v>7</v>
      </c>
      <c r="B367" t="str">
        <f>HYPERLINK("https://scholarships.uow.edu.au/scholarships/search?scholarship=604", "Wollongong City Council Work Integrated Learning Scholarship")</f>
        <v>Wollongong City Council Work Integrated Learning Scholarship</v>
      </c>
      <c r="C367" t="s">
        <v>317</v>
      </c>
      <c r="D367" s="12" t="s">
        <v>292</v>
      </c>
      <c r="E367" t="s">
        <v>201</v>
      </c>
      <c r="F367" t="s">
        <v>13</v>
      </c>
      <c r="G367" s="12" t="s">
        <v>623</v>
      </c>
      <c r="H367" t="s">
        <v>25</v>
      </c>
      <c r="I367" t="s">
        <v>16</v>
      </c>
    </row>
    <row r="368" spans="1:9" ht="120" x14ac:dyDescent="0.25">
      <c r="A368" s="3" t="s">
        <v>7</v>
      </c>
      <c r="B368" t="str">
        <f>HYPERLINK("https://scholarships.uow.edu.au/scholarships/search?scholarship=961", "Huon Contractors Civil Engineering Work Integrated Learning Scholarship")</f>
        <v>Huon Contractors Civil Engineering Work Integrated Learning Scholarship</v>
      </c>
      <c r="C368" t="s">
        <v>317</v>
      </c>
      <c r="D368" s="12" t="s">
        <v>318</v>
      </c>
      <c r="E368" t="s">
        <v>205</v>
      </c>
      <c r="F368" t="s">
        <v>13</v>
      </c>
      <c r="G368" s="12" t="s">
        <v>624</v>
      </c>
      <c r="H368" t="s">
        <v>25</v>
      </c>
      <c r="I368" t="s">
        <v>16</v>
      </c>
    </row>
    <row r="369" spans="1:9" ht="60" x14ac:dyDescent="0.25">
      <c r="A369" s="3" t="s">
        <v>7</v>
      </c>
      <c r="B369" t="str">
        <f>HYPERLINK("https://scholarships.uow.edu.au/scholarships/search?scholarship=1521", "Sir William Tyree Engineering Scholarship")</f>
        <v>Sir William Tyree Engineering Scholarship</v>
      </c>
      <c r="C369" t="s">
        <v>317</v>
      </c>
      <c r="D369" s="12" t="s">
        <v>319</v>
      </c>
      <c r="E369" t="s">
        <v>41</v>
      </c>
      <c r="F369" t="s">
        <v>13</v>
      </c>
      <c r="G369" s="12" t="s">
        <v>625</v>
      </c>
      <c r="H369" t="s">
        <v>25</v>
      </c>
      <c r="I369" t="s">
        <v>16</v>
      </c>
    </row>
    <row r="370" spans="1:9" ht="45" x14ac:dyDescent="0.25">
      <c r="A370" s="3" t="s">
        <v>7</v>
      </c>
      <c r="B370" t="str">
        <f>HYPERLINK("https://scholarships.uow.edu.au/scholarships/search?scholarship=2921", "Whale Logistics Work Integrated Learning Scholarship")</f>
        <v>Whale Logistics Work Integrated Learning Scholarship</v>
      </c>
      <c r="C370" t="s">
        <v>317</v>
      </c>
      <c r="D370" s="12" t="s">
        <v>292</v>
      </c>
      <c r="E370" t="s">
        <v>201</v>
      </c>
      <c r="F370" t="s">
        <v>13</v>
      </c>
      <c r="G370" s="12" t="s">
        <v>626</v>
      </c>
      <c r="H370" t="s">
        <v>25</v>
      </c>
      <c r="I370" t="s">
        <v>16</v>
      </c>
    </row>
    <row r="371" spans="1:9" ht="75" x14ac:dyDescent="0.25">
      <c r="A371" s="3" t="s">
        <v>7</v>
      </c>
      <c r="B371" t="str">
        <f>HYPERLINK("https://scholarships.uow.edu.au/scholarships/search?scholarship=2682", "Morrisons Law Work Integrated Learning Scholarship")</f>
        <v>Morrisons Law Work Integrated Learning Scholarship</v>
      </c>
      <c r="C371" t="s">
        <v>317</v>
      </c>
      <c r="D371" s="12" t="s">
        <v>292</v>
      </c>
      <c r="E371" t="s">
        <v>201</v>
      </c>
      <c r="F371" t="s">
        <v>13</v>
      </c>
      <c r="G371" s="12" t="s">
        <v>627</v>
      </c>
      <c r="H371" t="s">
        <v>25</v>
      </c>
      <c r="I371" t="s">
        <v>16</v>
      </c>
    </row>
    <row r="372" spans="1:9" ht="90" x14ac:dyDescent="0.25">
      <c r="A372" s="3" t="s">
        <v>7</v>
      </c>
      <c r="B372" t="str">
        <f>HYPERLINK("https://scholarships.uow.edu.au/scholarships/search?scholarship=3081", "IGS Limited Work Integrated Learning Scholarship in Engineering")</f>
        <v>IGS Limited Work Integrated Learning Scholarship in Engineering</v>
      </c>
      <c r="C372" t="s">
        <v>317</v>
      </c>
      <c r="D372" s="12" t="s">
        <v>275</v>
      </c>
      <c r="E372" t="s">
        <v>201</v>
      </c>
      <c r="F372" t="s">
        <v>13</v>
      </c>
      <c r="G372" s="12" t="s">
        <v>628</v>
      </c>
      <c r="H372" t="s">
        <v>25</v>
      </c>
      <c r="I372" t="s">
        <v>16</v>
      </c>
    </row>
    <row r="373" spans="1:9" ht="90" x14ac:dyDescent="0.25">
      <c r="A373" s="3" t="s">
        <v>7</v>
      </c>
      <c r="B373" t="str">
        <f>HYPERLINK("https://scholarships.uow.edu.au/scholarships/search?scholarship=3082", "SJL Consulting Engineers Work Integrated Learning Scholarship")</f>
        <v>SJL Consulting Engineers Work Integrated Learning Scholarship</v>
      </c>
      <c r="C373" t="s">
        <v>317</v>
      </c>
      <c r="D373" s="12" t="s">
        <v>292</v>
      </c>
      <c r="E373" t="s">
        <v>201</v>
      </c>
      <c r="F373" t="s">
        <v>13</v>
      </c>
      <c r="G373" s="12" t="s">
        <v>629</v>
      </c>
      <c r="H373" t="s">
        <v>25</v>
      </c>
      <c r="I373" t="s">
        <v>16</v>
      </c>
    </row>
    <row r="374" spans="1:9" ht="105" x14ac:dyDescent="0.25">
      <c r="A374" s="3" t="s">
        <v>7</v>
      </c>
      <c r="B374" t="str">
        <f>HYPERLINK("https://scholarships.uow.edu.au/scholarships/search?scholarship=2781", "542 Partners Work Integrated Learning Scholarship in Accounting")</f>
        <v>542 Partners Work Integrated Learning Scholarship in Accounting</v>
      </c>
      <c r="C374" t="s">
        <v>317</v>
      </c>
      <c r="D374" s="12" t="s">
        <v>292</v>
      </c>
      <c r="E374" t="s">
        <v>201</v>
      </c>
      <c r="F374" t="s">
        <v>13</v>
      </c>
      <c r="G374" s="12" t="s">
        <v>630</v>
      </c>
      <c r="H374" t="s">
        <v>25</v>
      </c>
      <c r="I374" t="s">
        <v>16</v>
      </c>
    </row>
    <row r="375" spans="1:9" ht="90" x14ac:dyDescent="0.25">
      <c r="A375" s="3" t="s">
        <v>7</v>
      </c>
      <c r="B375" t="str">
        <f>HYPERLINK("https://scholarships.uow.edu.au/scholarships/search?scholarship=2502", "Motion Asia Pacific Work Integrated Learning Scholarship in Engineering")</f>
        <v>Motion Asia Pacific Work Integrated Learning Scholarship in Engineering</v>
      </c>
      <c r="C375" t="s">
        <v>317</v>
      </c>
      <c r="D375" s="12" t="s">
        <v>319</v>
      </c>
      <c r="E375" t="s">
        <v>201</v>
      </c>
      <c r="F375" t="s">
        <v>13</v>
      </c>
      <c r="G375" s="12" t="s">
        <v>631</v>
      </c>
      <c r="H375" t="s">
        <v>25</v>
      </c>
      <c r="I375" t="s">
        <v>16</v>
      </c>
    </row>
    <row r="376" spans="1:9" ht="210" x14ac:dyDescent="0.25">
      <c r="A376" s="3" t="s">
        <v>7</v>
      </c>
      <c r="B376" t="str">
        <f>HYPERLINK("https://scholarships.uow.edu.au/scholarships/search?scholarship=1001", "Southern Districts Rugby Club Scholarship")</f>
        <v>Southern Districts Rugby Club Scholarship</v>
      </c>
      <c r="C376" t="s">
        <v>320</v>
      </c>
      <c r="D376" s="12" t="s">
        <v>282</v>
      </c>
      <c r="E376" t="s">
        <v>201</v>
      </c>
      <c r="F376" t="s">
        <v>35</v>
      </c>
      <c r="G376" s="12" t="s">
        <v>632</v>
      </c>
      <c r="H376" t="s">
        <v>25</v>
      </c>
      <c r="I376" t="s">
        <v>25</v>
      </c>
    </row>
    <row r="377" spans="1:9" ht="180" x14ac:dyDescent="0.25">
      <c r="A377" s="3" t="s">
        <v>7</v>
      </c>
      <c r="B377" t="str">
        <f>HYPERLINK("https://scholarships.uow.edu.au/scholarships/search?scholarship=281", "Col Purcell Illawarra Rugby League Centenary Scholarship")</f>
        <v>Col Purcell Illawarra Rugby League Centenary Scholarship</v>
      </c>
      <c r="C377" t="s">
        <v>320</v>
      </c>
      <c r="D377" s="12" t="s">
        <v>321</v>
      </c>
      <c r="E377" t="s">
        <v>201</v>
      </c>
      <c r="F377" t="s">
        <v>13</v>
      </c>
      <c r="G377" s="12" t="s">
        <v>633</v>
      </c>
      <c r="H377" t="s">
        <v>25</v>
      </c>
      <c r="I377" t="s">
        <v>25</v>
      </c>
    </row>
    <row r="378" spans="1:9" ht="180" x14ac:dyDescent="0.25">
      <c r="A378" s="3" t="s">
        <v>7</v>
      </c>
      <c r="B378" t="str">
        <f>HYPERLINK("https://scholarships.uow.edu.au/scholarships/search?scholarship=3101", "McLoughlin Minerva Scholarship for Sportswomen")</f>
        <v>McLoughlin Minerva Scholarship for Sportswomen</v>
      </c>
      <c r="C378" t="s">
        <v>267</v>
      </c>
      <c r="D378" s="12" t="s">
        <v>291</v>
      </c>
      <c r="E378" t="s">
        <v>269</v>
      </c>
      <c r="F378" t="s">
        <v>13</v>
      </c>
      <c r="G378" s="12" t="s">
        <v>634</v>
      </c>
      <c r="H378" t="s">
        <v>25</v>
      </c>
      <c r="I378" t="s">
        <v>25</v>
      </c>
    </row>
    <row r="379" spans="1:9" ht="75" x14ac:dyDescent="0.25">
      <c r="A379" s="13" t="s">
        <v>10</v>
      </c>
      <c r="B379" t="str">
        <f>HYPERLINK("https://www.scholarships.unsw.edu.au/scholarships/id/1757/6557", "John Lions Computer Science Honours Award")</f>
        <v>John Lions Computer Science Honours Award</v>
      </c>
      <c r="C379" t="s">
        <v>27</v>
      </c>
      <c r="D379" t="s">
        <v>248</v>
      </c>
      <c r="E379" t="s">
        <v>201</v>
      </c>
      <c r="F379" t="s">
        <v>13</v>
      </c>
      <c r="G379" s="12" t="s">
        <v>635</v>
      </c>
      <c r="H379" t="s">
        <v>25</v>
      </c>
      <c r="I379" t="s">
        <v>25</v>
      </c>
    </row>
    <row r="380" spans="1:9" ht="45" x14ac:dyDescent="0.25">
      <c r="A380" s="13" t="s">
        <v>10</v>
      </c>
      <c r="B380" t="str">
        <f>HYPERLINK("https://www.scholarships.unsw.edu.au/scholarships/id/981/6540", "NSWMC Newcastle Mining Engineering Transfer Program")</f>
        <v>NSWMC Newcastle Mining Engineering Transfer Program</v>
      </c>
      <c r="C380" t="s">
        <v>27</v>
      </c>
      <c r="D380" t="s">
        <v>248</v>
      </c>
      <c r="E380" t="s">
        <v>41</v>
      </c>
      <c r="F380" t="s">
        <v>13</v>
      </c>
      <c r="G380" s="12" t="s">
        <v>636</v>
      </c>
      <c r="H380" t="s">
        <v>25</v>
      </c>
      <c r="I380" t="s">
        <v>25</v>
      </c>
    </row>
    <row r="381" spans="1:9" ht="90" x14ac:dyDescent="0.25">
      <c r="A381" s="13" t="s">
        <v>10</v>
      </c>
      <c r="B381" t="str">
        <f>HYPERLINK("https://www.scholarships.unsw.edu.au/scholarships/id/537/6535", "Andrew Thyne Reid Scholarship")</f>
        <v>Andrew Thyne Reid Scholarship</v>
      </c>
      <c r="C381" t="s">
        <v>27</v>
      </c>
      <c r="D381" t="s">
        <v>322</v>
      </c>
      <c r="E381" t="s">
        <v>41</v>
      </c>
      <c r="F381" t="s">
        <v>51</v>
      </c>
      <c r="G381" s="12" t="s">
        <v>637</v>
      </c>
      <c r="H381" t="s">
        <v>25</v>
      </c>
      <c r="I381" t="s">
        <v>25</v>
      </c>
    </row>
    <row r="382" spans="1:9" ht="75" x14ac:dyDescent="0.25">
      <c r="A382" s="13" t="s">
        <v>10</v>
      </c>
      <c r="B382" t="str">
        <f>HYPERLINK("https://www.scholarships.unsw.edu.au/scholarships/id/1005/6542", "UNSW Law Postgraduate Coursework Academic Excellence Scholarship")</f>
        <v>UNSW Law Postgraduate Coursework Academic Excellence Scholarship</v>
      </c>
      <c r="C382" t="s">
        <v>27</v>
      </c>
      <c r="D382" t="s">
        <v>202</v>
      </c>
      <c r="E382" t="s">
        <v>201</v>
      </c>
      <c r="F382" t="s">
        <v>51</v>
      </c>
      <c r="G382" s="12" t="s">
        <v>638</v>
      </c>
      <c r="H382" t="s">
        <v>25</v>
      </c>
      <c r="I382" t="s">
        <v>25</v>
      </c>
    </row>
    <row r="383" spans="1:9" x14ac:dyDescent="0.25">
      <c r="A383" s="13" t="s">
        <v>10</v>
      </c>
      <c r="B383" t="str">
        <f>HYPERLINK("https://www.scholarships.unsw.edu.au/scholarships/id/701/6533", "The Faculty of Law Juris Doctor Scholarship for Academic Excellence")</f>
        <v>The Faculty of Law Juris Doctor Scholarship for Academic Excellence</v>
      </c>
      <c r="C383" t="s">
        <v>27</v>
      </c>
      <c r="D383" t="s">
        <v>234</v>
      </c>
      <c r="E383" t="s">
        <v>41</v>
      </c>
      <c r="F383" t="s">
        <v>51</v>
      </c>
      <c r="G383" s="12" t="s">
        <v>639</v>
      </c>
      <c r="H383" t="s">
        <v>25</v>
      </c>
      <c r="I383" t="s">
        <v>25</v>
      </c>
    </row>
    <row r="384" spans="1:9" ht="30" x14ac:dyDescent="0.25">
      <c r="A384" s="13" t="s">
        <v>10</v>
      </c>
      <c r="B384" t="str">
        <f>HYPERLINK("https://www.scholarships.unsw.edu.au/scholarships/id/1839/6561", "Commissioner Hoffman Scholarship")</f>
        <v>Commissioner Hoffman Scholarship</v>
      </c>
      <c r="C384" t="s">
        <v>27</v>
      </c>
      <c r="D384" t="s">
        <v>208</v>
      </c>
      <c r="E384" t="s">
        <v>41</v>
      </c>
      <c r="F384" t="s">
        <v>51</v>
      </c>
      <c r="G384" s="12" t="s">
        <v>640</v>
      </c>
      <c r="H384" t="s">
        <v>25</v>
      </c>
      <c r="I384" t="s">
        <v>25</v>
      </c>
    </row>
    <row r="385" spans="1:9" ht="30" x14ac:dyDescent="0.25">
      <c r="A385" s="13" t="s">
        <v>10</v>
      </c>
      <c r="B385" t="str">
        <f>HYPERLINK("https://www.scholarships.unsw.edu.au/scholarships/id/906/6534", "John Haskell Scholarship")</f>
        <v>John Haskell Scholarship</v>
      </c>
      <c r="C385" t="s">
        <v>27</v>
      </c>
      <c r="D385" t="s">
        <v>208</v>
      </c>
      <c r="E385" t="s">
        <v>41</v>
      </c>
      <c r="F385" t="s">
        <v>51</v>
      </c>
      <c r="G385" s="12" t="s">
        <v>641</v>
      </c>
      <c r="H385" t="s">
        <v>25</v>
      </c>
      <c r="I385" t="s">
        <v>25</v>
      </c>
    </row>
    <row r="386" spans="1:9" ht="409.5" x14ac:dyDescent="0.25">
      <c r="A386" s="13" t="s">
        <v>10</v>
      </c>
      <c r="B386" s="14" t="str">
        <f>HYPERLINK("https://www.scholarships.unsw.edu.au/scholarships/id/1583/6523", "Sanctuary Scholarship for People Seeking Asylum and Refugees with Temporary Protection")</f>
        <v>Sanctuary Scholarship for People Seeking Asylum and Refugees with Temporary Protection</v>
      </c>
      <c r="C386" t="s">
        <v>148</v>
      </c>
      <c r="D386" t="s">
        <v>208</v>
      </c>
      <c r="E386" t="s">
        <v>41</v>
      </c>
      <c r="F386" t="s">
        <v>13</v>
      </c>
      <c r="G386" s="12" t="s">
        <v>323</v>
      </c>
      <c r="H386" t="s">
        <v>25</v>
      </c>
      <c r="I386" t="s">
        <v>25</v>
      </c>
    </row>
    <row r="387" spans="1:9" ht="409.5" x14ac:dyDescent="0.25">
      <c r="A387" s="13" t="s">
        <v>10</v>
      </c>
      <c r="B387" t="str">
        <f>HYPERLINK("https://www.scholarships.unsw.edu.au/scholarships/id/1582/6524", "Welcome Scholarship for Students from Refugee Backgrounds")</f>
        <v>Welcome Scholarship for Students from Refugee Backgrounds</v>
      </c>
      <c r="C387" t="s">
        <v>148</v>
      </c>
      <c r="D387" t="s">
        <v>202</v>
      </c>
      <c r="E387" t="s">
        <v>41</v>
      </c>
      <c r="F387" t="s">
        <v>13</v>
      </c>
      <c r="G387" s="12" t="s">
        <v>324</v>
      </c>
      <c r="H387" t="s">
        <v>25</v>
      </c>
      <c r="I387" t="s">
        <v>25</v>
      </c>
    </row>
    <row r="388" spans="1:9" ht="210" x14ac:dyDescent="0.25">
      <c r="A388" s="13" t="s">
        <v>10</v>
      </c>
      <c r="B388" t="str">
        <f>HYPERLINK("https://www.scholarships.unsw.edu.au/scholarships/id/1817/6403", "UNSW Sport Scholarships Term 1, 2025")</f>
        <v>UNSW Sport Scholarships Term 1, 2025</v>
      </c>
      <c r="C388" t="s">
        <v>320</v>
      </c>
      <c r="D388" t="s">
        <v>208</v>
      </c>
      <c r="E388" t="s">
        <v>201</v>
      </c>
      <c r="F388" t="s">
        <v>35</v>
      </c>
      <c r="G388" s="12" t="s">
        <v>642</v>
      </c>
      <c r="H388" t="s">
        <v>25</v>
      </c>
      <c r="I388" t="s">
        <v>25</v>
      </c>
    </row>
    <row r="389" spans="1:9" ht="75" x14ac:dyDescent="0.25">
      <c r="A389" s="13" t="s">
        <v>10</v>
      </c>
      <c r="B389" t="str">
        <f>HYPERLINK("https://www.scholarships.unsw.edu.au/scholarships/id/1328/6409", "UNSW Veterans Scholarship")</f>
        <v>UNSW Veterans Scholarship</v>
      </c>
      <c r="C389" t="s">
        <v>14</v>
      </c>
      <c r="D389" t="s">
        <v>208</v>
      </c>
      <c r="E389" t="s">
        <v>41</v>
      </c>
      <c r="F389" t="s">
        <v>35</v>
      </c>
      <c r="G389" s="12" t="s">
        <v>643</v>
      </c>
      <c r="H389" t="s">
        <v>25</v>
      </c>
      <c r="I389" t="s">
        <v>25</v>
      </c>
    </row>
    <row r="390" spans="1:9" ht="135" x14ac:dyDescent="0.25">
      <c r="A390" s="13" t="s">
        <v>10</v>
      </c>
      <c r="B390" t="str">
        <f>HYPERLINK("https://www.scholarships.unsw.edu.au/scholarships/id/1820/6428", "Mike Brungs Scholarship for Women in Chemical Engineering")</f>
        <v>Mike Brungs Scholarship for Women in Chemical Engineering</v>
      </c>
      <c r="C390" t="s">
        <v>14</v>
      </c>
      <c r="D390" t="s">
        <v>202</v>
      </c>
      <c r="E390" t="s">
        <v>41</v>
      </c>
      <c r="F390" t="s">
        <v>13</v>
      </c>
      <c r="G390" s="12" t="s">
        <v>644</v>
      </c>
      <c r="H390" t="s">
        <v>25</v>
      </c>
      <c r="I390" t="s">
        <v>25</v>
      </c>
    </row>
    <row r="391" spans="1:9" ht="30" x14ac:dyDescent="0.25">
      <c r="A391" s="13" t="s">
        <v>10</v>
      </c>
      <c r="B391" t="str">
        <f>HYPERLINK("https://www.scholarships.unsw.edu.au/scholarships/id/102/6399", "Scientia Scholarship")</f>
        <v>Scientia Scholarship</v>
      </c>
      <c r="C391" t="s">
        <v>14</v>
      </c>
      <c r="D391" t="s">
        <v>202</v>
      </c>
      <c r="E391" t="s">
        <v>41</v>
      </c>
      <c r="F391" t="s">
        <v>13</v>
      </c>
      <c r="G391" s="12" t="s">
        <v>645</v>
      </c>
      <c r="H391" t="s">
        <v>25</v>
      </c>
      <c r="I391" t="s">
        <v>25</v>
      </c>
    </row>
    <row r="392" spans="1:9" ht="30" x14ac:dyDescent="0.25">
      <c r="A392" s="13" t="s">
        <v>10</v>
      </c>
      <c r="B392" t="str">
        <f>HYPERLINK("https://www.scholarships.unsw.edu.au/scholarships/id/1/6398", "Academic Achievement Award (AAA)")</f>
        <v>Academic Achievement Award (AAA)</v>
      </c>
      <c r="C392" t="s">
        <v>14</v>
      </c>
      <c r="D392" t="s">
        <v>208</v>
      </c>
      <c r="E392" t="s">
        <v>201</v>
      </c>
      <c r="F392" t="s">
        <v>13</v>
      </c>
      <c r="G392" s="12" t="s">
        <v>645</v>
      </c>
      <c r="H392" t="s">
        <v>25</v>
      </c>
      <c r="I392" t="s">
        <v>25</v>
      </c>
    </row>
    <row r="393" spans="1:9" ht="195" x14ac:dyDescent="0.25">
      <c r="A393" s="13" t="s">
        <v>10</v>
      </c>
      <c r="B393" t="str">
        <f>HYPERLINK("https://www.scholarships.unsw.edu.au/scholarships/id/1824/6563", "UNSW Cyber Security Award")</f>
        <v>UNSW Cyber Security Award</v>
      </c>
      <c r="C393" t="s">
        <v>14</v>
      </c>
      <c r="D393" t="s">
        <v>208</v>
      </c>
      <c r="E393" t="s">
        <v>201</v>
      </c>
      <c r="F393" t="s">
        <v>13</v>
      </c>
      <c r="G393" s="12" t="s">
        <v>646</v>
      </c>
      <c r="H393" t="s">
        <v>21</v>
      </c>
      <c r="I393" t="s">
        <v>25</v>
      </c>
    </row>
    <row r="394" spans="1:9" ht="90" x14ac:dyDescent="0.25">
      <c r="A394" s="13" t="s">
        <v>10</v>
      </c>
      <c r="B394" t="str">
        <f>HYPERLINK("https://www.scholarships.unsw.edu.au/scholarships/id/1462/6402", "Daniel and Helen Gauchat Port Macquarie Award for Rural Medical Students")</f>
        <v>Daniel and Helen Gauchat Port Macquarie Award for Rural Medical Students</v>
      </c>
      <c r="C394" t="s">
        <v>14</v>
      </c>
      <c r="D394" t="s">
        <v>208</v>
      </c>
      <c r="E394" t="s">
        <v>201</v>
      </c>
      <c r="F394" t="s">
        <v>13</v>
      </c>
      <c r="G394" s="12" t="s">
        <v>647</v>
      </c>
      <c r="H394" t="s">
        <v>25</v>
      </c>
      <c r="I394" t="s">
        <v>25</v>
      </c>
    </row>
    <row r="395" spans="1:9" x14ac:dyDescent="0.25">
      <c r="A395" s="13" t="s">
        <v>10</v>
      </c>
      <c r="B395" t="str">
        <f>HYPERLINK("https://www.scholarships.unsw.edu.au/scholarships/id/1656", "David Nunan Rural Residential Scholarship")</f>
        <v>David Nunan Rural Residential Scholarship</v>
      </c>
      <c r="C395" t="s">
        <v>27</v>
      </c>
      <c r="D395" t="s">
        <v>204</v>
      </c>
      <c r="E395" t="s">
        <v>262</v>
      </c>
      <c r="F395" t="s">
        <v>13</v>
      </c>
      <c r="G395" s="12" t="s">
        <v>648</v>
      </c>
      <c r="H395" t="s">
        <v>25</v>
      </c>
      <c r="I395" t="s">
        <v>25</v>
      </c>
    </row>
    <row r="396" spans="1:9" x14ac:dyDescent="0.25">
      <c r="A396" s="13" t="s">
        <v>10</v>
      </c>
      <c r="B396" t="str">
        <f>HYPERLINK("https://www.scholarships.unsw.edu.au/scholarships/id/1223", "Vanessa Hardman Memorial Endowed Scholarship")</f>
        <v>Vanessa Hardman Memorial Endowed Scholarship</v>
      </c>
      <c r="C396" t="s">
        <v>27</v>
      </c>
      <c r="D396" t="s">
        <v>325</v>
      </c>
      <c r="E396" t="s">
        <v>41</v>
      </c>
      <c r="F396" t="s">
        <v>13</v>
      </c>
      <c r="G396" s="12" t="s">
        <v>649</v>
      </c>
      <c r="H396" t="s">
        <v>25</v>
      </c>
      <c r="I396" t="s">
        <v>25</v>
      </c>
    </row>
    <row r="397" spans="1:9" ht="60" x14ac:dyDescent="0.25">
      <c r="A397" s="13" t="s">
        <v>10</v>
      </c>
      <c r="B397" t="str">
        <f>HYPERLINK("https://www.scholarships.unsw.edu.au/scholarships/id/158", "David Garlick Memorial Scholarship")</f>
        <v>David Garlick Memorial Scholarship</v>
      </c>
      <c r="C397" t="s">
        <v>27</v>
      </c>
      <c r="D397" t="s">
        <v>208</v>
      </c>
      <c r="E397" t="s">
        <v>41</v>
      </c>
      <c r="F397" t="s">
        <v>35</v>
      </c>
      <c r="G397" s="12" t="s">
        <v>678</v>
      </c>
      <c r="H397" t="s">
        <v>25</v>
      </c>
      <c r="I397" t="s">
        <v>25</v>
      </c>
    </row>
    <row r="398" spans="1:9" ht="90" x14ac:dyDescent="0.25">
      <c r="A398" s="13" t="s">
        <v>10</v>
      </c>
      <c r="B398" t="str">
        <f>HYPERLINK("https://www.scholarships.unsw.edu.au/scholarships/id/1259", "Roberts Co Women in Built Environment Scholarship")</f>
        <v>Roberts Co Women in Built Environment Scholarship</v>
      </c>
      <c r="C398" t="s">
        <v>27</v>
      </c>
      <c r="D398" t="s">
        <v>208</v>
      </c>
      <c r="E398" t="s">
        <v>41</v>
      </c>
      <c r="F398" t="s">
        <v>13</v>
      </c>
      <c r="G398" s="12" t="s">
        <v>650</v>
      </c>
      <c r="H398" t="s">
        <v>25</v>
      </c>
      <c r="I398" t="s">
        <v>25</v>
      </c>
    </row>
    <row r="399" spans="1:9" ht="30" x14ac:dyDescent="0.25">
      <c r="A399" s="13" t="s">
        <v>10</v>
      </c>
      <c r="B399" t="str">
        <f>HYPERLINK("https://www.scholarships.unsw.edu.au/scholarships/id/1408", "Berk Family Scholarship")</f>
        <v>Berk Family Scholarship</v>
      </c>
      <c r="C399" t="s">
        <v>27</v>
      </c>
      <c r="D399" t="s">
        <v>208</v>
      </c>
      <c r="E399" t="s">
        <v>41</v>
      </c>
      <c r="F399" t="s">
        <v>51</v>
      </c>
      <c r="G399" s="12" t="s">
        <v>414</v>
      </c>
      <c r="H399" t="s">
        <v>25</v>
      </c>
      <c r="I399" t="s">
        <v>25</v>
      </c>
    </row>
    <row r="400" spans="1:9" ht="90" x14ac:dyDescent="0.25">
      <c r="A400" s="13" t="s">
        <v>10</v>
      </c>
      <c r="B400" t="str">
        <f>HYPERLINK("https://www.scholarships.unsw.edu.au/scholarships/id/1530", "Tertiary Access Payment (TAP) Program")</f>
        <v>Tertiary Access Payment (TAP) Program</v>
      </c>
      <c r="C400" t="s">
        <v>14</v>
      </c>
      <c r="D400" s="7" t="s">
        <v>441</v>
      </c>
      <c r="E400" t="s">
        <v>201</v>
      </c>
      <c r="F400" t="s">
        <v>68</v>
      </c>
      <c r="G400" s="12" t="s">
        <v>442</v>
      </c>
      <c r="H400" t="s">
        <v>25</v>
      </c>
      <c r="I400" t="s">
        <v>25</v>
      </c>
    </row>
    <row r="401" spans="1:9" ht="60" x14ac:dyDescent="0.25">
      <c r="A401" s="13" t="s">
        <v>10</v>
      </c>
      <c r="B401" t="str">
        <f>HYPERLINK("https://www.scholarships.unsw.edu.au/scholarships/id/555", "AGSM Alumni Community Leader Scholarship")</f>
        <v>AGSM Alumni Community Leader Scholarship</v>
      </c>
      <c r="C401" t="s">
        <v>27</v>
      </c>
      <c r="D401" t="s">
        <v>326</v>
      </c>
      <c r="E401" t="s">
        <v>41</v>
      </c>
      <c r="F401" t="s">
        <v>51</v>
      </c>
      <c r="G401" s="12" t="s">
        <v>651</v>
      </c>
      <c r="H401" t="s">
        <v>25</v>
      </c>
      <c r="I401" t="s">
        <v>25</v>
      </c>
    </row>
    <row r="402" spans="1:9" ht="60" x14ac:dyDescent="0.25">
      <c r="A402" s="13" t="s">
        <v>10</v>
      </c>
      <c r="B402" t="str">
        <f>HYPERLINK("https://www.scholarships.unsw.edu.au/scholarships/id/1674", "UNSW Sydney Swans AFLW/ Academy Award (T1, 2024)")</f>
        <v>UNSW Sydney Swans AFLW/ Academy Award (T1, 2024)</v>
      </c>
      <c r="C402" t="s">
        <v>320</v>
      </c>
      <c r="D402" t="s">
        <v>202</v>
      </c>
      <c r="E402" t="s">
        <v>201</v>
      </c>
      <c r="F402" t="s">
        <v>35</v>
      </c>
      <c r="G402" s="12" t="s">
        <v>652</v>
      </c>
      <c r="H402" t="s">
        <v>25</v>
      </c>
      <c r="I402" t="s">
        <v>25</v>
      </c>
    </row>
    <row r="403" spans="1:9" ht="45" x14ac:dyDescent="0.25">
      <c r="A403" s="13" t="s">
        <v>10</v>
      </c>
      <c r="B403" t="str">
        <f>HYPERLINK("https://www.scholarships.unsw.edu.au/scholarships/id/850", "Late Stephen Robjohns Science Scholarship")</f>
        <v>Late Stephen Robjohns Science Scholarship</v>
      </c>
      <c r="C403" t="s">
        <v>27</v>
      </c>
      <c r="D403" t="s">
        <v>327</v>
      </c>
      <c r="E403" t="s">
        <v>262</v>
      </c>
      <c r="F403" t="s">
        <v>13</v>
      </c>
      <c r="G403" s="12" t="s">
        <v>415</v>
      </c>
      <c r="H403" t="s">
        <v>25</v>
      </c>
      <c r="I403" t="s">
        <v>25</v>
      </c>
    </row>
    <row r="404" spans="1:9" ht="60" x14ac:dyDescent="0.25">
      <c r="A404" s="13" t="s">
        <v>10</v>
      </c>
      <c r="B404" t="str">
        <f>HYPERLINK("https://www.scholarships.unsw.edu.au/scholarships/id/1792", "Moses Honours Year Scholarship")</f>
        <v>Moses Honours Year Scholarship</v>
      </c>
      <c r="C404" t="s">
        <v>27</v>
      </c>
      <c r="D404" t="s">
        <v>202</v>
      </c>
      <c r="E404" t="s">
        <v>201</v>
      </c>
      <c r="F404" t="s">
        <v>137</v>
      </c>
      <c r="G404" s="12" t="s">
        <v>416</v>
      </c>
      <c r="H404" t="s">
        <v>25</v>
      </c>
      <c r="I404" t="s">
        <v>25</v>
      </c>
    </row>
    <row r="405" spans="1:9" ht="45" x14ac:dyDescent="0.25">
      <c r="A405" s="13" t="s">
        <v>10</v>
      </c>
      <c r="B405" t="str">
        <f>HYPERLINK("https://www.scholarships.unsw.edu.au/scholarships/id/1788", "Pinnacle Investment Management Women in Finance Scholarship")</f>
        <v>Pinnacle Investment Management Women in Finance Scholarship</v>
      </c>
      <c r="C405" t="s">
        <v>27</v>
      </c>
      <c r="D405" t="s">
        <v>202</v>
      </c>
      <c r="E405" t="s">
        <v>201</v>
      </c>
      <c r="F405" t="s">
        <v>13</v>
      </c>
      <c r="G405" s="12" t="s">
        <v>653</v>
      </c>
      <c r="H405" t="s">
        <v>25</v>
      </c>
      <c r="I405" t="s">
        <v>25</v>
      </c>
    </row>
    <row r="406" spans="1:9" ht="180" x14ac:dyDescent="0.25">
      <c r="A406" s="13" t="s">
        <v>10</v>
      </c>
      <c r="B406" t="str">
        <f>HYPERLINK("https://www.scholarships.unsw.edu.au/scholarships/id/871", "CEPAR Honours Scholarship")</f>
        <v>CEPAR Honours Scholarship</v>
      </c>
      <c r="C406" t="s">
        <v>27</v>
      </c>
      <c r="D406" t="s">
        <v>208</v>
      </c>
      <c r="E406" t="s">
        <v>201</v>
      </c>
      <c r="F406" t="s">
        <v>137</v>
      </c>
      <c r="G406" s="12" t="s">
        <v>654</v>
      </c>
      <c r="H406" t="s">
        <v>25</v>
      </c>
      <c r="I406" t="s">
        <v>25</v>
      </c>
    </row>
    <row r="407" spans="1:9" ht="75" x14ac:dyDescent="0.25">
      <c r="A407" s="13" t="s">
        <v>10</v>
      </c>
      <c r="B407" t="str">
        <f>HYPERLINK("https://www.scholarships.unsw.edu.au/scholarships/id/1762", "Faculty of Engineering Honours Scholarships")</f>
        <v>Faculty of Engineering Honours Scholarships</v>
      </c>
      <c r="C407" t="s">
        <v>27</v>
      </c>
      <c r="D407" s="12" t="s">
        <v>677</v>
      </c>
      <c r="E407" t="s">
        <v>201</v>
      </c>
      <c r="F407" t="s">
        <v>197</v>
      </c>
      <c r="G407" s="12" t="s">
        <v>661</v>
      </c>
      <c r="H407" t="s">
        <v>25</v>
      </c>
      <c r="I407" t="s">
        <v>25</v>
      </c>
    </row>
    <row r="408" spans="1:9" ht="75" x14ac:dyDescent="0.25">
      <c r="A408" s="13" t="s">
        <v>10</v>
      </c>
      <c r="B408" t="str">
        <f>HYPERLINK("https://www.scholarships.unsw.edu.au/scholarships/id/1764", "UNSW Faculty of Medicine Honours Scholarships 2024")</f>
        <v>UNSW Faculty of Medicine Honours Scholarships 2024</v>
      </c>
      <c r="C408" t="s">
        <v>27</v>
      </c>
      <c r="D408" s="12" t="s">
        <v>676</v>
      </c>
      <c r="E408" t="s">
        <v>201</v>
      </c>
      <c r="F408" t="s">
        <v>197</v>
      </c>
      <c r="G408" s="12" t="s">
        <v>661</v>
      </c>
      <c r="H408" t="s">
        <v>25</v>
      </c>
      <c r="I408" t="s">
        <v>25</v>
      </c>
    </row>
    <row r="409" spans="1:9" ht="75" x14ac:dyDescent="0.25">
      <c r="A409" s="13" t="s">
        <v>10</v>
      </c>
      <c r="B409" t="str">
        <f>HYPERLINK("https://www.scholarships.unsw.edu.au/scholarships/id/1795", "UNSW Women Electrical Engineering Scholarships")</f>
        <v>UNSW Women Electrical Engineering Scholarships</v>
      </c>
      <c r="C409" t="s">
        <v>27</v>
      </c>
      <c r="D409" s="12" t="s">
        <v>675</v>
      </c>
      <c r="E409" t="s">
        <v>262</v>
      </c>
      <c r="F409" t="s">
        <v>197</v>
      </c>
      <c r="G409" s="12" t="s">
        <v>666</v>
      </c>
      <c r="H409" t="s">
        <v>25</v>
      </c>
      <c r="I409" t="s">
        <v>25</v>
      </c>
    </row>
    <row r="410" spans="1:9" ht="60" x14ac:dyDescent="0.25">
      <c r="A410" s="13" t="s">
        <v>10</v>
      </c>
      <c r="B410" t="str">
        <f>HYPERLINK("https://www.scholarships.unsw.edu.au/scholarships/id/1161", "AFGW NSW Joan Bielski AO Memorial Scholarship")</f>
        <v>AFGW NSW Joan Bielski AO Memorial Scholarship</v>
      </c>
      <c r="C410" t="s">
        <v>14</v>
      </c>
      <c r="D410" s="9" t="s">
        <v>443</v>
      </c>
      <c r="E410" t="s">
        <v>269</v>
      </c>
      <c r="F410" t="s">
        <v>13</v>
      </c>
      <c r="G410" s="12" t="s">
        <v>444</v>
      </c>
      <c r="H410" t="s">
        <v>25</v>
      </c>
      <c r="I410" t="s">
        <v>25</v>
      </c>
    </row>
    <row r="411" spans="1:9" ht="75" x14ac:dyDescent="0.25">
      <c r="A411" s="13" t="s">
        <v>10</v>
      </c>
      <c r="B411" t="str">
        <f>HYPERLINK("https://www.scholarships.unsw.edu.au/scholarships/id/255", "Joseph Barling Fellowship")</f>
        <v>Joseph Barling Fellowship</v>
      </c>
      <c r="C411" t="s">
        <v>27</v>
      </c>
      <c r="D411" t="s">
        <v>261</v>
      </c>
      <c r="E411" t="s">
        <v>41</v>
      </c>
      <c r="F411" t="s">
        <v>35</v>
      </c>
      <c r="G411" s="12" t="s">
        <v>655</v>
      </c>
      <c r="H411" t="s">
        <v>25</v>
      </c>
      <c r="I411" t="s">
        <v>25</v>
      </c>
    </row>
    <row r="412" spans="1:9" ht="60" x14ac:dyDescent="0.25">
      <c r="A412" s="13" t="s">
        <v>10</v>
      </c>
      <c r="B412" t="str">
        <f>HYPERLINK("https://www.scholarships.unsw.edu.au/scholarships/id/1707", "UNSW Touch Football Leadership Award")</f>
        <v>UNSW Touch Football Leadership Award</v>
      </c>
      <c r="C412" t="s">
        <v>27</v>
      </c>
      <c r="D412" t="s">
        <v>208</v>
      </c>
      <c r="E412" t="s">
        <v>201</v>
      </c>
      <c r="F412" t="s">
        <v>197</v>
      </c>
      <c r="G412" s="12" t="s">
        <v>674</v>
      </c>
      <c r="H412" t="s">
        <v>25</v>
      </c>
      <c r="I412" t="s">
        <v>25</v>
      </c>
    </row>
    <row r="413" spans="1:9" ht="60" x14ac:dyDescent="0.25">
      <c r="A413" s="13" t="s">
        <v>10</v>
      </c>
      <c r="B413" t="str">
        <f>HYPERLINK("https://www.scholarships.unsw.edu.au/scholarships/id/1593", "Tyree Nuclear Masters by Coursework Scholarship")</f>
        <v>Tyree Nuclear Masters by Coursework Scholarship</v>
      </c>
      <c r="C413" t="s">
        <v>27</v>
      </c>
      <c r="D413" t="s">
        <v>204</v>
      </c>
      <c r="E413" t="s">
        <v>41</v>
      </c>
      <c r="F413" t="s">
        <v>51</v>
      </c>
      <c r="G413" s="12" t="s">
        <v>417</v>
      </c>
      <c r="H413" t="s">
        <v>25</v>
      </c>
      <c r="I413" t="s">
        <v>25</v>
      </c>
    </row>
    <row r="414" spans="1:9" ht="45" x14ac:dyDescent="0.25">
      <c r="A414" s="13" t="s">
        <v>10</v>
      </c>
      <c r="B414" t="str">
        <f>HYPERLINK("https://www.scholarships.unsw.edu.au/scholarships/id/1102", "Elias Duek-Cohen Urban Design Award")</f>
        <v>Elias Duek-Cohen Urban Design Award</v>
      </c>
      <c r="C414" t="s">
        <v>27</v>
      </c>
      <c r="D414" t="s">
        <v>208</v>
      </c>
      <c r="E414" t="s">
        <v>201</v>
      </c>
      <c r="F414" t="s">
        <v>13</v>
      </c>
      <c r="G414" s="12" t="s">
        <v>418</v>
      </c>
      <c r="H414" t="s">
        <v>25</v>
      </c>
      <c r="I414" t="s">
        <v>25</v>
      </c>
    </row>
    <row r="415" spans="1:9" ht="409.5" x14ac:dyDescent="0.25">
      <c r="A415" s="13" t="s">
        <v>10</v>
      </c>
      <c r="B415" t="str">
        <f>HYPERLINK("https://www.scholarships.unsw.edu.au/scholarships/id/1797", "RODE Microphones")</f>
        <v>RODE Microphones</v>
      </c>
      <c r="C415" t="s">
        <v>27</v>
      </c>
      <c r="D415" t="s">
        <v>202</v>
      </c>
      <c r="E415" t="s">
        <v>205</v>
      </c>
      <c r="F415" t="s">
        <v>197</v>
      </c>
      <c r="G415" s="12" t="s">
        <v>328</v>
      </c>
      <c r="H415" t="s">
        <v>25</v>
      </c>
      <c r="I415" t="s">
        <v>25</v>
      </c>
    </row>
    <row r="416" spans="1:9" ht="45" x14ac:dyDescent="0.25">
      <c r="A416" s="13" t="s">
        <v>10</v>
      </c>
      <c r="B416" t="str">
        <f>HYPERLINK("https://www.scholarships.unsw.edu.au/scholarships/id/112", "John Niland Scholarship")</f>
        <v>John Niland Scholarship</v>
      </c>
      <c r="C416" t="s">
        <v>27</v>
      </c>
      <c r="D416" t="s">
        <v>327</v>
      </c>
      <c r="E416" t="s">
        <v>201</v>
      </c>
      <c r="F416" t="s">
        <v>13</v>
      </c>
      <c r="G416" s="12" t="s">
        <v>419</v>
      </c>
      <c r="H416" t="s">
        <v>25</v>
      </c>
      <c r="I416" t="s">
        <v>25</v>
      </c>
    </row>
    <row r="417" spans="1:9" x14ac:dyDescent="0.25">
      <c r="A417" s="13" t="s">
        <v>10</v>
      </c>
      <c r="B417" t="str">
        <f>HYPERLINK("https://www.scholarships.unsw.edu.au/scholarships/id/1813", "2025 General Merit Undergraduate Scholarships for Commencing Students")</f>
        <v>2025 General Merit Undergraduate Scholarships for Commencing Students</v>
      </c>
      <c r="C417" t="s">
        <v>27</v>
      </c>
      <c r="D417" t="s">
        <v>208</v>
      </c>
      <c r="E417" t="s">
        <v>41</v>
      </c>
      <c r="F417" t="s">
        <v>13</v>
      </c>
      <c r="G417" s="12" t="s">
        <v>656</v>
      </c>
      <c r="H417" t="s">
        <v>25</v>
      </c>
      <c r="I417" t="s">
        <v>25</v>
      </c>
    </row>
    <row r="418" spans="1:9" ht="60" x14ac:dyDescent="0.25">
      <c r="A418" s="13" t="s">
        <v>10</v>
      </c>
      <c r="B418" t="str">
        <f>HYPERLINK("https://www.scholarships.unsw.edu.au/scholarships/id/1633", "School of Chemical Engineering High Achiever Award")</f>
        <v>School of Chemical Engineering High Achiever Award</v>
      </c>
      <c r="C418" t="s">
        <v>27</v>
      </c>
      <c r="D418" t="s">
        <v>208</v>
      </c>
      <c r="E418" t="s">
        <v>201</v>
      </c>
      <c r="F418" t="s">
        <v>13</v>
      </c>
      <c r="G418" s="12" t="s">
        <v>671</v>
      </c>
      <c r="H418" t="s">
        <v>25</v>
      </c>
      <c r="I418" t="s">
        <v>25</v>
      </c>
    </row>
    <row r="419" spans="1:9" ht="75" x14ac:dyDescent="0.25">
      <c r="A419" s="13" t="s">
        <v>10</v>
      </c>
      <c r="B419" t="str">
        <f>HYPERLINK("https://www.scholarships.unsw.edu.au/scholarships/id/1635", "School of Computer Science &amp; Engineering Scholarships for Students Commencing Term 1, 2025")</f>
        <v>School of Computer Science &amp; Engineering Scholarships for Students Commencing Term 1, 2025</v>
      </c>
      <c r="C419" s="12" t="s">
        <v>670</v>
      </c>
      <c r="D419" t="s">
        <v>208</v>
      </c>
      <c r="E419" t="s">
        <v>201</v>
      </c>
      <c r="F419" t="s">
        <v>197</v>
      </c>
      <c r="G419" s="12" t="s">
        <v>661</v>
      </c>
      <c r="H419" t="s">
        <v>25</v>
      </c>
      <c r="I419" t="s">
        <v>25</v>
      </c>
    </row>
    <row r="420" spans="1:9" ht="75" x14ac:dyDescent="0.25">
      <c r="A420" s="13" t="s">
        <v>10</v>
      </c>
      <c r="B420" t="str">
        <f>HYPERLINK("https://www.scholarships.unsw.edu.au/scholarships/id/1816", "UNSW Engineering Rural Scholarships Program for Students Commencing Term 1, 2025")</f>
        <v>UNSW Engineering Rural Scholarships Program for Students Commencing Term 1, 2025</v>
      </c>
      <c r="C420" t="s">
        <v>27</v>
      </c>
      <c r="D420" s="12" t="s">
        <v>669</v>
      </c>
      <c r="E420" t="s">
        <v>41</v>
      </c>
      <c r="F420" t="s">
        <v>197</v>
      </c>
      <c r="G420" s="12" t="s">
        <v>661</v>
      </c>
      <c r="H420" t="s">
        <v>25</v>
      </c>
      <c r="I420" t="s">
        <v>25</v>
      </c>
    </row>
    <row r="421" spans="1:9" ht="30" x14ac:dyDescent="0.25">
      <c r="A421" s="13" t="s">
        <v>10</v>
      </c>
      <c r="B421" t="str">
        <f>HYPERLINK("https://www.scholarships.unsw.edu.au/scholarships/id/1818", "UNSW Minerals and Energy Resources Engineering Scholarships for Students Commencing Term 1, 2025")</f>
        <v>UNSW Minerals and Energy Resources Engineering Scholarships for Students Commencing Term 1, 2025</v>
      </c>
      <c r="C421" t="s">
        <v>27</v>
      </c>
      <c r="D421" t="s">
        <v>248</v>
      </c>
      <c r="E421" t="s">
        <v>41</v>
      </c>
      <c r="F421" t="s">
        <v>13</v>
      </c>
      <c r="G421" s="12" t="s">
        <v>420</v>
      </c>
      <c r="H421" t="s">
        <v>25</v>
      </c>
      <c r="I421" t="s">
        <v>25</v>
      </c>
    </row>
    <row r="422" spans="1:9" ht="75" x14ac:dyDescent="0.25">
      <c r="A422" s="13" t="s">
        <v>10</v>
      </c>
      <c r="B422" t="str">
        <f>HYPERLINK("https://www.scholarships.unsw.edu.au/scholarships/id/1814", "UNSW Women in Engineering Scholarship Program for Students Commencing Term 1, 2025")</f>
        <v>UNSW Women in Engineering Scholarship Program for Students Commencing Term 1, 2025</v>
      </c>
      <c r="C422" t="s">
        <v>27</v>
      </c>
      <c r="D422" s="12" t="s">
        <v>668</v>
      </c>
      <c r="E422" t="s">
        <v>41</v>
      </c>
      <c r="F422" t="s">
        <v>197</v>
      </c>
      <c r="G422" s="12" t="s">
        <v>661</v>
      </c>
      <c r="H422" t="s">
        <v>25</v>
      </c>
      <c r="I422" t="s">
        <v>25</v>
      </c>
    </row>
    <row r="423" spans="1:9" x14ac:dyDescent="0.25">
      <c r="A423" s="13" t="s">
        <v>10</v>
      </c>
      <c r="B423" t="str">
        <f>HYPERLINK("https://www.scholarships.unsw.edu.au/scholarships/id/1735", "Gail Kelly Young Women Leaders Scholarship")</f>
        <v>Gail Kelly Young Women Leaders Scholarship</v>
      </c>
      <c r="C423" t="s">
        <v>27</v>
      </c>
      <c r="D423" t="s">
        <v>202</v>
      </c>
      <c r="E423" t="s">
        <v>262</v>
      </c>
      <c r="F423" t="s">
        <v>13</v>
      </c>
      <c r="G423" s="12" t="s">
        <v>421</v>
      </c>
      <c r="H423" t="s">
        <v>25</v>
      </c>
      <c r="I423" t="s">
        <v>25</v>
      </c>
    </row>
    <row r="424" spans="1:9" ht="75" x14ac:dyDescent="0.25">
      <c r="A424" s="13" t="s">
        <v>10</v>
      </c>
      <c r="B424" t="str">
        <f>HYPERLINK("https://www.scholarships.unsw.edu.au/scholarships/id/1490", "Mike Cannon-Brookes Endowed Scholarship")</f>
        <v>Mike Cannon-Brookes Endowed Scholarship</v>
      </c>
      <c r="C424" t="s">
        <v>27</v>
      </c>
      <c r="D424" t="s">
        <v>202</v>
      </c>
      <c r="E424" t="s">
        <v>41</v>
      </c>
      <c r="F424" t="s">
        <v>13</v>
      </c>
      <c r="G424" s="12" t="s">
        <v>422</v>
      </c>
      <c r="H424" t="s">
        <v>25</v>
      </c>
      <c r="I424" t="s">
        <v>25</v>
      </c>
    </row>
    <row r="425" spans="1:9" ht="75" x14ac:dyDescent="0.25">
      <c r="A425" s="13" t="s">
        <v>10</v>
      </c>
      <c r="B425" t="str">
        <f>HYPERLINK("https://www.scholarships.unsw.edu.au/scholarships/id/1806", "UNSW Business School Merit Scholarships Program for Students Commencing Term 1, 2025")</f>
        <v>UNSW Business School Merit Scholarships Program for Students Commencing Term 1, 2025</v>
      </c>
      <c r="C425" t="s">
        <v>27</v>
      </c>
      <c r="D425" s="12" t="s">
        <v>667</v>
      </c>
      <c r="E425" t="s">
        <v>41</v>
      </c>
      <c r="F425" t="s">
        <v>197</v>
      </c>
      <c r="G425" s="12" t="s">
        <v>661</v>
      </c>
      <c r="H425" t="s">
        <v>25</v>
      </c>
      <c r="I425" t="s">
        <v>25</v>
      </c>
    </row>
    <row r="426" spans="1:9" ht="75" x14ac:dyDescent="0.25">
      <c r="A426" s="13" t="s">
        <v>10</v>
      </c>
      <c r="B426" t="str">
        <f>HYPERLINK("https://www.scholarships.unsw.edu.au/scholarships/id/898", "Ian Somervaille Scholarship")</f>
        <v>Ian Somervaille Scholarship</v>
      </c>
      <c r="C426" t="s">
        <v>27</v>
      </c>
      <c r="D426" t="s">
        <v>208</v>
      </c>
      <c r="E426" t="s">
        <v>41</v>
      </c>
      <c r="F426" t="s">
        <v>13</v>
      </c>
      <c r="G426" s="12" t="s">
        <v>423</v>
      </c>
      <c r="H426" t="s">
        <v>25</v>
      </c>
      <c r="I426" t="s">
        <v>25</v>
      </c>
    </row>
    <row r="427" spans="1:9" ht="75" x14ac:dyDescent="0.25">
      <c r="A427" s="13" t="s">
        <v>10</v>
      </c>
      <c r="B427" t="str">
        <f>HYPERLINK("https://www.scholarships.unsw.edu.au/scholarships/id/1810", "UNSW Arts, Design &amp; Architecture Undergraduate Scholarships for Students Commencing Term 1, 2025")</f>
        <v>UNSW Arts, Design &amp; Architecture Undergraduate Scholarships for Students Commencing Term 1, 2025</v>
      </c>
      <c r="C427" t="s">
        <v>27</v>
      </c>
      <c r="D427" s="12" t="s">
        <v>665</v>
      </c>
      <c r="E427" t="s">
        <v>201</v>
      </c>
      <c r="F427" t="s">
        <v>197</v>
      </c>
      <c r="G427" s="12" t="s">
        <v>666</v>
      </c>
      <c r="H427" t="s">
        <v>25</v>
      </c>
      <c r="I427" t="s">
        <v>25</v>
      </c>
    </row>
    <row r="428" spans="1:9" ht="45" x14ac:dyDescent="0.25">
      <c r="A428" s="13" t="s">
        <v>10</v>
      </c>
      <c r="B428" t="str">
        <f>HYPERLINK("https://www.scholarships.unsw.edu.au/scholarships/id/1664", "UNSW Law &amp; Justice Undergraduate Criminology and Criminal Justice Excellence Award")</f>
        <v>UNSW Law &amp; Justice Undergraduate Criminology and Criminal Justice Excellence Award</v>
      </c>
      <c r="C428" t="s">
        <v>27</v>
      </c>
      <c r="D428" t="s">
        <v>208</v>
      </c>
      <c r="E428" t="s">
        <v>201</v>
      </c>
      <c r="F428" t="s">
        <v>13</v>
      </c>
      <c r="G428" s="12" t="s">
        <v>424</v>
      </c>
      <c r="H428" t="s">
        <v>25</v>
      </c>
      <c r="I428" t="s">
        <v>25</v>
      </c>
    </row>
    <row r="429" spans="1:9" ht="75" x14ac:dyDescent="0.25">
      <c r="A429" s="13" t="s">
        <v>10</v>
      </c>
      <c r="B429" t="str">
        <f>HYPERLINK("https://www.scholarships.unsw.edu.au/scholarships/id/1805", "UNSW School Of Mathematics &amp; Statistics Undergraduate Scholarships for students commencing Term 1, 2025")</f>
        <v>UNSW School Of Mathematics &amp; Statistics Undergraduate Scholarships for students commencing Term 1, 2025</v>
      </c>
      <c r="C429" t="s">
        <v>27</v>
      </c>
      <c r="D429" s="12" t="s">
        <v>664</v>
      </c>
      <c r="E429" t="s">
        <v>41</v>
      </c>
      <c r="F429" t="s">
        <v>197</v>
      </c>
      <c r="G429" s="12" t="s">
        <v>661</v>
      </c>
      <c r="H429" t="s">
        <v>25</v>
      </c>
      <c r="I429" t="s">
        <v>25</v>
      </c>
    </row>
    <row r="430" spans="1:9" ht="60" x14ac:dyDescent="0.25">
      <c r="A430" s="13" t="s">
        <v>10</v>
      </c>
      <c r="B430" t="str">
        <f>HYPERLINK("https://www.scholarships.unsw.edu.au/scholarships/id/1812", "UNSW Science Undergraduate Scholarships for Students Commencing Term 1, 2025")</f>
        <v>UNSW Science Undergraduate Scholarships for Students Commencing Term 1, 2025</v>
      </c>
      <c r="C430" t="s">
        <v>27</v>
      </c>
      <c r="D430" t="s">
        <v>208</v>
      </c>
      <c r="E430" t="s">
        <v>41</v>
      </c>
      <c r="F430" t="s">
        <v>197</v>
      </c>
      <c r="G430" s="12" t="s">
        <v>663</v>
      </c>
      <c r="H430" t="s">
        <v>25</v>
      </c>
      <c r="I430" t="s">
        <v>25</v>
      </c>
    </row>
    <row r="431" spans="1:9" ht="135" x14ac:dyDescent="0.25">
      <c r="A431" s="13" t="s">
        <v>10</v>
      </c>
      <c r="B431" t="str">
        <f>HYPERLINK("https://www.scholarships.unsw.edu.au/scholarships/id/1840", "Yiu-Cheung Medical Gateway Scholarship")</f>
        <v>Yiu-Cheung Medical Gateway Scholarship</v>
      </c>
      <c r="C431" t="s">
        <v>27</v>
      </c>
      <c r="D431" t="s">
        <v>202</v>
      </c>
      <c r="E431" t="s">
        <v>41</v>
      </c>
      <c r="F431" t="s">
        <v>13</v>
      </c>
      <c r="G431" s="12" t="s">
        <v>425</v>
      </c>
      <c r="H431" t="s">
        <v>25</v>
      </c>
      <c r="I431" t="s">
        <v>25</v>
      </c>
    </row>
    <row r="432" spans="1:9" ht="135" x14ac:dyDescent="0.25">
      <c r="A432" s="13" t="s">
        <v>10</v>
      </c>
      <c r="B432" t="str">
        <f>HYPERLINK("https://www.scholarships.unsw.edu.au/scholarships/id/1809", "UNSW Community Plus Scholarship")</f>
        <v>UNSW Community Plus Scholarship</v>
      </c>
      <c r="C432" t="s">
        <v>14</v>
      </c>
      <c r="D432" t="s">
        <v>253</v>
      </c>
      <c r="E432" t="s">
        <v>41</v>
      </c>
      <c r="F432" t="s">
        <v>13</v>
      </c>
      <c r="G432" s="12" t="s">
        <v>672</v>
      </c>
      <c r="H432" t="s">
        <v>25</v>
      </c>
      <c r="I432" t="s">
        <v>25</v>
      </c>
    </row>
    <row r="433" spans="1:9" ht="105" x14ac:dyDescent="0.25">
      <c r="A433" s="13" t="s">
        <v>10</v>
      </c>
      <c r="B433" t="str">
        <f>HYPERLINK("https://www.scholarships.unsw.edu.au/scholarships/id/1841", "ARC Centre of Excellence for Weather of the 21st Century Honours Research Award")</f>
        <v>ARC Centre of Excellence for Weather of the 21st Century Honours Research Award</v>
      </c>
      <c r="C433" t="s">
        <v>27</v>
      </c>
      <c r="D433" t="s">
        <v>212</v>
      </c>
      <c r="E433" t="s">
        <v>201</v>
      </c>
      <c r="F433" t="s">
        <v>137</v>
      </c>
      <c r="G433" s="12" t="s">
        <v>673</v>
      </c>
      <c r="H433" t="s">
        <v>25</v>
      </c>
      <c r="I433" t="s">
        <v>25</v>
      </c>
    </row>
    <row r="434" spans="1:9" ht="75" x14ac:dyDescent="0.25">
      <c r="A434" s="13" t="s">
        <v>10</v>
      </c>
      <c r="B434" t="str">
        <f>HYPERLINK("https://www.scholarships.unsw.edu.au/scholarships/id/1845", "Faculty of Science Honours Scholarships - Term 1, 2025")</f>
        <v>Faculty of Science Honours Scholarships - Term 1, 2025</v>
      </c>
      <c r="C434" t="s">
        <v>27</v>
      </c>
      <c r="D434" s="12" t="s">
        <v>662</v>
      </c>
      <c r="E434" t="s">
        <v>201</v>
      </c>
      <c r="F434" t="s">
        <v>197</v>
      </c>
      <c r="G434" s="12" t="s">
        <v>661</v>
      </c>
      <c r="H434" t="s">
        <v>25</v>
      </c>
      <c r="I434" t="s">
        <v>25</v>
      </c>
    </row>
    <row r="435" spans="1:9" ht="45" x14ac:dyDescent="0.25">
      <c r="A435" s="13" t="s">
        <v>10</v>
      </c>
      <c r="B435" t="str">
        <f>HYPERLINK("https://www.scholarships.unsw.edu.au/scholarships/id/142", "Lee Whitmont Scholarship")</f>
        <v>Lee Whitmont Scholarship</v>
      </c>
      <c r="C435" t="s">
        <v>27</v>
      </c>
      <c r="D435" t="s">
        <v>208</v>
      </c>
      <c r="E435" t="s">
        <v>201</v>
      </c>
      <c r="F435" t="s">
        <v>13</v>
      </c>
      <c r="G435" s="12" t="s">
        <v>426</v>
      </c>
      <c r="H435" t="s">
        <v>25</v>
      </c>
      <c r="I435" t="s">
        <v>25</v>
      </c>
    </row>
    <row r="436" spans="1:9" ht="60" x14ac:dyDescent="0.25">
      <c r="A436" s="13" t="s">
        <v>10</v>
      </c>
      <c r="B436" t="str">
        <f>HYPERLINK("https://www.scholarships.unsw.edu.au/scholarships/id/1844", "Retinal Research Group Honours Award for Innovation")</f>
        <v>Retinal Research Group Honours Award for Innovation</v>
      </c>
      <c r="C436" t="s">
        <v>27</v>
      </c>
      <c r="D436" t="s">
        <v>208</v>
      </c>
      <c r="E436" t="s">
        <v>201</v>
      </c>
      <c r="F436" t="s">
        <v>137</v>
      </c>
      <c r="G436" s="12" t="s">
        <v>427</v>
      </c>
      <c r="H436" t="s">
        <v>25</v>
      </c>
      <c r="I436" t="s">
        <v>25</v>
      </c>
    </row>
    <row r="437" spans="1:9" ht="45" x14ac:dyDescent="0.25">
      <c r="A437" s="13" t="s">
        <v>10</v>
      </c>
      <c r="B437" t="str">
        <f>HYPERLINK("https://www.scholarships.unsw.edu.au/scholarships/id/1484", "Samar Memorial Honours Award")</f>
        <v>Samar Memorial Honours Award</v>
      </c>
      <c r="C437" t="s">
        <v>27</v>
      </c>
      <c r="D437" t="s">
        <v>208</v>
      </c>
      <c r="E437" t="s">
        <v>201</v>
      </c>
      <c r="F437" t="s">
        <v>137</v>
      </c>
      <c r="G437" s="12" t="s">
        <v>657</v>
      </c>
      <c r="H437" t="s">
        <v>25</v>
      </c>
      <c r="I437" t="s">
        <v>25</v>
      </c>
    </row>
    <row r="438" spans="1:9" ht="60" x14ac:dyDescent="0.25">
      <c r="A438" s="13" t="s">
        <v>10</v>
      </c>
      <c r="B438" t="str">
        <f>HYPERLINK("https://www.scholarships.unsw.edu.au/scholarships/id/1838", "Synergy Protection Agency Award")</f>
        <v>Synergy Protection Agency Award</v>
      </c>
      <c r="C438" t="s">
        <v>27</v>
      </c>
      <c r="D438" t="s">
        <v>208</v>
      </c>
      <c r="E438" t="s">
        <v>201</v>
      </c>
      <c r="F438" t="s">
        <v>51</v>
      </c>
      <c r="G438" s="12" t="s">
        <v>428</v>
      </c>
      <c r="H438" t="s">
        <v>25</v>
      </c>
      <c r="I438" t="s">
        <v>25</v>
      </c>
    </row>
    <row r="439" spans="1:9" ht="75" x14ac:dyDescent="0.25">
      <c r="A439" s="13" t="s">
        <v>10</v>
      </c>
      <c r="B439" t="str">
        <f>HYPERLINK("https://www.scholarships.unsw.edu.au/scholarships/id/1843", "UNSW Arts, Design &amp; Architecture Honours Scholarships - Commencing Term 1, 2025")</f>
        <v>UNSW Arts, Design &amp; Architecture Honours Scholarships - Commencing Term 1, 2025</v>
      </c>
      <c r="C439" t="s">
        <v>27</v>
      </c>
      <c r="D439" s="12" t="s">
        <v>660</v>
      </c>
      <c r="E439" t="s">
        <v>201</v>
      </c>
      <c r="F439" t="s">
        <v>197</v>
      </c>
      <c r="G439" s="12" t="s">
        <v>661</v>
      </c>
      <c r="H439" t="s">
        <v>25</v>
      </c>
      <c r="I439" t="s">
        <v>25</v>
      </c>
    </row>
    <row r="440" spans="1:9" ht="30" x14ac:dyDescent="0.25">
      <c r="A440" s="13" t="s">
        <v>10</v>
      </c>
      <c r="B440" t="str">
        <f>HYPERLINK("https://www.scholarships.unsw.edu.au/scholarships/id/1668", "UNSW Business School Honours Scholarships")</f>
        <v>UNSW Business School Honours Scholarships</v>
      </c>
      <c r="C440" t="s">
        <v>27</v>
      </c>
      <c r="D440" t="s">
        <v>658</v>
      </c>
      <c r="E440" t="s">
        <v>201</v>
      </c>
      <c r="F440" t="s">
        <v>197</v>
      </c>
      <c r="G440" s="12" t="s">
        <v>659</v>
      </c>
      <c r="H440" t="s">
        <v>25</v>
      </c>
      <c r="I440" t="s">
        <v>25</v>
      </c>
    </row>
    <row r="441" spans="1:9" ht="195" x14ac:dyDescent="0.25">
      <c r="A441" s="13" t="s">
        <v>10</v>
      </c>
      <c r="B441" t="str">
        <f>HYPERLINK("https://www.scholarships.unsw.edu.au/scholarships/id/1741", "Women in Construction Honours &amp; Postgraduate Award")</f>
        <v>Women in Construction Honours &amp; Postgraduate Award</v>
      </c>
      <c r="C441" t="s">
        <v>27</v>
      </c>
      <c r="D441" t="s">
        <v>208</v>
      </c>
      <c r="E441" t="s">
        <v>201</v>
      </c>
      <c r="F441" t="s">
        <v>35</v>
      </c>
      <c r="G441" s="12" t="s">
        <v>429</v>
      </c>
      <c r="H441" t="s">
        <v>25</v>
      </c>
      <c r="I441" t="s">
        <v>25</v>
      </c>
    </row>
    <row r="442" spans="1:9" ht="75" x14ac:dyDescent="0.25">
      <c r="A442" s="4" t="s">
        <v>8</v>
      </c>
      <c r="B442" s="8" t="str">
        <f>HYPERLINK(" https://www.uts.edu.au/scholarship/wanago-access-scholarship-young-women", "The Wanago Access Scholarship for Young Women")</f>
        <v>The Wanago Access Scholarship for Young Women</v>
      </c>
      <c r="C442" s="7" t="s">
        <v>14</v>
      </c>
      <c r="D442" s="9">
        <v>10000</v>
      </c>
      <c r="E442" s="7">
        <v>5</v>
      </c>
      <c r="F442" s="7" t="s">
        <v>13</v>
      </c>
      <c r="G442" s="10" t="s">
        <v>57</v>
      </c>
      <c r="H442" t="s">
        <v>25</v>
      </c>
      <c r="I442" s="7" t="s">
        <v>25</v>
      </c>
    </row>
    <row r="443" spans="1:9" ht="30" x14ac:dyDescent="0.25">
      <c r="A443" s="4" t="s">
        <v>8</v>
      </c>
      <c r="B443" s="8" t="str">
        <f>HYPERLINK(" https://www.uts.edu.au/scholarship/business-deans-scholarship", "Business Dean's Scholarship")</f>
        <v>Business Dean's Scholarship</v>
      </c>
      <c r="C443" s="7" t="s">
        <v>27</v>
      </c>
      <c r="D443" s="9">
        <v>10000</v>
      </c>
      <c r="E443" s="7">
        <v>3</v>
      </c>
      <c r="F443" s="7" t="s">
        <v>13</v>
      </c>
      <c r="G443" s="10" t="s">
        <v>30</v>
      </c>
      <c r="H443" t="s">
        <v>25</v>
      </c>
      <c r="I443" s="7" t="s">
        <v>25</v>
      </c>
    </row>
    <row r="444" spans="1:9" ht="30" x14ac:dyDescent="0.25">
      <c r="A444" s="4" t="s">
        <v>8</v>
      </c>
      <c r="B444" s="8" t="str">
        <f>HYPERLINK("https://www.uts.edu.au/scholarship/faculty-arts-and-social-sciences-undergraduate-student-merit-scholarship", "Faculty of Arts and Social Sciences Undergraduate Student Merit Scholarship")</f>
        <v>Faculty of Arts and Social Sciences Undergraduate Student Merit Scholarship</v>
      </c>
      <c r="C444" s="7" t="s">
        <v>14</v>
      </c>
      <c r="D444" s="9">
        <v>5000</v>
      </c>
      <c r="E444" s="7">
        <v>1</v>
      </c>
      <c r="F444" s="7" t="s">
        <v>13</v>
      </c>
      <c r="G444" s="10" t="s">
        <v>58</v>
      </c>
      <c r="H444" t="s">
        <v>21</v>
      </c>
      <c r="I444" s="7" t="s">
        <v>25</v>
      </c>
    </row>
    <row r="445" spans="1:9" ht="75" x14ac:dyDescent="0.25">
      <c r="A445" s="4" t="s">
        <v>8</v>
      </c>
      <c r="B445" s="8" t="str">
        <f>HYPERLINK(" https://www.uts.edu.au/scholarship/hansen-yuncken-scholarship-women-construction-and-engineering", "Hansen Yuncken Scholarship for Women in Construction and Engineering")</f>
        <v>Hansen Yuncken Scholarship for Women in Construction and Engineering</v>
      </c>
      <c r="C445" s="7" t="s">
        <v>27</v>
      </c>
      <c r="D445" s="7" t="s">
        <v>59</v>
      </c>
      <c r="E445" s="7">
        <v>1</v>
      </c>
      <c r="F445" s="7" t="s">
        <v>13</v>
      </c>
      <c r="G445" s="10" t="s">
        <v>60</v>
      </c>
      <c r="H445" t="s">
        <v>25</v>
      </c>
      <c r="I445" s="7" t="s">
        <v>16</v>
      </c>
    </row>
    <row r="446" spans="1:9" ht="60" x14ac:dyDescent="0.25">
      <c r="A446" s="4" t="s">
        <v>8</v>
      </c>
      <c r="B446" s="8" t="str">
        <f>HYPERLINK(" https://www.uts.edu.au/scholarship/essence-project-management-scholarship", "Essence Project Management Scholarship")</f>
        <v>Essence Project Management Scholarship</v>
      </c>
      <c r="C446" s="7" t="s">
        <v>27</v>
      </c>
      <c r="D446" s="9">
        <v>10000</v>
      </c>
      <c r="E446" s="7">
        <v>1</v>
      </c>
      <c r="F446" s="7" t="s">
        <v>13</v>
      </c>
      <c r="G446" s="10" t="s">
        <v>61</v>
      </c>
      <c r="H446" t="s">
        <v>25</v>
      </c>
      <c r="I446" t="s">
        <v>16</v>
      </c>
    </row>
    <row r="447" spans="1:9" ht="30" x14ac:dyDescent="0.25">
      <c r="A447" s="4" t="s">
        <v>8</v>
      </c>
      <c r="B447" s="8" t="str">
        <f>HYPERLINK(" https://www.uts.edu.au/scholarship/carl-nielsen-professional-development-scholarship", "Carl Nielsen Professional Development Scholarship")</f>
        <v>Carl Nielsen Professional Development Scholarship</v>
      </c>
      <c r="C447" s="7" t="s">
        <v>27</v>
      </c>
      <c r="D447" s="9">
        <v>5000</v>
      </c>
      <c r="E447" s="7">
        <v>1</v>
      </c>
      <c r="F447" s="7" t="s">
        <v>13</v>
      </c>
      <c r="G447" s="10" t="s">
        <v>62</v>
      </c>
      <c r="H447" t="s">
        <v>25</v>
      </c>
      <c r="I447" t="s">
        <v>25</v>
      </c>
    </row>
    <row r="448" spans="1:9" ht="30" x14ac:dyDescent="0.25">
      <c r="A448" s="4" t="s">
        <v>8</v>
      </c>
      <c r="B448" s="8" t="str">
        <f>HYPERLINK(" https://www.uts.edu.au/scholarship/garth-barnett-scholarship", "Garth Barnett Scholarship")</f>
        <v>Garth Barnett Scholarship</v>
      </c>
      <c r="C448" s="7" t="s">
        <v>27</v>
      </c>
      <c r="D448" s="9">
        <v>9000</v>
      </c>
      <c r="E448" s="7">
        <v>2</v>
      </c>
      <c r="F448" s="7" t="s">
        <v>13</v>
      </c>
      <c r="G448" s="10" t="s">
        <v>62</v>
      </c>
      <c r="H448" t="s">
        <v>25</v>
      </c>
      <c r="I448" t="s">
        <v>25</v>
      </c>
    </row>
    <row r="449" spans="1:9" ht="60" x14ac:dyDescent="0.25">
      <c r="A449" s="4" t="s">
        <v>8</v>
      </c>
      <c r="B449" s="8" t="str">
        <f>HYPERLINK("https://www.uts.edu.au/scholarship/richard-crookes-constructions-merit-scholarship-women", "Richard Crookes Constructions Merit Scholarship for Women")</f>
        <v>Richard Crookes Constructions Merit Scholarship for Women</v>
      </c>
      <c r="C449" s="7" t="s">
        <v>27</v>
      </c>
      <c r="D449" s="9">
        <v>5000</v>
      </c>
      <c r="E449" s="7">
        <v>2</v>
      </c>
      <c r="F449" s="7" t="s">
        <v>13</v>
      </c>
      <c r="G449" s="10" t="s">
        <v>63</v>
      </c>
      <c r="H449" t="s">
        <v>25</v>
      </c>
      <c r="I449" t="s">
        <v>16</v>
      </c>
    </row>
    <row r="450" spans="1:9" ht="45" x14ac:dyDescent="0.25">
      <c r="A450" s="4" t="s">
        <v>8</v>
      </c>
      <c r="B450" s="8" t="str">
        <f>HYPERLINK(" https://www.uts.edu.au/scholarship/charter-hall-property-economics-scholarship", "Charter Hall Property Economics Scholarship")</f>
        <v>Charter Hall Property Economics Scholarship</v>
      </c>
      <c r="C450" s="7" t="s">
        <v>27</v>
      </c>
      <c r="D450" s="9">
        <v>10000</v>
      </c>
      <c r="E450" s="7">
        <v>1</v>
      </c>
      <c r="F450" s="7" t="s">
        <v>13</v>
      </c>
      <c r="G450" s="10" t="s">
        <v>64</v>
      </c>
      <c r="H450" t="s">
        <v>21</v>
      </c>
      <c r="I450" t="s">
        <v>16</v>
      </c>
    </row>
    <row r="451" spans="1:9" ht="60" x14ac:dyDescent="0.25">
      <c r="A451" s="4" t="s">
        <v>8</v>
      </c>
      <c r="B451" s="8" t="str">
        <f>HYPERLINK(" https://www.uts.edu.au/scholarship/cox-architecture-scholarship", "Cox Architecture Scholarship")</f>
        <v>Cox Architecture Scholarship</v>
      </c>
      <c r="C451" s="7" t="s">
        <v>27</v>
      </c>
      <c r="D451" s="9">
        <v>10000</v>
      </c>
      <c r="E451" s="7">
        <v>1</v>
      </c>
      <c r="F451" s="7" t="s">
        <v>13</v>
      </c>
      <c r="G451" s="10" t="s">
        <v>65</v>
      </c>
      <c r="H451" t="s">
        <v>25</v>
      </c>
      <c r="I451" t="s">
        <v>16</v>
      </c>
    </row>
    <row r="452" spans="1:9" ht="75" x14ac:dyDescent="0.25">
      <c r="A452" s="4" t="s">
        <v>8</v>
      </c>
      <c r="B452" s="8" t="str">
        <f>HYPERLINK(" https://www.uts.edu.au/scholarship/mirvac-group-merit-scholarship-women-construction", "Mirvac Group Merit Scholarship for Women in Construction")</f>
        <v>Mirvac Group Merit Scholarship for Women in Construction</v>
      </c>
      <c r="C452" s="7" t="s">
        <v>27</v>
      </c>
      <c r="D452" s="9">
        <v>15000</v>
      </c>
      <c r="E452" s="7">
        <v>1</v>
      </c>
      <c r="F452" s="7" t="s">
        <v>13</v>
      </c>
      <c r="G452" s="10" t="s">
        <v>66</v>
      </c>
      <c r="H452" t="s">
        <v>25</v>
      </c>
      <c r="I452" t="s">
        <v>16</v>
      </c>
    </row>
    <row r="453" spans="1:9" ht="45" x14ac:dyDescent="0.25">
      <c r="A453" s="4" t="s">
        <v>8</v>
      </c>
      <c r="B453" s="8" t="str">
        <f>HYPERLINK("https://www.uts.edu.au/scholarship/order-australia-association-foundation-scholarship", "The Order of Australia Association Foundation Scholarship")</f>
        <v>The Order of Australia Association Foundation Scholarship</v>
      </c>
      <c r="C453" s="7" t="s">
        <v>27</v>
      </c>
      <c r="D453" s="9">
        <v>40000</v>
      </c>
      <c r="E453" s="7">
        <v>2</v>
      </c>
      <c r="F453" s="7" t="s">
        <v>13</v>
      </c>
      <c r="G453" s="10" t="s">
        <v>67</v>
      </c>
      <c r="H453" t="s">
        <v>25</v>
      </c>
      <c r="I453" t="s">
        <v>25</v>
      </c>
    </row>
    <row r="454" spans="1:9" ht="45" x14ac:dyDescent="0.25">
      <c r="A454" s="4" t="s">
        <v>8</v>
      </c>
      <c r="B454" s="8" t="str">
        <f>HYPERLINK("https://www.uts.edu.au/scholarship/toshiba-nathan-godby-engineering-scholarship", "Toshiba Nathan Godby Engineering Scholarship")</f>
        <v>Toshiba Nathan Godby Engineering Scholarship</v>
      </c>
      <c r="C454" s="7" t="s">
        <v>27</v>
      </c>
      <c r="D454" s="9">
        <v>25000</v>
      </c>
      <c r="E454" s="7">
        <v>0.5</v>
      </c>
      <c r="F454" s="7" t="s">
        <v>68</v>
      </c>
      <c r="G454" s="10" t="s">
        <v>69</v>
      </c>
      <c r="H454" t="s">
        <v>25</v>
      </c>
      <c r="I454" s="7" t="s">
        <v>16</v>
      </c>
    </row>
    <row r="455" spans="1:9" ht="60" x14ac:dyDescent="0.25">
      <c r="A455" s="4" t="s">
        <v>8</v>
      </c>
      <c r="B455" s="8" t="str">
        <f>HYPERLINK("https://www.uts.edu.au/scholarship/john-heine-memorial-scholarship-women-engineering", "John Heine Memorial Scholarship for Women in Engineering")</f>
        <v>John Heine Memorial Scholarship for Women in Engineering</v>
      </c>
      <c r="C455" s="7" t="s">
        <v>27</v>
      </c>
      <c r="D455" s="9">
        <v>23000</v>
      </c>
      <c r="E455" s="7">
        <v>5</v>
      </c>
      <c r="F455" s="7" t="s">
        <v>68</v>
      </c>
      <c r="G455" s="10" t="s">
        <v>70</v>
      </c>
      <c r="H455" t="s">
        <v>25</v>
      </c>
      <c r="I455" t="s">
        <v>25</v>
      </c>
    </row>
    <row r="456" spans="1:9" ht="60" x14ac:dyDescent="0.25">
      <c r="A456" s="4" t="s">
        <v>8</v>
      </c>
      <c r="B456" s="8" t="str">
        <f>HYPERLINK("https://www.uts.edu.au/scholarship/wj-lm-sinclair-scholarship-engineering", "WJ &amp; LM Sinclair Scholarship in Engineering")</f>
        <v>WJ &amp; LM Sinclair Scholarship in Engineering</v>
      </c>
      <c r="C456" s="7" t="s">
        <v>14</v>
      </c>
      <c r="D456" s="9">
        <v>20000</v>
      </c>
      <c r="E456" s="7">
        <v>5</v>
      </c>
      <c r="F456" s="7" t="s">
        <v>68</v>
      </c>
      <c r="G456" s="10" t="s">
        <v>71</v>
      </c>
      <c r="H456" t="s">
        <v>21</v>
      </c>
      <c r="I456" s="7" t="s">
        <v>25</v>
      </c>
    </row>
    <row r="457" spans="1:9" ht="45" x14ac:dyDescent="0.25">
      <c r="A457" s="4" t="s">
        <v>8</v>
      </c>
      <c r="B457" s="8" t="str">
        <f>HYPERLINK("https://www.uts.edu.au/scholarship/canon-medical-systems-uts-engineering-scholarship", "Canon Medical Systems – UTS Engineering Scholarship")</f>
        <v>Canon Medical Systems – UTS Engineering Scholarship</v>
      </c>
      <c r="C457" s="7" t="s">
        <v>27</v>
      </c>
      <c r="D457" s="9">
        <v>29000</v>
      </c>
      <c r="E457" s="7">
        <v>1</v>
      </c>
      <c r="F457" s="7" t="s">
        <v>68</v>
      </c>
      <c r="G457" s="10" t="s">
        <v>69</v>
      </c>
      <c r="H457" t="s">
        <v>25</v>
      </c>
      <c r="I457" s="7" t="s">
        <v>16</v>
      </c>
    </row>
    <row r="458" spans="1:9" ht="30" x14ac:dyDescent="0.25">
      <c r="A458" s="4" t="s">
        <v>8</v>
      </c>
      <c r="B458" s="8" t="str">
        <f>HYPERLINK("https://www.uts.edu.au/scholarship/eleanor-dunn-scholarship-engineering", "The Eleanor Dunn Scholarship in Engineering")</f>
        <v>The Eleanor Dunn Scholarship in Engineering</v>
      </c>
      <c r="C458" s="7" t="s">
        <v>14</v>
      </c>
      <c r="D458" s="7" t="s">
        <v>72</v>
      </c>
      <c r="E458" s="7">
        <v>5</v>
      </c>
      <c r="F458" s="7" t="s">
        <v>68</v>
      </c>
      <c r="G458" s="10" t="s">
        <v>73</v>
      </c>
      <c r="H458" t="s">
        <v>25</v>
      </c>
      <c r="I458" s="7" t="s">
        <v>25</v>
      </c>
    </row>
    <row r="459" spans="1:9" ht="60" x14ac:dyDescent="0.25">
      <c r="A459" s="4" t="s">
        <v>8</v>
      </c>
      <c r="B459" s="8" t="str">
        <f>HYPERLINK("https://www.uts.edu.au/scholarship/ericsson-scholarship-women-ict-and-engineering", "Ericsson Scholarship for Women in ICT and Engineering")</f>
        <v>Ericsson Scholarship for Women in ICT and Engineering</v>
      </c>
      <c r="C459" s="7" t="s">
        <v>27</v>
      </c>
      <c r="D459" s="7" t="s">
        <v>74</v>
      </c>
      <c r="E459" s="7" t="s">
        <v>75</v>
      </c>
      <c r="F459" s="7" t="s">
        <v>68</v>
      </c>
      <c r="G459" s="10" t="s">
        <v>76</v>
      </c>
      <c r="H459" t="s">
        <v>25</v>
      </c>
      <c r="I459" s="7" t="s">
        <v>16</v>
      </c>
    </row>
    <row r="460" spans="1:9" ht="45" x14ac:dyDescent="0.25">
      <c r="A460" s="4" t="s">
        <v>8</v>
      </c>
      <c r="B460" s="8" t="str">
        <f>HYPERLINK("https://www.uts.edu.au/scholarship/thales-senior-cooperative-scholarship", "The Thales Senior Cooperative Scholarship")</f>
        <v>The Thales Senior Cooperative Scholarship</v>
      </c>
      <c r="C460" s="7" t="s">
        <v>27</v>
      </c>
      <c r="D460" s="7" t="s">
        <v>77</v>
      </c>
      <c r="E460" s="7" t="s">
        <v>78</v>
      </c>
      <c r="F460" s="7" t="s">
        <v>68</v>
      </c>
      <c r="G460" s="10" t="s">
        <v>79</v>
      </c>
      <c r="H460" t="s">
        <v>25</v>
      </c>
      <c r="I460" s="7" t="s">
        <v>16</v>
      </c>
    </row>
    <row r="461" spans="1:9" ht="60" x14ac:dyDescent="0.25">
      <c r="A461" s="4" t="s">
        <v>8</v>
      </c>
      <c r="B461" s="8" t="str">
        <f>HYPERLINK("https://www.uts.edu.au/scholarship/linden-little-engineering-equity-scholarship", "Linden Little Engineering Equity Scholarship")</f>
        <v>Linden Little Engineering Equity Scholarship</v>
      </c>
      <c r="C461" s="7" t="s">
        <v>14</v>
      </c>
      <c r="D461" s="9">
        <v>17500</v>
      </c>
      <c r="E461" s="7">
        <v>2</v>
      </c>
      <c r="F461" s="7" t="s">
        <v>68</v>
      </c>
      <c r="G461" s="10" t="s">
        <v>71</v>
      </c>
      <c r="H461" t="s">
        <v>25</v>
      </c>
      <c r="I461" t="s">
        <v>25</v>
      </c>
    </row>
    <row r="462" spans="1:9" ht="60" x14ac:dyDescent="0.25">
      <c r="A462" s="4" t="s">
        <v>8</v>
      </c>
      <c r="B462" s="8" t="str">
        <f>HYPERLINK("https://www.uts.edu.au/scholarship/john-heine-memorial-scholarship-engineering", "John Heine Memorial Scholarship in Engineering")</f>
        <v>John Heine Memorial Scholarship in Engineering</v>
      </c>
      <c r="C462" s="7" t="s">
        <v>14</v>
      </c>
      <c r="D462" s="9">
        <v>23000</v>
      </c>
      <c r="E462" s="7">
        <v>5</v>
      </c>
      <c r="F462" s="7" t="s">
        <v>68</v>
      </c>
      <c r="G462" s="10" t="s">
        <v>71</v>
      </c>
      <c r="H462" t="s">
        <v>25</v>
      </c>
      <c r="I462" t="s">
        <v>25</v>
      </c>
    </row>
    <row r="463" spans="1:9" ht="45" x14ac:dyDescent="0.25">
      <c r="A463" s="4" t="s">
        <v>8</v>
      </c>
      <c r="B463" s="8" t="str">
        <f>HYPERLINK("https://www.uts.edu.au/scholarship/engineering-and-information-technology-deans-scholarship", "Engineering and Information Technology Dean’s Scholarship")</f>
        <v>Engineering and Information Technology Dean’s Scholarship</v>
      </c>
      <c r="C463" s="7" t="s">
        <v>27</v>
      </c>
      <c r="D463" s="9">
        <v>30000</v>
      </c>
      <c r="E463" s="7">
        <v>2</v>
      </c>
      <c r="F463" s="7" t="s">
        <v>13</v>
      </c>
      <c r="G463" s="10" t="s">
        <v>79</v>
      </c>
      <c r="H463" t="s">
        <v>25</v>
      </c>
      <c r="I463" t="s">
        <v>25</v>
      </c>
    </row>
    <row r="464" spans="1:9" ht="30" x14ac:dyDescent="0.25">
      <c r="A464" s="4" t="s">
        <v>8</v>
      </c>
      <c r="B464" s="8" t="str">
        <f>HYPERLINK("https://www.uts.edu.au/scholarship/health-deans-scholarship", "Health Dean’s Scholarship")</f>
        <v>Health Dean’s Scholarship</v>
      </c>
      <c r="C464" s="7" t="s">
        <v>27</v>
      </c>
      <c r="D464" s="9">
        <v>10000</v>
      </c>
      <c r="E464" s="7">
        <v>1</v>
      </c>
      <c r="F464" s="7" t="s">
        <v>13</v>
      </c>
      <c r="G464" s="10" t="s">
        <v>81</v>
      </c>
      <c r="H464" t="s">
        <v>25</v>
      </c>
      <c r="I464" t="s">
        <v>25</v>
      </c>
    </row>
    <row r="465" spans="1:9" ht="45" x14ac:dyDescent="0.25">
      <c r="A465" s="4" t="s">
        <v>8</v>
      </c>
      <c r="B465" s="8" t="str">
        <f>HYPERLINK("https://www.uts.edu.au/scholarship/challenger-it-scholarship", "Challenger IT Scholarship")</f>
        <v>Challenger IT Scholarship</v>
      </c>
      <c r="C465" s="7" t="s">
        <v>27</v>
      </c>
      <c r="D465" s="9">
        <v>43000</v>
      </c>
      <c r="E465" s="7">
        <v>1</v>
      </c>
      <c r="F465" s="7" t="s">
        <v>68</v>
      </c>
      <c r="G465" s="10" t="s">
        <v>82</v>
      </c>
      <c r="H465" t="s">
        <v>25</v>
      </c>
      <c r="I465" s="7" t="s">
        <v>16</v>
      </c>
    </row>
    <row r="466" spans="1:9" ht="60" x14ac:dyDescent="0.25">
      <c r="A466" s="4" t="s">
        <v>8</v>
      </c>
      <c r="B466" s="8" t="str">
        <f>HYPERLINK("https://www.uts.edu.au/scholarship/bachelor-information-technology-co-operative-scholarship-program", "Bachelor of Information Technology Co-operative Scholarship Program")</f>
        <v>Bachelor of Information Technology Co-operative Scholarship Program</v>
      </c>
      <c r="C466" s="7" t="s">
        <v>27</v>
      </c>
      <c r="D466" s="11" t="s">
        <v>83</v>
      </c>
      <c r="E466" s="7">
        <v>3</v>
      </c>
      <c r="F466" s="7" t="s">
        <v>13</v>
      </c>
      <c r="G466" s="10" t="s">
        <v>84</v>
      </c>
      <c r="H466" t="s">
        <v>25</v>
      </c>
      <c r="I466" s="7" t="s">
        <v>16</v>
      </c>
    </row>
    <row r="467" spans="1:9" ht="30" x14ac:dyDescent="0.25">
      <c r="A467" s="4" t="s">
        <v>8</v>
      </c>
      <c r="B467" s="8" t="str">
        <f>HYPERLINK("https://www.uts.edu.au/scholarship/law-equity-scholarship", "Law Equity Scholarship")</f>
        <v>Law Equity Scholarship</v>
      </c>
      <c r="C467" s="7" t="s">
        <v>14</v>
      </c>
      <c r="D467" s="9">
        <v>5000</v>
      </c>
      <c r="E467" s="7">
        <v>4</v>
      </c>
      <c r="F467" s="7" t="s">
        <v>13</v>
      </c>
      <c r="G467" s="10" t="s">
        <v>85</v>
      </c>
      <c r="H467" t="s">
        <v>25</v>
      </c>
      <c r="I467" t="s">
        <v>25</v>
      </c>
    </row>
    <row r="468" spans="1:9" ht="45" x14ac:dyDescent="0.25">
      <c r="A468" s="4" t="s">
        <v>8</v>
      </c>
      <c r="B468" s="8" t="str">
        <f>HYPERLINK("https://www.uts.edu.au/scholarship/ezekiel-solomon-scholarship", "Ezekiel Solomon Scholarship")</f>
        <v>Ezekiel Solomon Scholarship</v>
      </c>
      <c r="C468" s="7" t="s">
        <v>14</v>
      </c>
      <c r="D468" s="9">
        <v>5000</v>
      </c>
      <c r="E468" s="7">
        <v>1</v>
      </c>
      <c r="F468" s="7" t="s">
        <v>13</v>
      </c>
      <c r="G468" s="10" t="s">
        <v>86</v>
      </c>
      <c r="H468" t="s">
        <v>25</v>
      </c>
      <c r="I468" t="s">
        <v>25</v>
      </c>
    </row>
    <row r="469" spans="1:9" ht="45" x14ac:dyDescent="0.25">
      <c r="A469" s="4" t="s">
        <v>8</v>
      </c>
      <c r="B469" s="8" t="str">
        <f>HYPERLINK("https://www.uts.edu.au/scholarship/eric-dreikurs-scholarship", "Eric Dreikurs Scholarship")</f>
        <v>Eric Dreikurs Scholarship</v>
      </c>
      <c r="C469" s="7" t="s">
        <v>14</v>
      </c>
      <c r="D469" s="9">
        <v>6000</v>
      </c>
      <c r="E469" s="7">
        <v>1</v>
      </c>
      <c r="F469" s="7" t="s">
        <v>13</v>
      </c>
      <c r="G469" s="10" t="s">
        <v>86</v>
      </c>
      <c r="H469" t="s">
        <v>25</v>
      </c>
      <c r="I469" t="s">
        <v>25</v>
      </c>
    </row>
    <row r="470" spans="1:9" ht="30" x14ac:dyDescent="0.25">
      <c r="A470" s="4" t="s">
        <v>8</v>
      </c>
      <c r="B470" s="8" t="str">
        <f>HYPERLINK("https://www.uts.edu.au/scholarship/law-deans-scholarship", "Law Dean’s Scholarship")</f>
        <v>Law Dean’s Scholarship</v>
      </c>
      <c r="C470" s="7" t="s">
        <v>27</v>
      </c>
      <c r="D470" s="9">
        <v>10000</v>
      </c>
      <c r="E470" s="7">
        <v>1</v>
      </c>
      <c r="F470" s="7" t="s">
        <v>13</v>
      </c>
      <c r="G470" s="10" t="s">
        <v>87</v>
      </c>
      <c r="H470" t="s">
        <v>25</v>
      </c>
      <c r="I470" t="s">
        <v>25</v>
      </c>
    </row>
    <row r="471" spans="1:9" ht="60" x14ac:dyDescent="0.25">
      <c r="A471" s="4" t="s">
        <v>8</v>
      </c>
      <c r="B471" s="8" t="str">
        <f>HYPERLINK("https://www.uts.edu.au/scholarship/law-diversity-and-equity-scholarship", "Law Diversity and Equity Scholarship")</f>
        <v>Law Diversity and Equity Scholarship</v>
      </c>
      <c r="C471" s="7" t="s">
        <v>14</v>
      </c>
      <c r="D471" s="9">
        <v>10000</v>
      </c>
      <c r="E471" s="7">
        <v>1</v>
      </c>
      <c r="F471" s="7" t="s">
        <v>13</v>
      </c>
      <c r="G471" s="10" t="s">
        <v>88</v>
      </c>
      <c r="H471" t="s">
        <v>21</v>
      </c>
      <c r="I471" t="s">
        <v>25</v>
      </c>
    </row>
    <row r="472" spans="1:9" ht="30" x14ac:dyDescent="0.25">
      <c r="A472" s="4" t="s">
        <v>8</v>
      </c>
      <c r="B472" s="8" t="str">
        <f>HYPERLINK("https://www.uts.edu.au/scholarship/science-deans-scholarship", "Science Dean's Scholarship")</f>
        <v>Science Dean's Scholarship</v>
      </c>
      <c r="C472" s="7" t="s">
        <v>27</v>
      </c>
      <c r="D472" s="9">
        <v>15000</v>
      </c>
      <c r="E472" s="7">
        <v>3</v>
      </c>
      <c r="F472" s="7" t="s">
        <v>13</v>
      </c>
      <c r="G472" s="10" t="s">
        <v>90</v>
      </c>
      <c r="H472" t="s">
        <v>25</v>
      </c>
      <c r="I472" t="s">
        <v>25</v>
      </c>
    </row>
    <row r="473" spans="1:9" ht="45" x14ac:dyDescent="0.25">
      <c r="A473" s="4" t="s">
        <v>8</v>
      </c>
      <c r="B473" s="8" t="str">
        <f>HYPERLINK(" https://www.uts.edu.au/scholarship/science-deans-scholarship-women", "Science Dean’s Scholarship for Women")</f>
        <v>Science Dean’s Scholarship for Women</v>
      </c>
      <c r="C473" s="7" t="s">
        <v>27</v>
      </c>
      <c r="D473" s="9">
        <v>15000</v>
      </c>
      <c r="E473" s="7">
        <v>3</v>
      </c>
      <c r="F473" s="7" t="s">
        <v>13</v>
      </c>
      <c r="G473" s="10" t="s">
        <v>89</v>
      </c>
      <c r="H473" t="s">
        <v>25</v>
      </c>
      <c r="I473" t="s">
        <v>25</v>
      </c>
    </row>
    <row r="474" spans="1:9" ht="45" x14ac:dyDescent="0.25">
      <c r="A474" s="4" t="s">
        <v>8</v>
      </c>
      <c r="B474" s="8" t="str">
        <f>HYPERLINK("https://www.uts.edu.au/scholarship/uts-science-high-achievers-scholarship-0", "UTS Science High Achiever’s Scholarship")</f>
        <v>UTS Science High Achiever’s Scholarship</v>
      </c>
      <c r="C474" s="7" t="s">
        <v>27</v>
      </c>
      <c r="D474" s="9">
        <v>6000</v>
      </c>
      <c r="E474" s="7">
        <v>3</v>
      </c>
      <c r="F474" s="7" t="s">
        <v>13</v>
      </c>
      <c r="G474" s="10" t="s">
        <v>89</v>
      </c>
      <c r="H474" t="s">
        <v>25</v>
      </c>
      <c r="I474" t="s">
        <v>25</v>
      </c>
    </row>
    <row r="475" spans="1:9" ht="30" x14ac:dyDescent="0.25">
      <c r="A475" s="4" t="s">
        <v>8</v>
      </c>
      <c r="B475" s="8" t="str">
        <f>HYPERLINK("https://www.uts.edu.au/scholarship/ross-milbourne-elite-athlete-scholarship", "Ross Milbourne Elite Athlete Scholarship")</f>
        <v>Ross Milbourne Elite Athlete Scholarship</v>
      </c>
      <c r="C475" s="7" t="s">
        <v>27</v>
      </c>
      <c r="D475" s="9">
        <v>5000</v>
      </c>
      <c r="E475" s="7">
        <v>1</v>
      </c>
      <c r="F475" s="7" t="s">
        <v>91</v>
      </c>
      <c r="G475" s="10" t="s">
        <v>92</v>
      </c>
      <c r="H475" t="s">
        <v>25</v>
      </c>
      <c r="I475" t="s">
        <v>25</v>
      </c>
    </row>
    <row r="476" spans="1:9" ht="30" x14ac:dyDescent="0.25">
      <c r="A476" s="4" t="s">
        <v>8</v>
      </c>
      <c r="B476" s="8" t="str">
        <f>HYPERLINK("https://www.uts.edu.au/scholarship/tertiary-access-payment-tap", "Tertiary Access Payment (TAP)")</f>
        <v>Tertiary Access Payment (TAP)</v>
      </c>
      <c r="C476" s="7" t="s">
        <v>14</v>
      </c>
      <c r="D476" s="9" t="s">
        <v>23</v>
      </c>
      <c r="E476" s="7">
        <v>1</v>
      </c>
      <c r="F476" s="7" t="s">
        <v>93</v>
      </c>
      <c r="G476" s="10" t="s">
        <v>94</v>
      </c>
      <c r="H476" t="s">
        <v>25</v>
      </c>
      <c r="I476" t="s">
        <v>25</v>
      </c>
    </row>
    <row r="477" spans="1:9" ht="30" x14ac:dyDescent="0.25">
      <c r="A477" s="4" t="s">
        <v>8</v>
      </c>
      <c r="B477" s="8" t="str">
        <f>HYPERLINK("https://www.uts.edu.au/scholarship/gradwell-brungs-scholarship", "The Gradwell Brungs Scholarship")</f>
        <v>The Gradwell Brungs Scholarship</v>
      </c>
      <c r="C477" s="7" t="s">
        <v>27</v>
      </c>
      <c r="D477" s="11" t="s">
        <v>95</v>
      </c>
      <c r="E477" s="7">
        <v>4</v>
      </c>
      <c r="F477" s="7" t="s">
        <v>13</v>
      </c>
      <c r="G477" s="10" t="s">
        <v>96</v>
      </c>
      <c r="H477" t="s">
        <v>25</v>
      </c>
      <c r="I477" t="s">
        <v>25</v>
      </c>
    </row>
    <row r="478" spans="1:9" ht="45" x14ac:dyDescent="0.25">
      <c r="A478" s="4" t="s">
        <v>8</v>
      </c>
      <c r="B478" s="8" t="str">
        <f>HYPERLINK("https://www.uts.edu.au/scholarship/vice-chancellors-merit-scholarship", "Vice-Chancellor's Merit Scholarship")</f>
        <v>Vice-Chancellor's Merit Scholarship</v>
      </c>
      <c r="C478" s="7" t="s">
        <v>14</v>
      </c>
      <c r="D478" s="11" t="s">
        <v>97</v>
      </c>
      <c r="E478" s="7" t="s">
        <v>41</v>
      </c>
      <c r="F478" s="7" t="s">
        <v>13</v>
      </c>
      <c r="G478" s="10" t="s">
        <v>98</v>
      </c>
      <c r="H478" t="s">
        <v>25</v>
      </c>
      <c r="I478" t="s">
        <v>25</v>
      </c>
    </row>
    <row r="479" spans="1:9" x14ac:dyDescent="0.25">
      <c r="A479" s="4" t="s">
        <v>8</v>
      </c>
      <c r="B479" s="8" t="str">
        <f>HYPERLINK("https://www.uts.edu.au/scholarship/vice-chancellors-outstanding-achievement-scholarship", "Vice-Chancellor's Outstanding Achievement Scholarship")</f>
        <v>Vice-Chancellor's Outstanding Achievement Scholarship</v>
      </c>
      <c r="C479" s="7" t="s">
        <v>27</v>
      </c>
      <c r="D479" s="11" t="s">
        <v>97</v>
      </c>
      <c r="E479" s="7" t="s">
        <v>41</v>
      </c>
      <c r="F479" s="7" t="s">
        <v>13</v>
      </c>
      <c r="G479" s="7" t="s">
        <v>99</v>
      </c>
      <c r="H479" t="s">
        <v>25</v>
      </c>
      <c r="I479" t="s">
        <v>25</v>
      </c>
    </row>
    <row r="480" spans="1:9" x14ac:dyDescent="0.25">
      <c r="A480" s="4" t="s">
        <v>8</v>
      </c>
      <c r="B480" s="8" t="str">
        <f>HYPERLINK("https://www.uts.edu.au/scholarship/lawrence-vidoni-memorial-scholarship-0", "Lawrence Vidoni Memorial Scholarship")</f>
        <v>Lawrence Vidoni Memorial Scholarship</v>
      </c>
      <c r="C480" s="7" t="s">
        <v>14</v>
      </c>
      <c r="D480" s="9">
        <v>9000</v>
      </c>
      <c r="E480" s="7">
        <v>3</v>
      </c>
      <c r="F480" s="7" t="s">
        <v>13</v>
      </c>
      <c r="G480" s="7" t="s">
        <v>100</v>
      </c>
      <c r="H480" t="s">
        <v>25</v>
      </c>
      <c r="I480" t="s">
        <v>25</v>
      </c>
    </row>
    <row r="481" spans="1:9" ht="45" x14ac:dyDescent="0.25">
      <c r="A481" s="4" t="s">
        <v>8</v>
      </c>
      <c r="B481" s="8" t="str">
        <f>HYPERLINK("https://www.uts.edu.au/scholarship/uts-economics-discipline-group-honours-scholarship", "UTS Business School Economics Honours Scholarship")</f>
        <v>UTS Business School Economics Honours Scholarship</v>
      </c>
      <c r="C481" s="7" t="s">
        <v>27</v>
      </c>
      <c r="D481" s="9">
        <v>5000</v>
      </c>
      <c r="E481" s="7">
        <v>1</v>
      </c>
      <c r="F481" s="7" t="s">
        <v>13</v>
      </c>
      <c r="G481" s="10" t="s">
        <v>101</v>
      </c>
      <c r="H481" t="s">
        <v>25</v>
      </c>
      <c r="I481" t="s">
        <v>25</v>
      </c>
    </row>
    <row r="482" spans="1:9" ht="45" x14ac:dyDescent="0.25">
      <c r="A482" s="4" t="s">
        <v>8</v>
      </c>
      <c r="B482" s="8" t="str">
        <f>HYPERLINK("https://www.uts.edu.au/scholarship/refinitiv-finance-honours-scholarship", "Refinitiv Finance Honours Scholarship")</f>
        <v>Refinitiv Finance Honours Scholarship</v>
      </c>
      <c r="C482" s="7" t="s">
        <v>27</v>
      </c>
      <c r="D482" s="9">
        <v>5000</v>
      </c>
      <c r="E482" s="7">
        <v>2</v>
      </c>
      <c r="F482" s="7" t="s">
        <v>13</v>
      </c>
      <c r="G482" s="10" t="s">
        <v>102</v>
      </c>
      <c r="H482" t="s">
        <v>25</v>
      </c>
      <c r="I482" t="s">
        <v>25</v>
      </c>
    </row>
    <row r="483" spans="1:9" ht="45" x14ac:dyDescent="0.25">
      <c r="A483" s="4" t="s">
        <v>8</v>
      </c>
      <c r="B483" s="8" t="str">
        <f>HYPERLINK("https://www.uts.edu.au/scholarship/uts-business-school-honours-scholarship", "UTS Business School Honours Scholarship")</f>
        <v>UTS Business School Honours Scholarship</v>
      </c>
      <c r="C483" s="7" t="s">
        <v>27</v>
      </c>
      <c r="D483" s="9">
        <v>5000</v>
      </c>
      <c r="E483" s="7">
        <v>1</v>
      </c>
      <c r="F483" s="7" t="s">
        <v>103</v>
      </c>
      <c r="G483" s="10" t="s">
        <v>104</v>
      </c>
      <c r="H483" t="s">
        <v>25</v>
      </c>
      <c r="I483" t="s">
        <v>25</v>
      </c>
    </row>
    <row r="484" spans="1:9" ht="45" x14ac:dyDescent="0.25">
      <c r="A484" s="4" t="s">
        <v>8</v>
      </c>
      <c r="B484" s="8" t="str">
        <f>HYPERLINK(" https://www.uts.edu.au/scholarship/marketing-honours-scholarship", "Marketing Honours Scholarship")</f>
        <v>Marketing Honours Scholarship</v>
      </c>
      <c r="C484" s="7" t="s">
        <v>27</v>
      </c>
      <c r="D484" s="9">
        <v>5000</v>
      </c>
      <c r="E484" s="7">
        <v>1</v>
      </c>
      <c r="F484" s="7" t="s">
        <v>103</v>
      </c>
      <c r="G484" s="10" t="s">
        <v>105</v>
      </c>
      <c r="H484" t="s">
        <v>25</v>
      </c>
      <c r="I484" t="s">
        <v>25</v>
      </c>
    </row>
    <row r="485" spans="1:9" ht="45" x14ac:dyDescent="0.25">
      <c r="A485" s="4" t="s">
        <v>8</v>
      </c>
      <c r="B485" s="8" t="str">
        <f>HYPERLINK("https://www.uts.edu.au/scholarship/accounting-honours-scholarship", "Accounting Honours Scholarship")</f>
        <v>Accounting Honours Scholarship</v>
      </c>
      <c r="C485" s="7" t="s">
        <v>27</v>
      </c>
      <c r="D485" s="9">
        <v>5000</v>
      </c>
      <c r="E485" s="7">
        <v>1</v>
      </c>
      <c r="F485" s="7" t="s">
        <v>103</v>
      </c>
      <c r="G485" s="10" t="s">
        <v>106</v>
      </c>
      <c r="H485" t="s">
        <v>25</v>
      </c>
      <c r="I485" t="s">
        <v>25</v>
      </c>
    </row>
    <row r="486" spans="1:9" ht="60" x14ac:dyDescent="0.25">
      <c r="A486" s="4" t="s">
        <v>8</v>
      </c>
      <c r="B486" s="8" t="str">
        <f>HYPERLINK("https://www.uts.edu.au/scholarship/plato-investment-management-scholarship-women-finance", "The Plato Investment Management Scholarship for Women in Finance")</f>
        <v>The Plato Investment Management Scholarship for Women in Finance</v>
      </c>
      <c r="C486" s="7" t="s">
        <v>27</v>
      </c>
      <c r="D486" s="9">
        <v>5000</v>
      </c>
      <c r="E486" s="7">
        <v>1</v>
      </c>
      <c r="F486" s="7" t="s">
        <v>107</v>
      </c>
      <c r="G486" s="10" t="s">
        <v>108</v>
      </c>
      <c r="H486" t="s">
        <v>25</v>
      </c>
      <c r="I486" t="s">
        <v>25</v>
      </c>
    </row>
    <row r="487" spans="1:9" ht="60" x14ac:dyDescent="0.25">
      <c r="A487" s="4" t="s">
        <v>8</v>
      </c>
      <c r="B487" s="8" t="str">
        <f>HYPERLINK("https://www.uts.edu.au/scholarship/women-engineering-and-it-cooperative-scholarship", "Women in Engineering and IT Cooperative Scholarship")</f>
        <v>Women in Engineering and IT Cooperative Scholarship</v>
      </c>
      <c r="C487" s="7" t="s">
        <v>27</v>
      </c>
      <c r="D487" s="9" t="s">
        <v>109</v>
      </c>
      <c r="E487" s="7">
        <v>4</v>
      </c>
      <c r="F487" s="7" t="s">
        <v>68</v>
      </c>
      <c r="G487" s="10" t="s">
        <v>70</v>
      </c>
      <c r="H487" t="s">
        <v>25</v>
      </c>
      <c r="I487" t="s">
        <v>16</v>
      </c>
    </row>
    <row r="488" spans="1:9" ht="30" x14ac:dyDescent="0.25">
      <c r="A488" s="4" t="s">
        <v>8</v>
      </c>
      <c r="B488" s="8" t="str">
        <f>HYPERLINK("https://www.uts.edu.au/scholarship/mba-scholarship-outstanding-students-commencing", "MBA Scholarship for Outstanding Students (Commencing)")</f>
        <v>MBA Scholarship for Outstanding Students (Commencing)</v>
      </c>
      <c r="C488" s="7" t="s">
        <v>27</v>
      </c>
      <c r="D488" s="9" t="s">
        <v>110</v>
      </c>
      <c r="E488" s="7">
        <v>1</v>
      </c>
      <c r="F488" s="7" t="s">
        <v>51</v>
      </c>
      <c r="G488" s="10" t="s">
        <v>111</v>
      </c>
      <c r="H488" t="s">
        <v>25</v>
      </c>
      <c r="I488" t="s">
        <v>25</v>
      </c>
    </row>
    <row r="489" spans="1:9" ht="30" x14ac:dyDescent="0.25">
      <c r="A489" s="4" t="s">
        <v>8</v>
      </c>
      <c r="B489" s="8" t="str">
        <f>HYPERLINK("https://www.uts.edu.au/scholarship/mba-scholarship-outstanding-students-current", "MBA Scholarship for Outstanding Students (Current)")</f>
        <v>MBA Scholarship for Outstanding Students (Current)</v>
      </c>
      <c r="C489" s="7" t="s">
        <v>27</v>
      </c>
      <c r="D489" s="9" t="s">
        <v>112</v>
      </c>
      <c r="E489" s="7">
        <v>1</v>
      </c>
      <c r="F489" s="7" t="s">
        <v>51</v>
      </c>
      <c r="G489" s="10" t="s">
        <v>56</v>
      </c>
      <c r="H489" t="s">
        <v>25</v>
      </c>
      <c r="I489" t="s">
        <v>25</v>
      </c>
    </row>
    <row r="490" spans="1:9" ht="30" x14ac:dyDescent="0.25">
      <c r="A490" s="4" t="s">
        <v>8</v>
      </c>
      <c r="B490" s="8" t="str">
        <f>HYPERLINK("https://www.uts.edu.au/scholarship/seerpharma-scholarship", "The SeerPharma Scholarship")</f>
        <v>The SeerPharma Scholarship</v>
      </c>
      <c r="C490" s="7" t="s">
        <v>27</v>
      </c>
      <c r="D490" s="7" t="s">
        <v>113</v>
      </c>
      <c r="E490" s="7">
        <v>1</v>
      </c>
      <c r="F490" s="7" t="s">
        <v>51</v>
      </c>
      <c r="G490" s="10" t="s">
        <v>114</v>
      </c>
      <c r="H490" t="s">
        <v>25</v>
      </c>
      <c r="I490" t="s">
        <v>25</v>
      </c>
    </row>
    <row r="491" spans="1:9" ht="30" x14ac:dyDescent="0.25">
      <c r="A491" s="4" t="s">
        <v>8</v>
      </c>
      <c r="B491" s="8" t="str">
        <f>HYPERLINK("https://www.uts.edu.au/scholarship/andrew-and-lina-gullotta-uts-pharmacy-scholarship", "Andrew and Lina Gullotta UTS Pharmacy Scholarship")</f>
        <v>Andrew and Lina Gullotta UTS Pharmacy Scholarship</v>
      </c>
      <c r="C491" s="7" t="s">
        <v>27</v>
      </c>
      <c r="D491" s="9">
        <v>1500</v>
      </c>
      <c r="E491" s="7">
        <v>1</v>
      </c>
      <c r="F491" s="7" t="s">
        <v>51</v>
      </c>
      <c r="G491" s="10" t="s">
        <v>115</v>
      </c>
      <c r="H491" t="s">
        <v>25</v>
      </c>
      <c r="I491" t="s">
        <v>25</v>
      </c>
    </row>
    <row r="492" spans="1:9" ht="45" x14ac:dyDescent="0.25">
      <c r="A492" s="4" t="s">
        <v>8</v>
      </c>
      <c r="B492" s="8" t="str">
        <f>HYPERLINK("https://www.uts.edu.au/scholarship/uts-science-postgraduate-academic-merit-scholarship", "UTS Science Postgraduate Academic Merit Scholarship")</f>
        <v>UTS Science Postgraduate Academic Merit Scholarship</v>
      </c>
      <c r="C492" s="7" t="s">
        <v>27</v>
      </c>
      <c r="D492" s="7" t="s">
        <v>117</v>
      </c>
      <c r="E492" s="7" t="s">
        <v>41</v>
      </c>
      <c r="F492" s="7" t="s">
        <v>51</v>
      </c>
      <c r="G492" s="10" t="s">
        <v>116</v>
      </c>
      <c r="H492" t="s">
        <v>25</v>
      </c>
      <c r="I492" t="s">
        <v>25</v>
      </c>
    </row>
    <row r="493" spans="1:9" ht="60" x14ac:dyDescent="0.25">
      <c r="A493" s="4" t="s">
        <v>8</v>
      </c>
      <c r="B493" s="8" t="str">
        <f>HYPERLINK("https://www.uts.edu.au/scholarship/uts-dr-con-moshegov-orthoptics-scholarship", "UTS Dr Con Moshegov Orthoptics Scholarship")</f>
        <v>UTS Dr Con Moshegov Orthoptics Scholarship</v>
      </c>
      <c r="C493" s="7" t="s">
        <v>14</v>
      </c>
      <c r="D493" s="9">
        <v>5000</v>
      </c>
      <c r="E493" s="7">
        <v>2</v>
      </c>
      <c r="F493" s="7" t="s">
        <v>51</v>
      </c>
      <c r="G493" s="10" t="s">
        <v>118</v>
      </c>
      <c r="H493" t="s">
        <v>25</v>
      </c>
      <c r="I493" t="s">
        <v>25</v>
      </c>
    </row>
    <row r="494" spans="1:9" ht="75" x14ac:dyDescent="0.25">
      <c r="A494" s="4" t="s">
        <v>8</v>
      </c>
      <c r="B494" s="8" t="str">
        <f>HYPERLINK("https://www.uts.edu.au/scholarship/longevity-pt-scholarship-masters-clinical-exercise-physiology", "Longevity PT Scholarship (Masters of Clinical Exercise Physiology)")</f>
        <v>Longevity PT Scholarship (Masters of Clinical Exercise Physiology)</v>
      </c>
      <c r="C494" s="7" t="s">
        <v>14</v>
      </c>
      <c r="D494" s="7" t="s">
        <v>119</v>
      </c>
      <c r="E494" s="7">
        <v>1</v>
      </c>
      <c r="F494" s="7" t="s">
        <v>51</v>
      </c>
      <c r="G494" s="10" t="s">
        <v>120</v>
      </c>
      <c r="H494" t="s">
        <v>21</v>
      </c>
      <c r="I494" t="s">
        <v>25</v>
      </c>
    </row>
    <row r="495" spans="1:9" ht="90" x14ac:dyDescent="0.25">
      <c r="A495" s="4" t="s">
        <v>8</v>
      </c>
      <c r="B495" s="8" t="str">
        <f>HYPERLINK("https://www.uts.edu.au/scholarship/doctors-co-scholarship", "Doctors &amp; Co Scholarship")</f>
        <v>Doctors &amp; Co Scholarship</v>
      </c>
      <c r="C495" s="7" t="s">
        <v>14</v>
      </c>
      <c r="D495" s="9">
        <v>5000</v>
      </c>
      <c r="E495" s="7">
        <v>1</v>
      </c>
      <c r="F495" s="7" t="s">
        <v>35</v>
      </c>
      <c r="G495" s="10" t="s">
        <v>121</v>
      </c>
      <c r="H495" t="s">
        <v>25</v>
      </c>
      <c r="I495" t="s">
        <v>25</v>
      </c>
    </row>
    <row r="496" spans="1:9" ht="45" x14ac:dyDescent="0.25">
      <c r="A496" s="4" t="s">
        <v>8</v>
      </c>
      <c r="B496" s="8" t="str">
        <f>HYPERLINK("https://www.uts.edu.au/scholarship/wanda-jamrozik-scholarship-journalism", "The Wanda Jamrozik Scholarship in Journalism")</f>
        <v>The Wanda Jamrozik Scholarship in Journalism</v>
      </c>
      <c r="C496" s="7" t="s">
        <v>27</v>
      </c>
      <c r="D496" s="9" t="s">
        <v>122</v>
      </c>
      <c r="E496" s="7">
        <v>0.5</v>
      </c>
      <c r="F496" s="7" t="s">
        <v>35</v>
      </c>
      <c r="G496" s="10" t="s">
        <v>123</v>
      </c>
      <c r="H496" t="s">
        <v>25</v>
      </c>
      <c r="I496" t="s">
        <v>25</v>
      </c>
    </row>
    <row r="497" spans="1:9" ht="45" x14ac:dyDescent="0.25">
      <c r="A497" s="4" t="s">
        <v>8</v>
      </c>
      <c r="B497" s="8" t="str">
        <f>HYPERLINK("https://www.uts.edu.au/scholarship/gordon-young-memorial-scholarship", "https://www.uts.edu.au/scholarship/gordon-young-memorial-scholarship")</f>
        <v>https://www.uts.edu.au/scholarship/gordon-young-memorial-scholarship</v>
      </c>
      <c r="C497" s="7" t="s">
        <v>27</v>
      </c>
      <c r="D497" s="7" t="s">
        <v>126</v>
      </c>
      <c r="E497" s="7">
        <v>1</v>
      </c>
      <c r="F497" s="7" t="s">
        <v>125</v>
      </c>
      <c r="G497" s="10" t="s">
        <v>124</v>
      </c>
      <c r="H497" t="s">
        <v>25</v>
      </c>
      <c r="I497" t="s">
        <v>25</v>
      </c>
    </row>
    <row r="498" spans="1:9" ht="75" x14ac:dyDescent="0.25">
      <c r="A498" s="4" t="s">
        <v>8</v>
      </c>
      <c r="B498" s="8" t="str">
        <f>HYPERLINK("https://www.uts.edu.au/scholarship/mark-lyons-not-profit-and-social-enterprise-management-scholarship", "Mark Lyons Not-for-Profit and Social Enterprise Management Scholarship")</f>
        <v>Mark Lyons Not-for-Profit and Social Enterprise Management Scholarship</v>
      </c>
      <c r="C498" s="7" t="s">
        <v>14</v>
      </c>
      <c r="D498" s="9">
        <v>5000</v>
      </c>
      <c r="E498" s="7">
        <v>1</v>
      </c>
      <c r="F498" s="7" t="s">
        <v>51</v>
      </c>
      <c r="G498" s="10" t="s">
        <v>127</v>
      </c>
      <c r="H498" t="s">
        <v>25</v>
      </c>
      <c r="I498" t="s">
        <v>25</v>
      </c>
    </row>
    <row r="499" spans="1:9" ht="30" x14ac:dyDescent="0.25">
      <c r="A499" s="4" t="s">
        <v>8</v>
      </c>
      <c r="B499" s="8" t="str">
        <f>HYPERLINK("https://www.uts.edu.au/scholarship/postgraduate-business-alumni-scholarship", "Postgraduate Business Alumni Scholarship")</f>
        <v>Postgraduate Business Alumni Scholarship</v>
      </c>
      <c r="C499" s="7" t="s">
        <v>27</v>
      </c>
      <c r="D499" s="7" t="s">
        <v>128</v>
      </c>
      <c r="E499" s="7">
        <v>1</v>
      </c>
      <c r="F499" s="7" t="s">
        <v>51</v>
      </c>
      <c r="G499" s="10" t="s">
        <v>129</v>
      </c>
      <c r="H499" t="s">
        <v>25</v>
      </c>
      <c r="I499" t="s">
        <v>25</v>
      </c>
    </row>
    <row r="500" spans="1:9" x14ac:dyDescent="0.25">
      <c r="A500" s="4" t="s">
        <v>8</v>
      </c>
      <c r="B500" s="8" t="str">
        <f>HYPERLINK("https://www.uts.edu.au/scholarship/equal-access-scholarship-institution-equity-scholarship", "Equal Access Scholarship (Institution Equity Scholarship)")</f>
        <v>Equal Access Scholarship (Institution Equity Scholarship)</v>
      </c>
      <c r="C500" s="7" t="s">
        <v>14</v>
      </c>
      <c r="D500" s="7" t="s">
        <v>130</v>
      </c>
      <c r="E500" s="7">
        <v>1</v>
      </c>
      <c r="F500" s="7" t="s">
        <v>131</v>
      </c>
      <c r="G500" s="7" t="s">
        <v>132</v>
      </c>
      <c r="H500" t="s">
        <v>25</v>
      </c>
      <c r="I500" t="s">
        <v>25</v>
      </c>
    </row>
    <row r="501" spans="1:9" ht="45" x14ac:dyDescent="0.25">
      <c r="A501" s="4" t="s">
        <v>8</v>
      </c>
      <c r="B501" s="8" t="str">
        <f>HYPERLINK("https://www.uts.edu.au/scholarship/ericsson-technology-scholarship", "Ericsson Technology Scholarship")</f>
        <v>Ericsson Technology Scholarship</v>
      </c>
      <c r="C501" s="7" t="s">
        <v>27</v>
      </c>
      <c r="D501" s="9">
        <v>24000</v>
      </c>
      <c r="E501" s="7">
        <v>0.5</v>
      </c>
      <c r="F501" s="7" t="s">
        <v>68</v>
      </c>
      <c r="G501" s="10" t="s">
        <v>79</v>
      </c>
      <c r="H501" t="s">
        <v>25</v>
      </c>
      <c r="I501" t="s">
        <v>16</v>
      </c>
    </row>
    <row r="502" spans="1:9" ht="45" x14ac:dyDescent="0.25">
      <c r="A502" s="4" t="s">
        <v>8</v>
      </c>
      <c r="B502" s="8" t="str">
        <f>HYPERLINK("https://www.uts.edu.au/scholarship/telstra-enterprise-certitude-scholarship", "Telstra Enterprise Certitude Scholarship")</f>
        <v>Telstra Enterprise Certitude Scholarship</v>
      </c>
      <c r="C502" s="7" t="s">
        <v>27</v>
      </c>
      <c r="D502" s="7" t="s">
        <v>133</v>
      </c>
      <c r="E502" s="7" t="s">
        <v>134</v>
      </c>
      <c r="F502" s="7" t="s">
        <v>68</v>
      </c>
      <c r="G502" s="10" t="s">
        <v>82</v>
      </c>
      <c r="H502" t="s">
        <v>25</v>
      </c>
      <c r="I502" t="s">
        <v>16</v>
      </c>
    </row>
    <row r="503" spans="1:9" ht="30" x14ac:dyDescent="0.25">
      <c r="A503" s="4" t="s">
        <v>8</v>
      </c>
      <c r="B503" s="8" t="str">
        <f>HYPERLINK("https://www.uts.edu.au/scholarship/levo-scholarship-women-technology", "LEVO Scholarship for Women in Technology")</f>
        <v>LEVO Scholarship for Women in Technology</v>
      </c>
      <c r="C503" s="7" t="s">
        <v>27</v>
      </c>
      <c r="D503" s="7" t="s">
        <v>135</v>
      </c>
      <c r="E503" s="7">
        <v>4</v>
      </c>
      <c r="F503" s="7" t="s">
        <v>68</v>
      </c>
      <c r="G503" s="10" t="s">
        <v>136</v>
      </c>
      <c r="H503" t="s">
        <v>25</v>
      </c>
      <c r="I503" t="s">
        <v>16</v>
      </c>
    </row>
    <row r="504" spans="1:9" ht="45" x14ac:dyDescent="0.25">
      <c r="A504" s="4" t="s">
        <v>8</v>
      </c>
      <c r="B504" s="8" t="str">
        <f>HYPERLINK("https://www.uts.edu.au/scholarship/pendal-group-finance-honours-scholarship", "The Pendal Group Finance Honours Scholarship")</f>
        <v>The Pendal Group Finance Honours Scholarship</v>
      </c>
      <c r="C504" s="7" t="s">
        <v>27</v>
      </c>
      <c r="D504" s="9">
        <v>10000</v>
      </c>
      <c r="E504" s="7">
        <v>1</v>
      </c>
      <c r="F504" s="7" t="s">
        <v>137</v>
      </c>
      <c r="G504" s="10" t="s">
        <v>138</v>
      </c>
      <c r="H504" t="s">
        <v>25</v>
      </c>
      <c r="I504" t="s">
        <v>25</v>
      </c>
    </row>
    <row r="505" spans="1:9" ht="45" x14ac:dyDescent="0.25">
      <c r="A505" s="4" t="s">
        <v>8</v>
      </c>
      <c r="B505" s="8" t="str">
        <f>HYPERLINK("https://www.uts.edu.au/scholarship/richard-butler-scholarship", "Richard Butler Scholarship")</f>
        <v>Richard Butler Scholarship</v>
      </c>
      <c r="C505" s="7" t="s">
        <v>27</v>
      </c>
      <c r="D505" s="9">
        <v>10000</v>
      </c>
      <c r="E505" s="7">
        <v>1</v>
      </c>
      <c r="F505" s="7" t="s">
        <v>13</v>
      </c>
      <c r="G505" s="10" t="s">
        <v>139</v>
      </c>
      <c r="H505" t="s">
        <v>25</v>
      </c>
      <c r="I505" t="s">
        <v>25</v>
      </c>
    </row>
    <row r="506" spans="1:9" ht="75" x14ac:dyDescent="0.25">
      <c r="A506" s="4" t="s">
        <v>8</v>
      </c>
      <c r="B506" s="8" t="str">
        <f>HYPERLINK("https://www.uts.edu.au/scholarship/epm-projects-scholarship", "EPM Projects Scholarship")</f>
        <v>EPM Projects Scholarship</v>
      </c>
      <c r="C506" s="7" t="s">
        <v>27</v>
      </c>
      <c r="D506" s="9">
        <v>10000</v>
      </c>
      <c r="E506" s="7">
        <v>1</v>
      </c>
      <c r="F506" s="7" t="s">
        <v>13</v>
      </c>
      <c r="G506" s="10" t="s">
        <v>66</v>
      </c>
      <c r="H506" t="s">
        <v>25</v>
      </c>
      <c r="I506" t="s">
        <v>16</v>
      </c>
    </row>
    <row r="507" spans="1:9" ht="60" x14ac:dyDescent="0.25">
      <c r="A507" s="4" t="s">
        <v>8</v>
      </c>
      <c r="B507" s="8" t="str">
        <f>HYPERLINK("https://www.uts.edu.au/scholarship/magdalena-mauchle-fashion-textiles-scholarship", "The Magdalena Mauchle Fashion &amp; Textiles Scholarship")</f>
        <v>The Magdalena Mauchle Fashion &amp; Textiles Scholarship</v>
      </c>
      <c r="C507" s="7" t="s">
        <v>14</v>
      </c>
      <c r="D507" s="9">
        <v>5000</v>
      </c>
      <c r="E507" s="7">
        <v>1</v>
      </c>
      <c r="F507" s="7" t="s">
        <v>13</v>
      </c>
      <c r="G507" s="10" t="s">
        <v>140</v>
      </c>
      <c r="H507" t="s">
        <v>25</v>
      </c>
      <c r="I507" t="s">
        <v>25</v>
      </c>
    </row>
    <row r="508" spans="1:9" ht="60" x14ac:dyDescent="0.25">
      <c r="A508" s="4" t="s">
        <v>8</v>
      </c>
      <c r="B508" s="8" t="str">
        <f>HYPERLINK("https://www.uts.edu.au/scholarship/feit-women-engineering-and-it-scholarship", "The FEIT Women in Engineering and IT Scholarship")</f>
        <v>The FEIT Women in Engineering and IT Scholarship</v>
      </c>
      <c r="C508" s="7" t="s">
        <v>27</v>
      </c>
      <c r="D508" s="9">
        <v>10000</v>
      </c>
      <c r="E508" s="7">
        <v>1</v>
      </c>
      <c r="F508" s="7" t="s">
        <v>13</v>
      </c>
      <c r="G508" s="10" t="s">
        <v>141</v>
      </c>
      <c r="H508" t="s">
        <v>25</v>
      </c>
      <c r="I508" t="s">
        <v>25</v>
      </c>
    </row>
    <row r="509" spans="1:9" ht="30" x14ac:dyDescent="0.25">
      <c r="A509" s="4" t="s">
        <v>8</v>
      </c>
      <c r="B509" s="8" t="str">
        <f>HYPERLINK("https://www.uts.edu.au/scholarship/frank-martin-orthoptics-scholarship", "Frank Martin Orthoptics Scholarship")</f>
        <v>Frank Martin Orthoptics Scholarship</v>
      </c>
      <c r="C509" s="7" t="s">
        <v>27</v>
      </c>
      <c r="D509" s="9">
        <v>3000</v>
      </c>
      <c r="E509" s="7">
        <v>2</v>
      </c>
      <c r="F509" s="7" t="s">
        <v>51</v>
      </c>
      <c r="G509" s="10" t="s">
        <v>142</v>
      </c>
      <c r="H509" t="s">
        <v>25</v>
      </c>
      <c r="I509" t="s">
        <v>25</v>
      </c>
    </row>
    <row r="510" spans="1:9" ht="45" x14ac:dyDescent="0.25">
      <c r="A510" s="4" t="s">
        <v>8</v>
      </c>
      <c r="B510" s="8" t="str">
        <f>HYPERLINK("https://www.uts.edu.au/scholarship/animal-logic-scholarship", "The Animal Logic Scholarship")</f>
        <v>The Animal Logic Scholarship</v>
      </c>
      <c r="C510" s="7" t="s">
        <v>14</v>
      </c>
      <c r="D510" s="9">
        <v>18000</v>
      </c>
      <c r="E510" s="7">
        <v>1</v>
      </c>
      <c r="F510" s="7" t="s">
        <v>51</v>
      </c>
      <c r="G510" s="10" t="s">
        <v>143</v>
      </c>
      <c r="H510" t="s">
        <v>25</v>
      </c>
      <c r="I510" t="s">
        <v>25</v>
      </c>
    </row>
    <row r="511" spans="1:9" ht="30" x14ac:dyDescent="0.25">
      <c r="A511" s="4" t="s">
        <v>8</v>
      </c>
      <c r="B511" s="8" t="str">
        <f>HYPERLINK("https://www.uts.edu.au/scholarship/deans-academic-merit-scholarship-juris-doctor", "Dean's Academic Merit Scholarship Juris Doctor")</f>
        <v>Dean's Academic Merit Scholarship Juris Doctor</v>
      </c>
      <c r="C511" s="7" t="s">
        <v>27</v>
      </c>
      <c r="D511" s="7" t="s">
        <v>144</v>
      </c>
      <c r="E511" s="7" t="s">
        <v>41</v>
      </c>
      <c r="F511" s="7" t="s">
        <v>51</v>
      </c>
      <c r="G511" s="10" t="s">
        <v>145</v>
      </c>
      <c r="H511" t="s">
        <v>25</v>
      </c>
      <c r="I511" t="s">
        <v>25</v>
      </c>
    </row>
    <row r="512" spans="1:9" ht="60" x14ac:dyDescent="0.25">
      <c r="A512" s="4" t="s">
        <v>8</v>
      </c>
      <c r="B512" s="8" t="str">
        <f>HYPERLINK("https://www.uts.edu.au/scholarship/uts-quantitative-finance-postgraduate-scholarship", "UTS Quantitative Finance Postgraduate Scholarship")</f>
        <v>UTS Quantitative Finance Postgraduate Scholarship</v>
      </c>
      <c r="C512" s="7" t="s">
        <v>27</v>
      </c>
      <c r="D512" s="7" t="s">
        <v>146</v>
      </c>
      <c r="E512" s="7" t="s">
        <v>41</v>
      </c>
      <c r="F512" s="7" t="s">
        <v>51</v>
      </c>
      <c r="G512" s="10" t="s">
        <v>147</v>
      </c>
      <c r="H512" t="s">
        <v>25</v>
      </c>
      <c r="I512" t="s">
        <v>25</v>
      </c>
    </row>
    <row r="513" spans="1:9" ht="90" x14ac:dyDescent="0.25">
      <c r="A513" s="4" t="s">
        <v>8</v>
      </c>
      <c r="B513" s="8" t="str">
        <f>HYPERLINK("https://www.uts.edu.au/scholarship/crescent-leadership-scholarship", "Crescent Leadership Scholarship")</f>
        <v>Crescent Leadership Scholarship</v>
      </c>
      <c r="C513" s="7" t="s">
        <v>148</v>
      </c>
      <c r="D513" s="9">
        <v>5000</v>
      </c>
      <c r="E513" s="7">
        <v>1</v>
      </c>
      <c r="F513" s="7" t="s">
        <v>35</v>
      </c>
      <c r="G513" s="10" t="s">
        <v>149</v>
      </c>
      <c r="H513" t="s">
        <v>25</v>
      </c>
      <c r="I513" t="s">
        <v>25</v>
      </c>
    </row>
    <row r="514" spans="1:9" ht="60" x14ac:dyDescent="0.25">
      <c r="A514" s="4" t="s">
        <v>8</v>
      </c>
      <c r="B514" s="8" t="str">
        <f>HYPERLINK("https://www.uts.edu.au/scholarship/uts-housing-resident-networker-scholarship", "UTS Housing Resident Networker Scholarship")</f>
        <v>UTS Housing Resident Networker Scholarship</v>
      </c>
      <c r="C514" s="7" t="s">
        <v>27</v>
      </c>
      <c r="D514" s="9">
        <v>5500</v>
      </c>
      <c r="E514" s="7">
        <v>1</v>
      </c>
      <c r="F514" s="7" t="s">
        <v>131</v>
      </c>
      <c r="G514" s="10" t="s">
        <v>150</v>
      </c>
      <c r="H514" t="s">
        <v>25</v>
      </c>
      <c r="I514" t="s">
        <v>25</v>
      </c>
    </row>
  </sheetData>
  <autoFilter ref="A1:I514" xr:uid="{5773BD61-A8F4-4ACA-BB03-11DEBD312DAE}">
    <sortState xmlns:xlrd2="http://schemas.microsoft.com/office/spreadsheetml/2017/richdata2" ref="A2:I514">
      <sortCondition ref="A1:A514"/>
    </sortState>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1d47d42-378c-4240-adf1-50612b639f36" xsi:nil="true"/>
    <lcf76f155ced4ddcb4097134ff3c332f xmlns="514dc54e-a510-4ebc-96a4-7a373c84d57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1B59F058DD61F4CBF5D961017DC0A45" ma:contentTypeVersion="17" ma:contentTypeDescription="Create a new document." ma:contentTypeScope="" ma:versionID="3843482ad259dd7cf47d53181de3a479">
  <xsd:schema xmlns:xsd="http://www.w3.org/2001/XMLSchema" xmlns:xs="http://www.w3.org/2001/XMLSchema" xmlns:p="http://schemas.microsoft.com/office/2006/metadata/properties" xmlns:ns2="514dc54e-a510-4ebc-96a4-7a373c84d576" xmlns:ns3="91d47d42-378c-4240-adf1-50612b639f36" targetNamespace="http://schemas.microsoft.com/office/2006/metadata/properties" ma:root="true" ma:fieldsID="c2a99e4d2b0f67119e90f9a433f5d6db" ns2:_="" ns3:_="">
    <xsd:import namespace="514dc54e-a510-4ebc-96a4-7a373c84d576"/>
    <xsd:import namespace="91d47d42-378c-4240-adf1-50612b639f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c54e-a510-4ebc-96a4-7a373c84d5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aae0d8a-8891-48d9-ad2b-bad3da6b59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d47d42-378c-4240-adf1-50612b639f3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bbaf84-1f02-4ee0-be3f-e164b36b151e}" ma:internalName="TaxCatchAll" ma:showField="CatchAllData" ma:web="91d47d42-378c-4240-adf1-50612b639f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1EF037-3A45-438F-8EFF-A0227E591D57}">
  <ds:schemaRefs>
    <ds:schemaRef ds:uri="http://schemas.microsoft.com/office/2006/metadata/properties"/>
    <ds:schemaRef ds:uri="http://schemas.microsoft.com/office/infopath/2007/PartnerControls"/>
    <ds:schemaRef ds:uri="91d47d42-378c-4240-adf1-50612b639f36"/>
    <ds:schemaRef ds:uri="514dc54e-a510-4ebc-96a4-7a373c84d576"/>
  </ds:schemaRefs>
</ds:datastoreItem>
</file>

<file path=customXml/itemProps2.xml><?xml version="1.0" encoding="utf-8"?>
<ds:datastoreItem xmlns:ds="http://schemas.openxmlformats.org/officeDocument/2006/customXml" ds:itemID="{2939E453-00EA-486F-995B-7D4644B61C8A}">
  <ds:schemaRefs>
    <ds:schemaRef ds:uri="http://schemas.microsoft.com/sharepoint/v3/contenttype/forms"/>
  </ds:schemaRefs>
</ds:datastoreItem>
</file>

<file path=customXml/itemProps3.xml><?xml version="1.0" encoding="utf-8"?>
<ds:datastoreItem xmlns:ds="http://schemas.openxmlformats.org/officeDocument/2006/customXml" ds:itemID="{873E4114-4F26-4870-B334-33A2DDABEB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c54e-a510-4ebc-96a4-7a373c84d576"/>
    <ds:schemaRef ds:uri="91d47d42-378c-4240-adf1-50612b639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Pierce</dc:creator>
  <cp:lastModifiedBy>Laura Pierce</cp:lastModifiedBy>
  <dcterms:created xsi:type="dcterms:W3CDTF">2024-09-12T00:30:24Z</dcterms:created>
  <dcterms:modified xsi:type="dcterms:W3CDTF">2024-11-12T04:00:48Z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0x010100A1B59F058DD61F4CBF5D961017DC0A45</vt:lpwstr>
  </property>
  <property fmtid="{D5CDD505-2E9C-101B-9397-08002B2CF9AE}" pid="3" name="MediaServiceImageTags">
    <vt:lpwstr/>
  </property>
</Properties>
</file>