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3_ncr:1_{BC4AE9FA-0CB4-4CF0-8D39-57A9F105CFA5}" xr6:coauthVersionLast="47" xr6:coauthVersionMax="47" xr10:uidLastSave="{712ABEEC-36FC-47A3-BE68-20EE75D1D2EC}"/>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5" i="1" l="1"/>
  <c r="B95" i="1"/>
  <c r="B24"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4" i="1"/>
  <c r="B263" i="1"/>
  <c r="B262" i="1"/>
  <c r="B261" i="1"/>
  <c r="B260" i="1"/>
  <c r="B259" i="1"/>
  <c r="B258" i="1"/>
  <c r="B257" i="1"/>
  <c r="B256" i="1"/>
  <c r="B255" i="1"/>
  <c r="B254" i="1"/>
  <c r="B253" i="1"/>
  <c r="B252" i="1"/>
  <c r="B251" i="1"/>
  <c r="B250" i="1"/>
  <c r="B249" i="1"/>
  <c r="B248"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3" i="1"/>
  <c r="B195" i="1"/>
  <c r="B247" i="1"/>
  <c r="B246" i="1"/>
  <c r="B245" i="1"/>
  <c r="B244" i="1"/>
  <c r="B243" i="1" l="1"/>
  <c r="B242" i="1"/>
  <c r="B241" i="1"/>
  <c r="B240" i="1"/>
  <c r="B239" i="1"/>
  <c r="B238" i="1" l="1"/>
  <c r="B237" i="1"/>
  <c r="B236" i="1"/>
  <c r="B235" i="1" l="1"/>
  <c r="B234" i="1"/>
  <c r="B233" i="1"/>
  <c r="B232" i="1"/>
  <c r="B231" i="1"/>
  <c r="B230" i="1"/>
  <c r="B229" i="1"/>
  <c r="B228" i="1"/>
  <c r="B227" i="1"/>
  <c r="B226" i="1"/>
  <c r="B225" i="1"/>
  <c r="B224" i="1"/>
  <c r="B223" i="1"/>
  <c r="B222" i="1"/>
  <c r="B221" i="1"/>
  <c r="B220" i="1"/>
  <c r="B217" i="1"/>
  <c r="B216" i="1"/>
  <c r="B219" i="1"/>
  <c r="B218" i="1"/>
  <c r="B215" i="1"/>
  <c r="B214" i="1"/>
  <c r="B213" i="1"/>
  <c r="B212" i="1"/>
  <c r="B211" i="1"/>
  <c r="B210"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l="1"/>
  <c r="B467" i="1"/>
  <c r="B466" i="1"/>
  <c r="B465" i="1"/>
  <c r="B464" i="1"/>
  <c r="B463" i="1"/>
  <c r="B462" i="1"/>
  <c r="B461" i="1"/>
  <c r="B460" i="1"/>
  <c r="B459" i="1"/>
  <c r="B209" i="1" l="1"/>
  <c r="B208" i="1"/>
  <c r="B207" i="1"/>
  <c r="B206" i="1"/>
  <c r="B205" i="1"/>
  <c r="B204" i="1"/>
  <c r="B203" i="1"/>
  <c r="B202" i="1"/>
  <c r="B201" i="1"/>
  <c r="B200" i="1"/>
  <c r="B199" i="1"/>
  <c r="B198" i="1"/>
  <c r="B197" i="1"/>
  <c r="B196" i="1"/>
  <c r="B194" i="1"/>
  <c r="B192" i="1"/>
  <c r="B191" i="1"/>
  <c r="B190" i="1"/>
  <c r="B189" i="1"/>
  <c r="B188" i="1"/>
  <c r="B187" i="1"/>
  <c r="B186" i="1"/>
  <c r="B185" i="1"/>
  <c r="B184" i="1"/>
  <c r="B183" i="1"/>
  <c r="B182" i="1"/>
  <c r="B181" i="1"/>
</calcChain>
</file>

<file path=xl/sharedStrings.xml><?xml version="1.0" encoding="utf-8"?>
<sst xmlns="http://schemas.openxmlformats.org/spreadsheetml/2006/main" count="4044" uniqueCount="679">
  <si>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</si>
  <si>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</si>
  <si>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</si>
  <si>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</si>
  <si>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</si>
  <si>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</si>
  <si>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</si>
  <si>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</si>
  <si>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</si>
  <si>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</si>
  <si>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</si>
  <si>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</si>
  <si>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</si>
  <si>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</si>
  <si>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</si>
  <si>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</si>
  <si>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</si>
  <si>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</si>
  <si>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</si>
  <si>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</si>
  <si>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</si>
  <si>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</si>
  <si>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</si>
  <si>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</si>
  <si>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</si>
  <si>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</si>
  <si>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</si>
  <si>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</si>
  <si>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</si>
  <si>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</si>
  <si>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</si>
  <si>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</si>
  <si>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</si>
  <si>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</si>
  <si>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</si>
  <si>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</si>
  <si>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</si>
  <si>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</si>
  <si>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</si>
  <si>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</si>
  <si>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</si>
  <si>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</si>
  <si>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</si>
  <si>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</si>
  <si>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</si>
  <si>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</si>
  <si>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</si>
  <si>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</si>
  <si>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</si>
  <si>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</si>
  <si>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</si>
  <si>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</si>
  <si>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</si>
  <si>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</si>
  <si>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</si>
  <si>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</si>
  <si>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</si>
  <si>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</si>
  <si>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</si>
  <si>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</si>
  <si>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</si>
  <si>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</si>
  <si>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</si>
  <si>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</si>
  <si>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</si>
  <si>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</si>
  <si>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</si>
  <si>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</si>
  <si>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</si>
  <si>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</si>
  <si>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</si>
  <si>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</si>
  <si>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</si>
  <si>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</si>
  <si>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</si>
  <si>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</si>
  <si>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</si>
  <si>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</si>
  <si>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</si>
  <si>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</si>
  <si>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</si>
  <si>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</si>
  <si>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</si>
  <si>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</si>
  <si>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</si>
  <si>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</si>
  <si>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</si>
  <si>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</si>
  <si>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</si>
  <si>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</si>
  <si>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</si>
  <si>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</si>
  <si>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</si>
  <si>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</si>
  <si>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</si>
  <si>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</si>
  <si>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</si>
  <si>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</si>
  <si>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</si>
  <si>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</si>
  <si>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</si>
  <si>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</si>
  <si>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</si>
  <si>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</si>
  <si>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</si>
  <si>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</si>
  <si>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</si>
  <si>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</si>
  <si>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</si>
  <si>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</si>
  <si>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</si>
  <si>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</si>
  <si>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</si>
  <si>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</si>
  <si>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</si>
  <si>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</si>
  <si>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</si>
  <si>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</si>
  <si>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</si>
  <si>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</si>
  <si>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</si>
  <si>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</si>
  <si>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</si>
  <si>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</si>
  <si>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</si>
  <si>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</si>
  <si>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</si>
  <si>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</si>
  <si>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</si>
  <si>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</si>
  <si>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</si>
  <si>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</si>
  <si>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</si>
  <si>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</si>
  <si>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</si>
  <si>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</si>
  <si>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</si>
  <si>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</si>
  <si>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</si>
  <si>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</si>
  <si>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</si>
  <si>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</si>
  <si>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</si>
  <si>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</si>
  <si>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</si>
  <si>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</si>
  <si>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</si>
  <si>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</si>
  <si>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</si>
  <si>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</si>
  <si>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</si>
  <si>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</si>
  <si>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</si>
  <si>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</si>
  <si>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</si>
  <si>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</si>
  <si>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</si>
  <si>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</si>
  <si>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</si>
  <si>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</si>
  <si>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</si>
  <si>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</si>
  <si>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</si>
  <si>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</si>
  <si>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</si>
  <si>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</si>
  <si>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</si>
  <si>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</si>
  <si>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</si>
  <si>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</si>
  <si>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</si>
  <si>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</si>
  <si>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</si>
  <si>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</si>
  <si>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</si>
  <si>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</si>
  <si>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</si>
  <si>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</si>
  <si>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</si>
  <si>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</si>
  <si>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</si>
  <si>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</si>
  <si>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</si>
  <si>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</si>
  <si>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</si>
  <si>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</si>
  <si>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</si>
  <si>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</si>
  <si>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</si>
  <si>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</si>
  <si>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</si>
  <si>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</si>
  <si>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</si>
  <si>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</si>
  <si>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</si>
  <si>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</si>
  <si>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</si>
  <si>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</si>
  <si>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</si>
  <si>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</si>
  <si>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</si>
  <si>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</si>
  <si>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</si>
  <si>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</si>
  <si>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</si>
  <si>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</si>
  <si>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 Provide a statement
• Rural or Regional
• Disability
• students studying in allied health related courses.</t>
  </si>
  <si>
    <t>$1,000</t>
  </si>
  <si>
    <t>• Financial hardship
• Rural or Regional</t>
  </si>
  <si>
    <t>$5,000</t>
  </si>
  <si>
    <t>up to $1500</t>
  </si>
  <si>
    <t>$3,000</t>
  </si>
  <si>
    <t>$4000</t>
  </si>
  <si>
    <t>$7,500</t>
  </si>
  <si>
    <t>$4500</t>
  </si>
  <si>
    <t>• any course
• any year</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</si>
  <si>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</si>
  <si>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</si>
  <si>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</si>
  <si>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</si>
  <si>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</si>
  <si>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</si>
  <si>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</si>
  <si>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</si>
  <si>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</si>
  <si>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</si>
  <si>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</si>
  <si>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</si>
  <si>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</si>
  <si>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</si>
  <si>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$2,000</t>
  </si>
  <si>
    <t>• bachelor of social work
• bachelor of human services (with specialisations)
• outline your career goals and aspirations.
• include information regarding personal circumstances and financial situation.
• Financial hardship
• Academic merit</t>
  </si>
  <si>
    <t>• outline your career goals and aspirations.
• Rural or Regional
• any year
• Financial hardship
• Academic merit
• studentsmustbe residing at st martin's college for the full year (sessions 1 &amp; 2) of awarding</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</si>
  <si>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</si>
  <si>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$2500</t>
  </si>
  <si>
    <t>• applicantmusthave completed the majority of their high school education in the albury-wodonga area (supporting documentation to be provided).
• outline your career goals and aspirations.
• Rural or Regional
• any year
• Academic merit</t>
  </si>
  <si>
    <t>• Financial hardship
• Academic merit
• students must be residing at st martin's college for the full year (sessions 1 &amp; 2) of awarding
• any year</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</si>
  <si>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</si>
  <si>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$18000 MAX</t>
  </si>
  <si>
    <t>• outline your career goals and aspirations
• any course
• Rural or Regional
• include minimum 250 word essay "who is ron camplin?"
• 1st year
• Academic merit</t>
  </si>
  <si>
    <t>• Financial hardship
• applicantmustwrite a detailed explanation on"what would this scholarship do for you financially?"(question to be answered in the how will you use the funds section of the application).
• any year</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</si>
  <si>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</si>
  <si>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</si>
  <si>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</si>
  <si>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</si>
  <si>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 1st year
• applicant to be a long term resident of the wagga wagga city council area or have completed the majority of their secondary education in the wagga wagga city council area (supporting documentation to be provided).
• any course</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</si>
  <si>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</si>
  <si>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</si>
  <si>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 outline your career goals and aspirations
• 1st year
• Rural or Regional</t>
  </si>
  <si>
    <t>• outline your career goals and aspirations
• Rural or Regional
• Academic merit</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</si>
  <si>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</si>
  <si>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$20000 MAX</t>
  </si>
  <si>
    <t>$7,000 paid directly off tuition</t>
  </si>
  <si>
    <t>$6,000</t>
  </si>
  <si>
    <t>Other</t>
  </si>
  <si>
    <t>$9000 MAX</t>
  </si>
  <si>
    <t>• bachelor of accounting
• outline your career goals and aspirations
• bachelor of business studies
• Rural or Regional
• any year
• bachelor of business (with specialisations)
• Academic merit</t>
  </si>
  <si>
    <t>• applicant to provide examples of community involvement
• Academic merit
• bachelor of accounting</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</si>
  <si>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</si>
  <si>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</si>
  <si>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</si>
  <si>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</si>
  <si>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 bachelor of information technology
• Rural or Regional
• to be eligible for this scholarship you must:</t>
  </si>
  <si>
    <t>• bachelor of dental science
• doctor of medicine
• any year full-time
• Rural or Regional
• Academic merit</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</si>
  <si>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</si>
  <si>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</si>
  <si>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</si>
  <si>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</si>
  <si>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</si>
  <si>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</si>
  <si>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$3300</t>
  </si>
  <si>
    <t>• anyundergraduate coursein the school of business
• for more information on boston private wealthwww.bostonprivate.com.au
• Rural or Regional
• Academic merit</t>
  </si>
  <si>
    <t>• bachelor of information studies
• applicant must be a resident of nsw (supporting documentation such as rates notice / electricity bill to be provided)
• any year</t>
  </si>
  <si>
    <t>$5,000.00</t>
  </si>
  <si>
    <t>• scholarship is available to all alburycity residents who are studying the graduate certificate of applied business
• be 1st year students, 2nd year students, 3rd year students.
• must be enrolled in the graduate certificate of applied business.</t>
  </si>
  <si>
    <t>• bachelor of horticulture
• outline your career goals and aspirations.
• Rural or Regional
• bachelor of agricultural business management
• bachelor of agricultural science
• Academic merit
• bachelor of agriculture</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</si>
  <si>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</si>
  <si>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 1st year
• Academic merit
• be able to demonstrate a genuine love of acting and a passion to pursue a career in theatre, with proven talent in performing modern as well as traditional dramatic roles.
• any course</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</si>
  <si>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</si>
  <si>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 bachelor of education (secondary)
• bachelor of teaching (primary)
• Rural or Regional
• any year
• Financial hardship
• bachelor of education (early childhood &amp; primary)
• bachelor of education (k - 12)
• Academic merit
• bachelor of education  (primary)</t>
  </si>
  <si>
    <t>• bachelor of environmental science &amp; management
• bachelor of technology (civil) / master of engineering (civil)
• Rural or Regional
• 1st year
• bachelor of information technology (with specialisations)</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</si>
  <si>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</si>
  <si>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</si>
  <si>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$2,500</t>
  </si>
  <si>
    <t>$20,000</t>
  </si>
  <si>
    <t>5 years</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</si>
  <si>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</si>
  <si>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$5.000</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</si>
  <si>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</si>
  <si>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</si>
  <si>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$3,500</t>
  </si>
  <si>
    <t>• applicant to provide evidence of volunteering or community participation
• full-time 3rd year
• bachelor of communication (news and media)
• Academic merit</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</si>
  <si>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</si>
  <si>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$1200</t>
  </si>
  <si>
    <t>$6000</t>
  </si>
  <si>
    <t>$15,000</t>
  </si>
  <si>
    <t>$15000</t>
  </si>
  <si>
    <t>$7000</t>
  </si>
  <si>
    <t>$12000</t>
  </si>
  <si>
    <t>$18,000 max</t>
  </si>
  <si>
    <t>$25,000</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</si>
  <si>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</si>
  <si>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</si>
  <si>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 bachelor of dental science
• 1st year
• Rural or Regional</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</si>
  <si>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</si>
  <si>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</si>
  <si>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$8,900</t>
  </si>
  <si>
    <t>• outline your career goals and aspirations
• Rural or Regional
• Academic merit
• graduate certificate in ornithology
• 1st year</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</si>
  <si>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</si>
  <si>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</si>
  <si>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</si>
  <si>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</si>
  <si>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 preference for mature age students
• scholarship details:
• bachelor of paramedicine
• Financial hardship</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</si>
  <si>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</si>
  <si>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 Financial hardship
• applicant to be a long term resident of the narromine / trangie lga and have completed the majority of their higher school education at either narromine high school or trangie central school.
• bachelor of nursing</t>
  </si>
  <si>
    <t>• outline your career goals and aspirations.
• Rural or Regional
• bachelor of agricultural business management
• Financial hardship
• bachelor of agricultural science
• Academic merit</t>
  </si>
  <si>
    <t>$20000</t>
  </si>
  <si>
    <t>• 1st year
• Rural or Regional
• doctor of medicine</t>
  </si>
  <si>
    <t>• open to students from berrigan shire, bland shire, murrumbidgee shire, narrandra shire or urana shire local government areas only (supporting documentation to be provided).
• students must reside and/or have attended school within any of the above lgas.
• Academic merit</t>
  </si>
  <si>
    <t>$80,000 MAX</t>
  </si>
  <si>
    <t>• Financial hardship
• 1st year
• bachelor of agricultural science
• bachelor of agribusiness</t>
  </si>
  <si>
    <t>• applicants to provide examples of their leadership qualities
• bachelor of agricultural science
• Rural or Regional
• bachelor of agricultural business management
• 1st year
• Academic merit
• bachelor of agriculture</t>
  </si>
  <si>
    <t>• applicant to have a desire to work in a country area.
• Rural or Regional
• bachelor of nursing
• Financial hardship
• 2nd year</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</si>
  <si>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</si>
  <si>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 student to provide answers to the following: what brought you to nursing? where do you see it taking you?
• student to be based in bathurst ongoing satisfactory academic achievement
• Academic merit
• bachelor of nursing</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</si>
  <si>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</si>
  <si>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 bachelor of veterinary biology/bachelor of veterinary science
• 4th / 5th / 6th year
• Rural or Regional
• applicant should also provide details of genuine need for financial assistance by completing the hardship section of the online application</t>
  </si>
  <si>
    <t>• full time internally - bachelor of veterinary science
• full time internally - bachelor of veterinary science (honours)
• final year
• Financial hardship
• Academic merit</t>
  </si>
  <si>
    <t>Academic</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</si>
  <si>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</si>
  <si>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$30,000</t>
  </si>
  <si>
    <t>4 years</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</si>
  <si>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</si>
  <si>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</si>
  <si>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</si>
  <si>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</si>
  <si>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</si>
  <si>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</si>
  <si>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</si>
  <si>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</si>
  <si>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</si>
  <si>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</si>
  <si>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</si>
  <si>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</si>
  <si>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</si>
  <si>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</si>
  <si>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</si>
  <si>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</si>
  <si>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</si>
  <si>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</si>
  <si>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</si>
  <si>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</si>
  <si>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</si>
  <si>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</si>
  <si>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</si>
  <si>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</si>
  <si>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</si>
  <si>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</si>
  <si>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</si>
  <si>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</si>
  <si>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</si>
  <si>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</si>
  <si>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</si>
  <si>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</si>
  <si>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</si>
  <si>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</si>
  <si>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</si>
  <si>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</si>
  <si>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</si>
  <si>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</si>
  <si>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</si>
  <si>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</si>
  <si>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</si>
  <si>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</si>
  <si>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</si>
  <si>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</si>
  <si>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</si>
  <si>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</si>
  <si>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</si>
  <si>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</si>
  <si>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</si>
  <si>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</si>
  <si>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</si>
  <si>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</si>
  <si>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</si>
  <si>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</si>
  <si>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</si>
  <si>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</si>
  <si>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</si>
  <si>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</si>
  <si>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</si>
  <si>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</si>
  <si>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</si>
  <si>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</si>
  <si>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</si>
  <si>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</si>
  <si>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</si>
  <si>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</si>
  <si>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</si>
  <si>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</si>
  <si>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</si>
  <si>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</si>
  <si>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</si>
  <si>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</si>
  <si>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</si>
  <si>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</si>
  <si>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</si>
  <si>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</si>
  <si>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</si>
  <si>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</si>
  <si>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</si>
  <si>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</si>
  <si>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</si>
  <si>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</si>
  <si>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</si>
  <si>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</si>
  <si>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</si>
  <si>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</si>
  <si>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</si>
  <si>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</si>
  <si>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</si>
  <si>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</si>
  <si>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</si>
  <si>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</si>
  <si>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</si>
  <si>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</si>
  <si>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</si>
  <si>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</si>
  <si>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</si>
  <si>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</si>
  <si>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</si>
  <si>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</si>
  <si>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</si>
  <si>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</si>
  <si>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</si>
  <si>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</si>
  <si>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</si>
  <si>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</si>
  <si>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</si>
  <si>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</si>
  <si>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</si>
  <si>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</si>
  <si>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</si>
  <si>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</si>
  <si>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</si>
  <si>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</si>
  <si>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</si>
  <si>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</si>
  <si>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</si>
  <si>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</si>
  <si>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</si>
  <si>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</si>
  <si>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</si>
  <si>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</si>
  <si>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</si>
  <si>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</si>
  <si>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</si>
  <si>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</si>
  <si>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</si>
  <si>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</si>
  <si>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</si>
  <si>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</si>
  <si>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</si>
  <si>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</si>
  <si>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</si>
  <si>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</si>
  <si>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</si>
  <si>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</si>
  <si>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</si>
  <si>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</si>
  <si>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</si>
  <si>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</si>
  <si>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</si>
  <si>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</si>
  <si>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</si>
  <si>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</si>
  <si>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</si>
  <si>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</si>
  <si>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</si>
  <si>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</si>
  <si>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</si>
  <si>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</si>
  <si>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</si>
  <si>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</si>
  <si>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</si>
  <si>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</si>
  <si>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</si>
  <si>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</si>
  <si>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</si>
  <si>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</si>
  <si>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</si>
  <si>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</si>
  <si>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</si>
  <si>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</si>
  <si>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</si>
  <si>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</si>
  <si>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</si>
  <si>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</si>
  <si>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</si>
  <si>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</si>
  <si>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</si>
  <si>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</si>
  <si>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</si>
  <si>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</si>
  <si>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</si>
  <si>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</si>
  <si>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</si>
  <si>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</si>
  <si>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</si>
  <si>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$12,500</t>
  </si>
  <si>
    <t>• Be commencing in the Master of Law Degree Program in Term 1, 2025
• Have completed a Bachelor of Laws or a Juris Doctor degree.</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</si>
  <si>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</si>
  <si>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</si>
  <si>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</si>
  <si>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</si>
  <si>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</si>
  <si>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</si>
  <si>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</si>
  <si>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</si>
  <si>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</si>
  <si>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</si>
  <si>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</si>
  <si>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</si>
  <si>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$5,500</t>
  </si>
  <si>
    <t>• Bachelor of Applied Exercise Science/Master of Clinical Exercise Physiology; orBachelor of Exercise Science/Master of Physiotherapy and Exercise Physiology
• Bachelor of Exercise Science/Master of Physiotherapy and Exercise Physiology</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</si>
  <si>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</si>
  <si>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</si>
  <si>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</si>
  <si>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</si>
  <si>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Bachelor of CommerceBachelor of Commerce (International)Bachelor of EconomicsBachelor of Commerce (Co-op)
• Bachelor of Commerce (International)Bachelor of EconomicsBachelor of Commerce (Co-op)
• Bachelor of EconomicsBachelor of Commerce (Co-op)
• Bachelor of Commerce (Co-op)</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</si>
  <si>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</si>
  <si>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</si>
  <si>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$120,000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</si>
  <si>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</si>
  <si>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</si>
  <si>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 Be students proposing to undertake an Honours Year Program in Climate Change Research Centre,supervised by a researcher in the ARC Centre of Excellence</t>
  </si>
  <si>
    <t>• Be commencing an Honours Year in Science, in one of the following programs in Term 1,2025:Medicinal Chemistry (Honours)/LawPsychology (Honours)/LawAdvanced Science (Honours)/Law
• Medicinal Chemistry (Honours)/Law
• Psychology (Honours)/Law
• Advanced Science (Honours)/Law</t>
  </si>
  <si>
    <t>• Rural or Regional
• any year
• Financial hardship
• Academic merit</t>
  </si>
  <si>
    <t>5 years (MAX)</t>
  </si>
  <si>
    <t>• Academic merit 
• Disability
• Demonstrable difference to their communities through engagement or advocacy.</t>
  </si>
  <si>
    <t>• Written Statement
• Rural or Regional
• any year
• Academic merit</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</si>
  <si>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</si>
  <si>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</si>
  <si>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</si>
  <si>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</si>
  <si>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</si>
  <si>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</si>
  <si>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</si>
  <si>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</si>
  <si>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</si>
  <si>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</si>
  <si>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</si>
  <si>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</si>
  <si>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</si>
  <si>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</si>
  <si>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</si>
  <si>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Current or former member of the ADF
• applicant must not be receiving any funding from the department of defence
• applicant must reside in the dubbo local government area</t>
  </si>
  <si>
    <t xml:space="preserve">• Written statement
• Rural or Regional
• Resident of selected areas
• Selected Business, Science, Teaching and Computer Science programs. </t>
  </si>
  <si>
    <t>• Written statement 
• Academic merit</t>
  </si>
  <si>
    <t>• Resident of selected areas
• honours
•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</si>
  <si>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</si>
  <si>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</si>
  <si>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</si>
  <si>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</si>
  <si>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</si>
  <si>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</si>
  <si>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</si>
  <si>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</si>
  <si>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</si>
  <si>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</si>
  <si>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</si>
  <si>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</si>
  <si>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</si>
  <si>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</si>
  <si>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</si>
  <si>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</si>
  <si>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</si>
  <si>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</si>
  <si>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</si>
  <si>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</si>
  <si>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</si>
  <si>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</si>
  <si>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</si>
  <si>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</si>
  <si>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</si>
  <si>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</si>
  <si>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</si>
  <si>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</si>
  <si>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</si>
  <si>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</si>
  <si>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</si>
  <si>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</si>
  <si>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</si>
  <si>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</si>
  <si>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</si>
  <si>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Selected HCA programs
• be able to demonstrate a love for 'creating' theatre and a passion for education in the dramatic arts which represents the legacy of professor john carroll.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</si>
  <si>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</si>
  <si>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</si>
  <si>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</si>
  <si>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</si>
  <si>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</si>
  <si>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</si>
  <si>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</si>
  <si>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</si>
  <si>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</si>
  <si>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</si>
  <si>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</si>
  <si>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</si>
  <si>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</si>
  <si>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</si>
  <si>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</si>
  <si>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</si>
  <si>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</si>
  <si>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</si>
  <si>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</si>
  <si>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</si>
  <si>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</si>
  <si>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</si>
  <si>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</si>
  <si>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</si>
  <si>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</si>
  <si>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</si>
  <si>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</si>
  <si>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</si>
  <si>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</si>
  <si>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</si>
  <si>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</si>
  <si>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</si>
  <si>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</si>
  <si>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Have successfully completed two years (160 credits) of a Bachelor of Engineering (Mining Transfer Program) at the University of Newcastle; and
• Be commencing the third year of undergraduate study (single or double degree) in Bachelor of Engineering (Honours) (Mining) at UNSW.</t>
  </si>
  <si>
    <t>• Must be working in the Not-for-Profit sector
• Master of Business Administration
• Master of Business Administration (Executive)</t>
  </si>
  <si>
    <t>• Be commencing full-time enrolment in the UNSW Juris Doctor program in Term 1, 2025.</t>
  </si>
  <si>
    <t>•  undergraduate UNSW dual Law degree program in Term 1, 2024.</t>
  </si>
  <si>
    <t>• Have applied and received an offer to reside at one of theKensington Collegesat UNSW
• Be from a regional or remote area*</t>
  </si>
  <si>
    <t xml:space="preserve">• Female
• in the previous two years prior to commencing at UNSW, provided no tertiary study was undertaken during this period.
• Bachelor of Construction Management and Property single degree </t>
  </si>
  <si>
    <t>• Master of Architecture</t>
  </si>
  <si>
    <t>• Major in either Mathematics, Chemistry or Physics.</t>
  </si>
  <si>
    <t xml:space="preserve">• Honours program in the School of Mathematics &amp; Statistics </t>
  </si>
  <si>
    <t>• Studying on an ageing related topic under the supervision of aCEPAR Chief Investigator,Associate InvestigatororResearch Fellow
• EconomicsActuarial StudiesPsychology
• Actuarial StudiesPsychology
• Psychology</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</si>
  <si>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t>
  </si>
  <si>
    <t xml:space="preserve">• Nuclear Engineering specialisation in the Master of Engineering Science </t>
  </si>
  <si>
    <t>• Honours study in an undergraduate degree in Built Environment</t>
  </si>
  <si>
    <t>• Academic merit (ATAR)
• Rural or Regional</t>
  </si>
  <si>
    <t>• Be commencing full-time undergraduate study in an eligible degree program</t>
  </si>
  <si>
    <t xml:space="preserve">•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</si>
  <si>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</si>
  <si>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</si>
  <si>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</si>
  <si>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</si>
  <si>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</si>
  <si>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</si>
  <si>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</si>
  <si>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</si>
  <si>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</si>
  <si>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</si>
  <si>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</si>
  <si>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</si>
  <si>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</si>
  <si>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</si>
  <si>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</si>
  <si>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</si>
  <si>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</si>
  <si>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</si>
  <si>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 xml:space="preserve">• applicants must be full-time in an on-campus course that can be fully delivered at one of the campuses listed above; and
• applicants must be enrolled in a bachelor, bachelor honours, graduate certificate, graduate diploma, master or doctoral degree.
• maintain ongoing residency in a regional area </t>
  </si>
  <si>
    <t>Various Durations</t>
  </si>
  <si>
    <t>6 months</t>
  </si>
  <si>
    <t>• Graduate Certificate in maritime studies 
• applicants must be willing to complete a pre and post scholarship survey aimed at monitoring the impact of the amsa scholarship
• applicants must demonstrate prior academic excellence</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</si>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</sst>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31"/>
  <sheetViews>
    <sheetView tabSelected="1" workbookViewId="0">
      <selection activeCell="B336" sqref="B336"/>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537</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570</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571</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572</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573</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672</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552</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553</v>
      </c>
      <c r="H9" t="s">
        <v>25</v>
      </c>
      <c r="I9" t="s">
        <v>25</v>
      </c>
    </row>
    <row r="10" spans="1:9" ht="105"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538</v>
      </c>
      <c r="F10" t="s">
        <v>13</v>
      </c>
      <c r="G10" s="12" t="s">
        <v>539</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540</v>
      </c>
      <c r="H11" t="s">
        <v>25</v>
      </c>
      <c r="I11" t="s">
        <v>25</v>
      </c>
    </row>
    <row r="12" spans="1:9" ht="90"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206</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207</v>
      </c>
      <c r="E13" t="s">
        <v>24</v>
      </c>
      <c r="F13" t="s">
        <v>35</v>
      </c>
      <c r="G13" s="12" t="s">
        <v>208</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209</v>
      </c>
      <c r="E14" t="s">
        <v>201</v>
      </c>
      <c r="F14" t="s">
        <v>35</v>
      </c>
      <c r="G14" s="12" t="s">
        <v>574</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210</v>
      </c>
      <c r="E15" t="s">
        <v>24</v>
      </c>
      <c r="F15" t="s">
        <v>35</v>
      </c>
      <c r="G15" s="12" t="s">
        <v>574</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541</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542</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211</v>
      </c>
      <c r="E18" t="s">
        <v>201</v>
      </c>
      <c r="F18" t="s">
        <v>35</v>
      </c>
      <c r="G18" s="12" t="s">
        <v>575</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543</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212</v>
      </c>
      <c r="E20" t="s">
        <v>24</v>
      </c>
      <c r="F20" t="s">
        <v>13</v>
      </c>
      <c r="G20" s="12" t="s">
        <v>544</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213</v>
      </c>
      <c r="E21" t="s">
        <v>201</v>
      </c>
      <c r="F21" t="s">
        <v>13</v>
      </c>
      <c r="G21" s="12" t="s">
        <v>545</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209</v>
      </c>
      <c r="E22" t="s">
        <v>201</v>
      </c>
      <c r="F22" t="s">
        <v>13</v>
      </c>
      <c r="G22" s="12" t="s">
        <v>546</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214</v>
      </c>
      <c r="E23" t="s">
        <v>24</v>
      </c>
      <c r="F23" t="s">
        <v>13</v>
      </c>
      <c r="G23" s="12" t="s">
        <v>208</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209</v>
      </c>
      <c r="E24" t="s">
        <v>201</v>
      </c>
      <c r="F24" t="s">
        <v>13</v>
      </c>
      <c r="G24" s="12" t="s">
        <v>215</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547</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548</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209</v>
      </c>
      <c r="E27" t="s">
        <v>201</v>
      </c>
      <c r="F27" t="s">
        <v>13</v>
      </c>
      <c r="G27" s="12" t="s">
        <v>549</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550</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216</v>
      </c>
      <c r="E29" t="s">
        <v>24</v>
      </c>
      <c r="F29" t="s">
        <v>197</v>
      </c>
      <c r="G29" s="12" t="s">
        <v>551</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217</v>
      </c>
      <c r="E30" t="s">
        <v>205</v>
      </c>
      <c r="F30" t="s">
        <v>13</v>
      </c>
      <c r="G30" s="12" t="s">
        <v>560</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554</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216</v>
      </c>
      <c r="E32" t="s">
        <v>24</v>
      </c>
      <c r="F32" t="s">
        <v>35</v>
      </c>
      <c r="G32" s="12" t="s">
        <v>555</v>
      </c>
      <c r="H32" t="s">
        <v>25</v>
      </c>
      <c r="I32" t="s">
        <v>25</v>
      </c>
    </row>
    <row r="33" spans="1:9" ht="15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209</v>
      </c>
      <c r="E33" t="s">
        <v>201</v>
      </c>
      <c r="F33" t="s">
        <v>197</v>
      </c>
      <c r="G33" s="12" t="s">
        <v>556</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218</v>
      </c>
      <c r="E34" t="s">
        <v>201</v>
      </c>
      <c r="F34" t="s">
        <v>13</v>
      </c>
      <c r="G34" s="12" t="s">
        <v>208</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557</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211</v>
      </c>
      <c r="E36" t="s">
        <v>24</v>
      </c>
      <c r="F36" t="s">
        <v>13</v>
      </c>
      <c r="G36" s="12" t="s">
        <v>219</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220</v>
      </c>
      <c r="E37" t="s">
        <v>201</v>
      </c>
      <c r="F37" t="s">
        <v>51</v>
      </c>
      <c r="G37" s="12" t="s">
        <v>558</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221</v>
      </c>
      <c r="E38" t="s">
        <v>24</v>
      </c>
      <c r="F38" t="s">
        <v>35</v>
      </c>
      <c r="G38" s="12" t="s">
        <v>559</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551</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211</v>
      </c>
      <c r="E40" t="s">
        <v>24</v>
      </c>
      <c r="F40" t="s">
        <v>13</v>
      </c>
      <c r="G40" s="12" t="s">
        <v>561</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216</v>
      </c>
      <c r="E41" t="s">
        <v>24</v>
      </c>
      <c r="F41" t="s">
        <v>13</v>
      </c>
      <c r="G41" s="12" t="s">
        <v>562</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563</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222</v>
      </c>
      <c r="E43" t="s">
        <v>24</v>
      </c>
      <c r="F43" t="s">
        <v>51</v>
      </c>
      <c r="G43" s="12" t="s">
        <v>223</v>
      </c>
      <c r="H43" t="s">
        <v>25</v>
      </c>
      <c r="I43" t="s">
        <v>25</v>
      </c>
    </row>
    <row r="44" spans="1:9" ht="270" x14ac:dyDescent="0.25">
      <c r="A44" s="2" t="s">
        <v>6</v>
      </c>
      <c r="B44" t="str">
        <f>HYPERLINK("https://www.csu.edu.au/scholarships/scholarships-grants/find-scholarship/foundation/continuing/charles-sturt-foundation-sports-council-scholarship", "SRC Sports Scholarship")</f>
        <v>SRC Sports Scholarship</v>
      </c>
      <c r="C44" t="s">
        <v>27</v>
      </c>
      <c r="D44" t="s">
        <v>216</v>
      </c>
      <c r="E44" t="s">
        <v>24</v>
      </c>
      <c r="F44" t="s">
        <v>51</v>
      </c>
      <c r="G44" s="12" t="s">
        <v>564</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224</v>
      </c>
      <c r="E45" t="s">
        <v>31</v>
      </c>
      <c r="F45" t="s">
        <v>13</v>
      </c>
      <c r="G45" s="12" t="s">
        <v>565</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566</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567</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568</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225</v>
      </c>
      <c r="E49" t="s">
        <v>24</v>
      </c>
      <c r="F49" t="s">
        <v>35</v>
      </c>
      <c r="G49" s="12" t="s">
        <v>569</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227</v>
      </c>
      <c r="E50" t="s">
        <v>24</v>
      </c>
      <c r="F50" t="s">
        <v>13</v>
      </c>
      <c r="G50" s="12" t="s">
        <v>228</v>
      </c>
      <c r="H50" t="s">
        <v>25</v>
      </c>
      <c r="I50" t="s">
        <v>25</v>
      </c>
    </row>
    <row r="51" spans="1:9" ht="409.5" x14ac:dyDescent="0.25">
      <c r="A51" s="2" t="s">
        <v>6</v>
      </c>
      <c r="B51" t="str">
        <f>HYPERLINK("https://www.csu.edu.au/scholarships/scholarships-grants/find-scholarship/foundation/continuing/staffgive-work-placement-prize", "Staffgive Work Placement Prize")</f>
        <v>Staffgive Work Placement Prize</v>
      </c>
      <c r="C51" t="s">
        <v>27</v>
      </c>
      <c r="D51" t="s">
        <v>216</v>
      </c>
      <c r="E51" t="s">
        <v>24</v>
      </c>
      <c r="F51" t="s">
        <v>13</v>
      </c>
      <c r="G51" s="12" t="s">
        <v>229</v>
      </c>
      <c r="H51" t="s">
        <v>25</v>
      </c>
      <c r="I51" t="s">
        <v>16</v>
      </c>
    </row>
    <row r="52" spans="1:9" ht="195"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230</v>
      </c>
      <c r="E52" t="s">
        <v>24</v>
      </c>
      <c r="F52" t="s">
        <v>13</v>
      </c>
      <c r="G52" s="12" t="s">
        <v>231</v>
      </c>
      <c r="H52" t="s">
        <v>25</v>
      </c>
      <c r="I52" t="s">
        <v>25</v>
      </c>
    </row>
    <row r="53" spans="1:9" ht="16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232</v>
      </c>
      <c r="H53" t="s">
        <v>25</v>
      </c>
      <c r="I53" t="s">
        <v>25</v>
      </c>
    </row>
    <row r="54" spans="1:9" ht="285"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233</v>
      </c>
      <c r="H54" t="s">
        <v>25</v>
      </c>
      <c r="I54" t="s">
        <v>25</v>
      </c>
    </row>
    <row r="55" spans="1:9" ht="195" x14ac:dyDescent="0.25">
      <c r="A55" s="2" t="s">
        <v>6</v>
      </c>
      <c r="B55" t="str">
        <f>HYPERLINK("https://www.csu.edu.au/scholarships/scholarships-grants/find-scholarship/foundation/any-year/lions-club-of-albury-inc.-scholarship", "Lions Club of Albury Inc. Scholarship")</f>
        <v>Lions Club of Albury Inc. Scholarship</v>
      </c>
      <c r="C55" t="s">
        <v>27</v>
      </c>
      <c r="D55" t="s">
        <v>234</v>
      </c>
      <c r="E55" t="s">
        <v>24</v>
      </c>
      <c r="F55" t="s">
        <v>13</v>
      </c>
      <c r="G55" s="12" t="s">
        <v>235</v>
      </c>
      <c r="H55" t="s">
        <v>25</v>
      </c>
      <c r="I55" t="s">
        <v>25</v>
      </c>
    </row>
    <row r="56" spans="1:9" ht="120"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236</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208</v>
      </c>
      <c r="H57" t="s">
        <v>25</v>
      </c>
      <c r="I57" t="s">
        <v>25</v>
      </c>
    </row>
    <row r="58" spans="1:9" ht="31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237</v>
      </c>
      <c r="H58" t="s">
        <v>25</v>
      </c>
      <c r="I58" t="s">
        <v>25</v>
      </c>
    </row>
    <row r="59" spans="1:9" ht="135" x14ac:dyDescent="0.25">
      <c r="A59" s="2" t="s">
        <v>6</v>
      </c>
      <c r="B59" t="str">
        <f>HYPERLINK("https://www.csu.edu.au/scholarships/scholarships-grants/find-scholarship/foundation/1st-year/ron-camplin-scholarship", "Dr Ron Camplin Scholarship OAM")</f>
        <v>Dr Ron Camplin Scholarship OAM</v>
      </c>
      <c r="C59" t="s">
        <v>27</v>
      </c>
      <c r="D59" t="s">
        <v>238</v>
      </c>
      <c r="E59" t="s">
        <v>201</v>
      </c>
      <c r="F59" t="s">
        <v>13</v>
      </c>
      <c r="G59" s="12" t="s">
        <v>239</v>
      </c>
      <c r="H59" t="s">
        <v>25</v>
      </c>
      <c r="I59" t="s">
        <v>25</v>
      </c>
    </row>
    <row r="60" spans="1:9" ht="16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240</v>
      </c>
      <c r="H60" t="s">
        <v>25</v>
      </c>
      <c r="I60" t="s">
        <v>25</v>
      </c>
    </row>
    <row r="61" spans="1:9" ht="345" x14ac:dyDescent="0.25">
      <c r="A61" s="2" t="s">
        <v>6</v>
      </c>
      <c r="B61" t="str">
        <f>HYPERLINK("https://www.csu.edu.au/scholarships/scholarships-grants/find-scholarship/foundation/any-year/bowcher-family-scholarship", "Bowcher Family Scholarship")</f>
        <v>Bowcher Family Scholarship</v>
      </c>
      <c r="C61" t="s">
        <v>14</v>
      </c>
      <c r="D61" t="s">
        <v>241</v>
      </c>
      <c r="E61" t="s">
        <v>24</v>
      </c>
      <c r="F61" t="s">
        <v>197</v>
      </c>
      <c r="G61" s="12" t="s">
        <v>242</v>
      </c>
      <c r="H61" t="s">
        <v>25</v>
      </c>
      <c r="I61" t="s">
        <v>25</v>
      </c>
    </row>
    <row r="62" spans="1:9" ht="409.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243</v>
      </c>
      <c r="H62" t="s">
        <v>25</v>
      </c>
      <c r="I62" t="s">
        <v>16</v>
      </c>
    </row>
    <row r="63" spans="1:9" ht="375"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216</v>
      </c>
      <c r="E63" t="s">
        <v>201</v>
      </c>
      <c r="F63" t="s">
        <v>35</v>
      </c>
      <c r="G63" s="12" t="s">
        <v>244</v>
      </c>
      <c r="H63" t="s">
        <v>25</v>
      </c>
      <c r="I63" t="s">
        <v>25</v>
      </c>
    </row>
    <row r="64" spans="1:9" ht="21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212</v>
      </c>
      <c r="E64" t="s">
        <v>24</v>
      </c>
      <c r="F64" t="s">
        <v>13</v>
      </c>
      <c r="G64" s="12" t="s">
        <v>245</v>
      </c>
      <c r="H64" t="s">
        <v>25</v>
      </c>
      <c r="I64" t="s">
        <v>25</v>
      </c>
    </row>
    <row r="65" spans="1:9" ht="315" x14ac:dyDescent="0.25">
      <c r="A65" s="2" t="s">
        <v>6</v>
      </c>
      <c r="B65" t="str">
        <f>HYPERLINK("https://www.csu.edu.au/scholarships/scholarships-grants/find-scholarship/foundation/continuing/daily-advertiser-scholarship", "Daily Advertiser Scholarship")</f>
        <v>Daily Advertiser Scholarship</v>
      </c>
      <c r="C65" t="s">
        <v>14</v>
      </c>
      <c r="D65" t="s">
        <v>246</v>
      </c>
      <c r="E65" t="s">
        <v>24</v>
      </c>
      <c r="F65" t="s">
        <v>13</v>
      </c>
      <c r="G65" s="12" t="s">
        <v>247</v>
      </c>
      <c r="H65" t="s">
        <v>25</v>
      </c>
      <c r="I65" t="s">
        <v>25</v>
      </c>
    </row>
    <row r="66" spans="1:9" ht="60"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248</v>
      </c>
      <c r="H66" t="s">
        <v>25</v>
      </c>
      <c r="I66" t="s">
        <v>25</v>
      </c>
    </row>
    <row r="67" spans="1:9" ht="60"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249</v>
      </c>
      <c r="H67" t="s">
        <v>25</v>
      </c>
      <c r="I67" t="s">
        <v>25</v>
      </c>
    </row>
    <row r="68" spans="1:9" ht="409.5" x14ac:dyDescent="0.25">
      <c r="A68" s="2" t="s">
        <v>6</v>
      </c>
      <c r="B68" t="str">
        <f>HYPERLINK("https://www.csu.edu.au/scholarships/scholarships-grants/find-scholarship/foundation/1st-year/the-carole-and-stan-droder-prize", "The Carole and Stan Droder Prize")</f>
        <v>The Carole and Stan Droder Prize</v>
      </c>
      <c r="C68" t="s">
        <v>14</v>
      </c>
      <c r="D68" t="s">
        <v>216</v>
      </c>
      <c r="E68" t="s">
        <v>24</v>
      </c>
      <c r="F68" t="s">
        <v>13</v>
      </c>
      <c r="G68" s="12" t="s">
        <v>250</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217</v>
      </c>
      <c r="E69" t="s">
        <v>201</v>
      </c>
      <c r="F69" t="s">
        <v>35</v>
      </c>
      <c r="G69" s="12" t="s">
        <v>576</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577</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578</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579</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209</v>
      </c>
      <c r="E73" t="s">
        <v>205</v>
      </c>
      <c r="F73" t="s">
        <v>13</v>
      </c>
      <c r="G73" s="12" t="s">
        <v>580</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581</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251</v>
      </c>
      <c r="E75" t="s">
        <v>201</v>
      </c>
      <c r="F75" t="s">
        <v>35</v>
      </c>
      <c r="G75" s="12" t="s">
        <v>582</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583</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221</v>
      </c>
      <c r="E77" t="s">
        <v>24</v>
      </c>
      <c r="F77" t="s">
        <v>13</v>
      </c>
      <c r="G77" s="12" t="s">
        <v>584</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241</v>
      </c>
      <c r="E78" t="s">
        <v>201</v>
      </c>
      <c r="F78" t="s">
        <v>13</v>
      </c>
      <c r="G78" s="12" t="s">
        <v>585</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586</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252</v>
      </c>
      <c r="E80" t="s">
        <v>201</v>
      </c>
      <c r="F80" t="s">
        <v>13</v>
      </c>
      <c r="G80" s="12" t="s">
        <v>587</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253</v>
      </c>
      <c r="E81" t="s">
        <v>201</v>
      </c>
      <c r="F81" t="s">
        <v>589</v>
      </c>
      <c r="G81" s="12" t="s">
        <v>588</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253</v>
      </c>
      <c r="E82" t="s">
        <v>201</v>
      </c>
      <c r="F82" t="s">
        <v>35</v>
      </c>
      <c r="G82" s="12" t="s">
        <v>590</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255</v>
      </c>
      <c r="E83" t="s">
        <v>205</v>
      </c>
      <c r="F83" t="s">
        <v>35</v>
      </c>
      <c r="G83" s="12" t="s">
        <v>591</v>
      </c>
      <c r="H83" t="s">
        <v>25</v>
      </c>
      <c r="I83" t="s">
        <v>25</v>
      </c>
    </row>
    <row r="84" spans="1:9" ht="165"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256</v>
      </c>
      <c r="H84" t="s">
        <v>25</v>
      </c>
      <c r="I84" t="s">
        <v>25</v>
      </c>
    </row>
    <row r="85" spans="1:9" ht="10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226</v>
      </c>
      <c r="E85" t="s">
        <v>24</v>
      </c>
      <c r="F85" t="s">
        <v>13</v>
      </c>
      <c r="G85" s="12" t="s">
        <v>257</v>
      </c>
      <c r="H85" t="s">
        <v>25</v>
      </c>
      <c r="I85" t="s">
        <v>25</v>
      </c>
    </row>
    <row r="86" spans="1:9" ht="255" x14ac:dyDescent="0.25">
      <c r="A86" s="2" t="s">
        <v>6</v>
      </c>
      <c r="B86" t="str">
        <f>HYPERLINK("https://www.csu.edu.au/scholarships/scholarships-grants/find-scholarship/foundation/any-year/the-hayes-scholarship", "The Hayes Scholarship")</f>
        <v>The Hayes Scholarship</v>
      </c>
      <c r="C86" t="s">
        <v>27</v>
      </c>
      <c r="D86" t="s">
        <v>209</v>
      </c>
      <c r="E86" t="s">
        <v>201</v>
      </c>
      <c r="F86" t="s">
        <v>197</v>
      </c>
      <c r="G86" s="12" t="s">
        <v>258</v>
      </c>
      <c r="H86" t="s">
        <v>25</v>
      </c>
      <c r="I86" t="s">
        <v>25</v>
      </c>
    </row>
    <row r="87" spans="1:9" ht="285" x14ac:dyDescent="0.25">
      <c r="A87" s="2" t="s">
        <v>6</v>
      </c>
      <c r="B87" t="str">
        <f>HYPERLINK("https://www.csu.edu.au/scholarships/scholarships-grants/find-scholarship/foundation/any-year/lionel-allen-memorial-scholarship", "Lionel Allen Memorial Scholarship")</f>
        <v>Lionel Allen Memorial Scholarship</v>
      </c>
      <c r="C87" t="s">
        <v>27</v>
      </c>
      <c r="D87" s="7" t="s">
        <v>211</v>
      </c>
      <c r="E87" t="s">
        <v>24</v>
      </c>
      <c r="F87" t="s">
        <v>13</v>
      </c>
      <c r="G87" s="12" t="s">
        <v>259</v>
      </c>
      <c r="H87" t="s">
        <v>25</v>
      </c>
      <c r="I87" t="s">
        <v>25</v>
      </c>
    </row>
    <row r="88" spans="1:9" ht="409.5"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260</v>
      </c>
      <c r="E88" t="s">
        <v>201</v>
      </c>
      <c r="F88" t="s">
        <v>35</v>
      </c>
      <c r="G88" s="12" t="s">
        <v>261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662</v>
      </c>
      <c r="E89" t="s">
        <v>331</v>
      </c>
      <c r="F89" t="s">
        <v>13</v>
      </c>
      <c r="G89" s="12" t="s">
        <v>656</v>
      </c>
      <c r="H89" t="s">
        <v>21</v>
      </c>
      <c r="I89" t="s">
        <v>25</v>
      </c>
    </row>
    <row r="90" spans="1:9" ht="90"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262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263</v>
      </c>
      <c r="H91" t="s">
        <v>25</v>
      </c>
      <c r="I91" t="s">
        <v>25</v>
      </c>
    </row>
    <row r="92" spans="1:9" ht="315" x14ac:dyDescent="0.25">
      <c r="A92" s="2" t="s">
        <v>6</v>
      </c>
      <c r="B92" t="str">
        <f>HYPERLINK("https://www.csu.edu.au/scholarships/scholarships-grants/find-scholarship/foundation/continuing/dare-to-know-paramedic-research-scholarship", "Dare to Know Paramedic Research Scholarship")</f>
        <v>Dare to Know Paramedic Research Scholarship</v>
      </c>
      <c r="C92" t="s">
        <v>27</v>
      </c>
      <c r="D92" t="s">
        <v>264</v>
      </c>
      <c r="E92" t="s">
        <v>201</v>
      </c>
      <c r="F92" t="s">
        <v>13</v>
      </c>
      <c r="G92" s="12" t="s">
        <v>265</v>
      </c>
      <c r="H92" t="s">
        <v>25</v>
      </c>
      <c r="I92" t="s">
        <v>25</v>
      </c>
    </row>
    <row r="93" spans="1:9" ht="345" x14ac:dyDescent="0.25">
      <c r="A93" s="2" t="s">
        <v>6</v>
      </c>
      <c r="B93" t="str">
        <f>HYPERLINK("https://www.csu.edu.au/scholarships/scholarships-grants/find-scholarship/foundation/any-year/rotary-club-of-liverpool-west-scholarship2", "Rotary Club of Liverpool West Scholarship")</f>
        <v>Rotary Club of Liverpool West Scholarship</v>
      </c>
      <c r="C93" t="s">
        <v>27</v>
      </c>
      <c r="D93" t="s">
        <v>266</v>
      </c>
      <c r="E93" t="s">
        <v>201</v>
      </c>
      <c r="F93" t="s">
        <v>13</v>
      </c>
      <c r="G93" s="12" t="s">
        <v>267</v>
      </c>
      <c r="H93" t="s">
        <v>25</v>
      </c>
      <c r="I93" t="s">
        <v>25</v>
      </c>
    </row>
    <row r="94" spans="1:9" ht="300" x14ac:dyDescent="0.25">
      <c r="A94" s="2" t="s">
        <v>6</v>
      </c>
      <c r="B94" t="str">
        <f>HYPERLINK("https://www.csu.edu.au/scholarships/scholarships-grants/find-scholarship/foundation/1st-year/the-dominos-pizza-business-and-leadership-scholarship", "The Domino's Pizza Business &amp; Leadership scholarship")</f>
        <v>The Domino's Pizza Business &amp; Leadership scholarship</v>
      </c>
      <c r="C94" t="s">
        <v>14</v>
      </c>
      <c r="D94" s="7" t="s">
        <v>211</v>
      </c>
      <c r="E94" t="s">
        <v>24</v>
      </c>
      <c r="F94" t="s">
        <v>13</v>
      </c>
      <c r="G94" s="12" t="s">
        <v>268</v>
      </c>
      <c r="H94" t="s">
        <v>25</v>
      </c>
      <c r="I94" t="s">
        <v>25</v>
      </c>
    </row>
    <row r="95" spans="1:9" ht="300" x14ac:dyDescent="0.25">
      <c r="A95" s="2" t="s">
        <v>6</v>
      </c>
      <c r="B95" s="14" t="str">
        <f>HYPERLINK("https://www.csu.edu.au/scholarships/scholarships-grants/find-scholarship/foundation/any-year/gordon-bullock-memorial-scholarship", "Gordon Bullock Memorial Scholarship")</f>
        <v>Gordon Bullock Memorial Scholarship</v>
      </c>
      <c r="C95" t="s">
        <v>27</v>
      </c>
      <c r="D95" s="7" t="s">
        <v>193</v>
      </c>
      <c r="E95" t="s">
        <v>24</v>
      </c>
      <c r="F95" t="s">
        <v>13</v>
      </c>
      <c r="G95" s="12" t="s">
        <v>269</v>
      </c>
      <c r="H95" t="s">
        <v>25</v>
      </c>
      <c r="I95" t="s">
        <v>25</v>
      </c>
    </row>
    <row r="96" spans="1:9" ht="150" x14ac:dyDescent="0.25">
      <c r="A96" s="2" t="s">
        <v>6</v>
      </c>
      <c r="B96" t="str">
        <f>HYPERLINK("https://www.csu.edu.au/scholarships/scholarships-grants/find-scholarship/foundation/continuing/boston-private-wealth-scholarship", "Boston Private Wealth Scholarship")</f>
        <v>Boston Private Wealth Scholarship</v>
      </c>
      <c r="C96" t="s">
        <v>27</v>
      </c>
      <c r="D96" t="s">
        <v>270</v>
      </c>
      <c r="E96" t="s">
        <v>24</v>
      </c>
      <c r="F96" t="s">
        <v>13</v>
      </c>
      <c r="G96" s="12" t="s">
        <v>271</v>
      </c>
      <c r="H96" t="s">
        <v>25</v>
      </c>
      <c r="I96" t="s">
        <v>25</v>
      </c>
    </row>
    <row r="97" spans="1:9" ht="345" x14ac:dyDescent="0.25">
      <c r="A97" s="2" t="s">
        <v>6</v>
      </c>
      <c r="B97" t="str">
        <f>HYPERLINK("https://www.csu.edu.au/scholarships/scholarships-grants/find-scholarship/foundation/any-year/precision-paper-coatings-pty-ltd-scholarship", "Precision Paper Coatings Pty Ltd Scholarship")</f>
        <v>Precision Paper Coatings Pty Ltd Scholarship</v>
      </c>
      <c r="C97" t="s">
        <v>27</v>
      </c>
      <c r="D97" t="s">
        <v>266</v>
      </c>
      <c r="E97" t="s">
        <v>201</v>
      </c>
      <c r="F97" t="s">
        <v>13</v>
      </c>
      <c r="G97" s="12" t="s">
        <v>267</v>
      </c>
      <c r="H97" t="s">
        <v>25</v>
      </c>
      <c r="I97" t="s">
        <v>25</v>
      </c>
    </row>
    <row r="98" spans="1:9" ht="150" x14ac:dyDescent="0.25">
      <c r="A98" s="2" t="s">
        <v>6</v>
      </c>
      <c r="B98" t="str">
        <f>HYPERLINK("https://www.csu.edu.au/scholarships/scholarships-grants/find-scholarship/foundation/any-year/nsw-public-libraries-association-scholarship", "NSW Public Libraries Association Scholarship")</f>
        <v>NSW Public Libraries Association Scholarship</v>
      </c>
      <c r="C98" t="s">
        <v>27</v>
      </c>
      <c r="D98" t="s">
        <v>209</v>
      </c>
      <c r="E98" t="s">
        <v>201</v>
      </c>
      <c r="F98" t="s">
        <v>13</v>
      </c>
      <c r="G98" s="12" t="s">
        <v>272</v>
      </c>
      <c r="H98" t="s">
        <v>25</v>
      </c>
      <c r="I98" t="s">
        <v>25</v>
      </c>
    </row>
    <row r="99" spans="1:9" ht="195" x14ac:dyDescent="0.25">
      <c r="A99" s="2" t="s">
        <v>6</v>
      </c>
      <c r="B99" t="str">
        <f>HYPERLINK("https://www.csu.edu.au/scholarships/scholarships-grants/find-scholarship/foundation/1st-year/albury-city-council-community-leadership-and-resilience-scholarship", "AlburyCity Council Community Leadership Scholarship")</f>
        <v>AlburyCity Council Community Leadership Scholarship</v>
      </c>
      <c r="C99" t="s">
        <v>27</v>
      </c>
      <c r="D99" t="s">
        <v>273</v>
      </c>
      <c r="E99" t="s">
        <v>201</v>
      </c>
      <c r="F99" t="s">
        <v>197</v>
      </c>
      <c r="G99" s="12" t="s">
        <v>274</v>
      </c>
      <c r="H99" t="s">
        <v>25</v>
      </c>
      <c r="I99" t="s">
        <v>25</v>
      </c>
    </row>
    <row r="100" spans="1:9" ht="195" x14ac:dyDescent="0.25">
      <c r="A100" s="2" t="s">
        <v>6</v>
      </c>
      <c r="B100" t="str">
        <f>HYPERLINK("https://www.csu.edu.au/scholarships/scholarships-grants/find-scholarship/foundation/any-year/rural-australia-foundation-scholarship", "Rural Australia Foundation Scholarship")</f>
        <v>Rural Australia Foundation Scholarship</v>
      </c>
      <c r="C100" t="s">
        <v>27</v>
      </c>
      <c r="D100" s="7" t="s">
        <v>209</v>
      </c>
      <c r="E100" t="s">
        <v>24</v>
      </c>
      <c r="F100" t="s">
        <v>13</v>
      </c>
      <c r="G100" s="12" t="s">
        <v>275</v>
      </c>
      <c r="H100" t="s">
        <v>25</v>
      </c>
      <c r="I100" t="s">
        <v>25</v>
      </c>
    </row>
    <row r="101" spans="1:9" ht="360" x14ac:dyDescent="0.25">
      <c r="A101" s="2" t="s">
        <v>6</v>
      </c>
      <c r="B101" t="str">
        <f>HYPERLINK("https://www.csu.edu.au/scholarships/scholarships-grants/find-scholarship/foundation/continuing/therapy-alliance-group-allied-health-scholarship", "Therapy Alliance Group Allied Health Scholarship")</f>
        <v>Therapy Alliance Group Allied Health Scholarship</v>
      </c>
      <c r="C101" t="s">
        <v>27</v>
      </c>
      <c r="D101" t="s">
        <v>203</v>
      </c>
      <c r="E101" t="s">
        <v>201</v>
      </c>
      <c r="F101" t="s">
        <v>35</v>
      </c>
      <c r="G101" s="12" t="s">
        <v>276</v>
      </c>
      <c r="H101" t="s">
        <v>25</v>
      </c>
      <c r="I101" t="s">
        <v>25</v>
      </c>
    </row>
    <row r="102" spans="1:9" ht="195" x14ac:dyDescent="0.25">
      <c r="A102" s="2" t="s">
        <v>6</v>
      </c>
      <c r="B102" t="str">
        <f>HYPERLINK("https://www.csu.edu.au/scholarships/scholarships-grants/find-scholarship/foundation/any-year/ann-gwynn-jones-memorial-scholarship", "Ann Gwynn-Jones Memorial Scholarship")</f>
        <v>Ann Gwynn-Jones Memorial Scholarship</v>
      </c>
      <c r="C102" t="s">
        <v>27</v>
      </c>
      <c r="D102" t="s">
        <v>218</v>
      </c>
      <c r="E102" t="s">
        <v>24</v>
      </c>
      <c r="F102" t="s">
        <v>197</v>
      </c>
      <c r="G102" s="12" t="s">
        <v>277</v>
      </c>
      <c r="H102" t="s">
        <v>25</v>
      </c>
      <c r="I102" t="s">
        <v>25</v>
      </c>
    </row>
    <row r="103" spans="1:9" ht="255" x14ac:dyDescent="0.25">
      <c r="A103" s="2" t="s">
        <v>6</v>
      </c>
      <c r="B103" t="str">
        <f>HYPERLINK("https://www.csu.edu.au/scholarships/scholarships-grants/find-scholarship/foundation/continuing/the-marila-kozdra-allied-health-excellence-scholarship", "The Marila Kozdra Allied Health Excellence Scholarship")</f>
        <v>The Marila Kozdra Allied Health Excellence Scholarship</v>
      </c>
      <c r="C103" t="s">
        <v>27</v>
      </c>
      <c r="D103" t="s">
        <v>203</v>
      </c>
      <c r="E103" t="s">
        <v>201</v>
      </c>
      <c r="F103" t="s">
        <v>35</v>
      </c>
      <c r="G103" s="12" t="s">
        <v>278</v>
      </c>
      <c r="H103" t="s">
        <v>25</v>
      </c>
      <c r="I103" t="s">
        <v>25</v>
      </c>
    </row>
    <row r="104" spans="1:9" ht="225" x14ac:dyDescent="0.25">
      <c r="A104" s="2" t="s">
        <v>6</v>
      </c>
      <c r="B104" t="str">
        <f>HYPERLINK("https://www.csu.edu.au/scholarships/scholarships-grants/find-scholarship/foundation/any-year/dawn-rigby-memorial-scholarship", "Dawn Rigby Memorial Scholarship")</f>
        <v>Dawn Rigby Memorial Scholarship</v>
      </c>
      <c r="C104" t="s">
        <v>14</v>
      </c>
      <c r="D104" s="7" t="s">
        <v>246</v>
      </c>
      <c r="E104" t="s">
        <v>24</v>
      </c>
      <c r="F104" t="s">
        <v>13</v>
      </c>
      <c r="G104" s="12" t="s">
        <v>279</v>
      </c>
      <c r="H104" t="s">
        <v>25</v>
      </c>
      <c r="I104" t="s">
        <v>25</v>
      </c>
    </row>
    <row r="105" spans="1:9" ht="210" x14ac:dyDescent="0.25">
      <c r="A105" s="2" t="s">
        <v>6</v>
      </c>
      <c r="B105" t="str">
        <f>HYPERLINK("https://www.csu.edu.au/scholarships/scholarships-grants/find-scholarship/foundation/1st-year/riverina-water-county-council-scholarship", "Riverina Water Scholarship")</f>
        <v>Riverina Water Scholarship</v>
      </c>
      <c r="C105" t="s">
        <v>27</v>
      </c>
      <c r="D105" t="s">
        <v>253</v>
      </c>
      <c r="E105" t="s">
        <v>201</v>
      </c>
      <c r="F105" t="s">
        <v>35</v>
      </c>
      <c r="G105" s="12" t="s">
        <v>280</v>
      </c>
      <c r="H105" t="s">
        <v>25</v>
      </c>
      <c r="I105" t="s">
        <v>25</v>
      </c>
    </row>
    <row r="106" spans="1:9" ht="345" x14ac:dyDescent="0.25">
      <c r="A106" s="2" t="s">
        <v>6</v>
      </c>
      <c r="B106" t="str">
        <f>HYPERLINK("https://www.csu.edu.au/scholarships/scholarships-grants/find-scholarship/foundation/continuing/white-family-scholarship", "White Family Scholarship")</f>
        <v>White Family Scholarship</v>
      </c>
      <c r="C106" t="s">
        <v>27</v>
      </c>
      <c r="D106" s="7" t="s">
        <v>212</v>
      </c>
      <c r="E106" t="s">
        <v>24</v>
      </c>
      <c r="F106" t="s">
        <v>13</v>
      </c>
      <c r="G106" s="12" t="s">
        <v>281</v>
      </c>
      <c r="H106" t="s">
        <v>25</v>
      </c>
      <c r="I106" t="s">
        <v>25</v>
      </c>
    </row>
    <row r="107" spans="1:9" ht="285" x14ac:dyDescent="0.25">
      <c r="A107" s="2" t="s">
        <v>6</v>
      </c>
      <c r="B107" t="str">
        <f>HYPERLINK("https://www.csu.edu.au/scholarships/scholarships-grants/find-scholarship/foundation/any-year/mr-oliver-and-mrs-heather-fiala-am-scholarship", "Dr Oliver &amp; Mrs Heather Fiala AM Scholarship")</f>
        <v>Dr Oliver &amp; Mrs Heather Fiala AM Scholarship</v>
      </c>
      <c r="C107" t="s">
        <v>27</v>
      </c>
      <c r="D107" t="s">
        <v>193</v>
      </c>
      <c r="E107" t="s">
        <v>24</v>
      </c>
      <c r="F107" t="s">
        <v>13</v>
      </c>
      <c r="G107" s="12" t="s">
        <v>282</v>
      </c>
      <c r="H107" t="s">
        <v>25</v>
      </c>
      <c r="I107" t="s">
        <v>25</v>
      </c>
    </row>
    <row r="108" spans="1:9" ht="75" x14ac:dyDescent="0.25">
      <c r="A108" s="2" t="s">
        <v>6</v>
      </c>
      <c r="B108"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8" t="s">
        <v>27</v>
      </c>
      <c r="D108" t="s">
        <v>283</v>
      </c>
      <c r="E108" t="s">
        <v>201</v>
      </c>
      <c r="F108" t="s">
        <v>35</v>
      </c>
      <c r="G108" s="12" t="s">
        <v>657</v>
      </c>
      <c r="H108" t="s">
        <v>25</v>
      </c>
      <c r="I108" t="s">
        <v>25</v>
      </c>
    </row>
    <row r="109" spans="1:9" ht="90" x14ac:dyDescent="0.25">
      <c r="A109" s="2" t="s">
        <v>6</v>
      </c>
      <c r="B109" t="str">
        <f>HYPERLINK("https://www.csu.edu.au/scholarships/scholarships-grants/find-scholarship/equity/three-rivers-drh-commencing-student-scholarship", "Three Rivers DRH Commencing Student Scholarship")</f>
        <v>Three Rivers DRH Commencing Student Scholarship</v>
      </c>
      <c r="C109" t="s">
        <v>27</v>
      </c>
      <c r="D109" s="7" t="s">
        <v>209</v>
      </c>
      <c r="E109" t="s">
        <v>201</v>
      </c>
      <c r="F109" t="s">
        <v>35</v>
      </c>
      <c r="G109" s="12" t="s">
        <v>658</v>
      </c>
      <c r="H109" t="s">
        <v>25</v>
      </c>
      <c r="I109" t="s">
        <v>25</v>
      </c>
    </row>
    <row r="110" spans="1:9" ht="75" x14ac:dyDescent="0.25">
      <c r="A110" s="2" t="s">
        <v>6</v>
      </c>
      <c r="B110" t="str">
        <f>HYPERLINK("https://www.csu.edu.au/scholarships/scholarships-grants/find-scholarship/equity/three-rivers-drh-aged-care-commencing-student-scholarship", "Three Rivers DRH Aged Care Commencing Student Scholarship")</f>
        <v>Three Rivers DRH Aged Care Commencing Student Scholarship</v>
      </c>
      <c r="C110" t="s">
        <v>27</v>
      </c>
      <c r="D110" t="s">
        <v>284</v>
      </c>
      <c r="E110" t="s">
        <v>285</v>
      </c>
      <c r="F110" t="s">
        <v>35</v>
      </c>
      <c r="G110" s="12" t="s">
        <v>657</v>
      </c>
      <c r="H110" t="s">
        <v>25</v>
      </c>
      <c r="I110" t="s">
        <v>25</v>
      </c>
    </row>
    <row r="111" spans="1:9" ht="270" x14ac:dyDescent="0.25">
      <c r="A111" s="2" t="s">
        <v>6</v>
      </c>
      <c r="B111" t="str">
        <f>HYPERLINK("https://www.csu.edu.au/scholarships/scholarships-grants/find-scholarship/foundation/any-year/jacob-berry-memorial-scholarship", "Jacob Berry Memorial Scholarship")</f>
        <v>Jacob Berry Memorial Scholarship</v>
      </c>
      <c r="C111" t="s">
        <v>27</v>
      </c>
      <c r="D111" t="s">
        <v>234</v>
      </c>
      <c r="E111" t="s">
        <v>201</v>
      </c>
      <c r="F111" t="s">
        <v>13</v>
      </c>
      <c r="G111" s="12" t="s">
        <v>286</v>
      </c>
      <c r="H111" t="s">
        <v>25</v>
      </c>
      <c r="I111" t="s">
        <v>25</v>
      </c>
    </row>
    <row r="112" spans="1:9" ht="75" x14ac:dyDescent="0.25">
      <c r="A112" s="2" t="s">
        <v>6</v>
      </c>
      <c r="B112"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2" t="s">
        <v>27</v>
      </c>
      <c r="D112" t="s">
        <v>287</v>
      </c>
      <c r="E112" t="s">
        <v>205</v>
      </c>
      <c r="F112" t="s">
        <v>35</v>
      </c>
      <c r="G112" s="12" t="s">
        <v>657</v>
      </c>
      <c r="H112" t="s">
        <v>25</v>
      </c>
      <c r="I112" t="s">
        <v>25</v>
      </c>
    </row>
    <row r="113" spans="1:9" ht="409.5" x14ac:dyDescent="0.25">
      <c r="A113" s="2" t="s">
        <v>6</v>
      </c>
      <c r="B113" t="str">
        <f>HYPERLINK("https://www.csu.edu.au/scholarships/scholarships-grants/find-scholarship/foundation/any-year/centacare-south-west-nsw-scholarship", "Centacare South West NSW Scholarship")</f>
        <v>Centacare South West NSW Scholarship</v>
      </c>
      <c r="C113" t="s">
        <v>27</v>
      </c>
      <c r="D113" t="s">
        <v>203</v>
      </c>
      <c r="E113" t="s">
        <v>24</v>
      </c>
      <c r="F113" t="s">
        <v>35</v>
      </c>
      <c r="G113" s="12" t="s">
        <v>288</v>
      </c>
      <c r="H113" t="s">
        <v>25</v>
      </c>
      <c r="I113" t="s">
        <v>25</v>
      </c>
    </row>
    <row r="114" spans="1:9" ht="75" x14ac:dyDescent="0.25">
      <c r="A114" s="2" t="s">
        <v>6</v>
      </c>
      <c r="B114"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4" t="s">
        <v>27</v>
      </c>
      <c r="D114" s="7" t="s">
        <v>193</v>
      </c>
      <c r="E114" t="s">
        <v>24</v>
      </c>
      <c r="F114" t="s">
        <v>13</v>
      </c>
      <c r="G114" s="12" t="s">
        <v>592</v>
      </c>
      <c r="H114" t="s">
        <v>25</v>
      </c>
      <c r="I114" t="s">
        <v>25</v>
      </c>
    </row>
    <row r="115" spans="1:9" ht="60" x14ac:dyDescent="0.25">
      <c r="A115" s="2" t="s">
        <v>6</v>
      </c>
      <c r="B115" t="str">
        <f>HYPERLINK("https://www.csu.edu.au/scholarships/scholarships-grants/find-scholarship/foundation/any-year/laurel-trinidad-research-grant", "Laurel-Trinidad Research Grant")</f>
        <v>Laurel-Trinidad Research Grant</v>
      </c>
      <c r="C115" t="s">
        <v>27</v>
      </c>
      <c r="D115" t="s">
        <v>203</v>
      </c>
      <c r="E115" t="s">
        <v>24</v>
      </c>
      <c r="F115" t="s">
        <v>137</v>
      </c>
      <c r="G115" s="12" t="s">
        <v>593</v>
      </c>
      <c r="H115" t="s">
        <v>25</v>
      </c>
      <c r="I115" t="s">
        <v>25</v>
      </c>
    </row>
    <row r="116" spans="1:9" ht="255" x14ac:dyDescent="0.25">
      <c r="A116" s="2" t="s">
        <v>6</v>
      </c>
      <c r="B116" t="str">
        <f>HYPERLINK("https://www.csu.edu.au/scholarships/scholarships-grants/find-scholarship/foundation/any-year/women-in-racing-canberra-prize", "Women in Racing Canberra Prize")</f>
        <v>Women in Racing Canberra Prize</v>
      </c>
      <c r="C116" t="s">
        <v>27</v>
      </c>
      <c r="D116" t="s">
        <v>218</v>
      </c>
      <c r="E116" t="s">
        <v>24</v>
      </c>
      <c r="F116" t="s">
        <v>13</v>
      </c>
      <c r="G116" s="12" t="s">
        <v>289</v>
      </c>
      <c r="H116" t="s">
        <v>25</v>
      </c>
      <c r="I116" t="s">
        <v>25</v>
      </c>
    </row>
    <row r="117" spans="1:9" ht="150" x14ac:dyDescent="0.25">
      <c r="A117" s="2" t="s">
        <v>6</v>
      </c>
      <c r="B117" t="str">
        <f>HYPERLINK("https://www.csu.edu.au/scholarships/scholarships-grants/find-scholarship/foundation/continuing/Sky-News-Australia-Ian-Cook-Memorial-Scholarship", "Sky News Australia - Ian Cook Memorial Scholarship")</f>
        <v>Sky News Australia - Ian Cook Memorial Scholarship</v>
      </c>
      <c r="C117" t="s">
        <v>27</v>
      </c>
      <c r="D117" s="7" t="s">
        <v>290</v>
      </c>
      <c r="E117" t="s">
        <v>24</v>
      </c>
      <c r="F117" t="s">
        <v>13</v>
      </c>
      <c r="G117" s="12" t="s">
        <v>291</v>
      </c>
      <c r="H117" t="s">
        <v>25</v>
      </c>
      <c r="I117" t="s">
        <v>25</v>
      </c>
    </row>
    <row r="118" spans="1:9" ht="330" x14ac:dyDescent="0.25">
      <c r="A118" s="2" t="s">
        <v>6</v>
      </c>
      <c r="B118"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8" t="s">
        <v>27</v>
      </c>
      <c r="D118" s="7" t="s">
        <v>241</v>
      </c>
      <c r="E118" t="s">
        <v>24</v>
      </c>
      <c r="F118" t="s">
        <v>13</v>
      </c>
      <c r="G118" s="12" t="s">
        <v>292</v>
      </c>
      <c r="H118" t="s">
        <v>25</v>
      </c>
      <c r="I118" t="s">
        <v>16</v>
      </c>
    </row>
    <row r="119" spans="1:9" ht="60" x14ac:dyDescent="0.25">
      <c r="A119" s="2" t="s">
        <v>6</v>
      </c>
      <c r="B119" t="str">
        <f>HYPERLINK("https://www.csu.edu.au/scholarships/scholarships-grants/find-scholarship/foundation/any-year/jess-mclennan-memorial-prize", "Jess McLennan Memorial Prize")</f>
        <v>Jess McLennan Memorial Prize</v>
      </c>
      <c r="C119" t="s">
        <v>27</v>
      </c>
      <c r="D119" t="s">
        <v>293</v>
      </c>
      <c r="E119" t="s">
        <v>201</v>
      </c>
      <c r="F119" t="s">
        <v>13</v>
      </c>
      <c r="G119" s="12" t="s">
        <v>594</v>
      </c>
      <c r="H119" t="s">
        <v>25</v>
      </c>
      <c r="I119" t="s">
        <v>25</v>
      </c>
    </row>
    <row r="120" spans="1:9" ht="180" x14ac:dyDescent="0.25">
      <c r="A120" s="2" t="s">
        <v>6</v>
      </c>
      <c r="B120" t="str">
        <f>HYPERLINK("https://www.csu.edu.au/scholarships/scholarships-grants/find-scholarship/foundation/continuing/professor-john-carroll-memorial-scholarship", "Professor John Carroll Memorial Scholarship")</f>
        <v>Professor John Carroll Memorial Scholarship</v>
      </c>
      <c r="C120" t="s">
        <v>27</v>
      </c>
      <c r="D120" s="7" t="s">
        <v>230</v>
      </c>
      <c r="E120" t="s">
        <v>24</v>
      </c>
      <c r="F120" t="s">
        <v>13</v>
      </c>
      <c r="G120" s="12" t="s">
        <v>595</v>
      </c>
      <c r="H120" t="s">
        <v>25</v>
      </c>
      <c r="I120" t="s">
        <v>25</v>
      </c>
    </row>
    <row r="121" spans="1:9" ht="60" x14ac:dyDescent="0.25">
      <c r="A121" s="2" t="s">
        <v>6</v>
      </c>
      <c r="B121" t="str">
        <f>HYPERLINK("https://www.csu.edu.au/scholarships/scholarships-grants/find-scholarship/foundation/continuing/gita-belin-fortitude-foundation-paramedicine-3rd-year", "Gita Belin Fortitude Foundation Paramedicine 3rd Year")</f>
        <v>Gita Belin Fortitude Foundation Paramedicine 3rd Year</v>
      </c>
      <c r="C121" t="s">
        <v>27</v>
      </c>
      <c r="D121" t="s">
        <v>209</v>
      </c>
      <c r="E121" t="s">
        <v>205</v>
      </c>
      <c r="F121" t="s">
        <v>13</v>
      </c>
      <c r="G121" s="12" t="s">
        <v>596</v>
      </c>
      <c r="H121" t="s">
        <v>25</v>
      </c>
      <c r="I121" t="s">
        <v>25</v>
      </c>
    </row>
    <row r="122" spans="1:9" ht="150" x14ac:dyDescent="0.25">
      <c r="A122" s="2" t="s">
        <v>6</v>
      </c>
      <c r="B122" t="str">
        <f>HYPERLINK("https://www.csu.edu.au/scholarships/scholarships-grants/find-scholarship/foundation/continuing/warakirri-cropping-scholarship2", "Warakirri Cropping Scholarship")</f>
        <v>Warakirri Cropping Scholarship</v>
      </c>
      <c r="C122" t="s">
        <v>27</v>
      </c>
      <c r="D122" t="s">
        <v>209</v>
      </c>
      <c r="E122" t="s">
        <v>201</v>
      </c>
      <c r="F122" t="s">
        <v>13</v>
      </c>
      <c r="G122" s="12" t="s">
        <v>597</v>
      </c>
      <c r="H122" t="s">
        <v>25</v>
      </c>
      <c r="I122" t="s">
        <v>25</v>
      </c>
    </row>
    <row r="123" spans="1:9" ht="75" x14ac:dyDescent="0.25">
      <c r="A123" s="2" t="s">
        <v>6</v>
      </c>
      <c r="B123" t="str">
        <f>HYPERLINK("https://www.csu.edu.au/scholarships/scholarships-grants/find-scholarship/foundation/any-year/charles-sturt-foundation-paramedics-scholarship", "Charles Sturt Foundation Paramedics Scholarship")</f>
        <v>Charles Sturt Foundation Paramedics Scholarship</v>
      </c>
      <c r="C123" t="s">
        <v>27</v>
      </c>
      <c r="D123" t="s">
        <v>193</v>
      </c>
      <c r="E123" t="s">
        <v>24</v>
      </c>
      <c r="F123" t="s">
        <v>13</v>
      </c>
      <c r="G123" s="12" t="s">
        <v>598</v>
      </c>
      <c r="H123" t="s">
        <v>25</v>
      </c>
      <c r="I123" t="s">
        <v>25</v>
      </c>
    </row>
    <row r="124" spans="1:9" ht="120" x14ac:dyDescent="0.25">
      <c r="A124" s="2" t="s">
        <v>6</v>
      </c>
      <c r="B124" t="str">
        <f>HYPERLINK("https://www.csu.edu.au/scholarships/scholarships-grants/find-scholarship/foundation/continuing/hv-mckay-scholarship", "HV McKay II Memorial Scholarship")</f>
        <v>HV McKay II Memorial Scholarship</v>
      </c>
      <c r="C124" t="s">
        <v>27</v>
      </c>
      <c r="D124" t="s">
        <v>294</v>
      </c>
      <c r="E124" t="s">
        <v>201</v>
      </c>
      <c r="F124" t="s">
        <v>13</v>
      </c>
      <c r="G124" s="12" t="s">
        <v>599</v>
      </c>
      <c r="H124" t="s">
        <v>25</v>
      </c>
      <c r="I124" t="s">
        <v>25</v>
      </c>
    </row>
    <row r="125" spans="1:9" ht="30" x14ac:dyDescent="0.25">
      <c r="A125" s="2" t="s">
        <v>6</v>
      </c>
      <c r="B125"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5" t="s">
        <v>27</v>
      </c>
      <c r="D125" t="s">
        <v>202</v>
      </c>
      <c r="E125" t="s">
        <v>205</v>
      </c>
      <c r="F125" t="s">
        <v>13</v>
      </c>
      <c r="G125" s="12" t="s">
        <v>600</v>
      </c>
      <c r="H125" t="s">
        <v>25</v>
      </c>
      <c r="I125" t="s">
        <v>25</v>
      </c>
    </row>
    <row r="126" spans="1:9" ht="60" x14ac:dyDescent="0.25">
      <c r="A126" s="2" t="s">
        <v>6</v>
      </c>
      <c r="B126" t="str">
        <f>HYPERLINK("https://www.csu.edu.au/scholarships/scholarships-grants/find-scholarship/foundation/1st-year/nutrien-ag-solutions-harvesting-the-future-scholarship", "Nutrien Ag Solutions - Harvesting the Future Scholarship")</f>
        <v>Nutrien Ag Solutions - Harvesting the Future Scholarship</v>
      </c>
      <c r="C126" t="s">
        <v>14</v>
      </c>
      <c r="D126" t="s">
        <v>284</v>
      </c>
      <c r="E126" t="s">
        <v>201</v>
      </c>
      <c r="F126" t="s">
        <v>13</v>
      </c>
      <c r="G126" s="12" t="s">
        <v>601</v>
      </c>
      <c r="H126" t="s">
        <v>25</v>
      </c>
      <c r="I126" t="s">
        <v>25</v>
      </c>
    </row>
    <row r="127" spans="1:9" ht="45" x14ac:dyDescent="0.25">
      <c r="A127" s="2" t="s">
        <v>6</v>
      </c>
      <c r="B127" t="str">
        <f>HYPERLINK("https://www.csu.edu.au/scholarships/scholarships-grants/find-scholarship/foundation/1st-year/gita-belin-fortitude-foundation-paramedicine-1st-year", "Gita Belin Fortitude Foundation Paramedicine 1st Year")</f>
        <v>Gita Belin Fortitude Foundation Paramedicine 1st Year</v>
      </c>
      <c r="C127" t="s">
        <v>27</v>
      </c>
      <c r="D127" t="s">
        <v>295</v>
      </c>
      <c r="E127" t="s">
        <v>205</v>
      </c>
      <c r="F127" t="s">
        <v>13</v>
      </c>
      <c r="G127" s="12" t="s">
        <v>602</v>
      </c>
      <c r="H127" t="s">
        <v>25</v>
      </c>
      <c r="I127" t="s">
        <v>25</v>
      </c>
    </row>
    <row r="128" spans="1:9" ht="120" x14ac:dyDescent="0.25">
      <c r="A128" s="2" t="s">
        <v>6</v>
      </c>
      <c r="B128" t="str">
        <f>HYPERLINK("https://www.csu.edu.au/scholarships/scholarships-grants/find-scholarship/foundation/any-year/bathurst-mitchell-student-representative-committee-scholarship/dawn-rigby-memorial-scholarship", "Dawn Rigby Memorial Scholarship")</f>
        <v>Dawn Rigby Memorial Scholarship</v>
      </c>
      <c r="C128" t="s">
        <v>27</v>
      </c>
      <c r="D128" t="s">
        <v>193</v>
      </c>
      <c r="E128" t="s">
        <v>24</v>
      </c>
      <c r="F128" t="s">
        <v>13</v>
      </c>
      <c r="G128" s="12" t="s">
        <v>659</v>
      </c>
      <c r="H128" t="s">
        <v>25</v>
      </c>
      <c r="I128" t="s">
        <v>25</v>
      </c>
    </row>
    <row r="129" spans="1:9" ht="165" x14ac:dyDescent="0.25">
      <c r="A129" s="2" t="s">
        <v>6</v>
      </c>
      <c r="B129" t="str">
        <f>HYPERLINK("https://www.csu.edu.au/scholarships/scholarships-grants/find-scholarship/foundation/any-year/wagga-wagga-teachers-alumni-scholarship/white-family-scholarship", "White Family Scholarship")</f>
        <v>White Family Scholarship</v>
      </c>
      <c r="C129" t="s">
        <v>27</v>
      </c>
      <c r="D129" t="s">
        <v>193</v>
      </c>
      <c r="E129" t="s">
        <v>24</v>
      </c>
      <c r="F129" t="s">
        <v>13</v>
      </c>
      <c r="G129" s="12" t="s">
        <v>603</v>
      </c>
      <c r="H129" t="s">
        <v>25</v>
      </c>
      <c r="I129" t="s">
        <v>25</v>
      </c>
    </row>
    <row r="130" spans="1:9" ht="60" x14ac:dyDescent="0.25">
      <c r="A130" s="2" t="s">
        <v>6</v>
      </c>
      <c r="B130" t="str">
        <f>HYPERLINK("https://www.csu.edu.au/scholarships/scholarships-grants/find-scholarship/foundation/continuing/gita-belin-fortitude-foundation-paramedicine-2nd-year", "Gita Belin Fortitude Foundation Paramedicine 2nd Year")</f>
        <v>Gita Belin Fortitude Foundation Paramedicine 2nd Year</v>
      </c>
      <c r="C130" t="s">
        <v>27</v>
      </c>
      <c r="D130" t="s">
        <v>202</v>
      </c>
      <c r="E130" t="s">
        <v>205</v>
      </c>
      <c r="F130" t="s">
        <v>13</v>
      </c>
      <c r="G130" s="12" t="s">
        <v>604</v>
      </c>
      <c r="H130" t="s">
        <v>25</v>
      </c>
      <c r="I130" t="s">
        <v>25</v>
      </c>
    </row>
    <row r="131" spans="1:9" ht="150" x14ac:dyDescent="0.25">
      <c r="A131" s="2" t="s">
        <v>6</v>
      </c>
      <c r="B131" t="str">
        <f>HYPERLINK("https://www.csu.edu.au/scholarships/scholarships-grants/find-scholarship/foundation/1st-year/Agcessibility-kickstart-scholarship", "AGcessibility Kickstart Scholarship")</f>
        <v>AGcessibility Kickstart Scholarship</v>
      </c>
      <c r="C131" t="s">
        <v>27</v>
      </c>
      <c r="D131" t="s">
        <v>296</v>
      </c>
      <c r="E131" t="s">
        <v>201</v>
      </c>
      <c r="F131" t="s">
        <v>13</v>
      </c>
      <c r="G131" s="12" t="s">
        <v>605</v>
      </c>
      <c r="H131" t="s">
        <v>25</v>
      </c>
      <c r="I131" t="s">
        <v>25</v>
      </c>
    </row>
    <row r="132" spans="1:9" ht="120" x14ac:dyDescent="0.25">
      <c r="A132" s="2" t="s">
        <v>6</v>
      </c>
      <c r="B132" t="str">
        <f>HYPERLINK("https://www.csu.edu.au/scholarships/scholarships-grants/find-scholarship/foundation/any-year/rotary-club-of-albury-scholarship", "Rotary Club of Albury Scholarship")</f>
        <v>Rotary Club of Albury Scholarship</v>
      </c>
      <c r="C132" t="s">
        <v>27</v>
      </c>
      <c r="D132" s="7" t="s">
        <v>211</v>
      </c>
      <c r="E132" t="s">
        <v>24</v>
      </c>
      <c r="F132" t="s">
        <v>13</v>
      </c>
      <c r="G132" s="12" t="s">
        <v>606</v>
      </c>
      <c r="H132" t="s">
        <v>25</v>
      </c>
      <c r="I132" t="s">
        <v>25</v>
      </c>
    </row>
    <row r="133" spans="1:9" ht="60" x14ac:dyDescent="0.25">
      <c r="A133" s="2" t="s">
        <v>6</v>
      </c>
      <c r="B133" t="str">
        <f>HYPERLINK("https://www.csu.edu.au/scholarships/scholarships-grants/find-scholarship/foundation/any-year/pay-it-forward-dentistry-scholarship", "Pay it Forward Dentistry Scholarship")</f>
        <v>Pay it Forward Dentistry Scholarship</v>
      </c>
      <c r="C133" t="s">
        <v>14</v>
      </c>
      <c r="D133" t="s">
        <v>202</v>
      </c>
      <c r="E133" t="s">
        <v>201</v>
      </c>
      <c r="F133" t="s">
        <v>13</v>
      </c>
      <c r="G133" s="12" t="s">
        <v>607</v>
      </c>
      <c r="H133" t="s">
        <v>25</v>
      </c>
      <c r="I133" t="s">
        <v>25</v>
      </c>
    </row>
    <row r="134" spans="1:9" ht="60" x14ac:dyDescent="0.25">
      <c r="A134" s="2" t="s">
        <v>6</v>
      </c>
      <c r="B134"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4" t="s">
        <v>14</v>
      </c>
      <c r="D134" s="7" t="s">
        <v>193</v>
      </c>
      <c r="E134" t="s">
        <v>24</v>
      </c>
      <c r="F134" t="s">
        <v>13</v>
      </c>
      <c r="G134" s="12" t="s">
        <v>608</v>
      </c>
      <c r="H134" t="s">
        <v>25</v>
      </c>
      <c r="I134" t="s">
        <v>25</v>
      </c>
    </row>
    <row r="135" spans="1:9" ht="105" x14ac:dyDescent="0.25">
      <c r="A135" s="2" t="s">
        <v>6</v>
      </c>
      <c r="B135" t="str">
        <f>HYPERLINK("https://www.csu.edu.au/scholarships/scholarships-grants/find-scholarship/foundation/continuing/rabobank-tertiary-pathways-scholarship", "Rabobank Tertiary Pathways Scholarship")</f>
        <v>Rabobank Tertiary Pathways Scholarship</v>
      </c>
      <c r="C135" t="s">
        <v>27</v>
      </c>
      <c r="D135" t="s">
        <v>296</v>
      </c>
      <c r="E135" t="s">
        <v>201</v>
      </c>
      <c r="F135" t="s">
        <v>13</v>
      </c>
      <c r="G135" s="12" t="s">
        <v>609</v>
      </c>
      <c r="H135" t="s">
        <v>25</v>
      </c>
      <c r="I135" t="s">
        <v>25</v>
      </c>
    </row>
    <row r="136" spans="1:9" ht="75" x14ac:dyDescent="0.25">
      <c r="A136" s="2" t="s">
        <v>6</v>
      </c>
      <c r="B136" t="str">
        <f>HYPERLINK("https://www.csu.edu.au/scholarships/scholarships-grants/find-scholarship/foundation/1st-year/dr-julia-howitt-legacy-scholarship", "Dr Julia Howitt Legacy Scholarship")</f>
        <v>Dr Julia Howitt Legacy Scholarship</v>
      </c>
      <c r="C136" t="s">
        <v>27</v>
      </c>
      <c r="D136" s="7" t="s">
        <v>193</v>
      </c>
      <c r="E136" t="s">
        <v>24</v>
      </c>
      <c r="F136" t="s">
        <v>197</v>
      </c>
      <c r="G136" s="12" t="s">
        <v>610</v>
      </c>
      <c r="H136" t="s">
        <v>25</v>
      </c>
      <c r="I136" t="s">
        <v>25</v>
      </c>
    </row>
    <row r="137" spans="1:9" ht="75" x14ac:dyDescent="0.25">
      <c r="A137" s="2" t="s">
        <v>6</v>
      </c>
      <c r="B137" t="str">
        <f>HYPERLINK("https://www.csu.edu.au/scholarships/scholarships-grants/find-scholarship/foundation/1st-year/angel-family-trust-scholarship", "The Angel Family Trust Scholarship")</f>
        <v>The Angel Family Trust Scholarship</v>
      </c>
      <c r="C137" t="s">
        <v>27</v>
      </c>
      <c r="D137" t="s">
        <v>193</v>
      </c>
      <c r="E137" t="s">
        <v>24</v>
      </c>
      <c r="F137" t="s">
        <v>13</v>
      </c>
      <c r="G137" s="12" t="s">
        <v>611</v>
      </c>
      <c r="H137" t="s">
        <v>25</v>
      </c>
      <c r="I137" t="s">
        <v>25</v>
      </c>
    </row>
    <row r="138" spans="1:9" ht="75" x14ac:dyDescent="0.25">
      <c r="A138" s="2" t="s">
        <v>6</v>
      </c>
      <c r="B138" t="str">
        <f>HYPERLINK("https://www.csu.edu.au/scholarships/scholarships-grants/find-scholarship/foundation/continuing/cal-scholarship", "CAL Scholarship")</f>
        <v>CAL Scholarship</v>
      </c>
      <c r="C138" t="s">
        <v>27</v>
      </c>
      <c r="D138" t="s">
        <v>246</v>
      </c>
      <c r="E138" t="s">
        <v>24</v>
      </c>
      <c r="F138" t="s">
        <v>13</v>
      </c>
      <c r="G138" s="12" t="s">
        <v>612</v>
      </c>
      <c r="H138" t="s">
        <v>25</v>
      </c>
      <c r="I138" t="s">
        <v>25</v>
      </c>
    </row>
    <row r="139" spans="1:9" ht="45" x14ac:dyDescent="0.25">
      <c r="A139" s="2" t="s">
        <v>6</v>
      </c>
      <c r="B139" t="str">
        <f>HYPERLINK("https://www.csu.edu.au/scholarships/scholarships-grants/find-scholarship/foundation/continuing/meller-and-hume-research-scholarship", "Meller Hume Research Scholarship")</f>
        <v>Meller Hume Research Scholarship</v>
      </c>
      <c r="C139" t="s">
        <v>27</v>
      </c>
      <c r="D139" t="s">
        <v>297</v>
      </c>
      <c r="E139" t="s">
        <v>201</v>
      </c>
      <c r="F139" t="s">
        <v>13</v>
      </c>
      <c r="G139" s="12" t="s">
        <v>613</v>
      </c>
      <c r="H139" t="s">
        <v>25</v>
      </c>
      <c r="I139" t="s">
        <v>25</v>
      </c>
    </row>
    <row r="140" spans="1:9" ht="120" x14ac:dyDescent="0.25">
      <c r="A140" s="2" t="s">
        <v>6</v>
      </c>
      <c r="B140" t="str">
        <f>HYPERLINK("https://www.csu.edu.au/scholarships/scholarships-grants/find-scholarship/foundation/continuing/hicks-family-agricultural-scholarship", "Hicks Family Agricultural Scholarship")</f>
        <v>Hicks Family Agricultural Scholarship</v>
      </c>
      <c r="C140" t="s">
        <v>14</v>
      </c>
      <c r="D140" t="s">
        <v>298</v>
      </c>
      <c r="E140" t="s">
        <v>205</v>
      </c>
      <c r="F140" t="s">
        <v>35</v>
      </c>
      <c r="G140" s="12" t="s">
        <v>614</v>
      </c>
      <c r="H140" t="s">
        <v>25</v>
      </c>
      <c r="I140" t="s">
        <v>25</v>
      </c>
    </row>
    <row r="141" spans="1:9" ht="75" x14ac:dyDescent="0.25">
      <c r="A141" s="2" t="s">
        <v>6</v>
      </c>
      <c r="B141" t="str">
        <f>HYPERLINK("https://www.csu.edu.au/scholarships/scholarships-grants/find-scholarship/foundation/continuing/the-kerin-physio-co-allied-health-scholarship", "The Kerin Health Allied Health Scholarship")</f>
        <v>The Kerin Health Allied Health Scholarship</v>
      </c>
      <c r="C141" t="s">
        <v>27</v>
      </c>
      <c r="D141" t="s">
        <v>203</v>
      </c>
      <c r="E141" t="s">
        <v>201</v>
      </c>
      <c r="F141" t="s">
        <v>35</v>
      </c>
      <c r="G141" s="12" t="s">
        <v>615</v>
      </c>
      <c r="H141" t="s">
        <v>25</v>
      </c>
      <c r="I141" t="s">
        <v>25</v>
      </c>
    </row>
    <row r="142" spans="1:9" ht="105" x14ac:dyDescent="0.25">
      <c r="A142" s="2" t="s">
        <v>6</v>
      </c>
      <c r="B142" t="str">
        <f>HYPERLINK("https://www.csu.edu.au/scholarships/scholarships-grants/find-scholarship/foundation/1st-year/valerie-cox-memorial-scholarship-commencing", "Valerie Cox Memorial Scholarship - Commencing")</f>
        <v>Valerie Cox Memorial Scholarship - Commencing</v>
      </c>
      <c r="C142" t="s">
        <v>14</v>
      </c>
      <c r="D142" t="s">
        <v>251</v>
      </c>
      <c r="E142" t="s">
        <v>205</v>
      </c>
      <c r="F142" t="s">
        <v>197</v>
      </c>
      <c r="G142" s="12" t="s">
        <v>616</v>
      </c>
      <c r="H142" t="s">
        <v>25</v>
      </c>
      <c r="I142" t="s">
        <v>25</v>
      </c>
    </row>
    <row r="143" spans="1:9" ht="75" x14ac:dyDescent="0.25">
      <c r="A143" s="2" t="s">
        <v>6</v>
      </c>
      <c r="B143" t="str">
        <f>HYPERLINK("https://www.csu.edu.au/scholarships/scholarships-grants/find-scholarship/foundation/accom/percy-allan-foundation-accommodation-scholarship", "Percy Allan Foundation Accommodation Scholarship")</f>
        <v>Percy Allan Foundation Accommodation Scholarship</v>
      </c>
      <c r="C143" t="s">
        <v>14</v>
      </c>
      <c r="D143" t="s">
        <v>299</v>
      </c>
      <c r="E143" t="s">
        <v>201</v>
      </c>
      <c r="F143" t="s">
        <v>13</v>
      </c>
      <c r="G143" s="12" t="s">
        <v>617</v>
      </c>
      <c r="H143" t="s">
        <v>25</v>
      </c>
      <c r="I143" t="s">
        <v>25</v>
      </c>
    </row>
    <row r="144" spans="1:9" ht="135" x14ac:dyDescent="0.25">
      <c r="A144" s="2" t="s">
        <v>6</v>
      </c>
      <c r="B144" t="str">
        <f>HYPERLINK("https://www.csu.edu.au/scholarships/scholarships-grants/find-scholarship/foundation/any-year/lainy-mcfarland-memorial-scholarship", "Lainy McFarland Memorial Scholarship")</f>
        <v>Lainy McFarland Memorial Scholarship</v>
      </c>
      <c r="C144" t="s">
        <v>14</v>
      </c>
      <c r="D144" t="s">
        <v>193</v>
      </c>
      <c r="E144" t="s">
        <v>24</v>
      </c>
      <c r="F144" t="s">
        <v>13</v>
      </c>
      <c r="G144" s="12" t="s">
        <v>618</v>
      </c>
      <c r="H144" t="s">
        <v>25</v>
      </c>
      <c r="I144" t="s">
        <v>25</v>
      </c>
    </row>
    <row r="145" spans="1:9" ht="90" x14ac:dyDescent="0.25">
      <c r="A145" s="2" t="s">
        <v>6</v>
      </c>
      <c r="B145" t="str">
        <f>HYPERLINK("https://www.csu.edu.au/scholarships/scholarships-grants/find-scholarship/foundation/continuing/sarg-waerawi-scholarship", "SARG Waerawi Scholarship")</f>
        <v>SARG Waerawi Scholarship</v>
      </c>
      <c r="C145" t="s">
        <v>27</v>
      </c>
      <c r="D145" t="s">
        <v>193</v>
      </c>
      <c r="E145" t="s">
        <v>201</v>
      </c>
      <c r="F145" t="s">
        <v>13</v>
      </c>
      <c r="G145" s="12" t="s">
        <v>619</v>
      </c>
      <c r="H145" t="s">
        <v>25</v>
      </c>
      <c r="I145" t="s">
        <v>25</v>
      </c>
    </row>
    <row r="146" spans="1:9" ht="105" x14ac:dyDescent="0.25">
      <c r="A146" s="2" t="s">
        <v>6</v>
      </c>
      <c r="B146" t="str">
        <f>HYPERLINK("https://www.csu.edu.au/scholarships/scholarships-grants/find-scholarship/foundation/1st-year/casella-wines-health-science-scholarship", "Casella Family Brands Health Scholarship")</f>
        <v>Casella Family Brands Health Scholarship</v>
      </c>
      <c r="C146" t="s">
        <v>27</v>
      </c>
      <c r="D146" t="s">
        <v>217</v>
      </c>
      <c r="E146" t="s">
        <v>201</v>
      </c>
      <c r="F146" t="s">
        <v>13</v>
      </c>
      <c r="G146" s="12" t="s">
        <v>620</v>
      </c>
      <c r="H146" t="s">
        <v>25</v>
      </c>
      <c r="I146" t="s">
        <v>25</v>
      </c>
    </row>
    <row r="147" spans="1:9" ht="75" x14ac:dyDescent="0.25">
      <c r="A147" s="2" t="s">
        <v>6</v>
      </c>
      <c r="B147" t="str">
        <f>HYPERLINK("https://www.csu.edu.au/scholarships/scholarships-grants/find-scholarship/foundation/continuing/aurora-dairies-scholarship", "Aurora Dairies Scholarship")</f>
        <v>Aurora Dairies Scholarship</v>
      </c>
      <c r="C147" t="s">
        <v>27</v>
      </c>
      <c r="D147" t="s">
        <v>213</v>
      </c>
      <c r="E147" t="s">
        <v>201</v>
      </c>
      <c r="F147" t="s">
        <v>13</v>
      </c>
      <c r="G147" s="12" t="s">
        <v>621</v>
      </c>
      <c r="H147" t="s">
        <v>25</v>
      </c>
      <c r="I147" t="s">
        <v>25</v>
      </c>
    </row>
    <row r="148" spans="1:9" ht="45" x14ac:dyDescent="0.25">
      <c r="A148" s="2" t="s">
        <v>6</v>
      </c>
      <c r="B148" t="str">
        <f>HYPERLINK("https://www.csu.edu.au/scholarships/scholarships-grants/find-scholarship/foundation/continuing/dr-judith-van-der-wal-award", "Dr Judith van der Wal Award")</f>
        <v>Dr Judith van der Wal Award</v>
      </c>
      <c r="C148" t="s">
        <v>27</v>
      </c>
      <c r="D148" t="s">
        <v>226</v>
      </c>
      <c r="E148" t="s">
        <v>24</v>
      </c>
      <c r="F148" t="s">
        <v>13</v>
      </c>
      <c r="G148" s="12" t="s">
        <v>622</v>
      </c>
      <c r="H148" t="s">
        <v>25</v>
      </c>
      <c r="I148" t="s">
        <v>25</v>
      </c>
    </row>
    <row r="149" spans="1:9" ht="75" x14ac:dyDescent="0.25">
      <c r="A149" s="2" t="s">
        <v>6</v>
      </c>
      <c r="B149" t="str">
        <f>HYPERLINK("https://www.csu.edu.au/scholarships/scholarships-grants/find-scholarship/foundation/1st-year/western-sydney-schools-agriculture-scholarship", "Western Sydney Schools Agriculture Scholarship")</f>
        <v>Western Sydney Schools Agriculture Scholarship</v>
      </c>
      <c r="C149" t="s">
        <v>27</v>
      </c>
      <c r="D149" t="s">
        <v>203</v>
      </c>
      <c r="E149" t="s">
        <v>201</v>
      </c>
      <c r="F149" t="s">
        <v>13</v>
      </c>
      <c r="G149" s="12" t="s">
        <v>623</v>
      </c>
      <c r="H149" t="s">
        <v>25</v>
      </c>
      <c r="I149" t="s">
        <v>25</v>
      </c>
    </row>
    <row r="150" spans="1:9" x14ac:dyDescent="0.25">
      <c r="A150" s="2" t="s">
        <v>6</v>
      </c>
      <c r="B150" t="str">
        <f>HYPERLINK("https://www.csu.edu.au/scholarships/scholarships-grants/find-scholarship/foundation/1st-year/gita-belin-fortitude-foundation-rural-doctors-scholarship", "Gita Belin Fortitude Foundation Rural Doctors Scholarship")</f>
        <v>Gita Belin Fortitude Foundation Rural Doctors Scholarship</v>
      </c>
      <c r="C150" t="s">
        <v>27</v>
      </c>
      <c r="D150" t="s">
        <v>300</v>
      </c>
      <c r="E150" t="s">
        <v>205</v>
      </c>
      <c r="F150" t="s">
        <v>13</v>
      </c>
      <c r="G150" s="12" t="s">
        <v>624</v>
      </c>
      <c r="H150" t="s">
        <v>25</v>
      </c>
      <c r="I150" t="s">
        <v>25</v>
      </c>
    </row>
    <row r="151" spans="1:9" ht="150" x14ac:dyDescent="0.25">
      <c r="A151" s="2" t="s">
        <v>6</v>
      </c>
      <c r="B151" t="str">
        <f>HYPERLINK("https://www.csu.edu.au/scholarships/scholarships-grants/find-scholarship/foundation/any-year/legacy-of-bob-and-pam-knight-of-noorat-scholarship", "Legacy of Bob and Pam Knight from Noorat Scholarship")</f>
        <v>Legacy of Bob and Pam Knight from Noorat Scholarship</v>
      </c>
      <c r="C151" t="s">
        <v>14</v>
      </c>
      <c r="D151" t="s">
        <v>203</v>
      </c>
      <c r="E151" t="s">
        <v>24</v>
      </c>
      <c r="F151" t="s">
        <v>13</v>
      </c>
      <c r="G151" s="12" t="s">
        <v>625</v>
      </c>
      <c r="H151" t="s">
        <v>25</v>
      </c>
      <c r="I151" t="s">
        <v>25</v>
      </c>
    </row>
    <row r="152" spans="1:9" ht="120" x14ac:dyDescent="0.25">
      <c r="A152" s="2" t="s">
        <v>6</v>
      </c>
      <c r="B152" t="str">
        <f>HYPERLINK("https://www.csu.edu.au/scholarships/scholarships-grants/find-scholarship/foundation/continuing/cerebral-palsy-alliance-allied-health-scholarship", "Cerebral Palsy Alliance Allied Health Scholarship")</f>
        <v>Cerebral Palsy Alliance Allied Health Scholarship</v>
      </c>
      <c r="C152" t="s">
        <v>14</v>
      </c>
      <c r="D152" t="s">
        <v>218</v>
      </c>
      <c r="E152" t="s">
        <v>24</v>
      </c>
      <c r="F152" t="s">
        <v>35</v>
      </c>
      <c r="G152" s="12" t="s">
        <v>626</v>
      </c>
      <c r="H152" t="s">
        <v>25</v>
      </c>
      <c r="I152" t="s">
        <v>25</v>
      </c>
    </row>
    <row r="153" spans="1:9" x14ac:dyDescent="0.25">
      <c r="A153" s="2" t="s">
        <v>6</v>
      </c>
      <c r="B153" t="str">
        <f>HYPERLINK("https://www.csu.edu.au/scholarships/scholarships-grants/find-scholarship/foundation/any-year/emma-accolade-scholarship", "EMMA Accolade Scholarship ")</f>
        <v xml:space="preserve">EMMA Accolade Scholarship </v>
      </c>
      <c r="C153" t="s">
        <v>27</v>
      </c>
      <c r="D153" t="s">
        <v>218</v>
      </c>
      <c r="E153" t="s">
        <v>24</v>
      </c>
      <c r="F153" t="s">
        <v>13</v>
      </c>
      <c r="G153" s="12" t="s">
        <v>627</v>
      </c>
      <c r="H153" t="s">
        <v>25</v>
      </c>
      <c r="I153" t="s">
        <v>25</v>
      </c>
    </row>
    <row r="154" spans="1:9" ht="315" x14ac:dyDescent="0.25">
      <c r="A154" s="2" t="s">
        <v>6</v>
      </c>
      <c r="B154" t="str">
        <f>HYPERLINK("https://www.csu.edu.au/scholarships/scholarships-grants/find-scholarship/foundation/accom/st-martins-college-accommodation-scholarship", "St Martins College Accommodation Scholarship")</f>
        <v>St Martins College Accommodation Scholarship</v>
      </c>
      <c r="C154" t="s">
        <v>27</v>
      </c>
      <c r="D154" t="s">
        <v>193</v>
      </c>
      <c r="E154" t="s">
        <v>24</v>
      </c>
      <c r="F154" t="s">
        <v>13</v>
      </c>
      <c r="G154" s="12" t="s">
        <v>301</v>
      </c>
      <c r="H154" t="s">
        <v>25</v>
      </c>
      <c r="I154" t="s">
        <v>25</v>
      </c>
    </row>
    <row r="155" spans="1:9" ht="75" x14ac:dyDescent="0.25">
      <c r="A155" s="2" t="s">
        <v>6</v>
      </c>
      <c r="B155" t="str">
        <f>HYPERLINK("https://www.csu.edu.au/scholarships/scholarships-grants/find-scholarship/foundation/continuing/rennylea-future-in-livestock-scholarship/vetprac-workshops-scholarship", "VetPrac Workshops Scholarship")</f>
        <v>VetPrac Workshops Scholarship</v>
      </c>
      <c r="C155" t="s">
        <v>27</v>
      </c>
      <c r="D155" t="s">
        <v>203</v>
      </c>
      <c r="E155" t="s">
        <v>24</v>
      </c>
      <c r="F155" t="s">
        <v>13</v>
      </c>
      <c r="G155" s="12" t="s">
        <v>660</v>
      </c>
      <c r="H155" t="s">
        <v>25</v>
      </c>
      <c r="I155" t="s">
        <v>25</v>
      </c>
    </row>
    <row r="156" spans="1:9" ht="90" x14ac:dyDescent="0.25">
      <c r="A156" s="2" t="s">
        <v>6</v>
      </c>
      <c r="B156" t="str">
        <f>HYPERLINK("https://www.csu.edu.au/scholarships/scholarships-grants/find-scholarship/equity/three-rivers-drh-aged-care-continuing-student-scholarship", "Three Rivers DRH Aged Care  Continuing Student Scholarship")</f>
        <v>Three Rivers DRH Aged Care  Continuing Student Scholarship</v>
      </c>
      <c r="C156" t="s">
        <v>27</v>
      </c>
      <c r="D156" t="s">
        <v>283</v>
      </c>
      <c r="E156" t="s">
        <v>201</v>
      </c>
      <c r="F156" t="s">
        <v>35</v>
      </c>
      <c r="G156" s="12" t="s">
        <v>658</v>
      </c>
      <c r="H156" t="s">
        <v>25</v>
      </c>
      <c r="I156" t="s">
        <v>25</v>
      </c>
    </row>
    <row r="157" spans="1:9" ht="300" x14ac:dyDescent="0.25">
      <c r="A157" s="2" t="s">
        <v>6</v>
      </c>
      <c r="B15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7" t="s">
        <v>27</v>
      </c>
      <c r="D157" t="s">
        <v>216</v>
      </c>
      <c r="E157" t="s">
        <v>24</v>
      </c>
      <c r="F157" t="s">
        <v>13</v>
      </c>
      <c r="G157" s="12" t="s">
        <v>302</v>
      </c>
      <c r="H157" t="s">
        <v>25</v>
      </c>
      <c r="I157" t="s">
        <v>25</v>
      </c>
    </row>
    <row r="158" spans="1:9" ht="60" x14ac:dyDescent="0.25">
      <c r="A158" s="2" t="s">
        <v>6</v>
      </c>
      <c r="B158" t="str">
        <f>HYPERLINK("https://www.csu.edu.au/scholarships/scholarships-grants/find-scholarship/foundation/accom/colgate-accommodation-scholarship", "Colgate Accommodation Scholarship")</f>
        <v>Colgate Accommodation Scholarship</v>
      </c>
      <c r="C158" t="s">
        <v>27</v>
      </c>
      <c r="D158" t="s">
        <v>203</v>
      </c>
      <c r="E158" t="s">
        <v>201</v>
      </c>
      <c r="F158" t="s">
        <v>13</v>
      </c>
      <c r="G158" s="12" t="s">
        <v>303</v>
      </c>
      <c r="H158" t="s">
        <v>25</v>
      </c>
      <c r="I158" t="s">
        <v>25</v>
      </c>
    </row>
    <row r="159" spans="1:9" ht="150" x14ac:dyDescent="0.25">
      <c r="A159" s="2" t="s">
        <v>6</v>
      </c>
      <c r="B159" t="str">
        <f>HYPERLINK("https://www.csu.edu.au/scholarships/scholarships-grants/find-scholarship/foundation/any-year/rowe-scientific-chemistry-scholarship", "Rowe Scientific Chemistry Scholarship")</f>
        <v>Rowe Scientific Chemistry Scholarship</v>
      </c>
      <c r="C159" t="s">
        <v>27</v>
      </c>
      <c r="D159" t="s">
        <v>209</v>
      </c>
      <c r="E159" t="s">
        <v>201</v>
      </c>
      <c r="F159" t="s">
        <v>13</v>
      </c>
      <c r="G159" s="12" t="s">
        <v>628</v>
      </c>
      <c r="H159" t="s">
        <v>25</v>
      </c>
      <c r="I159" t="s">
        <v>25</v>
      </c>
    </row>
    <row r="160" spans="1:9" ht="409.5" x14ac:dyDescent="0.25">
      <c r="A160" s="2" t="s">
        <v>6</v>
      </c>
      <c r="B160" t="str">
        <f>HYPERLINK("https://www.csu.edu.au/scholarships/scholarships-grants/find-scholarship/foundation/continuing/rennylea-future-in-livestock-scholarship", "Rennylea - The Future in Livestock Scholarship")</f>
        <v>Rennylea - The Future in Livestock Scholarship</v>
      </c>
      <c r="C160" t="s">
        <v>14</v>
      </c>
      <c r="D160" t="s">
        <v>304</v>
      </c>
      <c r="E160" t="s">
        <v>201</v>
      </c>
      <c r="F160" t="s">
        <v>254</v>
      </c>
      <c r="G160" s="12" t="s">
        <v>305</v>
      </c>
      <c r="H160" t="s">
        <v>25</v>
      </c>
      <c r="I160" t="s">
        <v>25</v>
      </c>
    </row>
    <row r="161" spans="1:9" ht="75" x14ac:dyDescent="0.25">
      <c r="A161" s="2" t="s">
        <v>6</v>
      </c>
      <c r="B161" t="str">
        <f>HYPERLINK("https://www.csu.edu.au/scholarships/scholarships-grants/find-scholarship/foundation/continuing/valerie-cox-memorial-scholarship-continuing", "Valerie Cox Memorial Scholarship - Continuing")</f>
        <v>Valerie Cox Memorial Scholarship - Continuing</v>
      </c>
      <c r="C161" t="s">
        <v>27</v>
      </c>
      <c r="D161" t="s">
        <v>203</v>
      </c>
      <c r="E161" t="s">
        <v>24</v>
      </c>
      <c r="F161" t="s">
        <v>13</v>
      </c>
      <c r="G161" s="12" t="s">
        <v>655</v>
      </c>
      <c r="H161" t="s">
        <v>25</v>
      </c>
      <c r="I161" t="s">
        <v>25</v>
      </c>
    </row>
    <row r="162" spans="1:9" ht="60" x14ac:dyDescent="0.25">
      <c r="A162" s="2" t="s">
        <v>6</v>
      </c>
      <c r="B162" t="str">
        <f>HYPERLINK("https://www.csu.edu.au/scholarships/scholarships-grants/find-scholarship/equity/three-rivers-department-of-rural-health-honours-scholarship", "Three Rivers Department of Rural Health Honours Scholarship")</f>
        <v>Three Rivers Department of Rural Health Honours Scholarship</v>
      </c>
      <c r="C162" t="s">
        <v>27</v>
      </c>
      <c r="D162" s="7" t="s">
        <v>306</v>
      </c>
      <c r="E162" t="s">
        <v>201</v>
      </c>
      <c r="F162" t="s">
        <v>137</v>
      </c>
      <c r="G162" s="12" t="s">
        <v>661</v>
      </c>
      <c r="H162" t="s">
        <v>25</v>
      </c>
      <c r="I162" t="s">
        <v>25</v>
      </c>
    </row>
    <row r="163" spans="1:9" ht="105" x14ac:dyDescent="0.25">
      <c r="A163" s="2" t="s">
        <v>6</v>
      </c>
      <c r="B163" t="str">
        <f>HYPERLINK("https://www.csu.edu.au/scholarships/scholarships-grants/find-scholarship/foundation/1st-year/chris-and-gina-grubb-scholarship", "Chris and Gina Grubb Ornithology Scholarship")</f>
        <v>Chris and Gina Grubb Ornithology Scholarship</v>
      </c>
      <c r="C163" t="s">
        <v>27</v>
      </c>
      <c r="D163" s="7" t="s">
        <v>203</v>
      </c>
      <c r="E163" t="s">
        <v>24</v>
      </c>
      <c r="F163" t="s">
        <v>13</v>
      </c>
      <c r="G163" s="12" t="s">
        <v>307</v>
      </c>
      <c r="H163" t="s">
        <v>25</v>
      </c>
      <c r="I163" t="s">
        <v>25</v>
      </c>
    </row>
    <row r="164" spans="1:9" ht="255" x14ac:dyDescent="0.25">
      <c r="A164" s="2" t="s">
        <v>6</v>
      </c>
      <c r="B164" t="str">
        <f>HYPERLINK("https://www.csu.edu.au/scholarships/scholarships-grants/find-scholarship/foundation/1st-year/The-Roberton-Scholarship", "The Roberton Scholarship")</f>
        <v>The Roberton Scholarship</v>
      </c>
      <c r="C164" t="s">
        <v>27</v>
      </c>
      <c r="D164" t="s">
        <v>308</v>
      </c>
      <c r="E164" t="s">
        <v>201</v>
      </c>
      <c r="F164" t="s">
        <v>13</v>
      </c>
      <c r="G164" s="12" t="s">
        <v>309</v>
      </c>
      <c r="H164" t="s">
        <v>25</v>
      </c>
      <c r="I164" t="s">
        <v>25</v>
      </c>
    </row>
    <row r="165" spans="1:9" ht="345" x14ac:dyDescent="0.25">
      <c r="A165" s="2" t="s">
        <v>6</v>
      </c>
      <c r="B165" t="str">
        <f>HYPERLINK("https://www.csu.edu.au/scholarships/scholarships-grants/find-scholarship/foundation/continuing/calvary-health-care-riverina-scholarship", "Calvary Health Care Riverina Scholarship")</f>
        <v>Calvary Health Care Riverina Scholarship</v>
      </c>
      <c r="C165" t="s">
        <v>27</v>
      </c>
      <c r="D165" t="s">
        <v>216</v>
      </c>
      <c r="E165" t="s">
        <v>24</v>
      </c>
      <c r="F165" t="s">
        <v>13</v>
      </c>
      <c r="G165" s="12" t="s">
        <v>310</v>
      </c>
      <c r="H165" t="s">
        <v>25</v>
      </c>
      <c r="I165" t="s">
        <v>25</v>
      </c>
    </row>
    <row r="166" spans="1:9" ht="300" x14ac:dyDescent="0.25">
      <c r="A166" s="2" t="s">
        <v>6</v>
      </c>
      <c r="B166" t="str">
        <f>HYPERLINK("https://www.csu.edu.au/scholarships/scholarships-grants/find-scholarship/foundation/1st-year/csu-pharmacy-foundation-scholarship", "CSU Pharmacy Foundation Scholarship")</f>
        <v>CSU Pharmacy Foundation Scholarship</v>
      </c>
      <c r="C166" t="s">
        <v>27</v>
      </c>
      <c r="D166" t="s">
        <v>203</v>
      </c>
      <c r="E166" t="s">
        <v>24</v>
      </c>
      <c r="F166" t="s">
        <v>13</v>
      </c>
      <c r="G166" s="12" t="s">
        <v>311</v>
      </c>
      <c r="H166" t="s">
        <v>21</v>
      </c>
      <c r="I166" t="s">
        <v>25</v>
      </c>
    </row>
    <row r="167" spans="1:9" ht="90" x14ac:dyDescent="0.25">
      <c r="A167" s="2" t="s">
        <v>6</v>
      </c>
      <c r="B167" t="str">
        <f>HYPERLINK("https://www.csu.edu.au/scholarships/scholarships-grants/find-scholarship/foundation/continuing/geoff-quick-paramedicine-scholarship", "Geoff Quick Paramedicine Scholarship")</f>
        <v>Geoff Quick Paramedicine Scholarship</v>
      </c>
      <c r="C167" t="s">
        <v>14</v>
      </c>
      <c r="D167" t="s">
        <v>203</v>
      </c>
      <c r="E167" t="s">
        <v>201</v>
      </c>
      <c r="F167" t="s">
        <v>13</v>
      </c>
      <c r="G167" s="12" t="s">
        <v>312</v>
      </c>
      <c r="H167" t="s">
        <v>25</v>
      </c>
      <c r="I167" t="s">
        <v>25</v>
      </c>
    </row>
    <row r="168" spans="1:9" ht="285" x14ac:dyDescent="0.25">
      <c r="A168" s="2" t="s">
        <v>6</v>
      </c>
      <c r="B168" t="str">
        <f>HYPERLINK("https://www.csu.edu.au/scholarships/scholarships-grants/find-scholarship/foundation/any-year/rotary-club-of-wollundry-scholarship-wagga-wagga", "Rotary Club of Wollundry Scholarship, Wagga Wagga ")</f>
        <v xml:space="preserve">Rotary Club of Wollundry Scholarship, Wagga Wagga </v>
      </c>
      <c r="C168" t="s">
        <v>27</v>
      </c>
      <c r="D168" t="s">
        <v>295</v>
      </c>
      <c r="E168" t="s">
        <v>201</v>
      </c>
      <c r="F168" t="s">
        <v>13</v>
      </c>
      <c r="G168" s="12" t="s">
        <v>313</v>
      </c>
      <c r="H168" t="s">
        <v>25</v>
      </c>
      <c r="I168" t="s">
        <v>25</v>
      </c>
    </row>
    <row r="169" spans="1:9" ht="195" x14ac:dyDescent="0.25">
      <c r="A169" s="2" t="s">
        <v>6</v>
      </c>
      <c r="B169" t="str">
        <f>HYPERLINK("https://www.csu.edu.au/scholarships/scholarships-grants/find-scholarship/foundation/1st-year/rotary-club-of-liverpool-west-nursing-scholarship", "Rotary Club of Liverpool West Nursing Scholarship")</f>
        <v>Rotary Club of Liverpool West Nursing Scholarship</v>
      </c>
      <c r="C169" t="s">
        <v>14</v>
      </c>
      <c r="D169" t="s">
        <v>266</v>
      </c>
      <c r="E169" t="s">
        <v>201</v>
      </c>
      <c r="F169" t="s">
        <v>13</v>
      </c>
      <c r="G169" s="12" t="s">
        <v>314</v>
      </c>
      <c r="H169" t="s">
        <v>25</v>
      </c>
      <c r="I169" t="s">
        <v>25</v>
      </c>
    </row>
    <row r="170" spans="1:9" ht="150" x14ac:dyDescent="0.25">
      <c r="A170" s="2" t="s">
        <v>6</v>
      </c>
      <c r="B170" t="str">
        <f>HYPERLINK("https://www.csu.edu.au/scholarships/scholarships-grants/find-scholarship/foundation/1st-year/vp-bragg-bequest-trust-fund-scholarship", "VP Bragg Bequest Trust Fund Scholarship")</f>
        <v>VP Bragg Bequest Trust Fund Scholarship</v>
      </c>
      <c r="C170" t="s">
        <v>14</v>
      </c>
      <c r="D170" t="s">
        <v>193</v>
      </c>
      <c r="E170" t="s">
        <v>24</v>
      </c>
      <c r="F170" t="s">
        <v>13</v>
      </c>
      <c r="G170" s="12" t="s">
        <v>315</v>
      </c>
      <c r="H170" t="s">
        <v>25</v>
      </c>
      <c r="I170" t="s">
        <v>25</v>
      </c>
    </row>
    <row r="171" spans="1:9" ht="45" x14ac:dyDescent="0.25">
      <c r="A171" s="2" t="s">
        <v>6</v>
      </c>
      <c r="B17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1" t="s">
        <v>27</v>
      </c>
      <c r="D171" t="s">
        <v>316</v>
      </c>
      <c r="E171" t="s">
        <v>201</v>
      </c>
      <c r="F171" t="s">
        <v>197</v>
      </c>
      <c r="G171" s="12" t="s">
        <v>317</v>
      </c>
      <c r="H171" t="s">
        <v>25</v>
      </c>
      <c r="I171" t="s">
        <v>25</v>
      </c>
    </row>
    <row r="172" spans="1:9" ht="225" x14ac:dyDescent="0.25">
      <c r="A172" s="2" t="s">
        <v>6</v>
      </c>
      <c r="B172" t="str">
        <f>HYPERLINK("https://www.csu.edu.au/scholarships/scholarships-grants/find-scholarship/foundation/any-year/widgiewa-school-scholarship", "Widgiewa School Scholarship ")</f>
        <v xml:space="preserve">Widgiewa School Scholarship </v>
      </c>
      <c r="C172" t="s">
        <v>27</v>
      </c>
      <c r="D172" t="s">
        <v>203</v>
      </c>
      <c r="E172" t="s">
        <v>24</v>
      </c>
      <c r="F172" t="s">
        <v>13</v>
      </c>
      <c r="G172" s="12" t="s">
        <v>318</v>
      </c>
      <c r="H172" t="s">
        <v>25</v>
      </c>
      <c r="I172" t="s">
        <v>25</v>
      </c>
    </row>
    <row r="173" spans="1:9" ht="90" x14ac:dyDescent="0.25">
      <c r="A173" s="2" t="s">
        <v>6</v>
      </c>
      <c r="B173" t="str">
        <f>HYPERLINK("https://www.csu.edu.au/scholarships/scholarships-grants/find-scholarship/foundation/1st-year/the-james-mcinerney-memorial-scholarship", "The James McInerney Memorial Scholarship")</f>
        <v>The James McInerney Memorial Scholarship</v>
      </c>
      <c r="C173" t="s">
        <v>14</v>
      </c>
      <c r="D173" t="s">
        <v>319</v>
      </c>
      <c r="E173" t="s">
        <v>201</v>
      </c>
      <c r="F173" t="s">
        <v>13</v>
      </c>
      <c r="G173" s="12" t="s">
        <v>320</v>
      </c>
      <c r="H173" t="s">
        <v>25</v>
      </c>
      <c r="I173" t="s">
        <v>25</v>
      </c>
    </row>
    <row r="174" spans="1:9" ht="195" x14ac:dyDescent="0.25">
      <c r="A174" s="2" t="s">
        <v>6</v>
      </c>
      <c r="B174" t="str">
        <f>HYPERLINK("https://www.csu.edu.au/scholarships/scholarships-grants/find-scholarship/foundation/1st-year/fc-pye-rural-australia-foundation", "FC Pye Rural Australia Foundation")</f>
        <v>FC Pye Rural Australia Foundation</v>
      </c>
      <c r="C174" t="s">
        <v>27</v>
      </c>
      <c r="D174" t="s">
        <v>216</v>
      </c>
      <c r="E174" t="s">
        <v>24</v>
      </c>
      <c r="F174" t="s">
        <v>13</v>
      </c>
      <c r="G174" s="12" t="s">
        <v>321</v>
      </c>
      <c r="H174" t="s">
        <v>25</v>
      </c>
      <c r="I174" t="s">
        <v>25</v>
      </c>
    </row>
    <row r="175" spans="1:9" ht="105" x14ac:dyDescent="0.25">
      <c r="A175" s="2" t="s">
        <v>6</v>
      </c>
      <c r="B175" t="str">
        <f>HYPERLINK("https://www.csu.edu.au/scholarships/scholarships-grants/find-scholarship/foundation/continuing/matron-hertzog-scholarship", "Matron Herzog Scholarship")</f>
        <v>Matron Herzog Scholarship</v>
      </c>
      <c r="C175" t="s">
        <v>14</v>
      </c>
      <c r="D175" s="7" t="s">
        <v>211</v>
      </c>
      <c r="E175" t="s">
        <v>24</v>
      </c>
      <c r="F175" t="s">
        <v>13</v>
      </c>
      <c r="G175" s="12" t="s">
        <v>322</v>
      </c>
      <c r="H175" t="s">
        <v>25</v>
      </c>
      <c r="I175" t="s">
        <v>25</v>
      </c>
    </row>
    <row r="176" spans="1:9" ht="345" x14ac:dyDescent="0.25">
      <c r="A176" s="2" t="s">
        <v>6</v>
      </c>
      <c r="B17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6" t="s">
        <v>27</v>
      </c>
      <c r="D176" t="s">
        <v>226</v>
      </c>
      <c r="E176" t="s">
        <v>24</v>
      </c>
      <c r="F176" t="s">
        <v>13</v>
      </c>
      <c r="G176" s="12" t="s">
        <v>323</v>
      </c>
      <c r="H176" t="s">
        <v>25</v>
      </c>
      <c r="I176" t="s">
        <v>25</v>
      </c>
    </row>
    <row r="177" spans="1:9" ht="180" x14ac:dyDescent="0.25">
      <c r="A177" s="2" t="s">
        <v>6</v>
      </c>
      <c r="B177" t="str">
        <f>HYPERLINK("https://www.csu.edu.au/scholarships/scholarships-grants/find-scholarship/foundation/1st-year/ron-and-stephanie-camplin-oam-nursing-scholarship", "Ron and Stephanie Camplin OAM Nursing Scholarship")</f>
        <v>Ron and Stephanie Camplin OAM Nursing Scholarship</v>
      </c>
      <c r="C177" t="s">
        <v>27</v>
      </c>
      <c r="D177" t="s">
        <v>295</v>
      </c>
      <c r="E177" t="s">
        <v>201</v>
      </c>
      <c r="F177" t="s">
        <v>13</v>
      </c>
      <c r="G177" s="12" t="s">
        <v>324</v>
      </c>
      <c r="H177" t="s">
        <v>25</v>
      </c>
      <c r="I177" t="s">
        <v>25</v>
      </c>
    </row>
    <row r="178" spans="1:9" ht="360" x14ac:dyDescent="0.25">
      <c r="A178" s="2" t="s">
        <v>6</v>
      </c>
      <c r="B17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8" t="s">
        <v>27</v>
      </c>
      <c r="D178" t="s">
        <v>216</v>
      </c>
      <c r="E178" t="s">
        <v>24</v>
      </c>
      <c r="F178" t="s">
        <v>13</v>
      </c>
      <c r="G178" s="12" t="s">
        <v>325</v>
      </c>
      <c r="H178" t="s">
        <v>25</v>
      </c>
      <c r="I178" t="s">
        <v>25</v>
      </c>
    </row>
    <row r="179" spans="1:9" ht="195" x14ac:dyDescent="0.25">
      <c r="A179" s="2" t="s">
        <v>6</v>
      </c>
      <c r="B179" t="str">
        <f>HYPERLINK("https://www.csu.edu.au/scholarships/scholarships-grants/find-scholarship/foundation/continuing/a-and-k-gestier-veterinary-scholarship2", "A&amp;K Gestier Veterinary Scholarship")</f>
        <v>A&amp;K Gestier Veterinary Scholarship</v>
      </c>
      <c r="C179" t="s">
        <v>14</v>
      </c>
      <c r="D179" t="s">
        <v>193</v>
      </c>
      <c r="E179" t="s">
        <v>24</v>
      </c>
      <c r="F179" t="s">
        <v>13</v>
      </c>
      <c r="G179" s="12" t="s">
        <v>326</v>
      </c>
      <c r="H179" t="s">
        <v>25</v>
      </c>
      <c r="I179" t="s">
        <v>25</v>
      </c>
    </row>
    <row r="180" spans="1:9" ht="135" x14ac:dyDescent="0.25">
      <c r="A180" s="2" t="s">
        <v>6</v>
      </c>
      <c r="B180" t="str">
        <f>HYPERLINK("https://www.csu.edu.au/scholarships/scholarships-grants/find-scholarship/foundation/continuing/the-ak-and-ia-sutherland-scholarship", "The AK &amp; IA Sutherland Scholarship")</f>
        <v>The AK &amp; IA Sutherland Scholarship</v>
      </c>
      <c r="C180" t="s">
        <v>14</v>
      </c>
      <c r="D180" t="s">
        <v>193</v>
      </c>
      <c r="E180" t="s">
        <v>24</v>
      </c>
      <c r="F180" t="s">
        <v>13</v>
      </c>
      <c r="G180" s="12" t="s">
        <v>327</v>
      </c>
      <c r="H180" t="s">
        <v>25</v>
      </c>
      <c r="I180" t="s">
        <v>25</v>
      </c>
    </row>
    <row r="181" spans="1:9" x14ac:dyDescent="0.25">
      <c r="A181" s="6" t="s">
        <v>5</v>
      </c>
      <c r="B181" s="8" t="str">
        <f>HYPERLINK("https://www.mq.edu.au/study/admissions-and-entry/scholarships/domestic/indigenous-education-costs-scholarship","Indigenous Education Costs Scholarship")</f>
        <v>Indigenous Education Costs Scholarship</v>
      </c>
      <c r="C181" s="7" t="s">
        <v>14</v>
      </c>
      <c r="D181" s="9">
        <v>3000</v>
      </c>
      <c r="E181" s="7">
        <v>4</v>
      </c>
      <c r="F181" s="7" t="s">
        <v>13</v>
      </c>
      <c r="G181" s="7" t="s">
        <v>17</v>
      </c>
      <c r="H181" t="s">
        <v>16</v>
      </c>
      <c r="I181" s="7" t="s">
        <v>25</v>
      </c>
    </row>
    <row r="182" spans="1:9" ht="30" x14ac:dyDescent="0.25">
      <c r="A182" s="6" t="s">
        <v>5</v>
      </c>
      <c r="B182" s="8" t="str">
        <f>HYPERLINK(" https://www.mq.edu.au/study/admissions-and-entry/scholarships/domestic/indigenous-commonwealth-assistance-scholarship", "Indigenous Commonwealth Assistance Scholarship")</f>
        <v>Indigenous Commonwealth Assistance Scholarship</v>
      </c>
      <c r="C182" s="7" t="s">
        <v>19</v>
      </c>
      <c r="D182" s="9">
        <v>6000</v>
      </c>
      <c r="E182" s="7">
        <v>4</v>
      </c>
      <c r="F182" s="7" t="s">
        <v>13</v>
      </c>
      <c r="G182" s="10" t="s">
        <v>18</v>
      </c>
      <c r="H182" t="s">
        <v>16</v>
      </c>
      <c r="I182" s="7" t="s">
        <v>25</v>
      </c>
    </row>
    <row r="183" spans="1:9" ht="45" x14ac:dyDescent="0.25">
      <c r="A183" s="6" t="s">
        <v>5</v>
      </c>
      <c r="B183" s="8" t="str">
        <f>HYPERLINK(" https://www.mq.edu.au/study/admissions-and-entry/scholarships/domestic/macquarie-regional-and-remote-support-scholarship", "Macquarie Regional and Remote Support Scholarship")</f>
        <v>Macquarie Regional and Remote Support Scholarship</v>
      </c>
      <c r="C183" s="7" t="s">
        <v>14</v>
      </c>
      <c r="D183" s="9">
        <v>10000</v>
      </c>
      <c r="E183" s="7">
        <v>4</v>
      </c>
      <c r="F183" s="7" t="s">
        <v>13</v>
      </c>
      <c r="G183" s="10" t="s">
        <v>20</v>
      </c>
      <c r="H183" s="7" t="s">
        <v>21</v>
      </c>
      <c r="I183" s="7" t="s">
        <v>25</v>
      </c>
    </row>
    <row r="184" spans="1:9" ht="60" x14ac:dyDescent="0.25">
      <c r="A184" s="6" t="s">
        <v>5</v>
      </c>
      <c r="B184" s="8" t="str">
        <f>HYPERLINK(" https://www.mq.edu.au/study/admissions-and-entry/scholarships/domestic/macquarie-education-costs-scholarship", "Macquarie Education Costs Scholarship")</f>
        <v>Macquarie Education Costs Scholarship</v>
      </c>
      <c r="C184" s="7" t="s">
        <v>14</v>
      </c>
      <c r="D184" s="9">
        <v>6000</v>
      </c>
      <c r="E184" s="7">
        <v>4</v>
      </c>
      <c r="F184" s="7" t="s">
        <v>13</v>
      </c>
      <c r="G184" s="10" t="s">
        <v>22</v>
      </c>
      <c r="H184" s="7" t="s">
        <v>21</v>
      </c>
      <c r="I184" s="7" t="s">
        <v>25</v>
      </c>
    </row>
    <row r="185" spans="1:9" ht="60" x14ac:dyDescent="0.25">
      <c r="A185" s="6" t="s">
        <v>5</v>
      </c>
      <c r="B185" s="8" t="str">
        <f>HYPERLINK(" https://www.mq.edu.au/study/admissions-and-entry/scholarships/domestic/tertiary-access-payment", "Tertiary Access Payment")</f>
        <v>Tertiary Access Payment</v>
      </c>
      <c r="C185" s="7" t="s">
        <v>14</v>
      </c>
      <c r="D185" s="7" t="s">
        <v>23</v>
      </c>
      <c r="E185" s="7" t="s">
        <v>24</v>
      </c>
      <c r="F185" s="7" t="s">
        <v>13</v>
      </c>
      <c r="G185" s="10" t="s">
        <v>26</v>
      </c>
      <c r="H185" s="7" t="s">
        <v>25</v>
      </c>
      <c r="I185" s="7" t="s">
        <v>25</v>
      </c>
    </row>
    <row r="186" spans="1:9" ht="45" x14ac:dyDescent="0.25">
      <c r="A186" s="6" t="s">
        <v>5</v>
      </c>
      <c r="B186" s="8" t="str">
        <f>HYPERLINK(" https://www.mq.edu.au/study/admissions-and-entry/scholarships/domestic/jennifer-barton-memorial-law-scholarship", "
Jennifer Barton Memorial Law Scholarship")</f>
        <v xml:space="preserve">
Jennifer Barton Memorial Law Scholarship</v>
      </c>
      <c r="C186" s="7" t="s">
        <v>27</v>
      </c>
      <c r="D186" s="9">
        <v>10000</v>
      </c>
      <c r="E186" s="7">
        <v>1</v>
      </c>
      <c r="F186" s="7" t="s">
        <v>13</v>
      </c>
      <c r="G186" s="10" t="s">
        <v>28</v>
      </c>
      <c r="H186" s="7" t="s">
        <v>25</v>
      </c>
      <c r="I186" s="7" t="s">
        <v>25</v>
      </c>
    </row>
    <row r="187" spans="1:9" ht="30" x14ac:dyDescent="0.25">
      <c r="A187" s="6" t="s">
        <v>5</v>
      </c>
      <c r="B187" s="8" t="str">
        <f>HYPERLINK("https://www.mq.edu.au/study/admissions-and-entry/scholarships/domestic/macquarie-business-school-academic-excellence-scholarship", "Macquarie Business School Academic Excellence Scholarship")</f>
        <v>Macquarie Business School Academic Excellence Scholarship</v>
      </c>
      <c r="C187" s="7" t="s">
        <v>27</v>
      </c>
      <c r="D187" s="7" t="s">
        <v>29</v>
      </c>
      <c r="E187" s="7">
        <v>4</v>
      </c>
      <c r="F187" s="7" t="s">
        <v>13</v>
      </c>
      <c r="G187" s="10" t="s">
        <v>30</v>
      </c>
      <c r="H187" s="7" t="s">
        <v>25</v>
      </c>
      <c r="I187" s="7" t="s">
        <v>25</v>
      </c>
    </row>
    <row r="188" spans="1:9" ht="30" x14ac:dyDescent="0.25">
      <c r="A188" s="6" t="s">
        <v>5</v>
      </c>
      <c r="B188"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8" s="7" t="s">
        <v>14</v>
      </c>
      <c r="D188" s="7" t="s">
        <v>31</v>
      </c>
      <c r="E188" s="7">
        <v>4</v>
      </c>
      <c r="F188" s="7" t="s">
        <v>13</v>
      </c>
      <c r="G188" s="10" t="s">
        <v>18</v>
      </c>
      <c r="H188" s="7" t="s">
        <v>21</v>
      </c>
      <c r="I188" s="7" t="s">
        <v>25</v>
      </c>
    </row>
    <row r="189" spans="1:9" ht="60" x14ac:dyDescent="0.25">
      <c r="A189" s="6" t="s">
        <v>5</v>
      </c>
      <c r="B189"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9" s="7" t="s">
        <v>14</v>
      </c>
      <c r="D189" s="7" t="s">
        <v>31</v>
      </c>
      <c r="E189" s="7">
        <v>1</v>
      </c>
      <c r="F189" s="7" t="s">
        <v>13</v>
      </c>
      <c r="G189" s="10" t="s">
        <v>32</v>
      </c>
      <c r="H189" s="7" t="s">
        <v>21</v>
      </c>
      <c r="I189" s="7" t="s">
        <v>25</v>
      </c>
    </row>
    <row r="190" spans="1:9" ht="60" x14ac:dyDescent="0.25">
      <c r="A190" s="6" t="s">
        <v>5</v>
      </c>
      <c r="B190" s="8" t="str">
        <f>HYPERLINK(" https://www.mq.edu.au/study/admissions-and-entry/scholarships/domestic/macquarie-leaders-and-achievers-scholarship", "Macquarie Leaders and Achievers Scholarship")</f>
        <v>Macquarie Leaders and Achievers Scholarship</v>
      </c>
      <c r="C190" s="7" t="s">
        <v>27</v>
      </c>
      <c r="D190" s="9">
        <v>10000</v>
      </c>
      <c r="E190" s="7">
        <v>5</v>
      </c>
      <c r="F190" s="7" t="s">
        <v>13</v>
      </c>
      <c r="G190" s="10" t="s">
        <v>33</v>
      </c>
      <c r="H190" s="7" t="s">
        <v>25</v>
      </c>
      <c r="I190" s="7" t="s">
        <v>25</v>
      </c>
    </row>
    <row r="191" spans="1:9" ht="45" x14ac:dyDescent="0.25">
      <c r="A191" s="6" t="s">
        <v>5</v>
      </c>
      <c r="B191" s="8" t="str">
        <f>HYPERLINK(" https://www.mq.edu.au/study/admissions-and-entry/scholarships/domestic/dr-arthur-pryor-scholarship", "Dr Arthur Pryor Scholarship")</f>
        <v>Dr Arthur Pryor Scholarship</v>
      </c>
      <c r="C191" s="7" t="s">
        <v>27</v>
      </c>
      <c r="D191" s="9">
        <v>5000</v>
      </c>
      <c r="E191" s="7">
        <v>3</v>
      </c>
      <c r="F191" s="7" t="s">
        <v>13</v>
      </c>
      <c r="G191" s="10" t="s">
        <v>34</v>
      </c>
      <c r="H191" s="7" t="s">
        <v>25</v>
      </c>
      <c r="I191" s="7" t="s">
        <v>25</v>
      </c>
    </row>
    <row r="192" spans="1:9" ht="45" x14ac:dyDescent="0.25">
      <c r="A192" s="6" t="s">
        <v>5</v>
      </c>
      <c r="B192" s="8" t="str">
        <f>HYPERLINK("https://www.mq.edu.au/study/admissions-and-entry/scholarships/domestic/faculty-of-science-and-engineering-sustainability-scholarship", "Faculty of Science and Engineering Sustainability Scholarship")</f>
        <v>Faculty of Science and Engineering Sustainability Scholarship</v>
      </c>
      <c r="C192" s="7" t="s">
        <v>27</v>
      </c>
      <c r="D192" s="9">
        <v>5000</v>
      </c>
      <c r="E192" s="7">
        <v>4</v>
      </c>
      <c r="F192" s="7" t="s">
        <v>35</v>
      </c>
      <c r="G192" s="10" t="s">
        <v>36</v>
      </c>
      <c r="H192" s="7" t="s">
        <v>25</v>
      </c>
      <c r="I192" s="7" t="s">
        <v>25</v>
      </c>
    </row>
    <row r="193" spans="1:9" ht="60" x14ac:dyDescent="0.25">
      <c r="A193" s="6" t="s">
        <v>5</v>
      </c>
      <c r="B193" s="8" t="str">
        <f>HYPERLINK(" https://www.mq.edu.au/study/admissions-and-entry/scholarships/domestic/faculty-of-science-and-engineering-women-in-stem-scholarship", "Faculty of Science and Engineering Women in STEM Scholarship")</f>
        <v>Faculty of Science and Engineering Women in STEM Scholarship</v>
      </c>
      <c r="C193" s="7" t="s">
        <v>27</v>
      </c>
      <c r="D193" s="9">
        <v>5000</v>
      </c>
      <c r="E193" s="7">
        <v>4</v>
      </c>
      <c r="F193" s="7" t="s">
        <v>35</v>
      </c>
      <c r="G193" s="10" t="s">
        <v>37</v>
      </c>
      <c r="H193" s="7" t="s">
        <v>25</v>
      </c>
      <c r="I193" s="7" t="s">
        <v>25</v>
      </c>
    </row>
    <row r="194" spans="1:9" ht="45" x14ac:dyDescent="0.25">
      <c r="A194" s="6" t="s">
        <v>5</v>
      </c>
      <c r="B194" s="8" t="str">
        <f>HYPERLINK("https://www.mq.edu.au/study/admissions-and-entry/scholarships/domestic/dr-melanie-beresford-scholarship", "Dr Melanie Beresford Scholarship")</f>
        <v>Dr Melanie Beresford Scholarship</v>
      </c>
      <c r="C194" s="7" t="s">
        <v>27</v>
      </c>
      <c r="D194" s="9">
        <v>7500</v>
      </c>
      <c r="E194" s="7" t="s">
        <v>24</v>
      </c>
      <c r="F194" s="7" t="s">
        <v>35</v>
      </c>
      <c r="G194" s="10" t="s">
        <v>38</v>
      </c>
      <c r="H194" s="7" t="s">
        <v>25</v>
      </c>
      <c r="I194" s="7" t="s">
        <v>25</v>
      </c>
    </row>
    <row r="195" spans="1:9" ht="45" x14ac:dyDescent="0.25">
      <c r="A195" s="6" t="s">
        <v>5</v>
      </c>
      <c r="B195"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5" s="7" t="s">
        <v>27</v>
      </c>
      <c r="D195" s="9">
        <v>10000</v>
      </c>
      <c r="E195" s="7" t="s">
        <v>24</v>
      </c>
      <c r="F195" s="7" t="s">
        <v>13</v>
      </c>
      <c r="G195" s="10" t="s">
        <v>39</v>
      </c>
      <c r="H195" s="7" t="s">
        <v>25</v>
      </c>
      <c r="I195" s="7" t="s">
        <v>25</v>
      </c>
    </row>
    <row r="196" spans="1:9" ht="30" x14ac:dyDescent="0.25">
      <c r="A196" s="6" t="s">
        <v>5</v>
      </c>
      <c r="B196" s="8" t="str">
        <f>HYPERLINK("https://www.mq.edu.au/study/admissions-and-entry/scholarships/domestic/sports-scholarship", "Sports Scholarship")</f>
        <v>Sports Scholarship</v>
      </c>
      <c r="C196" s="7" t="s">
        <v>27</v>
      </c>
      <c r="D196" s="7" t="s">
        <v>40</v>
      </c>
      <c r="E196" s="7">
        <v>1</v>
      </c>
      <c r="F196" s="7" t="s">
        <v>35</v>
      </c>
      <c r="G196" s="10" t="s">
        <v>176</v>
      </c>
      <c r="H196" s="7" t="s">
        <v>25</v>
      </c>
      <c r="I196" s="7" t="s">
        <v>25</v>
      </c>
    </row>
    <row r="197" spans="1:9" ht="45" x14ac:dyDescent="0.25">
      <c r="A197" s="6" t="s">
        <v>5</v>
      </c>
      <c r="B197" s="8" t="str">
        <f>HYPERLINK(" https://www.mq.edu.au/study/admissions-and-entry/scholarships/domestic/the-mark-pezzano-memorial-scholarship-in-law", "The Mark Pezzano Memorial Scholarship in Law")</f>
        <v>The Mark Pezzano Memorial Scholarship in Law</v>
      </c>
      <c r="C197" s="7" t="s">
        <v>14</v>
      </c>
      <c r="D197" s="9">
        <v>10000</v>
      </c>
      <c r="E197" s="7" t="s">
        <v>41</v>
      </c>
      <c r="F197" s="7" t="s">
        <v>13</v>
      </c>
      <c r="G197" s="10" t="s">
        <v>42</v>
      </c>
      <c r="H197" s="7" t="s">
        <v>25</v>
      </c>
      <c r="I197" s="7" t="s">
        <v>25</v>
      </c>
    </row>
    <row r="198" spans="1:9" ht="60" x14ac:dyDescent="0.25">
      <c r="A198" s="6" t="s">
        <v>5</v>
      </c>
      <c r="B198" s="8" t="str">
        <f>HYPERLINK(" https://www.mq.edu.au/study/admissions-and-entry/scholarships/domestic/macquarie-university-accommodation-sustainability-scholarship", "Macquarie University Accommodation Sustainability Scholarship")</f>
        <v>Macquarie University Accommodation Sustainability Scholarship</v>
      </c>
      <c r="C198" s="7" t="s">
        <v>14</v>
      </c>
      <c r="D198" s="7" t="s">
        <v>31</v>
      </c>
      <c r="E198" s="7">
        <v>3</v>
      </c>
      <c r="F198" s="7" t="s">
        <v>13</v>
      </c>
      <c r="G198" s="10" t="s">
        <v>22</v>
      </c>
      <c r="H198" s="7" t="s">
        <v>25</v>
      </c>
      <c r="I198" s="7" t="s">
        <v>25</v>
      </c>
    </row>
    <row r="199" spans="1:9" x14ac:dyDescent="0.25">
      <c r="A199" s="6" t="s">
        <v>5</v>
      </c>
      <c r="B199" s="8" t="str">
        <f>HYPERLINK("https://www.mq.edu.au/study/admissions-and-entry/scholarships/domestic/sqa-undergraduate-research-scholarship", "
SQA Undergraduate Research Scholarship")</f>
        <v xml:space="preserve">
SQA Undergraduate Research Scholarship</v>
      </c>
      <c r="C199" s="7" t="s">
        <v>27</v>
      </c>
      <c r="D199" s="9">
        <v>3333</v>
      </c>
      <c r="E199" s="7" t="s">
        <v>24</v>
      </c>
      <c r="F199" s="7" t="s">
        <v>13</v>
      </c>
      <c r="G199" s="7" t="s">
        <v>43</v>
      </c>
      <c r="H199" s="7" t="s">
        <v>25</v>
      </c>
      <c r="I199" s="7" t="s">
        <v>25</v>
      </c>
    </row>
    <row r="200" spans="1:9" ht="45" x14ac:dyDescent="0.25">
      <c r="A200" s="6" t="s">
        <v>5</v>
      </c>
      <c r="B200" s="8" t="str">
        <f>HYPERLINK(" https://www.mq.edu.au/study/admissions-and-entry/scholarships/domestic/knox-grammar-school-teacher-education-scholarship", "Knox Grammar School Teacher Education Scholarship")</f>
        <v>Knox Grammar School Teacher Education Scholarship</v>
      </c>
      <c r="C200" s="7" t="s">
        <v>27</v>
      </c>
      <c r="D200" s="9">
        <v>8000</v>
      </c>
      <c r="E200" s="7">
        <v>1</v>
      </c>
      <c r="F200" s="7" t="s">
        <v>35</v>
      </c>
      <c r="G200" s="10" t="s">
        <v>44</v>
      </c>
      <c r="H200" s="7" t="s">
        <v>25</v>
      </c>
      <c r="I200" s="7" t="s">
        <v>25</v>
      </c>
    </row>
    <row r="201" spans="1:9" ht="45" x14ac:dyDescent="0.25">
      <c r="A201" s="6" t="s">
        <v>5</v>
      </c>
      <c r="B201" s="8" t="str">
        <f>HYPERLINK("https://www.mq.edu.au/study/admissions-and-entry/scholarships/domestic/the-goodacre-scholarship", "The Goodacre Scholarship")</f>
        <v>The Goodacre Scholarship</v>
      </c>
      <c r="C201" s="7" t="s">
        <v>14</v>
      </c>
      <c r="D201" s="9">
        <v>10000</v>
      </c>
      <c r="E201" s="7">
        <v>1</v>
      </c>
      <c r="F201" s="7" t="s">
        <v>13</v>
      </c>
      <c r="G201" s="10" t="s">
        <v>45</v>
      </c>
      <c r="H201" t="s">
        <v>16</v>
      </c>
      <c r="I201" s="7" t="s">
        <v>25</v>
      </c>
    </row>
    <row r="202" spans="1:9" ht="30" x14ac:dyDescent="0.25">
      <c r="A202" s="6" t="s">
        <v>5</v>
      </c>
      <c r="B202" s="8" t="str">
        <f>HYPERLINK(" https://www.mq.edu.au/study/admissions-and-entry/scholarships/domestic/commonwealth-teaching-scholarships", "Commonwealth Teaching Scholarships")</f>
        <v>Commonwealth Teaching Scholarships</v>
      </c>
      <c r="C202" s="7" t="s">
        <v>27</v>
      </c>
      <c r="D202" s="11" t="s">
        <v>46</v>
      </c>
      <c r="E202" s="7" t="s">
        <v>41</v>
      </c>
      <c r="F202" s="7" t="s">
        <v>35</v>
      </c>
      <c r="G202" s="7" t="s">
        <v>47</v>
      </c>
      <c r="H202" s="7" t="s">
        <v>25</v>
      </c>
      <c r="I202" s="7" t="s">
        <v>25</v>
      </c>
    </row>
    <row r="203" spans="1:9" ht="45" x14ac:dyDescent="0.25">
      <c r="A203" s="6" t="s">
        <v>5</v>
      </c>
      <c r="B203" s="8" t="str">
        <f>HYPERLINK(" https://www.mq.edu.au/study/admissions-and-entry/scholarships/domestic/bertha-mckenzie-endowment-scholarship", "Bertha McKenzie Endowment Scholarship")</f>
        <v>Bertha McKenzie Endowment Scholarship</v>
      </c>
      <c r="C203" s="7" t="s">
        <v>14</v>
      </c>
      <c r="D203" s="9">
        <v>5058</v>
      </c>
      <c r="E203" s="7" t="s">
        <v>24</v>
      </c>
      <c r="F203" s="7" t="s">
        <v>13</v>
      </c>
      <c r="G203" s="10" t="s">
        <v>48</v>
      </c>
      <c r="H203" s="7" t="s">
        <v>25</v>
      </c>
      <c r="I203" s="7" t="s">
        <v>25</v>
      </c>
    </row>
    <row r="204" spans="1:9" x14ac:dyDescent="0.25">
      <c r="A204" s="6" t="s">
        <v>5</v>
      </c>
      <c r="B204" s="8" t="str">
        <f>HYPERLINK(" https://www.mq.edu.au/study/admissions-and-entry/scholarships/domestic/dr-john-waters-equity-scholarship", "Dr John Waters Equity Scholarship")</f>
        <v>Dr John Waters Equity Scholarship</v>
      </c>
      <c r="C204" s="7" t="s">
        <v>14</v>
      </c>
      <c r="D204" s="9">
        <v>10000</v>
      </c>
      <c r="E204" s="7" t="s">
        <v>24</v>
      </c>
      <c r="F204" s="7" t="s">
        <v>13</v>
      </c>
      <c r="G204" s="7" t="s">
        <v>17</v>
      </c>
      <c r="H204" s="7" t="s">
        <v>25</v>
      </c>
      <c r="I204" s="7" t="s">
        <v>25</v>
      </c>
    </row>
    <row r="205" spans="1:9" ht="45" x14ac:dyDescent="0.25">
      <c r="A205" s="6" t="s">
        <v>5</v>
      </c>
      <c r="B205" s="8" t="str">
        <f>HYPERLINK(" https://www.mq.edu.au/study/admissions-and-entry/scholarships/domestic/macquarie-university-higher-study-scholarship-full-time-rate", "Macquarie University Higher Study Scholarship - Full time rate")</f>
        <v>Macquarie University Higher Study Scholarship - Full time rate</v>
      </c>
      <c r="C205" s="7" t="s">
        <v>14</v>
      </c>
      <c r="D205" s="9">
        <v>12000</v>
      </c>
      <c r="E205" s="7" t="s">
        <v>41</v>
      </c>
      <c r="F205" s="7" t="s">
        <v>50</v>
      </c>
      <c r="G205" s="10" t="s">
        <v>49</v>
      </c>
      <c r="H205" t="s">
        <v>21</v>
      </c>
      <c r="I205" s="7" t="s">
        <v>25</v>
      </c>
    </row>
    <row r="206" spans="1:9" ht="30" x14ac:dyDescent="0.25">
      <c r="A206" s="6" t="s">
        <v>5</v>
      </c>
      <c r="B206"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6" s="7" t="s">
        <v>27</v>
      </c>
      <c r="D206" s="7" t="s">
        <v>52</v>
      </c>
      <c r="E206" s="7" t="s">
        <v>41</v>
      </c>
      <c r="F206" s="7" t="s">
        <v>51</v>
      </c>
      <c r="G206" s="10" t="s">
        <v>53</v>
      </c>
      <c r="H206" t="s">
        <v>25</v>
      </c>
      <c r="I206" s="7" t="s">
        <v>25</v>
      </c>
    </row>
    <row r="207" spans="1:9" x14ac:dyDescent="0.25">
      <c r="A207" s="6" t="s">
        <v>5</v>
      </c>
      <c r="B207" s="8" t="str">
        <f>HYPERLINK(" https://www.mq.edu.au/study/admissions-and-entry/scholarships/domestic/macquarie-university-higher-study-scholarship-part-time-rate", "Macquarie University Higher Study Scholarship - Part time rate")</f>
        <v>Macquarie University Higher Study Scholarship - Part time rate</v>
      </c>
      <c r="C207" s="7" t="s">
        <v>14</v>
      </c>
      <c r="D207" s="9">
        <v>6000</v>
      </c>
      <c r="E207" s="7" t="s">
        <v>41</v>
      </c>
      <c r="F207" s="7" t="s">
        <v>50</v>
      </c>
      <c r="G207" s="7" t="s">
        <v>17</v>
      </c>
      <c r="H207" t="s">
        <v>25</v>
      </c>
      <c r="I207" s="7" t="s">
        <v>25</v>
      </c>
    </row>
    <row r="208" spans="1:9" ht="30" x14ac:dyDescent="0.25">
      <c r="A208" s="6" t="s">
        <v>5</v>
      </c>
      <c r="B208" s="8" t="str">
        <f>HYPERLINK(" https://www.mq.edu.au/study/admissions-and-entry/scholarships/domestic/macquarie-university-anu-alumni-postgraduate-support-scheme", "Macquarie University-ANU Alumni Postgraduate Support Scheme")</f>
        <v>Macquarie University-ANU Alumni Postgraduate Support Scheme</v>
      </c>
      <c r="C208" s="7" t="s">
        <v>27</v>
      </c>
      <c r="D208" s="7" t="s">
        <v>54</v>
      </c>
      <c r="E208" s="7" t="s">
        <v>41</v>
      </c>
      <c r="F208" s="7" t="s">
        <v>51</v>
      </c>
      <c r="G208" s="10" t="s">
        <v>53</v>
      </c>
      <c r="H208" t="s">
        <v>25</v>
      </c>
      <c r="I208" s="7" t="s">
        <v>25</v>
      </c>
    </row>
    <row r="209" spans="1:9" ht="30" x14ac:dyDescent="0.25">
      <c r="A209" s="6" t="s">
        <v>5</v>
      </c>
      <c r="B209" s="8" t="str">
        <f>HYPERLINK(" https://www.mq.edu.au/study/admissions-and-entry/scholarships/domestic/the-sir-theo-kelly-sustainable-leadership-scholarship", "The Sir Theo Kelly Sustainable Leadership Scholarship")</f>
        <v>The Sir Theo Kelly Sustainable Leadership Scholarship</v>
      </c>
      <c r="C209" s="7" t="s">
        <v>27</v>
      </c>
      <c r="D209" s="9" t="s">
        <v>55</v>
      </c>
      <c r="E209" s="7">
        <v>3</v>
      </c>
      <c r="F209" s="7" t="s">
        <v>51</v>
      </c>
      <c r="G209" s="10" t="s">
        <v>56</v>
      </c>
      <c r="H209" t="s">
        <v>25</v>
      </c>
      <c r="I209" s="7" t="s">
        <v>25</v>
      </c>
    </row>
    <row r="210" spans="1:9" ht="105" x14ac:dyDescent="0.25">
      <c r="A210" s="5" t="s">
        <v>9</v>
      </c>
      <c r="B210" s="8" t="str">
        <f>HYPERLINK("https://www.newcastle.edu.au/scholarships/CESE_04", "College of Engineering, Science and Environment Relocation Scholarship")</f>
        <v>College of Engineering, Science and Environment Relocation Scholarship</v>
      </c>
      <c r="C210" s="7" t="s">
        <v>27</v>
      </c>
      <c r="D210" s="9">
        <v>5000</v>
      </c>
      <c r="E210" s="7">
        <v>2</v>
      </c>
      <c r="F210" s="7" t="s">
        <v>13</v>
      </c>
      <c r="G210" s="10" t="s">
        <v>152</v>
      </c>
      <c r="H210" t="s">
        <v>21</v>
      </c>
      <c r="I210" t="s">
        <v>25</v>
      </c>
    </row>
    <row r="211" spans="1:9" ht="90" x14ac:dyDescent="0.25">
      <c r="A211" s="5" t="s">
        <v>9</v>
      </c>
      <c r="B211" s="8" t="str">
        <f>HYPERLINK("https://www.newcastle.edu.au/scholarships/BUSLAW_012", "Neville Sawyer AM Scholarship")</f>
        <v>Neville Sawyer AM Scholarship</v>
      </c>
      <c r="C211" s="7" t="s">
        <v>27</v>
      </c>
      <c r="D211" s="9">
        <v>10000</v>
      </c>
      <c r="E211" s="7">
        <v>1</v>
      </c>
      <c r="F211" s="7" t="s">
        <v>51</v>
      </c>
      <c r="G211" s="10" t="s">
        <v>153</v>
      </c>
      <c r="H211" t="s">
        <v>25</v>
      </c>
      <c r="I211" t="s">
        <v>25</v>
      </c>
    </row>
    <row r="212" spans="1:9" ht="60" x14ac:dyDescent="0.25">
      <c r="A212" s="5" t="s">
        <v>9</v>
      </c>
      <c r="B212" s="8" t="str">
        <f>HYPERLINK("https://www.newcastle.edu.au/scholarships/ENGB_070", "CSIRO Women in Energy Scholarship")</f>
        <v>CSIRO Women in Energy Scholarship</v>
      </c>
      <c r="C212" s="7" t="s">
        <v>27</v>
      </c>
      <c r="D212" s="9">
        <v>10000</v>
      </c>
      <c r="E212" s="7">
        <v>4</v>
      </c>
      <c r="F212" s="7" t="s">
        <v>13</v>
      </c>
      <c r="G212" s="10" t="s">
        <v>154</v>
      </c>
      <c r="H212" t="s">
        <v>25</v>
      </c>
      <c r="I212" t="s">
        <v>25</v>
      </c>
    </row>
    <row r="213" spans="1:9" ht="60" x14ac:dyDescent="0.25">
      <c r="A213" s="5" t="s">
        <v>9</v>
      </c>
      <c r="B213" s="8" t="str">
        <f>HYPERLINK("https://www.newcastle.edu.au/scholarships/EXT_068", "Lewis Ewart Lewis Physiotherapy Scholarship")</f>
        <v>Lewis Ewart Lewis Physiotherapy Scholarship</v>
      </c>
      <c r="C213" s="7" t="s">
        <v>14</v>
      </c>
      <c r="D213" s="7" t="s">
        <v>151</v>
      </c>
      <c r="E213" s="7" t="s">
        <v>155</v>
      </c>
      <c r="F213" s="7" t="s">
        <v>13</v>
      </c>
      <c r="G213" s="10" t="s">
        <v>156</v>
      </c>
      <c r="H213" t="s">
        <v>25</v>
      </c>
      <c r="I213" t="s">
        <v>25</v>
      </c>
    </row>
    <row r="214" spans="1:9" ht="60" x14ac:dyDescent="0.25">
      <c r="A214" s="5" t="s">
        <v>9</v>
      </c>
      <c r="B214" s="8" t="str">
        <f>HYPERLINK("https://www.newcastle.edu.au/scholarships/EXT_131", "Ingrid and Ryszard Knopf Podiatric Medicine Scholarship")</f>
        <v>Ingrid and Ryszard Knopf Podiatric Medicine Scholarship</v>
      </c>
      <c r="C214" s="7" t="s">
        <v>14</v>
      </c>
      <c r="D214" s="9">
        <v>5000</v>
      </c>
      <c r="E214" s="7" t="s">
        <v>155</v>
      </c>
      <c r="F214" s="7" t="s">
        <v>13</v>
      </c>
      <c r="G214" s="10" t="s">
        <v>157</v>
      </c>
      <c r="H214" t="s">
        <v>25</v>
      </c>
      <c r="I214" t="s">
        <v>25</v>
      </c>
    </row>
    <row r="215" spans="1:9" ht="30" x14ac:dyDescent="0.25">
      <c r="A215" s="5" t="s">
        <v>9</v>
      </c>
      <c r="B215" s="8" t="str">
        <f>HYPERLINK("https://www.newcastle.edu.au/scholarships/EXT_140", "Shaping Futures Scholarships")</f>
        <v>Shaping Futures Scholarships</v>
      </c>
      <c r="C215" s="7" t="s">
        <v>14</v>
      </c>
      <c r="D215" s="7" t="s">
        <v>151</v>
      </c>
      <c r="E215" s="7" t="s">
        <v>155</v>
      </c>
      <c r="F215" s="7" t="s">
        <v>13</v>
      </c>
      <c r="G215" s="10" t="s">
        <v>58</v>
      </c>
      <c r="H215" t="s">
        <v>25</v>
      </c>
      <c r="I215" t="s">
        <v>25</v>
      </c>
    </row>
    <row r="216" spans="1:9" ht="90" x14ac:dyDescent="0.25">
      <c r="A216" s="5" t="s">
        <v>9</v>
      </c>
      <c r="B216" s="8" t="str">
        <f>HYPERLINK("https://www.newcastle.edu.au/scholarships/EXT_238", "MBC Group Construction Management Scholarship")</f>
        <v>MBC Group Construction Management Scholarship</v>
      </c>
      <c r="C216" s="7" t="s">
        <v>14</v>
      </c>
      <c r="D216" s="9">
        <v>5000</v>
      </c>
      <c r="E216" s="7">
        <v>2</v>
      </c>
      <c r="F216" s="7" t="s">
        <v>13</v>
      </c>
      <c r="G216" s="10" t="s">
        <v>160</v>
      </c>
      <c r="H216" t="s">
        <v>25</v>
      </c>
      <c r="I216" t="s">
        <v>25</v>
      </c>
    </row>
    <row r="217" spans="1:9" ht="75" x14ac:dyDescent="0.25">
      <c r="A217" s="5" t="s">
        <v>9</v>
      </c>
      <c r="B217" s="8" t="str">
        <f>HYPERLINK("https://www.newcastle.edu.au/scholarships/EXT_241", "The Bloomfield Group Foundation Scholarship")</f>
        <v>The Bloomfield Group Foundation Scholarship</v>
      </c>
      <c r="C217" s="7" t="s">
        <v>14</v>
      </c>
      <c r="D217" s="9">
        <v>5000</v>
      </c>
      <c r="E217" s="7">
        <v>1</v>
      </c>
      <c r="F217" s="7" t="s">
        <v>13</v>
      </c>
      <c r="G217" s="10" t="s">
        <v>161</v>
      </c>
      <c r="H217" t="s">
        <v>25</v>
      </c>
      <c r="I217" t="s">
        <v>25</v>
      </c>
    </row>
    <row r="218" spans="1:9" ht="45" x14ac:dyDescent="0.25">
      <c r="A218" s="5" t="s">
        <v>9</v>
      </c>
      <c r="B218" s="8" t="str">
        <f>HYPERLINK("https://www.newcastle.edu.au/scholarships/EXT_196", "Valasi Bleazard Memorial Scholarship in Music")</f>
        <v>Valasi Bleazard Memorial Scholarship in Music</v>
      </c>
      <c r="C218" s="7" t="s">
        <v>27</v>
      </c>
      <c r="D218" s="9">
        <v>12500</v>
      </c>
      <c r="E218" s="7">
        <v>1</v>
      </c>
      <c r="F218" s="7" t="s">
        <v>13</v>
      </c>
      <c r="G218" s="10" t="s">
        <v>158</v>
      </c>
      <c r="H218" t="s">
        <v>25</v>
      </c>
      <c r="I218" t="s">
        <v>25</v>
      </c>
    </row>
    <row r="219" spans="1:9" ht="45" x14ac:dyDescent="0.25">
      <c r="A219" s="5" t="s">
        <v>9</v>
      </c>
      <c r="B219" s="8" t="str">
        <f>HYPERLINK("https://www.newcastle.edu.au/scholarships/EXT_199", "Friends of the University Sport Scholarship")</f>
        <v>Friends of the University Sport Scholarship</v>
      </c>
      <c r="C219" s="7" t="s">
        <v>27</v>
      </c>
      <c r="D219" s="9">
        <v>5000</v>
      </c>
      <c r="E219" s="7" t="s">
        <v>155</v>
      </c>
      <c r="F219" s="7" t="s">
        <v>13</v>
      </c>
      <c r="G219" s="10" t="s">
        <v>159</v>
      </c>
      <c r="H219" t="s">
        <v>25</v>
      </c>
      <c r="I219" t="s">
        <v>25</v>
      </c>
    </row>
    <row r="220" spans="1:9" ht="60" x14ac:dyDescent="0.25">
      <c r="A220" s="5" t="s">
        <v>9</v>
      </c>
      <c r="B220" s="8" t="str">
        <f>HYPERLINK("https://www.newcastle.edu.au/scholarships/EXT_251", "Student Residences Scholarship")</f>
        <v>Student Residences Scholarship</v>
      </c>
      <c r="C220" s="7" t="s">
        <v>14</v>
      </c>
      <c r="D220" s="9">
        <v>5000</v>
      </c>
      <c r="E220" s="7" t="s">
        <v>155</v>
      </c>
      <c r="F220" s="7" t="s">
        <v>13</v>
      </c>
      <c r="G220" s="10" t="s">
        <v>163</v>
      </c>
      <c r="H220" t="s">
        <v>25</v>
      </c>
      <c r="I220" t="s">
        <v>25</v>
      </c>
    </row>
    <row r="221" spans="1:9" ht="30" x14ac:dyDescent="0.25">
      <c r="A221" s="5" t="s">
        <v>9</v>
      </c>
      <c r="B221" s="8" t="str">
        <f>HYPERLINK("https://www.newcastle.edu.au/scholarships/EXT_252", "LGBTQIA+ Shaping Futures Scholarship")</f>
        <v>LGBTQIA+ Shaping Futures Scholarship</v>
      </c>
      <c r="C221" s="7" t="s">
        <v>14</v>
      </c>
      <c r="D221" s="9">
        <v>5000</v>
      </c>
      <c r="E221" s="7" t="s">
        <v>155</v>
      </c>
      <c r="F221" s="7" t="s">
        <v>13</v>
      </c>
      <c r="G221" s="10" t="s">
        <v>162</v>
      </c>
      <c r="H221" t="s">
        <v>25</v>
      </c>
      <c r="I221" t="s">
        <v>25</v>
      </c>
    </row>
    <row r="222" spans="1:9" ht="60" x14ac:dyDescent="0.25">
      <c r="A222" s="5" t="s">
        <v>9</v>
      </c>
      <c r="B222" s="8" t="str">
        <f>HYPERLINK("https://www.newcastle.edu.au/scholarships/EXT_257", "Betty Josephine Fyffe Rural Medical Excellence Scholarship")</f>
        <v>Betty Josephine Fyffe Rural Medical Excellence Scholarship</v>
      </c>
      <c r="C222" s="7" t="s">
        <v>27</v>
      </c>
      <c r="D222" s="9">
        <v>10000</v>
      </c>
      <c r="E222" s="7">
        <v>5</v>
      </c>
      <c r="F222" s="7" t="s">
        <v>13</v>
      </c>
      <c r="G222" s="10" t="s">
        <v>164</v>
      </c>
      <c r="H222" t="s">
        <v>25</v>
      </c>
      <c r="I222" t="s">
        <v>25</v>
      </c>
    </row>
    <row r="223" spans="1:9" ht="60" x14ac:dyDescent="0.25">
      <c r="A223" s="5" t="s">
        <v>9</v>
      </c>
      <c r="B223" s="8" t="str">
        <f>HYPERLINK("https://www.newcastle.edu.au/scholarships/EXT_258", "Betty Josephine Fyffe Rural Equity Scholarships")</f>
        <v>Betty Josephine Fyffe Rural Equity Scholarships</v>
      </c>
      <c r="C223" s="7" t="s">
        <v>14</v>
      </c>
      <c r="D223" s="9">
        <v>10000</v>
      </c>
      <c r="E223" s="7">
        <v>5</v>
      </c>
      <c r="F223" s="7" t="s">
        <v>13</v>
      </c>
      <c r="G223" s="10" t="s">
        <v>165</v>
      </c>
      <c r="H223" t="s">
        <v>25</v>
      </c>
      <c r="I223" t="s">
        <v>25</v>
      </c>
    </row>
    <row r="224" spans="1:9" ht="45" x14ac:dyDescent="0.25">
      <c r="A224" s="5" t="s">
        <v>9</v>
      </c>
      <c r="B224" s="8" t="str">
        <f>HYPERLINK("https://www.newcastle.edu.au/scholarships/EXT_262", "Idemitsu Australia Scholarship")</f>
        <v>Idemitsu Australia Scholarship</v>
      </c>
      <c r="C224" s="7" t="s">
        <v>14</v>
      </c>
      <c r="D224" s="9">
        <v>10000</v>
      </c>
      <c r="E224" s="7">
        <v>1</v>
      </c>
      <c r="F224" s="7" t="s">
        <v>13</v>
      </c>
      <c r="G224" s="10" t="s">
        <v>166</v>
      </c>
      <c r="H224" t="s">
        <v>25</v>
      </c>
      <c r="I224" t="s">
        <v>25</v>
      </c>
    </row>
    <row r="225" spans="1:9" x14ac:dyDescent="0.25">
      <c r="A225" s="5" t="s">
        <v>9</v>
      </c>
      <c r="B225" s="8" t="str">
        <f>HYPERLINK("https://www.newcastle.edu.au/scholarships/EXT_272", "Shaping Futures Postgraduate Scholarship")</f>
        <v>Shaping Futures Postgraduate Scholarship</v>
      </c>
      <c r="C225" s="7" t="s">
        <v>14</v>
      </c>
      <c r="D225" s="9">
        <v>5000</v>
      </c>
      <c r="E225" s="7" t="s">
        <v>155</v>
      </c>
      <c r="F225" s="7" t="s">
        <v>51</v>
      </c>
      <c r="G225" s="10" t="s">
        <v>132</v>
      </c>
      <c r="H225" t="s">
        <v>25</v>
      </c>
      <c r="I225" t="s">
        <v>25</v>
      </c>
    </row>
    <row r="226" spans="1:9" ht="60" x14ac:dyDescent="0.25">
      <c r="A226" s="5" t="s">
        <v>9</v>
      </c>
      <c r="B226" s="8" t="str">
        <f>HYPERLINK("https://www.newcastle.edu.au/scholarships/EXT_283", "Crystalbrook Kingsley Environmental Scholarship")</f>
        <v>Crystalbrook Kingsley Environmental Scholarship</v>
      </c>
      <c r="C226" s="7" t="s">
        <v>27</v>
      </c>
      <c r="D226" s="9">
        <v>5000</v>
      </c>
      <c r="E226" s="7" t="s">
        <v>155</v>
      </c>
      <c r="F226" s="7" t="s">
        <v>107</v>
      </c>
      <c r="G226" s="10" t="s">
        <v>167</v>
      </c>
      <c r="H226" t="s">
        <v>25</v>
      </c>
      <c r="I226" t="s">
        <v>25</v>
      </c>
    </row>
    <row r="227" spans="1:9" ht="60" x14ac:dyDescent="0.25">
      <c r="A227" s="5" t="s">
        <v>9</v>
      </c>
      <c r="B227" s="8" t="str">
        <f>HYPERLINK("https://www.newcastle.edu.au/scholarships/EXT_311", "Friends of the University Lorna George Memorial Scholarship for Allied Health and Psychology")</f>
        <v>Friends of the University Lorna George Memorial Scholarship for Allied Health and Psychology</v>
      </c>
      <c r="C227" s="7" t="s">
        <v>14</v>
      </c>
      <c r="D227" s="9">
        <v>5000</v>
      </c>
      <c r="E227" s="7">
        <v>1</v>
      </c>
      <c r="F227" s="7" t="s">
        <v>13</v>
      </c>
      <c r="G227" s="10" t="s">
        <v>168</v>
      </c>
      <c r="H227" t="s">
        <v>25</v>
      </c>
      <c r="I227" t="s">
        <v>25</v>
      </c>
    </row>
    <row r="228" spans="1:9" ht="105" x14ac:dyDescent="0.25">
      <c r="A228" s="5" t="s">
        <v>9</v>
      </c>
      <c r="B228" s="8" t="str">
        <f>HYPERLINK("https://www.newcastle.edu.au/scholarships/EXT_318", "Western Earthmoving Scholarship for Construction and Engineering")</f>
        <v>Western Earthmoving Scholarship for Construction and Engineering</v>
      </c>
      <c r="C228" s="7" t="s">
        <v>27</v>
      </c>
      <c r="D228" s="9">
        <v>15000</v>
      </c>
      <c r="E228" s="7">
        <v>1</v>
      </c>
      <c r="F228" s="7" t="s">
        <v>13</v>
      </c>
      <c r="G228" s="10" t="s">
        <v>169</v>
      </c>
      <c r="H228" t="s">
        <v>25</v>
      </c>
      <c r="I228" t="s">
        <v>25</v>
      </c>
    </row>
    <row r="229" spans="1:9" ht="30" x14ac:dyDescent="0.25">
      <c r="A229" s="5" t="s">
        <v>9</v>
      </c>
      <c r="B229" s="8" t="str">
        <f>HYPERLINK("https://www.newcastle.edu.au/scholarships/EXT_332", "Greater Charitable Foundation Equity Scholarship")</f>
        <v>Greater Charitable Foundation Equity Scholarship</v>
      </c>
      <c r="C229" s="7" t="s">
        <v>14</v>
      </c>
      <c r="D229" s="9">
        <v>10000</v>
      </c>
      <c r="E229" s="7">
        <v>3</v>
      </c>
      <c r="F229" s="7" t="s">
        <v>13</v>
      </c>
      <c r="G229" s="10" t="s">
        <v>170</v>
      </c>
      <c r="H229" t="s">
        <v>25</v>
      </c>
      <c r="I229" t="s">
        <v>25</v>
      </c>
    </row>
    <row r="230" spans="1:9" x14ac:dyDescent="0.25">
      <c r="A230" s="5" t="s">
        <v>9</v>
      </c>
      <c r="B230" s="8" t="str">
        <f>HYPERLINK("https://www.newcastle.edu.au/scholarships/EXT_333", "Shamila, Ravendra and Roneal Naidu Scholarship")</f>
        <v>Shamila, Ravendra and Roneal Naidu Scholarship</v>
      </c>
      <c r="C230" s="7" t="s">
        <v>14</v>
      </c>
      <c r="D230" s="9">
        <v>8000</v>
      </c>
      <c r="E230" s="7">
        <v>4</v>
      </c>
      <c r="F230" s="7" t="s">
        <v>13</v>
      </c>
      <c r="G230" s="10" t="s">
        <v>132</v>
      </c>
      <c r="H230" t="s">
        <v>21</v>
      </c>
      <c r="I230" t="s">
        <v>25</v>
      </c>
    </row>
    <row r="231" spans="1:9" ht="30" x14ac:dyDescent="0.25">
      <c r="A231" s="5" t="s">
        <v>9</v>
      </c>
      <c r="B231" s="8" t="str">
        <f>HYPERLINK(" https://www.newcastle.edu.au/scholarships/ESSUN_3000", "Equity Scholarships Scheme University of Newcastle (ESSUN)")</f>
        <v>Equity Scholarships Scheme University of Newcastle (ESSUN)</v>
      </c>
      <c r="C231" s="7" t="s">
        <v>14</v>
      </c>
      <c r="D231" s="11" t="s">
        <v>172</v>
      </c>
      <c r="E231" s="7">
        <v>1</v>
      </c>
      <c r="F231" s="7" t="s">
        <v>13</v>
      </c>
      <c r="G231" s="10" t="s">
        <v>171</v>
      </c>
      <c r="H231" t="s">
        <v>25</v>
      </c>
      <c r="I231" t="s">
        <v>25</v>
      </c>
    </row>
    <row r="232" spans="1:9" ht="60" x14ac:dyDescent="0.25">
      <c r="A232" s="5" t="s">
        <v>9</v>
      </c>
      <c r="B232" s="8" t="str">
        <f>HYPERLINK("https://www.newcastle.edu.au/scholarships/EXT_336", "Sparke Helmore Law Scholarship")</f>
        <v>Sparke Helmore Law Scholarship</v>
      </c>
      <c r="C232" s="7" t="s">
        <v>14</v>
      </c>
      <c r="D232" s="9">
        <v>5000</v>
      </c>
      <c r="E232" s="7" t="s">
        <v>155</v>
      </c>
      <c r="F232" s="7" t="s">
        <v>137</v>
      </c>
      <c r="G232" s="10" t="s">
        <v>173</v>
      </c>
      <c r="H232" t="s">
        <v>25</v>
      </c>
      <c r="I232" t="s">
        <v>25</v>
      </c>
    </row>
    <row r="233" spans="1:9" ht="30" x14ac:dyDescent="0.25">
      <c r="A233" s="5" t="s">
        <v>9</v>
      </c>
      <c r="B233" s="8" t="str">
        <f>HYPERLINK("https://www.newcastle.edu.au/scholarships/EXT_348", "Evelyn Brown Scholarship in Nursing")</f>
        <v>Evelyn Brown Scholarship in Nursing</v>
      </c>
      <c r="C233" s="7" t="s">
        <v>14</v>
      </c>
      <c r="D233" s="9">
        <v>6000</v>
      </c>
      <c r="E233" s="7" t="s">
        <v>155</v>
      </c>
      <c r="F233" s="7" t="s">
        <v>13</v>
      </c>
      <c r="G233" s="10" t="s">
        <v>174</v>
      </c>
      <c r="H233" t="s">
        <v>25</v>
      </c>
      <c r="I233" t="s">
        <v>25</v>
      </c>
    </row>
    <row r="234" spans="1:9" ht="30" x14ac:dyDescent="0.25">
      <c r="A234" s="5" t="s">
        <v>9</v>
      </c>
      <c r="B234" s="8" t="str">
        <f>HYPERLINK("https://www.newcastle.edu.au/scholarships/UNI_025", "University of Newcastle Sports Scholarships")</f>
        <v>University of Newcastle Sports Scholarships</v>
      </c>
      <c r="C234" s="7" t="s">
        <v>27</v>
      </c>
      <c r="D234" s="11" t="s">
        <v>175</v>
      </c>
      <c r="E234" s="7" t="s">
        <v>155</v>
      </c>
      <c r="F234" s="7" t="s">
        <v>13</v>
      </c>
      <c r="G234" s="10" t="s">
        <v>176</v>
      </c>
      <c r="H234" t="s">
        <v>25</v>
      </c>
      <c r="I234" t="s">
        <v>25</v>
      </c>
    </row>
    <row r="235" spans="1:9" ht="60" x14ac:dyDescent="0.25">
      <c r="A235" s="5" t="s">
        <v>9</v>
      </c>
      <c r="B235" s="8" t="str">
        <f>HYPERLINK("https://www.newcastle.edu.au/scholarships/CESE_02", "College of Engineering, Science and Environment High Achiever Scholarship")</f>
        <v>College of Engineering, Science and Environment High Achiever Scholarship</v>
      </c>
      <c r="C235" s="7" t="s">
        <v>27</v>
      </c>
      <c r="D235" s="11" t="s">
        <v>177</v>
      </c>
      <c r="E235" s="7">
        <v>1</v>
      </c>
      <c r="F235" s="7" t="s">
        <v>13</v>
      </c>
      <c r="G235" s="10" t="s">
        <v>178</v>
      </c>
      <c r="H235" t="s">
        <v>25</v>
      </c>
      <c r="I235" t="s">
        <v>25</v>
      </c>
    </row>
    <row r="236" spans="1:9" ht="90" x14ac:dyDescent="0.25">
      <c r="A236" s="5" t="s">
        <v>9</v>
      </c>
      <c r="B236" s="8" t="str">
        <f>HYPERLINK("https://www.newcastle.edu.au/scholarships/CESE_03", "College of Engineering, Science and Environment Gender Equity Scholarship")</f>
        <v>College of Engineering, Science and Environment Gender Equity Scholarship</v>
      </c>
      <c r="C236" s="7" t="s">
        <v>14</v>
      </c>
      <c r="D236" s="11" t="s">
        <v>179</v>
      </c>
      <c r="E236" s="7">
        <v>1</v>
      </c>
      <c r="F236" s="7" t="s">
        <v>13</v>
      </c>
      <c r="G236" s="10" t="s">
        <v>180</v>
      </c>
      <c r="H236" t="s">
        <v>25</v>
      </c>
      <c r="I236" t="s">
        <v>25</v>
      </c>
    </row>
    <row r="237" spans="1:9" ht="45" x14ac:dyDescent="0.25">
      <c r="A237" s="5" t="s">
        <v>9</v>
      </c>
      <c r="B237" s="8" t="str">
        <f>HYPERLINK("https://www.newcastle.edu.au/scholarships/EXT_029", "Port Waratah Coal Services Undergraduate Engineering Scholarship")</f>
        <v>Port Waratah Coal Services Undergraduate Engineering Scholarship</v>
      </c>
      <c r="C237" s="7" t="s">
        <v>14</v>
      </c>
      <c r="D237" s="11" t="s">
        <v>181</v>
      </c>
      <c r="E237" s="7">
        <v>3</v>
      </c>
      <c r="F237" s="7" t="s">
        <v>13</v>
      </c>
      <c r="G237" s="10" t="s">
        <v>182</v>
      </c>
      <c r="H237" t="s">
        <v>21</v>
      </c>
      <c r="I237" t="s">
        <v>25</v>
      </c>
    </row>
    <row r="238" spans="1:9" ht="45" x14ac:dyDescent="0.25">
      <c r="A238" s="5" t="s">
        <v>9</v>
      </c>
      <c r="B238" s="8" t="str">
        <f>HYPERLINK("https://www.newcastle.edu.au/scholarships/EXT_177", "Catherine and Peter Tay High Achiever Engineering Undergraduate Scholarship")</f>
        <v>Catherine and Peter Tay High Achiever Engineering Undergraduate Scholarship</v>
      </c>
      <c r="C238" s="7" t="s">
        <v>27</v>
      </c>
      <c r="D238" s="9">
        <v>8000</v>
      </c>
      <c r="E238" s="7">
        <v>4</v>
      </c>
      <c r="F238" s="7" t="s">
        <v>13</v>
      </c>
      <c r="G238" s="10" t="s">
        <v>183</v>
      </c>
      <c r="H238" t="s">
        <v>25</v>
      </c>
      <c r="I238" t="s">
        <v>25</v>
      </c>
    </row>
    <row r="239" spans="1:9" ht="60" x14ac:dyDescent="0.25">
      <c r="A239" s="5" t="s">
        <v>9</v>
      </c>
      <c r="B239" s="8" t="str">
        <f>HYPERLINK("https://www.newcastle.edu.au/scholarships/EXT_185", "Professor Beryl Nashar Scholarship for Excellence in Geology")</f>
        <v>Professor Beryl Nashar Scholarship for Excellence in Geology</v>
      </c>
      <c r="C239" s="7" t="s">
        <v>27</v>
      </c>
      <c r="D239" s="9">
        <v>1000</v>
      </c>
      <c r="E239" s="7" t="s">
        <v>155</v>
      </c>
      <c r="F239" s="7" t="s">
        <v>137</v>
      </c>
      <c r="G239" s="10" t="s">
        <v>184</v>
      </c>
      <c r="H239" t="s">
        <v>25</v>
      </c>
      <c r="I239" t="s">
        <v>25</v>
      </c>
    </row>
    <row r="240" spans="1:9" ht="75" x14ac:dyDescent="0.25">
      <c r="A240" s="5" t="s">
        <v>9</v>
      </c>
      <c r="B240" s="8" t="str">
        <f>HYPERLINK("https://www.newcastle.edu.au/scholarships/EXT_229", "Boeing Engineering and IT Scholarship for Women")</f>
        <v>Boeing Engineering and IT Scholarship for Women</v>
      </c>
      <c r="C240" s="7" t="s">
        <v>27</v>
      </c>
      <c r="D240" s="9">
        <v>5000</v>
      </c>
      <c r="E240" s="7">
        <v>1</v>
      </c>
      <c r="F240" s="7" t="s">
        <v>13</v>
      </c>
      <c r="G240" s="10" t="s">
        <v>185</v>
      </c>
      <c r="H240" t="s">
        <v>25</v>
      </c>
      <c r="I240" t="s">
        <v>25</v>
      </c>
    </row>
    <row r="241" spans="1:9" ht="90" x14ac:dyDescent="0.25">
      <c r="A241" s="5" t="s">
        <v>9</v>
      </c>
      <c r="B241" s="8" t="str">
        <f>HYPERLINK("https://www.newcastle.edu.au/scholarships/EXT_240", "Malcolm Benaud Smith Construction Management (Building) Scholarship")</f>
        <v>Malcolm Benaud Smith Construction Management (Building) Scholarship</v>
      </c>
      <c r="C241" s="7" t="s">
        <v>27</v>
      </c>
      <c r="D241" s="9">
        <v>10000</v>
      </c>
      <c r="E241" s="7">
        <v>1</v>
      </c>
      <c r="F241" s="7" t="s">
        <v>13</v>
      </c>
      <c r="G241" s="10" t="s">
        <v>186</v>
      </c>
      <c r="H241" t="s">
        <v>25</v>
      </c>
      <c r="I241" t="s">
        <v>25</v>
      </c>
    </row>
    <row r="242" spans="1:9" ht="60" x14ac:dyDescent="0.25">
      <c r="A242" s="5" t="s">
        <v>9</v>
      </c>
      <c r="B242" s="8" t="str">
        <f>HYPERLINK("https://www.newcastle.edu.au/scholarships/EXT_320", "Boeing IT and Computer Systems Scholarship")</f>
        <v>Boeing IT and Computer Systems Scholarship</v>
      </c>
      <c r="C242" s="7" t="s">
        <v>27</v>
      </c>
      <c r="D242" s="9">
        <v>5000</v>
      </c>
      <c r="E242" s="7">
        <v>1</v>
      </c>
      <c r="F242" s="7" t="s">
        <v>13</v>
      </c>
      <c r="G242" s="10" t="s">
        <v>187</v>
      </c>
      <c r="H242" t="s">
        <v>25</v>
      </c>
      <c r="I242" t="s">
        <v>25</v>
      </c>
    </row>
    <row r="243" spans="1:9" ht="45" x14ac:dyDescent="0.25">
      <c r="A243" s="5" t="s">
        <v>9</v>
      </c>
      <c r="B243" s="8" t="str">
        <f>HYPERLINK("https://www.newcastle.edu.au/scholarships/EXT_322", "Boeing Environmental Sustainability in STEM Scholarship")</f>
        <v>Boeing Environmental Sustainability in STEM Scholarship</v>
      </c>
      <c r="C243" s="7" t="s">
        <v>27</v>
      </c>
      <c r="D243" s="9">
        <v>5000</v>
      </c>
      <c r="E243" s="7">
        <v>1</v>
      </c>
      <c r="F243" s="7" t="s">
        <v>13</v>
      </c>
      <c r="G243" s="10" t="s">
        <v>188</v>
      </c>
      <c r="H243" t="s">
        <v>25</v>
      </c>
      <c r="I243" t="s">
        <v>25</v>
      </c>
    </row>
    <row r="244" spans="1:9" ht="45" x14ac:dyDescent="0.25">
      <c r="A244" s="5" t="s">
        <v>9</v>
      </c>
      <c r="B244" s="8" t="str">
        <f>HYPERLINK("https://www.newcastle.edu.au/scholarships/EXT_328", "HunterWiSE Scholarship for Women in STEM")</f>
        <v>HunterWiSE Scholarship for Women in STEM</v>
      </c>
      <c r="C244" s="7" t="s">
        <v>27</v>
      </c>
      <c r="D244" s="9">
        <v>5000</v>
      </c>
      <c r="E244" s="7" t="s">
        <v>155</v>
      </c>
      <c r="F244" s="7" t="s">
        <v>13</v>
      </c>
      <c r="G244" s="10" t="s">
        <v>189</v>
      </c>
      <c r="H244" t="s">
        <v>25</v>
      </c>
      <c r="I244" t="s">
        <v>25</v>
      </c>
    </row>
    <row r="245" spans="1:9" ht="45" x14ac:dyDescent="0.25">
      <c r="A245" s="5" t="s">
        <v>9</v>
      </c>
      <c r="B245" s="8" t="str">
        <f>HYPERLINK("https://www.newcastle.edu.au/scholarships/EXT_330", "Valley Industries Speech Pathology Scholarship")</f>
        <v>Valley Industries Speech Pathology Scholarship</v>
      </c>
      <c r="C245" s="7" t="s">
        <v>14</v>
      </c>
      <c r="D245" s="9">
        <v>5000</v>
      </c>
      <c r="E245" s="7" t="s">
        <v>155</v>
      </c>
      <c r="F245" s="7" t="s">
        <v>13</v>
      </c>
      <c r="G245" s="10" t="s">
        <v>190</v>
      </c>
      <c r="H245" t="s">
        <v>25</v>
      </c>
      <c r="I245" t="s">
        <v>25</v>
      </c>
    </row>
    <row r="246" spans="1:9" ht="75" x14ac:dyDescent="0.25">
      <c r="A246" s="5" t="s">
        <v>9</v>
      </c>
      <c r="B246" s="8" t="str">
        <f>HYPERLINK("https://www.newcastle.edu.au/scholarships/EXT_338", "AGL Bayswater Power Station Scholarships for Females in Engineering")</f>
        <v>AGL Bayswater Power Station Scholarships for Females in Engineering</v>
      </c>
      <c r="C246" s="7" t="s">
        <v>27</v>
      </c>
      <c r="D246" s="9">
        <v>15000</v>
      </c>
      <c r="E246" s="7">
        <v>3</v>
      </c>
      <c r="F246" s="7" t="s">
        <v>13</v>
      </c>
      <c r="G246" s="10" t="s">
        <v>191</v>
      </c>
      <c r="H246" t="s">
        <v>25</v>
      </c>
      <c r="I246" t="s">
        <v>25</v>
      </c>
    </row>
    <row r="247" spans="1:9" ht="30" x14ac:dyDescent="0.25">
      <c r="A247" s="5" t="s">
        <v>9</v>
      </c>
      <c r="B247" s="8" t="str">
        <f>HYPERLINK("https://www.newcastle.edu.au/scholarships/EXT_350", "Boeing Disability Scholarship")</f>
        <v>Boeing Disability Scholarship</v>
      </c>
      <c r="C247" s="7" t="s">
        <v>14</v>
      </c>
      <c r="D247" s="9">
        <v>5000</v>
      </c>
      <c r="E247" s="7" t="s">
        <v>155</v>
      </c>
      <c r="F247" s="7" t="s">
        <v>13</v>
      </c>
      <c r="G247" s="10" t="s">
        <v>192</v>
      </c>
      <c r="H247" t="s">
        <v>25</v>
      </c>
      <c r="I247" t="s">
        <v>25</v>
      </c>
    </row>
    <row r="248" spans="1:9" ht="409.5" x14ac:dyDescent="0.25">
      <c r="A248" s="3" t="s">
        <v>7</v>
      </c>
      <c r="B248" t="str">
        <f>HYPERLINK("https://scholarships.uow.edu.au/scholarships/search?scholarship=3121", "Business Undergraduate Academic Excellence Scholarship")</f>
        <v>Business Undergraduate Academic Excellence Scholarship</v>
      </c>
      <c r="C248" t="s">
        <v>328</v>
      </c>
      <c r="D248" s="12" t="s">
        <v>283</v>
      </c>
      <c r="E248" t="s">
        <v>201</v>
      </c>
      <c r="F248" t="s">
        <v>13</v>
      </c>
      <c r="G248" s="12" t="s">
        <v>329</v>
      </c>
      <c r="H248" t="s">
        <v>25</v>
      </c>
      <c r="I248" t="s">
        <v>25</v>
      </c>
    </row>
    <row r="249" spans="1:9" ht="90" x14ac:dyDescent="0.25">
      <c r="A249" s="3" t="s">
        <v>7</v>
      </c>
      <c r="B249" t="str">
        <f>HYPERLINK("https://scholarships.uow.edu.au/scholarships/search?scholarship=2881", "Vice-Chancellor's Leadership Scholarship – South Western Sydney")</f>
        <v>Vice-Chancellor's Leadership Scholarship – South Western Sydney</v>
      </c>
      <c r="C249" t="s">
        <v>328</v>
      </c>
      <c r="D249" s="12" t="s">
        <v>330</v>
      </c>
      <c r="E249" t="s">
        <v>331</v>
      </c>
      <c r="F249" t="s">
        <v>13</v>
      </c>
      <c r="G249" s="12" t="s">
        <v>673</v>
      </c>
      <c r="H249" t="s">
        <v>25</v>
      </c>
      <c r="I249" t="s">
        <v>25</v>
      </c>
    </row>
    <row r="250" spans="1:9" ht="60" x14ac:dyDescent="0.25">
      <c r="A250" s="3" t="s">
        <v>7</v>
      </c>
      <c r="B250" t="str">
        <f>HYPERLINK("https://scholarships.uow.edu.au/scholarships/search?scholarship=1581", "UOW Liverpool Undergraduate Scholarship")</f>
        <v>UOW Liverpool Undergraduate Scholarship</v>
      </c>
      <c r="C250" t="s">
        <v>328</v>
      </c>
      <c r="D250" s="12" t="s">
        <v>332</v>
      </c>
      <c r="E250" t="s">
        <v>201</v>
      </c>
      <c r="F250" t="s">
        <v>13</v>
      </c>
      <c r="G250" s="12" t="s">
        <v>674</v>
      </c>
      <c r="H250" t="s">
        <v>25</v>
      </c>
      <c r="I250" t="s">
        <v>25</v>
      </c>
    </row>
    <row r="251" spans="1:9" ht="45" x14ac:dyDescent="0.25">
      <c r="A251" s="3" t="s">
        <v>7</v>
      </c>
      <c r="B251" t="str">
        <f>HYPERLINK("https://scholarships.uow.edu.au/scholarships/search?scholarship=2321", "Illawarra Principal's Recommendation Scholarship")</f>
        <v>Illawarra Principal's Recommendation Scholarship</v>
      </c>
      <c r="C251" t="s">
        <v>328</v>
      </c>
      <c r="D251" s="12" t="s">
        <v>333</v>
      </c>
      <c r="E251" t="s">
        <v>201</v>
      </c>
      <c r="F251" t="s">
        <v>13</v>
      </c>
      <c r="G251" s="12" t="s">
        <v>675</v>
      </c>
      <c r="H251" t="s">
        <v>25</v>
      </c>
      <c r="I251" t="s">
        <v>25</v>
      </c>
    </row>
    <row r="252" spans="1:9" ht="45" x14ac:dyDescent="0.25">
      <c r="A252" s="3" t="s">
        <v>7</v>
      </c>
      <c r="B252" t="str">
        <f>HYPERLINK("https://scholarships.uow.edu.au/scholarships/search?scholarship=2322", "Sutherland Shire Principal's Recommendation Scholarship")</f>
        <v>Sutherland Shire Principal's Recommendation Scholarship</v>
      </c>
      <c r="C252" t="s">
        <v>328</v>
      </c>
      <c r="D252" s="12" t="s">
        <v>334</v>
      </c>
      <c r="E252" t="s">
        <v>201</v>
      </c>
      <c r="F252" t="s">
        <v>13</v>
      </c>
      <c r="G252" s="12" t="s">
        <v>675</v>
      </c>
      <c r="H252" t="s">
        <v>25</v>
      </c>
      <c r="I252" t="s">
        <v>25</v>
      </c>
    </row>
    <row r="253" spans="1:9" ht="45" x14ac:dyDescent="0.25">
      <c r="A253" s="3" t="s">
        <v>7</v>
      </c>
      <c r="B253" t="str">
        <f>HYPERLINK("https://scholarships.uow.edu.au/scholarships/search?scholarship=2481", "Macarthur Principal's Recommendation Scholarship")</f>
        <v>Macarthur Principal's Recommendation Scholarship</v>
      </c>
      <c r="C253" t="s">
        <v>328</v>
      </c>
      <c r="D253" s="12" t="s">
        <v>335</v>
      </c>
      <c r="E253" t="s">
        <v>201</v>
      </c>
      <c r="F253" t="s">
        <v>13</v>
      </c>
      <c r="G253" s="12" t="s">
        <v>675</v>
      </c>
      <c r="H253" t="s">
        <v>25</v>
      </c>
      <c r="I253" t="s">
        <v>25</v>
      </c>
    </row>
    <row r="254" spans="1:9" ht="270" x14ac:dyDescent="0.25">
      <c r="A254" s="3" t="s">
        <v>7</v>
      </c>
      <c r="B254" t="str">
        <f>HYPERLINK("https://scholarships.uow.edu.au/scholarships/search?scholarship=401", "The Edna Campbell Scholarship for Women")</f>
        <v>The Edna Campbell Scholarship for Women</v>
      </c>
      <c r="C254" t="s">
        <v>336</v>
      </c>
      <c r="D254" s="12" t="s">
        <v>337</v>
      </c>
      <c r="E254" t="s">
        <v>338</v>
      </c>
      <c r="F254" t="s">
        <v>13</v>
      </c>
      <c r="G254" s="12" t="s">
        <v>339</v>
      </c>
      <c r="H254" t="s">
        <v>25</v>
      </c>
      <c r="I254" t="s">
        <v>25</v>
      </c>
    </row>
    <row r="255" spans="1:9" ht="195" x14ac:dyDescent="0.25">
      <c r="A255" s="3" t="s">
        <v>7</v>
      </c>
      <c r="B255" t="str">
        <f>HYPERLINK("https://scholarships.uow.edu.au/scholarships/search?scholarship=654", "John, Belle &amp; Richard Miller, Bridgewater Scholarships for Opportunity")</f>
        <v>John, Belle &amp; Richard Miller, Bridgewater Scholarships for Opportunity</v>
      </c>
      <c r="C255" t="s">
        <v>336</v>
      </c>
      <c r="D255" s="12" t="s">
        <v>340</v>
      </c>
      <c r="E255" t="s">
        <v>201</v>
      </c>
      <c r="F255" t="s">
        <v>13</v>
      </c>
      <c r="G255" s="12" t="s">
        <v>341</v>
      </c>
      <c r="H255" t="s">
        <v>25</v>
      </c>
      <c r="I255" t="s">
        <v>25</v>
      </c>
    </row>
    <row r="256" spans="1:9" ht="105" x14ac:dyDescent="0.25">
      <c r="A256" s="3" t="s">
        <v>7</v>
      </c>
      <c r="B256" t="str">
        <f>HYPERLINK("https://scholarships.uow.edu.au/scholarships/search?scholarship=2021", "Transforming Futures Scholarship - Future Students")</f>
        <v>Transforming Futures Scholarship - Future Students</v>
      </c>
      <c r="C256" t="s">
        <v>336</v>
      </c>
      <c r="D256" s="12" t="s">
        <v>342</v>
      </c>
      <c r="E256" t="s">
        <v>338</v>
      </c>
      <c r="F256" t="s">
        <v>13</v>
      </c>
      <c r="G256" s="12" t="s">
        <v>343</v>
      </c>
      <c r="H256" t="s">
        <v>25</v>
      </c>
      <c r="I256" t="s">
        <v>25</v>
      </c>
    </row>
    <row r="257" spans="1:9" ht="409.5" x14ac:dyDescent="0.25">
      <c r="A257" s="3" t="s">
        <v>7</v>
      </c>
      <c r="B257" t="str">
        <f>HYPERLINK("https://scholarships.uow.edu.au/scholarships/search?scholarship=1181", "Liverpool City Council Opportunity Scholarship")</f>
        <v>Liverpool City Council Opportunity Scholarship</v>
      </c>
      <c r="C257" t="s">
        <v>336</v>
      </c>
      <c r="D257" s="12" t="s">
        <v>344</v>
      </c>
      <c r="E257" t="s">
        <v>201</v>
      </c>
      <c r="F257" t="s">
        <v>13</v>
      </c>
      <c r="G257" s="12" t="s">
        <v>345</v>
      </c>
      <c r="H257" t="s">
        <v>25</v>
      </c>
      <c r="I257" t="s">
        <v>25</v>
      </c>
    </row>
    <row r="258" spans="1:9" ht="105" x14ac:dyDescent="0.25">
      <c r="A258" s="3" t="s">
        <v>7</v>
      </c>
      <c r="B258" t="str">
        <f>HYPERLINK("https://scholarships.uow.edu.au/scholarships/search?scholarship=1641", "The Salvestrin Sartor Jones Scholarship")</f>
        <v>The Salvestrin Sartor Jones Scholarship</v>
      </c>
      <c r="C258" t="s">
        <v>336</v>
      </c>
      <c r="D258" s="12" t="s">
        <v>346</v>
      </c>
      <c r="E258" t="s">
        <v>41</v>
      </c>
      <c r="F258" t="s">
        <v>13</v>
      </c>
      <c r="G258" s="12" t="s">
        <v>347</v>
      </c>
      <c r="H258" t="s">
        <v>25</v>
      </c>
      <c r="I258" t="s">
        <v>25</v>
      </c>
    </row>
    <row r="259" spans="1:9" ht="45" x14ac:dyDescent="0.25">
      <c r="A259" s="3" t="s">
        <v>7</v>
      </c>
      <c r="B259" t="str">
        <f>HYPERLINK("https://scholarships.uow.edu.au/scholarships/search?scholarship=2642", "De Dominicis Foundation Opportunity Scholarship for STEM Students")</f>
        <v>De Dominicis Foundation Opportunity Scholarship for STEM Students</v>
      </c>
      <c r="C259" t="s">
        <v>336</v>
      </c>
      <c r="D259" s="12" t="s">
        <v>348</v>
      </c>
      <c r="E259" t="s">
        <v>338</v>
      </c>
      <c r="F259" t="s">
        <v>13</v>
      </c>
      <c r="G259" s="12" t="s">
        <v>349</v>
      </c>
      <c r="H259" t="s">
        <v>25</v>
      </c>
      <c r="I259" t="s">
        <v>25</v>
      </c>
    </row>
    <row r="260" spans="1:9" ht="409.5" x14ac:dyDescent="0.25">
      <c r="A260" s="3" t="s">
        <v>7</v>
      </c>
      <c r="B260" t="str">
        <f>HYPERLINK("https://scholarships.uow.edu.au/scholarships/search?scholarship=2761", "Wollongong Chapter No. 59 Order of the Eastern Star Nursing Opportunity Scholarship")</f>
        <v>Wollongong Chapter No. 59 Order of the Eastern Star Nursing Opportunity Scholarship</v>
      </c>
      <c r="C260" t="s">
        <v>336</v>
      </c>
      <c r="D260" s="12" t="s">
        <v>350</v>
      </c>
      <c r="E260" t="s">
        <v>338</v>
      </c>
      <c r="F260" t="s">
        <v>13</v>
      </c>
      <c r="G260" s="12" t="s">
        <v>351</v>
      </c>
      <c r="H260" t="s">
        <v>25</v>
      </c>
      <c r="I260" t="s">
        <v>25</v>
      </c>
    </row>
    <row r="261" spans="1:9" ht="330" x14ac:dyDescent="0.25">
      <c r="A261" s="3" t="s">
        <v>7</v>
      </c>
      <c r="B261" t="str">
        <f>HYPERLINK("https://scholarships.uow.edu.au/scholarships/search?scholarship=361", "The Stevenson Family Scholarship in Social Work")</f>
        <v>The Stevenson Family Scholarship in Social Work</v>
      </c>
      <c r="C261" t="s">
        <v>336</v>
      </c>
      <c r="D261" s="12" t="s">
        <v>352</v>
      </c>
      <c r="E261" t="s">
        <v>41</v>
      </c>
      <c r="F261" t="s">
        <v>13</v>
      </c>
      <c r="G261" s="12" t="s">
        <v>353</v>
      </c>
      <c r="H261" t="s">
        <v>25</v>
      </c>
      <c r="I261" t="s">
        <v>25</v>
      </c>
    </row>
    <row r="262" spans="1:9" ht="300" x14ac:dyDescent="0.25">
      <c r="A262" s="3" t="s">
        <v>7</v>
      </c>
      <c r="B262" t="str">
        <f>HYPERLINK("https://scholarships.uow.edu.au/scholarships/search?scholarship=640", "St Georges Basin Community Scholarship")</f>
        <v>St Georges Basin Community Scholarship</v>
      </c>
      <c r="C262" t="s">
        <v>336</v>
      </c>
      <c r="D262" s="12" t="s">
        <v>354</v>
      </c>
      <c r="E262" t="s">
        <v>201</v>
      </c>
      <c r="F262" t="s">
        <v>13</v>
      </c>
      <c r="G262" s="12" t="s">
        <v>355</v>
      </c>
      <c r="H262" t="s">
        <v>25</v>
      </c>
      <c r="I262" t="s">
        <v>25</v>
      </c>
    </row>
    <row r="263" spans="1:9" ht="409.5" x14ac:dyDescent="0.25">
      <c r="A263" s="3" t="s">
        <v>7</v>
      </c>
      <c r="B263" t="str">
        <f>HYPERLINK("https://scholarships.uow.edu.au/scholarships/search?scholarship=321", "The Illawarra Centenary of ANZAC Scholarship")</f>
        <v>The Illawarra Centenary of ANZAC Scholarship</v>
      </c>
      <c r="C263" t="s">
        <v>336</v>
      </c>
      <c r="D263" s="12" t="s">
        <v>356</v>
      </c>
      <c r="E263" t="s">
        <v>338</v>
      </c>
      <c r="F263" t="s">
        <v>13</v>
      </c>
      <c r="G263" s="12" t="s">
        <v>357</v>
      </c>
      <c r="H263" t="s">
        <v>25</v>
      </c>
      <c r="I263" t="s">
        <v>25</v>
      </c>
    </row>
    <row r="264" spans="1:9" ht="360" x14ac:dyDescent="0.25">
      <c r="A264" s="3" t="s">
        <v>7</v>
      </c>
      <c r="B264" t="str">
        <f>HYPERLINK("https://scholarships.uow.edu.au/scholarships/search?scholarship=630", "Ivan Bandur Master of Teaching Scholarship")</f>
        <v>Ivan Bandur Master of Teaching Scholarship</v>
      </c>
      <c r="C264" t="s">
        <v>336</v>
      </c>
      <c r="D264" s="12" t="s">
        <v>346</v>
      </c>
      <c r="E264" t="s">
        <v>205</v>
      </c>
      <c r="F264" t="s">
        <v>51</v>
      </c>
      <c r="G264" s="12" t="s">
        <v>358</v>
      </c>
      <c r="H264" t="s">
        <v>25</v>
      </c>
      <c r="I264" t="s">
        <v>25</v>
      </c>
    </row>
    <row r="265" spans="1:9" ht="255" x14ac:dyDescent="0.25">
      <c r="A265" s="3" t="s">
        <v>7</v>
      </c>
      <c r="B265" s="14" t="str">
        <f>HYPERLINK("https://scholarships.uow.edu.au/scholarships/search?scholarship=2203", "Destination Australia Scholarship (Domestic Students)")</f>
        <v>Destination Australia Scholarship (Domestic Students)</v>
      </c>
      <c r="C265" t="s">
        <v>359</v>
      </c>
      <c r="D265" s="10" t="s">
        <v>295</v>
      </c>
      <c r="E265" t="s">
        <v>664</v>
      </c>
      <c r="F265" t="s">
        <v>35</v>
      </c>
      <c r="G265" s="12" t="s">
        <v>663</v>
      </c>
      <c r="H265" t="s">
        <v>25</v>
      </c>
      <c r="I265" t="s">
        <v>25</v>
      </c>
    </row>
    <row r="266" spans="1:9" ht="330" x14ac:dyDescent="0.25">
      <c r="A266" s="3" t="s">
        <v>7</v>
      </c>
      <c r="B266" t="str">
        <f>HYPERLINK("https://scholarships.uow.edu.au/scholarships/search?scholarship=1681", "Club Liverpool Community Scholarship")</f>
        <v>Club Liverpool Community Scholarship</v>
      </c>
      <c r="C266" t="s">
        <v>336</v>
      </c>
      <c r="D266" s="12" t="s">
        <v>360</v>
      </c>
      <c r="E266" t="s">
        <v>201</v>
      </c>
      <c r="F266" t="s">
        <v>13</v>
      </c>
      <c r="G266" s="12" t="s">
        <v>361</v>
      </c>
      <c r="H266" t="s">
        <v>25</v>
      </c>
      <c r="I266" t="s">
        <v>25</v>
      </c>
    </row>
    <row r="267" spans="1:9" ht="165" x14ac:dyDescent="0.25">
      <c r="A267" s="3" t="s">
        <v>7</v>
      </c>
      <c r="B267" t="str">
        <f>HYPERLINK("https://scholarships.uow.edu.au/scholarships/search?scholarship=2161", "Rural and Regional Agricultural Scholarship")</f>
        <v>Rural and Regional Agricultural Scholarship</v>
      </c>
      <c r="C267" t="s">
        <v>336</v>
      </c>
      <c r="D267" s="12" t="s">
        <v>362</v>
      </c>
      <c r="E267" t="s">
        <v>331</v>
      </c>
      <c r="F267" t="s">
        <v>13</v>
      </c>
      <c r="G267" s="12" t="s">
        <v>363</v>
      </c>
      <c r="H267" t="s">
        <v>25</v>
      </c>
      <c r="I267" t="s">
        <v>25</v>
      </c>
    </row>
    <row r="268" spans="1:9" ht="409.5" x14ac:dyDescent="0.25">
      <c r="A268" s="3" t="s">
        <v>7</v>
      </c>
      <c r="B268" t="str">
        <f>HYPERLINK("https://scholarships.uow.edu.au/scholarships/search?scholarship=1121", "The Movement Disorder Foundation Scholarship")</f>
        <v>The Movement Disorder Foundation Scholarship</v>
      </c>
      <c r="C268" t="s">
        <v>336</v>
      </c>
      <c r="D268" s="12" t="s">
        <v>364</v>
      </c>
      <c r="E268" t="s">
        <v>331</v>
      </c>
      <c r="F268" t="s">
        <v>35</v>
      </c>
      <c r="G268" s="12" t="s">
        <v>365</v>
      </c>
      <c r="H268" t="s">
        <v>25</v>
      </c>
      <c r="I268" t="s">
        <v>25</v>
      </c>
    </row>
    <row r="269" spans="1:9" ht="345" x14ac:dyDescent="0.25">
      <c r="A269" s="3" t="s">
        <v>7</v>
      </c>
      <c r="B269" t="str">
        <f>HYPERLINK("https://scholarships.uow.edu.au/scholarships/search?scholarship=1302", "Mudgee Region Community Scholarship")</f>
        <v>Mudgee Region Community Scholarship</v>
      </c>
      <c r="C269" t="s">
        <v>336</v>
      </c>
      <c r="D269" s="12" t="s">
        <v>352</v>
      </c>
      <c r="E269" t="s">
        <v>41</v>
      </c>
      <c r="F269" t="s">
        <v>13</v>
      </c>
      <c r="G269" s="12" t="s">
        <v>366</v>
      </c>
      <c r="H269" t="s">
        <v>25</v>
      </c>
      <c r="I269" t="s">
        <v>25</v>
      </c>
    </row>
    <row r="270" spans="1:9" ht="409.5" x14ac:dyDescent="0.25">
      <c r="A270" s="3" t="s">
        <v>7</v>
      </c>
      <c r="B270" t="str">
        <f>HYPERLINK("https://scholarships.uow.edu.au/scholarships/search?scholarship=3202", "Dylan Alcott Foundation Scholarship")</f>
        <v>Dylan Alcott Foundation Scholarship</v>
      </c>
      <c r="C270" t="s">
        <v>336</v>
      </c>
      <c r="D270" s="12" t="s">
        <v>367</v>
      </c>
      <c r="E270" t="s">
        <v>338</v>
      </c>
      <c r="F270" t="s">
        <v>13</v>
      </c>
      <c r="G270" s="12" t="s">
        <v>368</v>
      </c>
      <c r="H270" t="s">
        <v>25</v>
      </c>
      <c r="I270" t="s">
        <v>25</v>
      </c>
    </row>
    <row r="271" spans="1:9" ht="345" x14ac:dyDescent="0.25">
      <c r="A271" s="3" t="s">
        <v>7</v>
      </c>
      <c r="B271" t="str">
        <f>HYPERLINK("https://scholarships.uow.edu.au/scholarships/search?scholarship=2961", "Housing Trust Opportunity Scholarship")</f>
        <v>Housing Trust Opportunity Scholarship</v>
      </c>
      <c r="C271" t="s">
        <v>336</v>
      </c>
      <c r="D271" s="12" t="s">
        <v>352</v>
      </c>
      <c r="E271" t="s">
        <v>338</v>
      </c>
      <c r="F271" t="s">
        <v>13</v>
      </c>
      <c r="G271" s="12" t="s">
        <v>369</v>
      </c>
      <c r="H271" t="s">
        <v>25</v>
      </c>
      <c r="I271" t="s">
        <v>25</v>
      </c>
    </row>
    <row r="272" spans="1:9" ht="45" x14ac:dyDescent="0.25">
      <c r="A272" s="3" t="s">
        <v>7</v>
      </c>
      <c r="B272" t="str">
        <f>HYPERLINK("https://scholarships.uow.edu.au/scholarships/search?scholarship=2941", "Regional Kick Start Scholarships")</f>
        <v>Regional Kick Start Scholarships</v>
      </c>
      <c r="C272" t="s">
        <v>336</v>
      </c>
      <c r="D272" s="12" t="s">
        <v>370</v>
      </c>
      <c r="E272" t="s">
        <v>201</v>
      </c>
      <c r="F272" t="s">
        <v>35</v>
      </c>
      <c r="G272" s="12" t="s">
        <v>677</v>
      </c>
      <c r="H272" t="s">
        <v>25</v>
      </c>
      <c r="I272" t="s">
        <v>25</v>
      </c>
    </row>
    <row r="273" spans="1:9" ht="360" x14ac:dyDescent="0.25">
      <c r="A273" s="3" t="s">
        <v>7</v>
      </c>
      <c r="B273" t="str">
        <f>HYPERLINK("https://scholarships.uow.edu.au/scholarships/search?scholarship=2821", "The City of Wollongong RSL Sub-Branch ANZAC Scholarship")</f>
        <v>The City of Wollongong RSL Sub-Branch ANZAC Scholarship</v>
      </c>
      <c r="C273" t="s">
        <v>336</v>
      </c>
      <c r="D273" s="12" t="s">
        <v>352</v>
      </c>
      <c r="E273" t="s">
        <v>338</v>
      </c>
      <c r="F273" t="s">
        <v>13</v>
      </c>
      <c r="G273" s="12" t="s">
        <v>371</v>
      </c>
      <c r="H273" t="s">
        <v>25</v>
      </c>
      <c r="I273" t="s">
        <v>25</v>
      </c>
    </row>
    <row r="274" spans="1:9" ht="409.5" x14ac:dyDescent="0.25">
      <c r="A274" s="3" t="s">
        <v>7</v>
      </c>
      <c r="B274" t="str">
        <f>HYPERLINK("https://scholarships.uow.edu.au/scholarships/search?scholarship=2522", "The Tibra Foundation Scholarship in Mathematics")</f>
        <v>The Tibra Foundation Scholarship in Mathematics</v>
      </c>
      <c r="C274" t="s">
        <v>336</v>
      </c>
      <c r="D274" s="12" t="s">
        <v>350</v>
      </c>
      <c r="E274" t="s">
        <v>205</v>
      </c>
      <c r="F274" t="s">
        <v>13</v>
      </c>
      <c r="G274" s="12" t="s">
        <v>372</v>
      </c>
      <c r="H274" t="s">
        <v>25</v>
      </c>
      <c r="I274" t="s">
        <v>25</v>
      </c>
    </row>
    <row r="275" spans="1:9" ht="375" x14ac:dyDescent="0.25">
      <c r="A275" s="3" t="s">
        <v>7</v>
      </c>
      <c r="B275" t="str">
        <f>HYPERLINK("https://scholarships.uow.edu.au/scholarships/search?scholarship=2981", "Risland Community Scholarship in Engineering")</f>
        <v>Risland Community Scholarship in Engineering</v>
      </c>
      <c r="C275" t="s">
        <v>336</v>
      </c>
      <c r="D275" s="12" t="s">
        <v>352</v>
      </c>
      <c r="E275" t="s">
        <v>338</v>
      </c>
      <c r="F275" t="s">
        <v>13</v>
      </c>
      <c r="G275" s="12" t="s">
        <v>373</v>
      </c>
      <c r="H275" t="s">
        <v>25</v>
      </c>
      <c r="I275" t="s">
        <v>25</v>
      </c>
    </row>
    <row r="276" spans="1:9" ht="409.5" x14ac:dyDescent="0.25">
      <c r="A276" s="3" t="s">
        <v>7</v>
      </c>
      <c r="B276" t="str">
        <f>HYPERLINK("https://scholarships.uow.edu.au/scholarships/search?scholarship=2061", "UOW Ramsay Scholarship")</f>
        <v>UOW Ramsay Scholarship</v>
      </c>
      <c r="C276" t="s">
        <v>336</v>
      </c>
      <c r="D276" s="12" t="s">
        <v>374</v>
      </c>
      <c r="E276" t="s">
        <v>285</v>
      </c>
      <c r="F276" t="s">
        <v>13</v>
      </c>
      <c r="G276" s="12" t="s">
        <v>375</v>
      </c>
      <c r="H276" t="s">
        <v>25</v>
      </c>
      <c r="I276" t="s">
        <v>25</v>
      </c>
    </row>
    <row r="277" spans="1:9" ht="120" x14ac:dyDescent="0.25">
      <c r="A277" s="3" t="s">
        <v>7</v>
      </c>
      <c r="B277" t="str">
        <f>HYPERLINK("https://scholarships.uow.edu.au/scholarships/search?scholarship=2543", "Rhondda and Margaret Williams Scholarship for Rural Medicine")</f>
        <v>Rhondda and Margaret Williams Scholarship for Rural Medicine</v>
      </c>
      <c r="C277" t="s">
        <v>336</v>
      </c>
      <c r="D277" s="12" t="s">
        <v>376</v>
      </c>
      <c r="E277" t="s">
        <v>331</v>
      </c>
      <c r="F277" t="s">
        <v>51</v>
      </c>
      <c r="G277" s="12" t="s">
        <v>377</v>
      </c>
      <c r="H277" t="s">
        <v>25</v>
      </c>
      <c r="I277" t="s">
        <v>25</v>
      </c>
    </row>
    <row r="278" spans="1:9" ht="409.5" x14ac:dyDescent="0.25">
      <c r="A278" s="3" t="s">
        <v>7</v>
      </c>
      <c r="B278" t="str">
        <f>HYPERLINK("https://scholarships.uow.edu.au/scholarships/search?scholarship=1381", "The George Alexander Foundation Scholarship")</f>
        <v>The George Alexander Foundation Scholarship</v>
      </c>
      <c r="C278" t="s">
        <v>336</v>
      </c>
      <c r="D278" s="12" t="s">
        <v>378</v>
      </c>
      <c r="E278" t="s">
        <v>338</v>
      </c>
      <c r="F278" t="s">
        <v>13</v>
      </c>
      <c r="G278" s="12" t="s">
        <v>379</v>
      </c>
      <c r="H278" t="s">
        <v>25</v>
      </c>
      <c r="I278" t="s">
        <v>25</v>
      </c>
    </row>
    <row r="279" spans="1:9" ht="409.5" x14ac:dyDescent="0.25">
      <c r="A279" s="3" t="s">
        <v>7</v>
      </c>
      <c r="B279" t="str">
        <f>HYPERLINK("https://scholarships.uow.edu.au/scholarships/search?scholarship=301", "Westpac Young Technologists Scholarship")</f>
        <v>Westpac Young Technologists Scholarship</v>
      </c>
      <c r="C279" t="s">
        <v>380</v>
      </c>
      <c r="D279" s="12" t="s">
        <v>381</v>
      </c>
      <c r="E279" t="s">
        <v>338</v>
      </c>
      <c r="F279" t="s">
        <v>13</v>
      </c>
      <c r="G279" s="12" t="s">
        <v>382</v>
      </c>
      <c r="H279" t="s">
        <v>25</v>
      </c>
      <c r="I279" t="s">
        <v>25</v>
      </c>
    </row>
    <row r="280" spans="1:9" ht="225" x14ac:dyDescent="0.25">
      <c r="A280" s="3" t="s">
        <v>7</v>
      </c>
      <c r="B280" t="str">
        <f>HYPERLINK("https://scholarships.uow.edu.au/scholarships/search?scholarship=3101", "McLoughlin Minerva Scholarship for Sportswomen")</f>
        <v>McLoughlin Minerva Scholarship for Sportswomen</v>
      </c>
      <c r="C280" t="s">
        <v>336</v>
      </c>
      <c r="D280" s="12" t="s">
        <v>383</v>
      </c>
      <c r="E280" t="s">
        <v>338</v>
      </c>
      <c r="F280" t="s">
        <v>13</v>
      </c>
      <c r="G280" s="12" t="s">
        <v>384</v>
      </c>
      <c r="H280" t="s">
        <v>25</v>
      </c>
      <c r="I280" t="s">
        <v>25</v>
      </c>
    </row>
    <row r="281" spans="1:9" ht="225" x14ac:dyDescent="0.25">
      <c r="A281" s="3" t="s">
        <v>7</v>
      </c>
      <c r="B281" t="str">
        <f>HYPERLINK("https://scholarships.uow.edu.au/scholarships/search?scholarship=1761", "Women in Pure Mathematics Honours Scholarship")</f>
        <v>Women in Pure Mathematics Honours Scholarship</v>
      </c>
      <c r="C281" t="s">
        <v>27</v>
      </c>
      <c r="D281" s="12" t="s">
        <v>354</v>
      </c>
      <c r="E281" t="s">
        <v>201</v>
      </c>
      <c r="F281" t="s">
        <v>13</v>
      </c>
      <c r="G281" s="12" t="s">
        <v>385</v>
      </c>
      <c r="H281" t="s">
        <v>25</v>
      </c>
      <c r="I281" t="s">
        <v>25</v>
      </c>
    </row>
    <row r="282" spans="1:9" ht="255" x14ac:dyDescent="0.25">
      <c r="A282" s="3" t="s">
        <v>7</v>
      </c>
      <c r="B282" t="str">
        <f>HYPERLINK("https://scholarships.uow.edu.au/scholarships/search?scholarship=3301", "Antong Jiang Master of Computer Science Excellence Scholarship")</f>
        <v>Antong Jiang Master of Computer Science Excellence Scholarship</v>
      </c>
      <c r="C282" t="s">
        <v>328</v>
      </c>
      <c r="D282" s="12" t="s">
        <v>386</v>
      </c>
      <c r="E282" t="s">
        <v>201</v>
      </c>
      <c r="F282" t="s">
        <v>51</v>
      </c>
      <c r="G282" s="12" t="s">
        <v>387</v>
      </c>
      <c r="H282" t="s">
        <v>25</v>
      </c>
      <c r="I282" t="s">
        <v>25</v>
      </c>
    </row>
    <row r="283" spans="1:9" ht="30" x14ac:dyDescent="0.25">
      <c r="A283" s="3" t="s">
        <v>7</v>
      </c>
      <c r="B283" t="str">
        <f>HYPERLINK("https://scholarships.uow.edu.au/scholarships/search?scholarship=1661", "UOW Equity Scholarships")</f>
        <v>UOW Equity Scholarships</v>
      </c>
      <c r="C283" t="s">
        <v>14</v>
      </c>
      <c r="D283" s="12" t="s">
        <v>388</v>
      </c>
      <c r="E283" t="s">
        <v>201</v>
      </c>
      <c r="F283" t="s">
        <v>13</v>
      </c>
      <c r="G283" s="12" t="s">
        <v>676</v>
      </c>
      <c r="H283" t="s">
        <v>25</v>
      </c>
      <c r="I283" t="s">
        <v>25</v>
      </c>
    </row>
    <row r="284" spans="1:9" ht="409.5" x14ac:dyDescent="0.25">
      <c r="A284" s="3" t="s">
        <v>7</v>
      </c>
      <c r="B284" t="str">
        <f>HYPERLINK("https://scholarships.uow.edu.au/scholarships/search?scholarship=659", "Veolia Mulwaree Trust Community Equity Scholarship")</f>
        <v>Veolia Mulwaree Trust Community Equity Scholarship</v>
      </c>
      <c r="C284" t="s">
        <v>336</v>
      </c>
      <c r="D284" s="12" t="s">
        <v>354</v>
      </c>
      <c r="E284" t="s">
        <v>201</v>
      </c>
      <c r="F284" t="s">
        <v>13</v>
      </c>
      <c r="G284" s="12" t="s">
        <v>389</v>
      </c>
      <c r="H284" t="s">
        <v>25</v>
      </c>
      <c r="I284" t="s">
        <v>25</v>
      </c>
    </row>
    <row r="285" spans="1:9" ht="409.5" x14ac:dyDescent="0.25">
      <c r="A285" s="3" t="s">
        <v>7</v>
      </c>
      <c r="B285" t="str">
        <f>HYPERLINK("https://scholarships.uow.edu.au/scholarships/search?scholarship=624", "Graduate School of Medicine Phase 4 Rural Placement Scholarship")</f>
        <v>Graduate School of Medicine Phase 4 Rural Placement Scholarship</v>
      </c>
      <c r="C285" t="s">
        <v>336</v>
      </c>
      <c r="D285" s="12" t="s">
        <v>390</v>
      </c>
      <c r="E285" t="s">
        <v>201</v>
      </c>
      <c r="F285" t="s">
        <v>51</v>
      </c>
      <c r="G285" s="12" t="s">
        <v>391</v>
      </c>
      <c r="H285" t="s">
        <v>25</v>
      </c>
      <c r="I285" t="s">
        <v>16</v>
      </c>
    </row>
    <row r="286" spans="1:9" ht="255" x14ac:dyDescent="0.25">
      <c r="A286" s="3" t="s">
        <v>7</v>
      </c>
      <c r="B286" t="str">
        <f>HYPERLINK("https://scholarships.uow.edu.au/scholarships/search?scholarship=601", "Graduate School of Medicine Phase 3 Community Funded Scholarship")</f>
        <v>Graduate School of Medicine Phase 3 Community Funded Scholarship</v>
      </c>
      <c r="C286" t="s">
        <v>336</v>
      </c>
      <c r="D286" s="12" t="s">
        <v>392</v>
      </c>
      <c r="E286" t="s">
        <v>201</v>
      </c>
      <c r="F286" t="s">
        <v>51</v>
      </c>
      <c r="G286" s="12" t="s">
        <v>393</v>
      </c>
      <c r="H286" t="s">
        <v>25</v>
      </c>
      <c r="I286" t="s">
        <v>25</v>
      </c>
    </row>
    <row r="287" spans="1:9" ht="165" x14ac:dyDescent="0.25">
      <c r="A287" s="3" t="s">
        <v>7</v>
      </c>
      <c r="B287" t="str">
        <f>HYPERLINK("https://scholarships.uow.edu.au/scholarships/search?scholarship=602", "UOW Alumni Bookshop Scholarship")</f>
        <v>UOW Alumni Bookshop Scholarship</v>
      </c>
      <c r="C287" t="s">
        <v>336</v>
      </c>
      <c r="D287" s="12" t="s">
        <v>394</v>
      </c>
      <c r="E287" t="s">
        <v>338</v>
      </c>
      <c r="F287" t="s">
        <v>13</v>
      </c>
      <c r="G287" s="12" t="s">
        <v>395</v>
      </c>
      <c r="H287" t="s">
        <v>25</v>
      </c>
      <c r="I287" t="s">
        <v>25</v>
      </c>
    </row>
    <row r="288" spans="1:9" ht="409.5" x14ac:dyDescent="0.25">
      <c r="A288" s="3" t="s">
        <v>7</v>
      </c>
      <c r="B288" t="str">
        <f>HYPERLINK("https://scholarships.uow.edu.au/scholarships/search?scholarship=1181", "Liverpool City Council Opportunity Scholarship")</f>
        <v>Liverpool City Council Opportunity Scholarship</v>
      </c>
      <c r="C288" t="s">
        <v>336</v>
      </c>
      <c r="D288" s="12" t="s">
        <v>344</v>
      </c>
      <c r="E288" t="s">
        <v>201</v>
      </c>
      <c r="F288" t="s">
        <v>13</v>
      </c>
      <c r="G288" s="12" t="s">
        <v>345</v>
      </c>
      <c r="H288" t="s">
        <v>25</v>
      </c>
      <c r="I288" t="s">
        <v>25</v>
      </c>
    </row>
    <row r="289" spans="1:9" ht="409.5" x14ac:dyDescent="0.25">
      <c r="A289" s="3" t="s">
        <v>7</v>
      </c>
      <c r="B289" t="str">
        <f>HYPERLINK("https://scholarships.uow.edu.au/scholarships/search?scholarship=2081", "The Holt Estate Environmental Science Scholarship")</f>
        <v>The Holt Estate Environmental Science Scholarship</v>
      </c>
      <c r="C289" t="s">
        <v>336</v>
      </c>
      <c r="D289" s="12" t="s">
        <v>386</v>
      </c>
      <c r="E289" t="s">
        <v>338</v>
      </c>
      <c r="F289" t="s">
        <v>13</v>
      </c>
      <c r="G289" s="12" t="s">
        <v>396</v>
      </c>
      <c r="H289" t="s">
        <v>25</v>
      </c>
      <c r="I289" t="s">
        <v>25</v>
      </c>
    </row>
    <row r="290" spans="1:9" ht="180" x14ac:dyDescent="0.25">
      <c r="A290" s="3" t="s">
        <v>7</v>
      </c>
      <c r="B290" t="str">
        <f>HYPERLINK("https://scholarships.uow.edu.au/scholarships/search?scholarship=1821", "Transforming Futures Scholarship- Current Students")</f>
        <v>Transforming Futures Scholarship- Current Students</v>
      </c>
      <c r="C290" t="s">
        <v>336</v>
      </c>
      <c r="D290" s="12" t="s">
        <v>342</v>
      </c>
      <c r="E290" t="s">
        <v>338</v>
      </c>
      <c r="F290" t="s">
        <v>13</v>
      </c>
      <c r="G290" s="12" t="s">
        <v>397</v>
      </c>
      <c r="H290" t="s">
        <v>25</v>
      </c>
      <c r="I290" t="s">
        <v>25</v>
      </c>
    </row>
    <row r="291" spans="1:9" ht="409.5" x14ac:dyDescent="0.25">
      <c r="A291" s="3" t="s">
        <v>7</v>
      </c>
      <c r="B291" t="str">
        <f>HYPERLINK("https://scholarships.uow.edu.au/scholarships/search?scholarship=3021", "The Robert Sidhwani Memorial Scholarship in Medicine")</f>
        <v>The Robert Sidhwani Memorial Scholarship in Medicine</v>
      </c>
      <c r="C291" t="s">
        <v>336</v>
      </c>
      <c r="D291" s="12" t="s">
        <v>352</v>
      </c>
      <c r="E291" t="s">
        <v>201</v>
      </c>
      <c r="F291" t="s">
        <v>51</v>
      </c>
      <c r="G291" s="12" t="s">
        <v>398</v>
      </c>
      <c r="H291" t="s">
        <v>25</v>
      </c>
      <c r="I291" t="s">
        <v>25</v>
      </c>
    </row>
    <row r="292" spans="1:9" ht="360" x14ac:dyDescent="0.25">
      <c r="A292" s="3" t="s">
        <v>7</v>
      </c>
      <c r="B292" t="str">
        <f>HYPERLINK("https://scholarships.uow.edu.au/scholarships/search?scholarship=2501", "Motion Asia Pacific Opportunity Scholarship")</f>
        <v>Motion Asia Pacific Opportunity Scholarship</v>
      </c>
      <c r="C292" t="s">
        <v>336</v>
      </c>
      <c r="D292" s="12" t="s">
        <v>352</v>
      </c>
      <c r="E292" t="s">
        <v>331</v>
      </c>
      <c r="F292" t="s">
        <v>13</v>
      </c>
      <c r="G292" s="12" t="s">
        <v>399</v>
      </c>
      <c r="H292" t="s">
        <v>25</v>
      </c>
      <c r="I292" t="s">
        <v>25</v>
      </c>
    </row>
    <row r="293" spans="1:9" ht="195" x14ac:dyDescent="0.25">
      <c r="A293" s="3" t="s">
        <v>7</v>
      </c>
      <c r="B293" t="str">
        <f>HYPERLINK("https://scholarships.uow.edu.au/scholarships/search?scholarship=3221", "Bomaderry Bowling Club Opportunity Scholarship")</f>
        <v>Bomaderry Bowling Club Opportunity Scholarship</v>
      </c>
      <c r="C293" t="s">
        <v>336</v>
      </c>
      <c r="D293" s="12" t="s">
        <v>400</v>
      </c>
      <c r="E293" t="s">
        <v>201</v>
      </c>
      <c r="F293" t="s">
        <v>13</v>
      </c>
      <c r="G293" s="12" t="s">
        <v>401</v>
      </c>
      <c r="H293" t="s">
        <v>25</v>
      </c>
      <c r="I293" t="s">
        <v>25</v>
      </c>
    </row>
    <row r="294" spans="1:9" ht="409.5" x14ac:dyDescent="0.25">
      <c r="A294" s="3" t="s">
        <v>7</v>
      </c>
      <c r="B294" t="str">
        <f>HYPERLINK("https://scholarships.uow.edu.au/scholarships/search?scholarship=2922", "St Georges Basin Country Club Opportunity Scholarship")</f>
        <v>St Georges Basin Country Club Opportunity Scholarship</v>
      </c>
      <c r="C294" t="s">
        <v>336</v>
      </c>
      <c r="D294" s="12" t="s">
        <v>400</v>
      </c>
      <c r="E294" t="s">
        <v>201</v>
      </c>
      <c r="F294" t="s">
        <v>13</v>
      </c>
      <c r="G294" s="12" t="s">
        <v>402</v>
      </c>
      <c r="H294" t="s">
        <v>25</v>
      </c>
      <c r="I294" t="s">
        <v>25</v>
      </c>
    </row>
    <row r="295" spans="1:9" ht="195" x14ac:dyDescent="0.25">
      <c r="A295" s="3" t="s">
        <v>7</v>
      </c>
      <c r="B295" t="str">
        <f>HYPERLINK("https://scholarships.uow.edu.au/scholarships/search?scholarship=3281", "Albion Park RSL Memorial Club Scholarship")</f>
        <v>Albion Park RSL Memorial Club Scholarship</v>
      </c>
      <c r="C295" t="s">
        <v>336</v>
      </c>
      <c r="D295" s="10" t="s">
        <v>403</v>
      </c>
      <c r="E295" t="s">
        <v>201</v>
      </c>
      <c r="F295" t="s">
        <v>13</v>
      </c>
      <c r="G295" s="12" t="s">
        <v>404</v>
      </c>
      <c r="H295" t="s">
        <v>25</v>
      </c>
      <c r="I295" t="s">
        <v>25</v>
      </c>
    </row>
    <row r="296" spans="1:9" ht="225" x14ac:dyDescent="0.25">
      <c r="A296" s="3" t="s">
        <v>7</v>
      </c>
      <c r="B296" t="str">
        <f>HYPERLINK("https://scholarships.uow.edu.au/scholarships/search?scholarship=461", "The Patterson Family Scholarship")</f>
        <v>The Patterson Family Scholarship</v>
      </c>
      <c r="C296" t="s">
        <v>336</v>
      </c>
      <c r="D296" s="12" t="s">
        <v>405</v>
      </c>
      <c r="E296" t="s">
        <v>201</v>
      </c>
      <c r="F296" t="s">
        <v>13</v>
      </c>
      <c r="G296" s="12" t="s">
        <v>406</v>
      </c>
      <c r="H296" t="s">
        <v>25</v>
      </c>
      <c r="I296" t="s">
        <v>25</v>
      </c>
    </row>
    <row r="297" spans="1:9" ht="270" x14ac:dyDescent="0.25">
      <c r="A297" s="3" t="s">
        <v>7</v>
      </c>
      <c r="B297" t="str">
        <f>HYPERLINK("https://scholarships.uow.edu.au/scholarships/search?scholarship=3061", "Clever Care Now Nursing Opportunity Scholarship")</f>
        <v>Clever Care Now Nursing Opportunity Scholarship</v>
      </c>
      <c r="C297" t="s">
        <v>336</v>
      </c>
      <c r="D297" s="12" t="s">
        <v>403</v>
      </c>
      <c r="E297" t="s">
        <v>201</v>
      </c>
      <c r="F297" t="s">
        <v>13</v>
      </c>
      <c r="G297" s="12" t="s">
        <v>407</v>
      </c>
      <c r="H297" t="s">
        <v>25</v>
      </c>
      <c r="I297" t="s">
        <v>25</v>
      </c>
    </row>
    <row r="298" spans="1:9" ht="240" x14ac:dyDescent="0.25">
      <c r="A298" s="3" t="s">
        <v>7</v>
      </c>
      <c r="B298" t="str">
        <f>HYPERLINK("https://scholarships.uow.edu.au/scholarships/search?scholarship=2461", "Nursing Clinical Placement Scholarship")</f>
        <v>Nursing Clinical Placement Scholarship</v>
      </c>
      <c r="C298" t="s">
        <v>336</v>
      </c>
      <c r="D298" s="12" t="s">
        <v>408</v>
      </c>
      <c r="E298" t="s">
        <v>201</v>
      </c>
      <c r="F298" t="s">
        <v>13</v>
      </c>
      <c r="G298" s="12" t="s">
        <v>409</v>
      </c>
      <c r="H298" t="s">
        <v>25</v>
      </c>
      <c r="I298" t="s">
        <v>16</v>
      </c>
    </row>
    <row r="299" spans="1:9" ht="409.5" x14ac:dyDescent="0.25">
      <c r="A299" s="3" t="s">
        <v>7</v>
      </c>
      <c r="B299" t="str">
        <f>HYPERLINK("https://scholarships.uow.edu.au/scholarships/search?scholarship=2742", "Women in Finance and Economics Scholarship Program (Postgraduate)")</f>
        <v>Women in Finance and Economics Scholarship Program (Postgraduate)</v>
      </c>
      <c r="C299" t="s">
        <v>336</v>
      </c>
      <c r="D299" s="12" t="s">
        <v>410</v>
      </c>
      <c r="E299" t="s">
        <v>201</v>
      </c>
      <c r="F299" t="s">
        <v>51</v>
      </c>
      <c r="G299" s="12" t="s">
        <v>411</v>
      </c>
      <c r="H299" t="s">
        <v>25</v>
      </c>
      <c r="I299" t="s">
        <v>25</v>
      </c>
    </row>
    <row r="300" spans="1:9" ht="240" x14ac:dyDescent="0.25">
      <c r="A300" s="3" t="s">
        <v>7</v>
      </c>
      <c r="B300" t="str">
        <f>HYPERLINK("https://scholarships.uow.edu.au/scholarships/search?scholarship=3063", "Sustainable Futures Opportunity Scholarship")</f>
        <v>Sustainable Futures Opportunity Scholarship</v>
      </c>
      <c r="C300" t="s">
        <v>336</v>
      </c>
      <c r="D300" s="12" t="s">
        <v>412</v>
      </c>
      <c r="E300" t="s">
        <v>338</v>
      </c>
      <c r="F300" t="s">
        <v>13</v>
      </c>
      <c r="G300" s="12" t="s">
        <v>413</v>
      </c>
      <c r="H300" t="s">
        <v>25</v>
      </c>
      <c r="I300" t="s">
        <v>25</v>
      </c>
    </row>
    <row r="301" spans="1:9" ht="225" x14ac:dyDescent="0.25">
      <c r="A301" s="3" t="s">
        <v>7</v>
      </c>
      <c r="B301" t="str">
        <f>HYPERLINK("https://scholarships.uow.edu.au/scholarships/search?scholarship=658", "Tom Maguire Memorial Scholarship for Law")</f>
        <v>Tom Maguire Memorial Scholarship for Law</v>
      </c>
      <c r="C301" t="s">
        <v>336</v>
      </c>
      <c r="D301" s="12" t="s">
        <v>352</v>
      </c>
      <c r="E301" t="s">
        <v>201</v>
      </c>
      <c r="F301" t="s">
        <v>13</v>
      </c>
      <c r="G301" s="12" t="s">
        <v>414</v>
      </c>
      <c r="H301" t="s">
        <v>25</v>
      </c>
      <c r="I301" t="s">
        <v>25</v>
      </c>
    </row>
    <row r="302" spans="1:9" ht="195" x14ac:dyDescent="0.25">
      <c r="A302" s="3" t="s">
        <v>7</v>
      </c>
      <c r="B302" t="str">
        <f>HYPERLINK("https://scholarships.uow.edu.au/scholarships/search?scholarship=3103", "ZML Foundation Opportunity Scholarship")</f>
        <v>ZML Foundation Opportunity Scholarship</v>
      </c>
      <c r="C302" t="s">
        <v>336</v>
      </c>
      <c r="D302" s="12" t="s">
        <v>403</v>
      </c>
      <c r="E302" t="s">
        <v>201</v>
      </c>
      <c r="F302" t="s">
        <v>13</v>
      </c>
      <c r="G302" s="12" t="s">
        <v>415</v>
      </c>
      <c r="H302" t="s">
        <v>25</v>
      </c>
      <c r="I302" t="s">
        <v>25</v>
      </c>
    </row>
    <row r="303" spans="1:9" ht="270" x14ac:dyDescent="0.25">
      <c r="A303" s="3" t="s">
        <v>7</v>
      </c>
      <c r="B303" t="str">
        <f>HYPERLINK("https://scholarships.uow.edu.au/scholarships/search?scholarship=2462", "Recovery Camp Nursing Scholarship")</f>
        <v>Recovery Camp Nursing Scholarship</v>
      </c>
      <c r="C303" t="s">
        <v>336</v>
      </c>
      <c r="D303" s="12" t="s">
        <v>416</v>
      </c>
      <c r="E303" t="s">
        <v>338</v>
      </c>
      <c r="F303" t="s">
        <v>13</v>
      </c>
      <c r="G303" s="12" t="s">
        <v>417</v>
      </c>
      <c r="H303" t="s">
        <v>25</v>
      </c>
      <c r="I303" t="s">
        <v>25</v>
      </c>
    </row>
    <row r="304" spans="1:9" ht="409.5" x14ac:dyDescent="0.25">
      <c r="A304" s="3" t="s">
        <v>7</v>
      </c>
      <c r="B304" t="str">
        <f>HYPERLINK("https://scholarships.uow.edu.au/scholarships/search?scholarship=3162", "UOW Medical and Health Society Opportunity Scholarship")</f>
        <v>UOW Medical and Health Society Opportunity Scholarship</v>
      </c>
      <c r="C304" t="s">
        <v>336</v>
      </c>
      <c r="D304" s="12" t="s">
        <v>418</v>
      </c>
      <c r="E304" t="s">
        <v>201</v>
      </c>
      <c r="F304" t="s">
        <v>13</v>
      </c>
      <c r="G304" s="12" t="s">
        <v>419</v>
      </c>
      <c r="H304" t="s">
        <v>25</v>
      </c>
      <c r="I304" t="s">
        <v>25</v>
      </c>
    </row>
    <row r="305" spans="1:9" ht="135" x14ac:dyDescent="0.25">
      <c r="A305" s="3" t="s">
        <v>7</v>
      </c>
      <c r="B305" t="str">
        <f>HYPERLINK("https://scholarships.uow.edu.au/scholarships/search?scholarship=3341", "Andrew Ferrier Scholarship in Technology &amp; Engineering")</f>
        <v>Andrew Ferrier Scholarship in Technology &amp; Engineering</v>
      </c>
      <c r="C305" t="s">
        <v>336</v>
      </c>
      <c r="D305" s="12" t="s">
        <v>352</v>
      </c>
      <c r="E305" t="s">
        <v>338</v>
      </c>
      <c r="F305" t="s">
        <v>13</v>
      </c>
      <c r="G305" s="12" t="s">
        <v>420</v>
      </c>
      <c r="H305" t="s">
        <v>25</v>
      </c>
      <c r="I305" t="s">
        <v>25</v>
      </c>
    </row>
    <row r="306" spans="1:9" ht="165" x14ac:dyDescent="0.25">
      <c r="A306" s="3" t="s">
        <v>7</v>
      </c>
      <c r="B306" t="str">
        <f>HYPERLINK("https://scholarships.uow.edu.au/scholarships/search?scholarship=3102", "Delivering 4 Customers (D4C) Opportunity Scholarship for Engineering")</f>
        <v>Delivering 4 Customers (D4C) Opportunity Scholarship for Engineering</v>
      </c>
      <c r="C306" t="s">
        <v>336</v>
      </c>
      <c r="D306" s="12" t="s">
        <v>421</v>
      </c>
      <c r="E306" t="s">
        <v>201</v>
      </c>
      <c r="F306" t="s">
        <v>13</v>
      </c>
      <c r="G306" s="12" t="s">
        <v>422</v>
      </c>
      <c r="H306" t="s">
        <v>25</v>
      </c>
      <c r="I306" t="s">
        <v>25</v>
      </c>
    </row>
    <row r="307" spans="1:9" ht="409.5" x14ac:dyDescent="0.25">
      <c r="A307" s="3" t="s">
        <v>7</v>
      </c>
      <c r="B307" t="str">
        <f>HYPERLINK("https://scholarships.uow.edu.au/scholarships/search?scholarship=2741", "Women in Finance and Economics Scholarship Program (Undergraduate)")</f>
        <v>Women in Finance and Economics Scholarship Program (Undergraduate)</v>
      </c>
      <c r="C307" t="s">
        <v>336</v>
      </c>
      <c r="D307" s="12" t="s">
        <v>352</v>
      </c>
      <c r="E307" t="s">
        <v>201</v>
      </c>
      <c r="F307" t="s">
        <v>13</v>
      </c>
      <c r="G307" s="12" t="s">
        <v>423</v>
      </c>
      <c r="H307" t="s">
        <v>25</v>
      </c>
      <c r="I307" t="s">
        <v>25</v>
      </c>
    </row>
    <row r="308" spans="1:9" ht="375" x14ac:dyDescent="0.25">
      <c r="A308" s="3" t="s">
        <v>7</v>
      </c>
      <c r="B308" t="str">
        <f>HYPERLINK("https://scholarships.uow.edu.au/scholarships/search?scholarship=2541", "Doris Matlok Law Scholarship")</f>
        <v>Doris Matlok Law Scholarship</v>
      </c>
      <c r="C308" t="s">
        <v>336</v>
      </c>
      <c r="D308" s="12" t="s">
        <v>352</v>
      </c>
      <c r="E308" t="s">
        <v>201</v>
      </c>
      <c r="F308" t="s">
        <v>13</v>
      </c>
      <c r="G308" s="12" t="s">
        <v>424</v>
      </c>
      <c r="H308" t="s">
        <v>25</v>
      </c>
      <c r="I308" t="s">
        <v>25</v>
      </c>
    </row>
    <row r="309" spans="1:9" ht="150" x14ac:dyDescent="0.25">
      <c r="A309" s="3" t="s">
        <v>7</v>
      </c>
      <c r="B309" t="str">
        <f>HYPERLINK("https://scholarships.uow.edu.au/scholarships/search?scholarship=2681", "Ray and Peggy Allen Graduate School of Medicine Scholarship")</f>
        <v>Ray and Peggy Allen Graduate School of Medicine Scholarship</v>
      </c>
      <c r="C309" t="s">
        <v>336</v>
      </c>
      <c r="D309" s="12" t="s">
        <v>386</v>
      </c>
      <c r="E309" t="s">
        <v>201</v>
      </c>
      <c r="F309" t="s">
        <v>51</v>
      </c>
      <c r="G309" s="12" t="s">
        <v>425</v>
      </c>
      <c r="H309" t="s">
        <v>25</v>
      </c>
      <c r="I309" t="s">
        <v>25</v>
      </c>
    </row>
    <row r="310" spans="1:9" ht="120" x14ac:dyDescent="0.25">
      <c r="A310" s="3" t="s">
        <v>7</v>
      </c>
      <c r="B310" t="str">
        <f>HYPERLINK("https://scholarships.uow.edu.au/scholarships/search?scholarship=3261", "Advanced Buildings Opportunity Scholarship in OHS")</f>
        <v>Advanced Buildings Opportunity Scholarship in OHS</v>
      </c>
      <c r="C310" t="s">
        <v>336</v>
      </c>
      <c r="D310" s="10" t="s">
        <v>426</v>
      </c>
      <c r="E310" t="s">
        <v>201</v>
      </c>
      <c r="F310" t="s">
        <v>51</v>
      </c>
      <c r="G310" s="12" t="s">
        <v>427</v>
      </c>
      <c r="H310" t="s">
        <v>25</v>
      </c>
      <c r="I310" t="s">
        <v>25</v>
      </c>
    </row>
    <row r="311" spans="1:9" ht="105" x14ac:dyDescent="0.25">
      <c r="A311" s="3" t="s">
        <v>7</v>
      </c>
      <c r="B311" t="str">
        <f>HYPERLINK("https://scholarships.uow.edu.au/scholarships/search?scholarship=1822", "Honorary Chapter Scholarship Program")</f>
        <v>Honorary Chapter Scholarship Program</v>
      </c>
      <c r="C311" t="s">
        <v>336</v>
      </c>
      <c r="D311" s="12" t="s">
        <v>354</v>
      </c>
      <c r="E311" t="s">
        <v>201</v>
      </c>
      <c r="F311" t="s">
        <v>13</v>
      </c>
      <c r="G311" s="12" t="s">
        <v>428</v>
      </c>
      <c r="H311" t="s">
        <v>25</v>
      </c>
      <c r="I311" t="s">
        <v>25</v>
      </c>
    </row>
    <row r="312" spans="1:9" ht="330" x14ac:dyDescent="0.25">
      <c r="A312" s="3" t="s">
        <v>7</v>
      </c>
      <c r="B312" t="str">
        <f>HYPERLINK("https://scholarships.uow.edu.au/scholarships/search?scholarship=361", "The Stevenson Family Scholarship in Social Work")</f>
        <v>The Stevenson Family Scholarship in Social Work</v>
      </c>
      <c r="C312" t="s">
        <v>336</v>
      </c>
      <c r="D312" s="12" t="s">
        <v>352</v>
      </c>
      <c r="E312" t="s">
        <v>41</v>
      </c>
      <c r="F312" t="s">
        <v>13</v>
      </c>
      <c r="G312" s="12" t="s">
        <v>353</v>
      </c>
      <c r="H312" t="s">
        <v>25</v>
      </c>
      <c r="I312" t="s">
        <v>25</v>
      </c>
    </row>
    <row r="313" spans="1:9" ht="409.5" x14ac:dyDescent="0.25">
      <c r="A313" s="3" t="s">
        <v>7</v>
      </c>
      <c r="B313" t="str">
        <f>HYPERLINK("https://scholarships.uow.edu.au/scholarships/search?scholarship=561", "Jack Goldring Memorial Scholarship")</f>
        <v>Jack Goldring Memorial Scholarship</v>
      </c>
      <c r="C313" t="s">
        <v>336</v>
      </c>
      <c r="D313" s="12" t="s">
        <v>386</v>
      </c>
      <c r="E313" t="s">
        <v>201</v>
      </c>
      <c r="F313" t="s">
        <v>13</v>
      </c>
      <c r="G313" s="12" t="s">
        <v>429</v>
      </c>
      <c r="H313" t="s">
        <v>25</v>
      </c>
      <c r="I313" t="s">
        <v>25</v>
      </c>
    </row>
    <row r="314" spans="1:9" ht="225" x14ac:dyDescent="0.25">
      <c r="A314" s="3" t="s">
        <v>7</v>
      </c>
      <c r="B314" t="str">
        <f>HYPERLINK("https://scholarships.uow.edu.au/scholarships/search?scholarship=633", "M.J Wraight Scholarship for Women in Medicine")</f>
        <v>M.J Wraight Scholarship for Women in Medicine</v>
      </c>
      <c r="C314" t="s">
        <v>27</v>
      </c>
      <c r="D314" s="12" t="s">
        <v>430</v>
      </c>
      <c r="E314" t="s">
        <v>338</v>
      </c>
      <c r="F314" t="s">
        <v>13</v>
      </c>
      <c r="G314" s="12" t="s">
        <v>431</v>
      </c>
      <c r="H314" t="s">
        <v>25</v>
      </c>
      <c r="I314" t="s">
        <v>25</v>
      </c>
    </row>
    <row r="315" spans="1:9" ht="225" x14ac:dyDescent="0.25">
      <c r="A315" s="3" t="s">
        <v>7</v>
      </c>
      <c r="B315" t="str">
        <f>HYPERLINK("https://scholarships.uow.edu.au/scholarships/search?scholarship=634", "Mollymook Golf Club Community Scholarship")</f>
        <v>Mollymook Golf Club Community Scholarship</v>
      </c>
      <c r="C315" t="s">
        <v>336</v>
      </c>
      <c r="D315" s="12" t="s">
        <v>346</v>
      </c>
      <c r="E315" t="s">
        <v>201</v>
      </c>
      <c r="F315" t="s">
        <v>13</v>
      </c>
      <c r="G315" s="12" t="s">
        <v>432</v>
      </c>
      <c r="H315" t="s">
        <v>25</v>
      </c>
      <c r="I315" t="s">
        <v>25</v>
      </c>
    </row>
    <row r="316" spans="1:9" ht="255" x14ac:dyDescent="0.25">
      <c r="A316" s="3" t="s">
        <v>7</v>
      </c>
      <c r="B316" t="str">
        <f>HYPERLINK("https://scholarships.uow.edu.au/scholarships/search?scholarship=635", "Mumbulla Foundation Community Scholarships")</f>
        <v>Mumbulla Foundation Community Scholarships</v>
      </c>
      <c r="C316" t="s">
        <v>336</v>
      </c>
      <c r="D316" s="12" t="s">
        <v>433</v>
      </c>
      <c r="E316" t="s">
        <v>201</v>
      </c>
      <c r="F316" t="s">
        <v>13</v>
      </c>
      <c r="G316" s="12" t="s">
        <v>434</v>
      </c>
      <c r="H316" t="s">
        <v>25</v>
      </c>
      <c r="I316" t="s">
        <v>25</v>
      </c>
    </row>
    <row r="317" spans="1:9" ht="180" x14ac:dyDescent="0.25">
      <c r="A317" s="3" t="s">
        <v>7</v>
      </c>
      <c r="B317" t="str">
        <f>HYPERLINK("https://scholarships.uow.edu.au/scholarships/search?scholarship=637", "Rotary Club of Bega Commerce Scholarship")</f>
        <v>Rotary Club of Bega Commerce Scholarship</v>
      </c>
      <c r="C317" t="s">
        <v>336</v>
      </c>
      <c r="D317" s="12" t="s">
        <v>435</v>
      </c>
      <c r="E317" t="s">
        <v>201</v>
      </c>
      <c r="F317" t="s">
        <v>13</v>
      </c>
      <c r="G317" s="12" t="s">
        <v>436</v>
      </c>
      <c r="H317" t="s">
        <v>25</v>
      </c>
      <c r="I317" t="s">
        <v>25</v>
      </c>
    </row>
    <row r="318" spans="1:9" ht="300" x14ac:dyDescent="0.25">
      <c r="A318" s="3" t="s">
        <v>7</v>
      </c>
      <c r="B318" t="str">
        <f>HYPERLINK("https://scholarships.uow.edu.au/scholarships/search?scholarship=638", "Rotary Club of West Wollongong John Chaplin Memorial Scholarship")</f>
        <v>Rotary Club of West Wollongong John Chaplin Memorial Scholarship</v>
      </c>
      <c r="C318" t="s">
        <v>336</v>
      </c>
      <c r="D318" s="12" t="s">
        <v>354</v>
      </c>
      <c r="E318" t="s">
        <v>205</v>
      </c>
      <c r="F318" t="s">
        <v>13</v>
      </c>
      <c r="G318" s="12" t="s">
        <v>437</v>
      </c>
      <c r="H318" t="s">
        <v>25</v>
      </c>
      <c r="I318" t="s">
        <v>25</v>
      </c>
    </row>
    <row r="319" spans="1:9" ht="180" x14ac:dyDescent="0.25">
      <c r="A319" s="3" t="s">
        <v>7</v>
      </c>
      <c r="B319" t="str">
        <f>HYPERLINK("https://scholarships.uow.edu.au/scholarships/search?scholarship=648", "UOW Bega Alumni Business Scholarship")</f>
        <v>UOW Bega Alumni Business Scholarship</v>
      </c>
      <c r="C319" t="s">
        <v>336</v>
      </c>
      <c r="D319" s="12" t="s">
        <v>435</v>
      </c>
      <c r="E319" t="s">
        <v>201</v>
      </c>
      <c r="F319" t="s">
        <v>13</v>
      </c>
      <c r="G319" s="12" t="s">
        <v>438</v>
      </c>
      <c r="H319" t="s">
        <v>25</v>
      </c>
      <c r="I319" t="s">
        <v>25</v>
      </c>
    </row>
    <row r="320" spans="1:9" ht="409.5" x14ac:dyDescent="0.25">
      <c r="A320" s="3" t="s">
        <v>7</v>
      </c>
      <c r="B320" t="str">
        <f>HYPERLINK("https://scholarships.uow.edu.au/scholarships/search?scholarship=649", "World Transformation Scholarship")</f>
        <v>World Transformation Scholarship</v>
      </c>
      <c r="C320" t="s">
        <v>336</v>
      </c>
      <c r="D320" s="12" t="s">
        <v>439</v>
      </c>
      <c r="E320" t="s">
        <v>201</v>
      </c>
      <c r="F320" t="s">
        <v>35</v>
      </c>
      <c r="G320" s="12" t="s">
        <v>440</v>
      </c>
      <c r="H320" t="s">
        <v>25</v>
      </c>
      <c r="I320" t="s">
        <v>25</v>
      </c>
    </row>
    <row r="321" spans="1:9" ht="409.5" x14ac:dyDescent="0.25">
      <c r="A321" s="3" t="s">
        <v>7</v>
      </c>
      <c r="B321" t="str">
        <f>HYPERLINK("https://scholarships.uow.edu.au/scholarships/search?scholarship=702", "Rowe Scientific Chemistry Scholarship")</f>
        <v>Rowe Scientific Chemistry Scholarship</v>
      </c>
      <c r="C321" t="s">
        <v>336</v>
      </c>
      <c r="D321" s="12" t="s">
        <v>352</v>
      </c>
      <c r="E321" t="s">
        <v>201</v>
      </c>
      <c r="F321" t="s">
        <v>13</v>
      </c>
      <c r="G321" s="12" t="s">
        <v>441</v>
      </c>
      <c r="H321" t="s">
        <v>25</v>
      </c>
      <c r="I321" t="s">
        <v>25</v>
      </c>
    </row>
    <row r="322" spans="1:9" ht="345" x14ac:dyDescent="0.25">
      <c r="A322" s="3" t="s">
        <v>7</v>
      </c>
      <c r="B322" t="str">
        <f>HYPERLINK("https://scholarships.uow.edu.au/scholarships/search?scholarship=1701", "Cunningham D'Souza Family Scholarship")</f>
        <v>Cunningham D'Souza Family Scholarship</v>
      </c>
      <c r="C322" t="s">
        <v>336</v>
      </c>
      <c r="D322" s="12" t="s">
        <v>352</v>
      </c>
      <c r="E322" t="s">
        <v>201</v>
      </c>
      <c r="F322" t="s">
        <v>13</v>
      </c>
      <c r="G322" s="12" t="s">
        <v>442</v>
      </c>
      <c r="H322" t="s">
        <v>25</v>
      </c>
      <c r="I322" t="s">
        <v>25</v>
      </c>
    </row>
    <row r="323" spans="1:9" ht="285" x14ac:dyDescent="0.25">
      <c r="A323" s="3" t="s">
        <v>7</v>
      </c>
      <c r="B323" t="str">
        <f>HYPERLINK("https://scholarships.uow.edu.au/scholarships/search?scholarship=1061", "Bupa International Student Scholarship")</f>
        <v>Bupa International Student Scholarship</v>
      </c>
      <c r="C323" t="s">
        <v>27</v>
      </c>
      <c r="D323" s="10" t="s">
        <v>443</v>
      </c>
      <c r="E323" t="s">
        <v>24</v>
      </c>
      <c r="F323" t="s">
        <v>35</v>
      </c>
      <c r="G323" s="12" t="s">
        <v>444</v>
      </c>
      <c r="H323" t="s">
        <v>25</v>
      </c>
      <c r="I323" t="s">
        <v>25</v>
      </c>
    </row>
    <row r="324" spans="1:9" ht="315" x14ac:dyDescent="0.25">
      <c r="A324" s="3" t="s">
        <v>7</v>
      </c>
      <c r="B324" t="str">
        <f>HYPERLINK("https://scholarships.uow.edu.au/scholarships/search?scholarship=583", "The Rotary Club of Pambula John Moffatt Memorial Scholarship")</f>
        <v>The Rotary Club of Pambula John Moffatt Memorial Scholarship</v>
      </c>
      <c r="C324" t="s">
        <v>336</v>
      </c>
      <c r="D324" s="10" t="s">
        <v>346</v>
      </c>
      <c r="E324" t="s">
        <v>24</v>
      </c>
      <c r="F324" t="s">
        <v>51</v>
      </c>
      <c r="G324" s="12" t="s">
        <v>445</v>
      </c>
      <c r="H324" t="s">
        <v>25</v>
      </c>
      <c r="I324" t="s">
        <v>25</v>
      </c>
    </row>
    <row r="325" spans="1:9" ht="409.5" x14ac:dyDescent="0.25">
      <c r="A325" s="3" t="s">
        <v>7</v>
      </c>
      <c r="B325" t="str">
        <f>HYPERLINK("https://scholarships.uow.edu.au/scholarships/search?scholarship=584", "Troy Pocock Meningococcal Scholarship for Medicine")</f>
        <v>Troy Pocock Meningococcal Scholarship for Medicine</v>
      </c>
      <c r="C325" t="s">
        <v>27</v>
      </c>
      <c r="D325" s="12" t="s">
        <v>346</v>
      </c>
      <c r="E325" t="s">
        <v>201</v>
      </c>
      <c r="F325" t="s">
        <v>35</v>
      </c>
      <c r="G325" s="12" t="s">
        <v>446</v>
      </c>
      <c r="H325" t="s">
        <v>25</v>
      </c>
      <c r="I325" t="s">
        <v>25</v>
      </c>
    </row>
    <row r="326" spans="1:9" ht="315" x14ac:dyDescent="0.25">
      <c r="A326" s="3" t="s">
        <v>7</v>
      </c>
      <c r="B326" t="str">
        <f>HYPERLINK("https://scholarships.uow.edu.au/scholarships/search?scholarship=585", "Winifred Smith Scholarship for Excellence in Nursing")</f>
        <v>Winifred Smith Scholarship for Excellence in Nursing</v>
      </c>
      <c r="C326" t="s">
        <v>336</v>
      </c>
      <c r="D326" s="12" t="s">
        <v>403</v>
      </c>
      <c r="E326" t="s">
        <v>205</v>
      </c>
      <c r="F326" t="s">
        <v>13</v>
      </c>
      <c r="G326" s="12" t="s">
        <v>447</v>
      </c>
      <c r="H326" t="s">
        <v>25</v>
      </c>
      <c r="I326" t="s">
        <v>25</v>
      </c>
    </row>
    <row r="327" spans="1:9" ht="180" x14ac:dyDescent="0.25">
      <c r="A327" s="3" t="s">
        <v>7</v>
      </c>
      <c r="B327" t="str">
        <f>HYPERLINK("https://scholarships.uow.edu.au/scholarships/search?scholarship=609", "Bega Cheese Community Scholarship")</f>
        <v>Bega Cheese Community Scholarship</v>
      </c>
      <c r="C327" t="s">
        <v>336</v>
      </c>
      <c r="D327" s="12" t="s">
        <v>435</v>
      </c>
      <c r="E327" t="s">
        <v>201</v>
      </c>
      <c r="F327" t="s">
        <v>13</v>
      </c>
      <c r="G327" s="12" t="s">
        <v>448</v>
      </c>
      <c r="H327" t="s">
        <v>25</v>
      </c>
      <c r="I327" t="s">
        <v>25</v>
      </c>
    </row>
    <row r="328" spans="1:9" ht="165" x14ac:dyDescent="0.25">
      <c r="A328" s="3" t="s">
        <v>7</v>
      </c>
      <c r="B328" t="str">
        <f>HYPERLINK("https://scholarships.uow.edu.au/scholarships/search?scholarship=610", "Bega Lions Club Trevor Prescott Memorial Scholarship")</f>
        <v>Bega Lions Club Trevor Prescott Memorial Scholarship</v>
      </c>
      <c r="C328" t="s">
        <v>336</v>
      </c>
      <c r="D328" s="12" t="s">
        <v>435</v>
      </c>
      <c r="E328" t="s">
        <v>41</v>
      </c>
      <c r="F328" t="s">
        <v>13</v>
      </c>
      <c r="G328" s="12" t="s">
        <v>449</v>
      </c>
      <c r="H328" t="s">
        <v>25</v>
      </c>
      <c r="I328" t="s">
        <v>25</v>
      </c>
    </row>
    <row r="329" spans="1:9" ht="240" x14ac:dyDescent="0.25">
      <c r="A329" s="3" t="s">
        <v>7</v>
      </c>
      <c r="B329" t="str">
        <f>HYPERLINK("https://scholarships.uow.edu.au/scholarships/search?scholarship=611", "Bega RSL Sub Branch Christine Farrow Nursing Scholarship")</f>
        <v>Bega RSL Sub Branch Christine Farrow Nursing Scholarship</v>
      </c>
      <c r="C329" t="s">
        <v>336</v>
      </c>
      <c r="D329" s="12" t="s">
        <v>435</v>
      </c>
      <c r="E329" t="s">
        <v>201</v>
      </c>
      <c r="F329" t="s">
        <v>13</v>
      </c>
      <c r="G329" s="12" t="s">
        <v>450</v>
      </c>
      <c r="H329" t="s">
        <v>25</v>
      </c>
      <c r="I329" t="s">
        <v>25</v>
      </c>
    </row>
    <row r="330" spans="1:9" ht="255" x14ac:dyDescent="0.25">
      <c r="A330" s="3" t="s">
        <v>7</v>
      </c>
      <c r="B330" t="str">
        <f>HYPERLINK("https://scholarships.uow.edu.au/scholarships/search?scholarship=612", "Bendigo Bank's Bruce Hetherington Memorial Community Scholarship")</f>
        <v>Bendigo Bank's Bruce Hetherington Memorial Community Scholarship</v>
      </c>
      <c r="C330" t="s">
        <v>336</v>
      </c>
      <c r="D330" s="12" t="s">
        <v>394</v>
      </c>
      <c r="E330" t="s">
        <v>201</v>
      </c>
      <c r="F330" t="s">
        <v>13</v>
      </c>
      <c r="G330" s="12" t="s">
        <v>451</v>
      </c>
      <c r="H330" t="s">
        <v>25</v>
      </c>
      <c r="I330" t="s">
        <v>25</v>
      </c>
    </row>
    <row r="331" spans="1:9" ht="270" x14ac:dyDescent="0.25">
      <c r="A331" s="3" t="s">
        <v>7</v>
      </c>
      <c r="B331" t="str">
        <f>HYPERLINK("https://scholarships.uow.edu.au/scholarships/search?scholarship=614", "Bomaderry Bowling Club Community Scholarship")</f>
        <v>Bomaderry Bowling Club Community Scholarship</v>
      </c>
      <c r="C331" t="s">
        <v>336</v>
      </c>
      <c r="D331" s="12" t="s">
        <v>416</v>
      </c>
      <c r="E331" t="s">
        <v>338</v>
      </c>
      <c r="F331" t="s">
        <v>13</v>
      </c>
      <c r="G331" s="12" t="s">
        <v>452</v>
      </c>
      <c r="H331" t="s">
        <v>25</v>
      </c>
      <c r="I331" t="s">
        <v>25</v>
      </c>
    </row>
    <row r="332" spans="1:9" ht="300" x14ac:dyDescent="0.25">
      <c r="A332" s="3" t="s">
        <v>7</v>
      </c>
      <c r="B332" t="str">
        <f>HYPERLINK("https://scholarships.uow.edu.au/scholarships/search?scholarship=615", "Christopher Zweerman Memorial Scholarship")</f>
        <v>Christopher Zweerman Memorial Scholarship</v>
      </c>
      <c r="C332" t="s">
        <v>336</v>
      </c>
      <c r="D332" s="12" t="s">
        <v>346</v>
      </c>
      <c r="E332" t="s">
        <v>201</v>
      </c>
      <c r="F332" t="s">
        <v>51</v>
      </c>
      <c r="G332" s="12" t="s">
        <v>453</v>
      </c>
      <c r="H332" t="s">
        <v>25</v>
      </c>
      <c r="I332" t="s">
        <v>25</v>
      </c>
    </row>
    <row r="333" spans="1:9" ht="150" x14ac:dyDescent="0.25">
      <c r="A333" s="3" t="s">
        <v>7</v>
      </c>
      <c r="B333" t="str">
        <f>HYPERLINK("https://scholarships.uow.edu.au/scholarships/search?scholarship=618", "Collins Nursing Scholarship")</f>
        <v>Collins Nursing Scholarship</v>
      </c>
      <c r="C333" t="s">
        <v>336</v>
      </c>
      <c r="D333" s="12" t="s">
        <v>435</v>
      </c>
      <c r="E333" t="s">
        <v>201</v>
      </c>
      <c r="F333" t="s">
        <v>13</v>
      </c>
      <c r="G333" s="12" t="s">
        <v>454</v>
      </c>
      <c r="H333" t="s">
        <v>25</v>
      </c>
      <c r="I333" t="s">
        <v>25</v>
      </c>
    </row>
    <row r="334" spans="1:9" ht="150" x14ac:dyDescent="0.25">
      <c r="A334" s="3" t="s">
        <v>7</v>
      </c>
      <c r="B334" t="str">
        <f>HYPERLINK("https://scholarships.uow.edu.au/scholarships/search?scholarship=621", "Rotary Club of Bega - Dr Blomfield Memorial Nursing Scholarship")</f>
        <v>Rotary Club of Bega - Dr Blomfield Memorial Nursing Scholarship</v>
      </c>
      <c r="C334" t="s">
        <v>336</v>
      </c>
      <c r="D334" s="12" t="s">
        <v>435</v>
      </c>
      <c r="E334" t="s">
        <v>201</v>
      </c>
      <c r="F334" t="s">
        <v>13</v>
      </c>
      <c r="G334" s="12" t="s">
        <v>455</v>
      </c>
      <c r="H334" t="s">
        <v>25</v>
      </c>
      <c r="I334" t="s">
        <v>25</v>
      </c>
    </row>
    <row r="335" spans="1:9" ht="375" x14ac:dyDescent="0.25">
      <c r="A335" s="3" t="s">
        <v>7</v>
      </c>
      <c r="B335" t="str">
        <f>HYPERLINK("https://scholarships.uow.edu.au/scholarships/search?scholarship=627", "Hazel Holmwood Scholarship for Excellence in Leadership and Quality Teaching")</f>
        <v>Hazel Holmwood Scholarship for Excellence in Leadership and Quality Teaching</v>
      </c>
      <c r="C335" t="s">
        <v>336</v>
      </c>
      <c r="D335" s="12" t="s">
        <v>416</v>
      </c>
      <c r="E335" t="s">
        <v>201</v>
      </c>
      <c r="F335" t="s">
        <v>13</v>
      </c>
      <c r="G335" s="12" t="s">
        <v>456</v>
      </c>
      <c r="H335" t="s">
        <v>25</v>
      </c>
      <c r="I335" t="s">
        <v>25</v>
      </c>
    </row>
    <row r="336" spans="1:9" ht="30" x14ac:dyDescent="0.25">
      <c r="A336" s="3" t="s">
        <v>7</v>
      </c>
      <c r="B336" t="str">
        <f>HYPERLINK("https://scholarships.uow.edu.au/scholarships/search?scholarship=628", "Howard Worner Memorial Scholarship")</f>
        <v>Howard Worner Memorial Scholarship</v>
      </c>
      <c r="C336" t="s">
        <v>336</v>
      </c>
      <c r="D336" s="12" t="s">
        <v>350</v>
      </c>
      <c r="E336" t="s">
        <v>331</v>
      </c>
      <c r="F336" t="s">
        <v>13</v>
      </c>
      <c r="G336" s="12" t="s">
        <v>678</v>
      </c>
      <c r="H336" t="s">
        <v>25</v>
      </c>
      <c r="I336" t="s">
        <v>25</v>
      </c>
    </row>
    <row r="337" spans="1:9" ht="360" x14ac:dyDescent="0.25">
      <c r="A337" s="3" t="s">
        <v>7</v>
      </c>
      <c r="B337" t="str">
        <f>HYPERLINK("https://scholarships.uow.edu.au/scholarships/search?scholarship=630", "Ivan Bandur Master of Teaching Scholarship")</f>
        <v>Ivan Bandur Master of Teaching Scholarship</v>
      </c>
      <c r="C337" t="s">
        <v>336</v>
      </c>
      <c r="D337" s="12" t="s">
        <v>346</v>
      </c>
      <c r="E337" t="s">
        <v>205</v>
      </c>
      <c r="F337" t="s">
        <v>51</v>
      </c>
      <c r="G337" s="12" t="s">
        <v>358</v>
      </c>
      <c r="H337" t="s">
        <v>25</v>
      </c>
      <c r="I337" t="s">
        <v>25</v>
      </c>
    </row>
    <row r="338" spans="1:9" ht="315" x14ac:dyDescent="0.25">
      <c r="A338" s="3" t="s">
        <v>7</v>
      </c>
      <c r="B338" t="str">
        <f>HYPERLINK("https://scholarships.uow.edu.au/scholarships/search?scholarship=581", "Mumbulla Foundation Community Scholarship (Master of Teaching)")</f>
        <v>Mumbulla Foundation Community Scholarship (Master of Teaching)</v>
      </c>
      <c r="C338" t="s">
        <v>336</v>
      </c>
      <c r="D338" s="12" t="s">
        <v>457</v>
      </c>
      <c r="E338" t="s">
        <v>201</v>
      </c>
      <c r="F338" t="s">
        <v>51</v>
      </c>
      <c r="G338" s="12" t="s">
        <v>458</v>
      </c>
      <c r="H338" t="s">
        <v>25</v>
      </c>
      <c r="I338" t="s">
        <v>25</v>
      </c>
    </row>
    <row r="339" spans="1:9" ht="409.5" x14ac:dyDescent="0.25">
      <c r="A339" s="3" t="s">
        <v>7</v>
      </c>
      <c r="B339" t="str">
        <f>HYPERLINK("https://scholarships.uow.edu.au/scholarships/search?scholarship=2181", "Australian Maritime Safety Authority Excellence in Maritime Policy Postgraduate Scholarship")</f>
        <v>Australian Maritime Safety Authority Excellence in Maritime Policy Postgraduate Scholarship</v>
      </c>
      <c r="C339" t="s">
        <v>336</v>
      </c>
      <c r="D339" s="12" t="s">
        <v>386</v>
      </c>
      <c r="E339" t="s">
        <v>201</v>
      </c>
      <c r="F339" t="s">
        <v>51</v>
      </c>
      <c r="G339" s="12" t="s">
        <v>459</v>
      </c>
      <c r="H339" t="s">
        <v>25</v>
      </c>
      <c r="I339" t="s">
        <v>25</v>
      </c>
    </row>
    <row r="340" spans="1:9" ht="180" x14ac:dyDescent="0.25">
      <c r="A340" s="3" t="s">
        <v>7</v>
      </c>
      <c r="B340" t="str">
        <f>HYPERLINK("https://scholarships.uow.edu.au/scholarships/search?scholarship=2182", "Australian Maritime Safety Authority Excellence in Maritime Studies Postgraduate Scholarship")</f>
        <v>Australian Maritime Safety Authority Excellence in Maritime Studies Postgraduate Scholarship</v>
      </c>
      <c r="C340" t="s">
        <v>336</v>
      </c>
      <c r="D340" s="10" t="s">
        <v>386</v>
      </c>
      <c r="E340" t="s">
        <v>665</v>
      </c>
      <c r="F340" t="s">
        <v>51</v>
      </c>
      <c r="G340" s="12" t="s">
        <v>666</v>
      </c>
      <c r="H340" t="s">
        <v>25</v>
      </c>
      <c r="I340" t="s">
        <v>25</v>
      </c>
    </row>
    <row r="341" spans="1:9" ht="330" x14ac:dyDescent="0.25">
      <c r="A341" s="3" t="s">
        <v>7</v>
      </c>
      <c r="B341" t="str">
        <f>HYPERLINK("https://scholarships.uow.edu.au/scholarships/search?scholarship=1681", "Club Liverpool Community Scholarship")</f>
        <v>Club Liverpool Community Scholarship</v>
      </c>
      <c r="C341" t="s">
        <v>336</v>
      </c>
      <c r="D341" s="12" t="s">
        <v>360</v>
      </c>
      <c r="E341" t="s">
        <v>201</v>
      </c>
      <c r="F341" t="s">
        <v>13</v>
      </c>
      <c r="G341" s="12" t="s">
        <v>361</v>
      </c>
      <c r="H341" t="s">
        <v>25</v>
      </c>
      <c r="I341" t="s">
        <v>25</v>
      </c>
    </row>
    <row r="342" spans="1:9" ht="210" x14ac:dyDescent="0.25">
      <c r="A342" s="3" t="s">
        <v>7</v>
      </c>
      <c r="B342" t="str">
        <f>HYPERLINK("https://scholarships.uow.edu.au/scholarships/search?scholarship=1961", "Graduate School of Medicine Critical Care Scholarship")</f>
        <v>Graduate School of Medicine Critical Care Scholarship</v>
      </c>
      <c r="C342" t="s">
        <v>336</v>
      </c>
      <c r="D342" s="12" t="s">
        <v>457</v>
      </c>
      <c r="E342" t="s">
        <v>201</v>
      </c>
      <c r="F342" t="s">
        <v>51</v>
      </c>
      <c r="G342" s="12" t="s">
        <v>460</v>
      </c>
      <c r="H342" t="s">
        <v>25</v>
      </c>
      <c r="I342" t="s">
        <v>25</v>
      </c>
    </row>
    <row r="343" spans="1:9" ht="165" x14ac:dyDescent="0.25">
      <c r="A343" s="3" t="s">
        <v>7</v>
      </c>
      <c r="B343" t="str">
        <f>HYPERLINK("https://scholarships.uow.edu.au/scholarships/search?scholarship=2161", "Rural and Regional Agricultural Scholarship")</f>
        <v>Rural and Regional Agricultural Scholarship</v>
      </c>
      <c r="C343" t="s">
        <v>336</v>
      </c>
      <c r="D343" s="12" t="s">
        <v>362</v>
      </c>
      <c r="E343" t="s">
        <v>331</v>
      </c>
      <c r="F343" t="s">
        <v>13</v>
      </c>
      <c r="G343" s="12" t="s">
        <v>363</v>
      </c>
      <c r="H343" t="s">
        <v>25</v>
      </c>
      <c r="I343" t="s">
        <v>25</v>
      </c>
    </row>
    <row r="344" spans="1:9" ht="409.5" x14ac:dyDescent="0.25">
      <c r="A344" s="3" t="s">
        <v>7</v>
      </c>
      <c r="B344" t="str">
        <f>HYPERLINK("https://scholarships.uow.edu.au/scholarships/search?scholarship=1121", "The Movement Disorder Foundation Scholarship")</f>
        <v>The Movement Disorder Foundation Scholarship</v>
      </c>
      <c r="C344" t="s">
        <v>336</v>
      </c>
      <c r="D344" s="12" t="s">
        <v>364</v>
      </c>
      <c r="E344" t="s">
        <v>331</v>
      </c>
      <c r="F344" t="s">
        <v>35</v>
      </c>
      <c r="G344" s="12" t="s">
        <v>365</v>
      </c>
      <c r="H344" t="s">
        <v>25</v>
      </c>
      <c r="I344" t="s">
        <v>25</v>
      </c>
    </row>
    <row r="345" spans="1:9" ht="405" x14ac:dyDescent="0.25">
      <c r="A345" s="3" t="s">
        <v>7</v>
      </c>
      <c r="B345" t="str">
        <f>HYPERLINK("https://scholarships.uow.edu.au/scholarships/search?scholarship=1101", "Zonta Club of Wollongong Community Scholarship")</f>
        <v>Zonta Club of Wollongong Community Scholarship</v>
      </c>
      <c r="C345" t="s">
        <v>336</v>
      </c>
      <c r="D345" s="12" t="s">
        <v>346</v>
      </c>
      <c r="E345" t="s">
        <v>201</v>
      </c>
      <c r="F345" t="s">
        <v>13</v>
      </c>
      <c r="G345" s="12" t="s">
        <v>461</v>
      </c>
      <c r="H345" t="s">
        <v>25</v>
      </c>
      <c r="I345" t="s">
        <v>25</v>
      </c>
    </row>
    <row r="346" spans="1:9" ht="90" x14ac:dyDescent="0.25">
      <c r="A346" s="3" t="s">
        <v>7</v>
      </c>
      <c r="B346" t="str">
        <f>HYPERLINK("https://scholarships.uow.edu.au/scholarships/search?scholarship=1481", "The Do Your Thing Scholarship for Female Developers")</f>
        <v>The Do Your Thing Scholarship for Female Developers</v>
      </c>
      <c r="C346" t="s">
        <v>336</v>
      </c>
      <c r="D346" s="12" t="s">
        <v>346</v>
      </c>
      <c r="E346" t="s">
        <v>201</v>
      </c>
      <c r="F346" t="s">
        <v>13</v>
      </c>
      <c r="G346" s="12" t="s">
        <v>462</v>
      </c>
      <c r="H346" t="s">
        <v>25</v>
      </c>
      <c r="I346" t="s">
        <v>25</v>
      </c>
    </row>
    <row r="347" spans="1:9" ht="409.5" x14ac:dyDescent="0.25">
      <c r="A347" s="3" t="s">
        <v>7</v>
      </c>
      <c r="B347" t="str">
        <f>HYPERLINK("https://scholarships.uow.edu.au/scholarships/search?scholarship=541", "Emeritus Professor John Hogg Memorial Scholarship")</f>
        <v>Emeritus Professor John Hogg Memorial Scholarship</v>
      </c>
      <c r="C347" t="s">
        <v>336</v>
      </c>
      <c r="D347" s="12" t="s">
        <v>354</v>
      </c>
      <c r="E347" t="s">
        <v>201</v>
      </c>
      <c r="F347" t="s">
        <v>51</v>
      </c>
      <c r="G347" s="12" t="s">
        <v>463</v>
      </c>
      <c r="H347" t="s">
        <v>25</v>
      </c>
      <c r="I347" t="s">
        <v>25</v>
      </c>
    </row>
    <row r="348" spans="1:9" ht="409.5" x14ac:dyDescent="0.25">
      <c r="A348" s="3" t="s">
        <v>7</v>
      </c>
      <c r="B348" t="str">
        <f>HYPERLINK("https://scholarships.uow.edu.au/scholarships/search?scholarship=3041", "The Acorn Lawyers Scholarship")</f>
        <v>The Acorn Lawyers Scholarship</v>
      </c>
      <c r="C348" t="s">
        <v>336</v>
      </c>
      <c r="D348" s="12" t="s">
        <v>352</v>
      </c>
      <c r="E348" t="s">
        <v>201</v>
      </c>
      <c r="F348" t="s">
        <v>13</v>
      </c>
      <c r="G348" s="12" t="s">
        <v>464</v>
      </c>
      <c r="H348" t="s">
        <v>25</v>
      </c>
      <c r="I348" t="s">
        <v>25</v>
      </c>
    </row>
    <row r="349" spans="1:9" ht="409.5" x14ac:dyDescent="0.25">
      <c r="A349" s="3" t="s">
        <v>7</v>
      </c>
      <c r="B349" t="str">
        <f>HYPERLINK("https://scholarships.uow.edu.au/scholarships/search?scholarship=623", "Dr SC &amp; SL Loomba Commitment to Medicine Scholarship")</f>
        <v>Dr SC &amp; SL Loomba Commitment to Medicine Scholarship</v>
      </c>
      <c r="C349" t="s">
        <v>336</v>
      </c>
      <c r="D349" s="12" t="s">
        <v>346</v>
      </c>
      <c r="E349" t="s">
        <v>201</v>
      </c>
      <c r="F349" t="s">
        <v>51</v>
      </c>
      <c r="G349" s="12" t="s">
        <v>465</v>
      </c>
      <c r="H349" t="s">
        <v>25</v>
      </c>
      <c r="I349" t="s">
        <v>25</v>
      </c>
    </row>
    <row r="350" spans="1:9" ht="409.5" x14ac:dyDescent="0.25">
      <c r="A350" s="3" t="s">
        <v>7</v>
      </c>
      <c r="B350" t="str">
        <f>HYPERLINK("https://scholarships.uow.edu.au/scholarships/search?scholarship=3202", "Dylan Alcott Foundation Scholarship")</f>
        <v>Dylan Alcott Foundation Scholarship</v>
      </c>
      <c r="C350" t="s">
        <v>336</v>
      </c>
      <c r="D350" s="12" t="s">
        <v>367</v>
      </c>
      <c r="E350" t="s">
        <v>338</v>
      </c>
      <c r="F350" t="s">
        <v>13</v>
      </c>
      <c r="G350" s="12" t="s">
        <v>368</v>
      </c>
      <c r="H350" t="s">
        <v>25</v>
      </c>
      <c r="I350" t="s">
        <v>25</v>
      </c>
    </row>
    <row r="351" spans="1:9" ht="45" x14ac:dyDescent="0.25">
      <c r="A351" s="3" t="s">
        <v>7</v>
      </c>
      <c r="B351" t="str">
        <f>HYPERLINK("https://scholarships.uow.edu.au/scholarships/search?scholarship=3001", "The Wand Scholarship")</f>
        <v>The Wand Scholarship</v>
      </c>
      <c r="C351" t="s">
        <v>336</v>
      </c>
      <c r="D351" s="12" t="s">
        <v>416</v>
      </c>
      <c r="E351" t="s">
        <v>201</v>
      </c>
      <c r="F351" t="s">
        <v>13</v>
      </c>
      <c r="G351" s="12" t="s">
        <v>466</v>
      </c>
      <c r="H351" t="s">
        <v>25</v>
      </c>
      <c r="I351" t="s">
        <v>25</v>
      </c>
    </row>
    <row r="352" spans="1:9" ht="255" x14ac:dyDescent="0.25">
      <c r="A352" s="3" t="s">
        <v>7</v>
      </c>
      <c r="B352" t="str">
        <f>HYPERLINK("https://scholarships.uow.edu.au/scholarships/search?scholarship=2561", "Motion Asia Pacific Community Scholarship")</f>
        <v>Motion Asia Pacific Community Scholarship</v>
      </c>
      <c r="C352" t="s">
        <v>336</v>
      </c>
      <c r="D352" s="12" t="s">
        <v>352</v>
      </c>
      <c r="E352" t="s">
        <v>331</v>
      </c>
      <c r="F352" t="s">
        <v>13</v>
      </c>
      <c r="G352" s="12" t="s">
        <v>467</v>
      </c>
      <c r="H352" t="s">
        <v>25</v>
      </c>
      <c r="I352" t="s">
        <v>25</v>
      </c>
    </row>
    <row r="353" spans="1:9" ht="409.5" x14ac:dyDescent="0.25">
      <c r="A353" s="3" t="s">
        <v>7</v>
      </c>
      <c r="B353" t="str">
        <f>HYPERLINK("https://scholarships.uow.edu.au/scholarships/search?scholarship=2601", "Pamela Jane Nye Working Nurse Scholarship")</f>
        <v>Pamela Jane Nye Working Nurse Scholarship</v>
      </c>
      <c r="C353" t="s">
        <v>336</v>
      </c>
      <c r="D353" s="12" t="s">
        <v>468</v>
      </c>
      <c r="E353" t="s">
        <v>201</v>
      </c>
      <c r="F353" t="s">
        <v>51</v>
      </c>
      <c r="G353" s="12" t="s">
        <v>469</v>
      </c>
      <c r="H353" t="s">
        <v>25</v>
      </c>
      <c r="I353" t="s">
        <v>25</v>
      </c>
    </row>
    <row r="354" spans="1:9" ht="195" x14ac:dyDescent="0.25">
      <c r="A354" s="3" t="s">
        <v>7</v>
      </c>
      <c r="B354" t="str">
        <f>HYPERLINK("https://scholarships.uow.edu.au/scholarships/search?scholarship=2341", "Lions Club of Tathra Nursing Scholarship")</f>
        <v>Lions Club of Tathra Nursing Scholarship</v>
      </c>
      <c r="C354" t="s">
        <v>336</v>
      </c>
      <c r="D354" s="12" t="s">
        <v>435</v>
      </c>
      <c r="E354" t="s">
        <v>201</v>
      </c>
      <c r="F354" t="s">
        <v>13</v>
      </c>
      <c r="G354" s="12" t="s">
        <v>470</v>
      </c>
      <c r="H354" t="s">
        <v>25</v>
      </c>
      <c r="I354" t="s">
        <v>25</v>
      </c>
    </row>
    <row r="355" spans="1:9" ht="345" x14ac:dyDescent="0.25">
      <c r="A355" s="3" t="s">
        <v>7</v>
      </c>
      <c r="B355" t="str">
        <f>HYPERLINK("https://scholarships.uow.edu.au/scholarships/search?scholarship=582", "The John Ryan Memorial Scholarship")</f>
        <v>The John Ryan Memorial Scholarship</v>
      </c>
      <c r="C355" t="s">
        <v>336</v>
      </c>
      <c r="D355" s="12" t="s">
        <v>403</v>
      </c>
      <c r="E355" t="s">
        <v>201</v>
      </c>
      <c r="F355" t="s">
        <v>51</v>
      </c>
      <c r="G355" s="12" t="s">
        <v>471</v>
      </c>
      <c r="H355" t="s">
        <v>25</v>
      </c>
      <c r="I355" t="s">
        <v>25</v>
      </c>
    </row>
    <row r="356" spans="1:9" ht="360" x14ac:dyDescent="0.25">
      <c r="A356" s="3" t="s">
        <v>7</v>
      </c>
      <c r="B356" t="str">
        <f>HYPERLINK("https://scholarships.uow.edu.au/scholarships/search?scholarship=2821", "The City of Wollongong RSL Sub-Branch ANZAC Scholarship")</f>
        <v>The City of Wollongong RSL Sub-Branch ANZAC Scholarship</v>
      </c>
      <c r="C356" t="s">
        <v>336</v>
      </c>
      <c r="D356" s="12" t="s">
        <v>352</v>
      </c>
      <c r="E356" t="s">
        <v>338</v>
      </c>
      <c r="F356" t="s">
        <v>13</v>
      </c>
      <c r="G356" s="12" t="s">
        <v>371</v>
      </c>
      <c r="H356" t="s">
        <v>25</v>
      </c>
      <c r="I356" t="s">
        <v>25</v>
      </c>
    </row>
    <row r="357" spans="1:9" ht="409.5" x14ac:dyDescent="0.25">
      <c r="A357" s="3" t="s">
        <v>7</v>
      </c>
      <c r="B357" t="str">
        <f>HYPERLINK("https://scholarships.uow.edu.au/scholarships/search?scholarship=2401", "Tynan Family Molecular Horizons Honours Scholarship")</f>
        <v>Tynan Family Molecular Horizons Honours Scholarship</v>
      </c>
      <c r="C357" t="s">
        <v>336</v>
      </c>
      <c r="D357" s="12" t="s">
        <v>472</v>
      </c>
      <c r="E357" t="s">
        <v>201</v>
      </c>
      <c r="F357" t="s">
        <v>13</v>
      </c>
      <c r="G357" s="12" t="s">
        <v>473</v>
      </c>
      <c r="H357" t="s">
        <v>25</v>
      </c>
      <c r="I357" t="s">
        <v>25</v>
      </c>
    </row>
    <row r="358" spans="1:9" ht="240" x14ac:dyDescent="0.25">
      <c r="A358" s="3" t="s">
        <v>7</v>
      </c>
      <c r="B358" t="str">
        <f>HYPERLINK("https://scholarships.uow.edu.au/scholarships/search?scholarship=2441", "The Wang Family Scholarship in Civil Engineering")</f>
        <v>The Wang Family Scholarship in Civil Engineering</v>
      </c>
      <c r="C358" t="s">
        <v>336</v>
      </c>
      <c r="D358" s="12" t="s">
        <v>386</v>
      </c>
      <c r="E358" t="s">
        <v>41</v>
      </c>
      <c r="F358" t="s">
        <v>13</v>
      </c>
      <c r="G358" s="12" t="s">
        <v>474</v>
      </c>
      <c r="H358" t="s">
        <v>25</v>
      </c>
      <c r="I358" t="s">
        <v>25</v>
      </c>
    </row>
    <row r="359" spans="1:9" ht="409.5" x14ac:dyDescent="0.25">
      <c r="A359" s="3" t="s">
        <v>7</v>
      </c>
      <c r="B359" t="str">
        <f>HYPERLINK("https://scholarships.uow.edu.au/scholarships/search?scholarship=2281", "Graduate School of Medicine Phase 4 Clarence Valley Placement Scholarship")</f>
        <v>Graduate School of Medicine Phase 4 Clarence Valley Placement Scholarship</v>
      </c>
      <c r="C359" t="s">
        <v>336</v>
      </c>
      <c r="D359" s="12" t="s">
        <v>390</v>
      </c>
      <c r="E359" t="s">
        <v>201</v>
      </c>
      <c r="F359" t="s">
        <v>51</v>
      </c>
      <c r="G359" s="12" t="s">
        <v>475</v>
      </c>
      <c r="H359" t="s">
        <v>25</v>
      </c>
      <c r="I359" t="s">
        <v>16</v>
      </c>
    </row>
    <row r="360" spans="1:9" ht="45" x14ac:dyDescent="0.25">
      <c r="A360" s="3" t="s">
        <v>7</v>
      </c>
      <c r="B360" t="str">
        <f>HYPERLINK("https://scholarships.uow.edu.au/scholarships/search?scholarship=2644", "The Bega Valley Medical Student Scholarship")</f>
        <v>The Bega Valley Medical Student Scholarship</v>
      </c>
      <c r="C360" t="s">
        <v>336</v>
      </c>
      <c r="D360" s="10" t="s">
        <v>352</v>
      </c>
      <c r="E360" t="s">
        <v>201</v>
      </c>
      <c r="F360" t="s">
        <v>51</v>
      </c>
      <c r="G360" s="12" t="s">
        <v>667</v>
      </c>
      <c r="H360" t="s">
        <v>25</v>
      </c>
      <c r="I360" t="s">
        <v>25</v>
      </c>
    </row>
    <row r="361" spans="1:9" ht="409.5" x14ac:dyDescent="0.25">
      <c r="A361" s="3" t="s">
        <v>7</v>
      </c>
      <c r="B361" t="str">
        <f>HYPERLINK("https://scholarships.uow.edu.au/scholarships/search?scholarship=3161", "Clarence Valley Orchestra Medical Student Scholarship")</f>
        <v>Clarence Valley Orchestra Medical Student Scholarship</v>
      </c>
      <c r="C361" t="s">
        <v>336</v>
      </c>
      <c r="D361" s="12" t="s">
        <v>352</v>
      </c>
      <c r="E361" t="s">
        <v>201</v>
      </c>
      <c r="F361" t="s">
        <v>51</v>
      </c>
      <c r="G361" s="12" t="s">
        <v>476</v>
      </c>
      <c r="H361" t="s">
        <v>25</v>
      </c>
      <c r="I361" t="s">
        <v>25</v>
      </c>
    </row>
    <row r="362" spans="1:9" ht="409.5" x14ac:dyDescent="0.25">
      <c r="A362" s="3" t="s">
        <v>7</v>
      </c>
      <c r="B362" t="str">
        <f>HYPERLINK("https://scholarships.uow.edu.au/scholarships/search?scholarship=2722", "Illawarra Quota Speech and Hearing Scholarship")</f>
        <v>Illawarra Quota Speech and Hearing Scholarship</v>
      </c>
      <c r="C362" t="s">
        <v>336</v>
      </c>
      <c r="D362" s="12" t="s">
        <v>416</v>
      </c>
      <c r="E362" t="s">
        <v>338</v>
      </c>
      <c r="F362" t="s">
        <v>13</v>
      </c>
      <c r="G362" s="12" t="s">
        <v>477</v>
      </c>
      <c r="H362" t="s">
        <v>25</v>
      </c>
      <c r="I362" t="s">
        <v>25</v>
      </c>
    </row>
    <row r="363" spans="1:9" ht="375" x14ac:dyDescent="0.25">
      <c r="A363" s="3" t="s">
        <v>7</v>
      </c>
      <c r="B363" t="str">
        <f>HYPERLINK("https://scholarships.uow.edu.au/scholarships/search?scholarship=619", "Connie Gamble Community Scholarship")</f>
        <v>Connie Gamble Community Scholarship</v>
      </c>
      <c r="C363" t="s">
        <v>336</v>
      </c>
      <c r="D363" s="12" t="s">
        <v>352</v>
      </c>
      <c r="E363" t="s">
        <v>338</v>
      </c>
      <c r="F363" t="s">
        <v>13</v>
      </c>
      <c r="G363" s="12" t="s">
        <v>478</v>
      </c>
      <c r="H363" t="s">
        <v>25</v>
      </c>
      <c r="I363" t="s">
        <v>25</v>
      </c>
    </row>
    <row r="364" spans="1:9" ht="375" x14ac:dyDescent="0.25">
      <c r="A364" s="3" t="s">
        <v>7</v>
      </c>
      <c r="B364" t="str">
        <f>HYPERLINK("https://scholarships.uow.edu.au/scholarships/search?scholarship=2981", "Risland Community Scholarship in Engineering")</f>
        <v>Risland Community Scholarship in Engineering</v>
      </c>
      <c r="C364" t="s">
        <v>336</v>
      </c>
      <c r="D364" s="12" t="s">
        <v>352</v>
      </c>
      <c r="E364" t="s">
        <v>338</v>
      </c>
      <c r="F364" t="s">
        <v>13</v>
      </c>
      <c r="G364" s="12" t="s">
        <v>373</v>
      </c>
      <c r="H364" t="s">
        <v>25</v>
      </c>
      <c r="I364" t="s">
        <v>25</v>
      </c>
    </row>
    <row r="365" spans="1:9" ht="345" x14ac:dyDescent="0.25">
      <c r="A365" s="3" t="s">
        <v>7</v>
      </c>
      <c r="B365" t="str">
        <f>HYPERLINK("https://scholarships.uow.edu.au/scholarships/search?scholarship=3204", "Burri Burri Scholarship")</f>
        <v>Burri Burri Scholarship</v>
      </c>
      <c r="C365" t="s">
        <v>336</v>
      </c>
      <c r="D365" s="12" t="s">
        <v>352</v>
      </c>
      <c r="E365" t="s">
        <v>201</v>
      </c>
      <c r="F365" t="s">
        <v>13</v>
      </c>
      <c r="G365" s="12" t="s">
        <v>479</v>
      </c>
      <c r="H365" t="s">
        <v>25</v>
      </c>
      <c r="I365" t="s">
        <v>25</v>
      </c>
    </row>
    <row r="366" spans="1:9" ht="409.5" x14ac:dyDescent="0.25">
      <c r="A366" s="3" t="s">
        <v>7</v>
      </c>
      <c r="B366" t="str">
        <f>HYPERLINK("https://scholarships.uow.edu.au/scholarships/search?scholarship=743", "Glencore Corporate Scholarship")</f>
        <v>Glencore Corporate Scholarship</v>
      </c>
      <c r="C366" t="s">
        <v>380</v>
      </c>
      <c r="D366" s="12" t="s">
        <v>386</v>
      </c>
      <c r="E366" t="s">
        <v>41</v>
      </c>
      <c r="F366" t="s">
        <v>13</v>
      </c>
      <c r="G366" s="12" t="s">
        <v>480</v>
      </c>
      <c r="H366" t="s">
        <v>25</v>
      </c>
      <c r="I366" t="s">
        <v>25</v>
      </c>
    </row>
    <row r="367" spans="1:9" ht="225" x14ac:dyDescent="0.25">
      <c r="A367" s="3" t="s">
        <v>7</v>
      </c>
      <c r="B367" t="str">
        <f>HYPERLINK("https://scholarships.uow.edu.au/scholarships/search?scholarship=2201", "South32 David Crawford Scholarship")</f>
        <v>South32 David Crawford Scholarship</v>
      </c>
      <c r="C367" t="s">
        <v>380</v>
      </c>
      <c r="D367" s="12" t="s">
        <v>386</v>
      </c>
      <c r="E367" t="s">
        <v>201</v>
      </c>
      <c r="F367" t="s">
        <v>13</v>
      </c>
      <c r="G367" s="12" t="s">
        <v>481</v>
      </c>
      <c r="H367" t="s">
        <v>25</v>
      </c>
      <c r="I367" t="s">
        <v>25</v>
      </c>
    </row>
    <row r="368" spans="1:9" ht="240" x14ac:dyDescent="0.25">
      <c r="A368" s="3" t="s">
        <v>7</v>
      </c>
      <c r="B368" t="str">
        <f>HYPERLINK("https://scholarships.uow.edu.au/scholarships/search?scholarship=2202", "Yancoal Mining Engineering Scholarship")</f>
        <v>Yancoal Mining Engineering Scholarship</v>
      </c>
      <c r="C368" t="s">
        <v>380</v>
      </c>
      <c r="D368" s="12" t="s">
        <v>386</v>
      </c>
      <c r="E368" t="s">
        <v>205</v>
      </c>
      <c r="F368" t="s">
        <v>13</v>
      </c>
      <c r="G368" s="12" t="s">
        <v>482</v>
      </c>
      <c r="H368" t="s">
        <v>25</v>
      </c>
      <c r="I368" t="s">
        <v>25</v>
      </c>
    </row>
    <row r="369" spans="1:9" ht="195" x14ac:dyDescent="0.25">
      <c r="A369" s="3" t="s">
        <v>7</v>
      </c>
      <c r="B369" t="str">
        <f>HYPERLINK("https://scholarships.uow.edu.au/scholarships/search?scholarship=981", "Mainfreight Group Corporate Scholarship")</f>
        <v>Mainfreight Group Corporate Scholarship</v>
      </c>
      <c r="C369" t="s">
        <v>380</v>
      </c>
      <c r="D369" s="12" t="s">
        <v>483</v>
      </c>
      <c r="E369" t="s">
        <v>201</v>
      </c>
      <c r="F369" t="s">
        <v>13</v>
      </c>
      <c r="G369" s="12" t="s">
        <v>484</v>
      </c>
      <c r="H369" t="s">
        <v>25</v>
      </c>
      <c r="I369" t="s">
        <v>25</v>
      </c>
    </row>
    <row r="370" spans="1:9" ht="330" x14ac:dyDescent="0.25">
      <c r="A370" s="3" t="s">
        <v>7</v>
      </c>
      <c r="B370" t="str">
        <f>HYPERLINK("https://scholarships.uow.edu.au/scholarships/search?scholarship=3062", "Clever Care Now Nursing Corporate Scholarship")</f>
        <v>Clever Care Now Nursing Corporate Scholarship</v>
      </c>
      <c r="C370" t="s">
        <v>380</v>
      </c>
      <c r="D370" s="12" t="s">
        <v>485</v>
      </c>
      <c r="E370" t="s">
        <v>201</v>
      </c>
      <c r="F370" t="s">
        <v>13</v>
      </c>
      <c r="G370" s="12" t="s">
        <v>486</v>
      </c>
      <c r="H370" t="s">
        <v>25</v>
      </c>
      <c r="I370" t="s">
        <v>25</v>
      </c>
    </row>
    <row r="371" spans="1:9" ht="409.5" x14ac:dyDescent="0.25">
      <c r="A371" s="3" t="s">
        <v>7</v>
      </c>
      <c r="B371" t="str">
        <f>HYPERLINK("https://scholarships.uow.edu.au/scholarships/search?scholarship=3141", "Westpac Scholars Trust Asian Exchange Scholarship")</f>
        <v>Westpac Scholars Trust Asian Exchange Scholarship</v>
      </c>
      <c r="C371" t="s">
        <v>380</v>
      </c>
      <c r="D371" s="12" t="s">
        <v>487</v>
      </c>
      <c r="E371" t="s">
        <v>201</v>
      </c>
      <c r="F371" t="s">
        <v>13</v>
      </c>
      <c r="G371" s="12" t="s">
        <v>488</v>
      </c>
      <c r="H371" t="s">
        <v>25</v>
      </c>
      <c r="I371" t="s">
        <v>25</v>
      </c>
    </row>
    <row r="372" spans="1:9" ht="409.5" x14ac:dyDescent="0.25">
      <c r="A372" s="3" t="s">
        <v>7</v>
      </c>
      <c r="B372" t="str">
        <f>HYPERLINK("https://scholarships.uow.edu.au/scholarships/search?scholarship=2841", "CEA Technologies Corporate Scholarship")</f>
        <v>CEA Technologies Corporate Scholarship</v>
      </c>
      <c r="C372" t="s">
        <v>380</v>
      </c>
      <c r="D372" s="12" t="s">
        <v>485</v>
      </c>
      <c r="E372" t="s">
        <v>201</v>
      </c>
      <c r="F372" t="s">
        <v>13</v>
      </c>
      <c r="G372" s="12" t="s">
        <v>489</v>
      </c>
      <c r="H372" t="s">
        <v>25</v>
      </c>
      <c r="I372" t="s">
        <v>25</v>
      </c>
    </row>
    <row r="373" spans="1:9" ht="409.5" x14ac:dyDescent="0.25">
      <c r="A373" s="3" t="s">
        <v>7</v>
      </c>
      <c r="B373" t="str">
        <f>HYPERLINK("https://scholarships.uow.edu.au/scholarships/search?scholarship=2721", "Scalapay Next Generation Scholarship")</f>
        <v>Scalapay Next Generation Scholarship</v>
      </c>
      <c r="C373" t="s">
        <v>380</v>
      </c>
      <c r="D373" s="12" t="s">
        <v>386</v>
      </c>
      <c r="E373" t="s">
        <v>201</v>
      </c>
      <c r="F373" t="s">
        <v>13</v>
      </c>
      <c r="G373" s="12" t="s">
        <v>490</v>
      </c>
      <c r="H373" t="s">
        <v>25</v>
      </c>
      <c r="I373" t="s">
        <v>25</v>
      </c>
    </row>
    <row r="374" spans="1:9" ht="409.5" x14ac:dyDescent="0.25">
      <c r="A374" s="3" t="s">
        <v>7</v>
      </c>
      <c r="B374" t="str">
        <f>HYPERLINK("https://scholarships.uow.edu.au/scholarships/search?scholarship=603", "WMD Law Work Integrated Learning Scholarship")</f>
        <v>WMD Law Work Integrated Learning Scholarship</v>
      </c>
      <c r="C374" t="s">
        <v>491</v>
      </c>
      <c r="D374" s="12" t="s">
        <v>386</v>
      </c>
      <c r="E374" t="s">
        <v>201</v>
      </c>
      <c r="F374" t="s">
        <v>13</v>
      </c>
      <c r="G374" s="12" t="s">
        <v>492</v>
      </c>
      <c r="H374" t="s">
        <v>25</v>
      </c>
      <c r="I374" t="s">
        <v>16</v>
      </c>
    </row>
    <row r="375" spans="1:9" ht="409.5" x14ac:dyDescent="0.25">
      <c r="A375" s="3" t="s">
        <v>7</v>
      </c>
      <c r="B375" t="str">
        <f>HYPERLINK("https://scholarships.uow.edu.au/scholarships/search?scholarship=604", "Wollongong City Council Work Integrated Learning Scholarship")</f>
        <v>Wollongong City Council Work Integrated Learning Scholarship</v>
      </c>
      <c r="C375" t="s">
        <v>491</v>
      </c>
      <c r="D375" s="12" t="s">
        <v>386</v>
      </c>
      <c r="E375" t="s">
        <v>201</v>
      </c>
      <c r="F375" t="s">
        <v>13</v>
      </c>
      <c r="G375" s="12" t="s">
        <v>493</v>
      </c>
      <c r="H375" t="s">
        <v>25</v>
      </c>
      <c r="I375" t="s">
        <v>16</v>
      </c>
    </row>
    <row r="376" spans="1:9" ht="315" x14ac:dyDescent="0.25">
      <c r="A376" s="3" t="s">
        <v>7</v>
      </c>
      <c r="B376" t="str">
        <f>HYPERLINK("https://scholarships.uow.edu.au/scholarships/search?scholarship=961", "Huon Contractors Civil Engineering Work Integrated Learning Scholarship")</f>
        <v>Huon Contractors Civil Engineering Work Integrated Learning Scholarship</v>
      </c>
      <c r="C376" t="s">
        <v>491</v>
      </c>
      <c r="D376" s="12" t="s">
        <v>494</v>
      </c>
      <c r="E376" t="s">
        <v>205</v>
      </c>
      <c r="F376" t="s">
        <v>13</v>
      </c>
      <c r="G376" s="12" t="s">
        <v>495</v>
      </c>
      <c r="H376" t="s">
        <v>25</v>
      </c>
      <c r="I376" t="s">
        <v>16</v>
      </c>
    </row>
    <row r="377" spans="1:9" ht="409.5" x14ac:dyDescent="0.25">
      <c r="A377" s="3" t="s">
        <v>7</v>
      </c>
      <c r="B377" t="str">
        <f>HYPERLINK("https://scholarships.uow.edu.au/scholarships/search?scholarship=1521", "Sir William Tyree Engineering Scholarship")</f>
        <v>Sir William Tyree Engineering Scholarship</v>
      </c>
      <c r="C377" t="s">
        <v>491</v>
      </c>
      <c r="D377" s="12" t="s">
        <v>496</v>
      </c>
      <c r="E377" t="s">
        <v>41</v>
      </c>
      <c r="F377" t="s">
        <v>13</v>
      </c>
      <c r="G377" s="12" t="s">
        <v>497</v>
      </c>
      <c r="H377" t="s">
        <v>25</v>
      </c>
      <c r="I377" t="s">
        <v>25</v>
      </c>
    </row>
    <row r="378" spans="1:9" ht="285" x14ac:dyDescent="0.25">
      <c r="A378" s="3" t="s">
        <v>7</v>
      </c>
      <c r="B378" t="str">
        <f>HYPERLINK("https://scholarships.uow.edu.au/scholarships/search?scholarship=2921", "Whale Logistics Work Integrated Learning Scholarship")</f>
        <v>Whale Logistics Work Integrated Learning Scholarship</v>
      </c>
      <c r="C378" t="s">
        <v>491</v>
      </c>
      <c r="D378" s="12" t="s">
        <v>386</v>
      </c>
      <c r="E378" t="s">
        <v>201</v>
      </c>
      <c r="F378" t="s">
        <v>13</v>
      </c>
      <c r="G378" s="12" t="s">
        <v>498</v>
      </c>
      <c r="H378" t="s">
        <v>25</v>
      </c>
      <c r="I378" t="s">
        <v>16</v>
      </c>
    </row>
    <row r="379" spans="1:9" ht="409.5" x14ac:dyDescent="0.25">
      <c r="A379" s="3" t="s">
        <v>7</v>
      </c>
      <c r="B379" t="str">
        <f>HYPERLINK("https://scholarships.uow.edu.au/scholarships/search?scholarship=2682", "Morrisons Law Work Integrated Learning Scholarship")</f>
        <v>Morrisons Law Work Integrated Learning Scholarship</v>
      </c>
      <c r="C379" t="s">
        <v>491</v>
      </c>
      <c r="D379" s="12" t="s">
        <v>386</v>
      </c>
      <c r="E379" t="s">
        <v>201</v>
      </c>
      <c r="F379" t="s">
        <v>13</v>
      </c>
      <c r="G379" s="12" t="s">
        <v>499</v>
      </c>
      <c r="H379" t="s">
        <v>25</v>
      </c>
      <c r="I379" t="s">
        <v>16</v>
      </c>
    </row>
    <row r="380" spans="1:9" ht="409.5" x14ac:dyDescent="0.25">
      <c r="A380" s="3" t="s">
        <v>7</v>
      </c>
      <c r="B380" t="str">
        <f>HYPERLINK("https://scholarships.uow.edu.au/scholarships/search?scholarship=3081", "IGS Limited Work Integrated Learning Scholarship in Engineering")</f>
        <v>IGS Limited Work Integrated Learning Scholarship in Engineering</v>
      </c>
      <c r="C380" t="s">
        <v>491</v>
      </c>
      <c r="D380" s="12" t="s">
        <v>348</v>
      </c>
      <c r="E380" t="s">
        <v>201</v>
      </c>
      <c r="F380" t="s">
        <v>13</v>
      </c>
      <c r="G380" s="12" t="s">
        <v>500</v>
      </c>
      <c r="H380" t="s">
        <v>25</v>
      </c>
      <c r="I380" t="s">
        <v>16</v>
      </c>
    </row>
    <row r="381" spans="1:9" ht="409.5" x14ac:dyDescent="0.25">
      <c r="A381" s="3" t="s">
        <v>7</v>
      </c>
      <c r="B381" t="str">
        <f>HYPERLINK("https://scholarships.uow.edu.au/scholarships/search?scholarship=3082", "SJL Consulting Engineers Work Integrated Learning Scholarship")</f>
        <v>SJL Consulting Engineers Work Integrated Learning Scholarship</v>
      </c>
      <c r="C381" t="s">
        <v>491</v>
      </c>
      <c r="D381" s="12" t="s">
        <v>386</v>
      </c>
      <c r="E381" t="s">
        <v>201</v>
      </c>
      <c r="F381" t="s">
        <v>13</v>
      </c>
      <c r="G381" s="12" t="s">
        <v>501</v>
      </c>
      <c r="H381" t="s">
        <v>25</v>
      </c>
      <c r="I381" t="s">
        <v>16</v>
      </c>
    </row>
    <row r="382" spans="1:9" ht="409.5" x14ac:dyDescent="0.25">
      <c r="A382" s="3" t="s">
        <v>7</v>
      </c>
      <c r="B382" t="str">
        <f>HYPERLINK("https://scholarships.uow.edu.au/scholarships/search?scholarship=2781", "542 Partners Work Integrated Learning Scholarship in Accounting")</f>
        <v>542 Partners Work Integrated Learning Scholarship in Accounting</v>
      </c>
      <c r="C382" t="s">
        <v>491</v>
      </c>
      <c r="D382" s="12" t="s">
        <v>386</v>
      </c>
      <c r="E382" t="s">
        <v>201</v>
      </c>
      <c r="F382" t="s">
        <v>13</v>
      </c>
      <c r="G382" s="12" t="s">
        <v>502</v>
      </c>
      <c r="H382" t="s">
        <v>25</v>
      </c>
      <c r="I382" t="s">
        <v>16</v>
      </c>
    </row>
    <row r="383" spans="1:9" ht="300" x14ac:dyDescent="0.25">
      <c r="A383" s="3" t="s">
        <v>7</v>
      </c>
      <c r="B383" t="str">
        <f>HYPERLINK("https://scholarships.uow.edu.au/scholarships/search?scholarship=2502", "Motion Asia Pacific Work Integrated Learning Scholarship in Engineering")</f>
        <v>Motion Asia Pacific Work Integrated Learning Scholarship in Engineering</v>
      </c>
      <c r="C383" t="s">
        <v>491</v>
      </c>
      <c r="D383" s="12" t="s">
        <v>496</v>
      </c>
      <c r="E383" t="s">
        <v>201</v>
      </c>
      <c r="F383" t="s">
        <v>13</v>
      </c>
      <c r="G383" s="12" t="s">
        <v>503</v>
      </c>
      <c r="H383" t="s">
        <v>25</v>
      </c>
      <c r="I383" t="s">
        <v>16</v>
      </c>
    </row>
    <row r="384" spans="1:9" ht="409.5" x14ac:dyDescent="0.25">
      <c r="A384" s="3" t="s">
        <v>7</v>
      </c>
      <c r="B384" t="str">
        <f>HYPERLINK("https://scholarships.uow.edu.au/scholarships/search?scholarship=1001", "Southern Districts Rugby Club Scholarship")</f>
        <v>Southern Districts Rugby Club Scholarship</v>
      </c>
      <c r="C384" t="s">
        <v>504</v>
      </c>
      <c r="D384" s="12" t="s">
        <v>360</v>
      </c>
      <c r="E384" t="s">
        <v>201</v>
      </c>
      <c r="F384" t="s">
        <v>35</v>
      </c>
      <c r="G384" s="12" t="s">
        <v>505</v>
      </c>
      <c r="H384" t="s">
        <v>25</v>
      </c>
      <c r="I384" t="s">
        <v>25</v>
      </c>
    </row>
    <row r="385" spans="1:9" ht="300" x14ac:dyDescent="0.25">
      <c r="A385" s="3" t="s">
        <v>7</v>
      </c>
      <c r="B385" t="str">
        <f>HYPERLINK("https://scholarships.uow.edu.au/scholarships/search?scholarship=281", "Col Purcell Illawarra Rugby League Centenary Scholarship")</f>
        <v>Col Purcell Illawarra Rugby League Centenary Scholarship</v>
      </c>
      <c r="C385" t="s">
        <v>504</v>
      </c>
      <c r="D385" s="12" t="s">
        <v>506</v>
      </c>
      <c r="E385" t="s">
        <v>201</v>
      </c>
      <c r="F385" t="s">
        <v>13</v>
      </c>
      <c r="G385" s="12" t="s">
        <v>507</v>
      </c>
      <c r="H385" t="s">
        <v>25</v>
      </c>
      <c r="I385" t="s">
        <v>25</v>
      </c>
    </row>
    <row r="386" spans="1:9" ht="225" x14ac:dyDescent="0.25">
      <c r="A386" s="3" t="s">
        <v>7</v>
      </c>
      <c r="B386" t="str">
        <f>HYPERLINK("https://scholarships.uow.edu.au/scholarships/search?scholarship=3101", "McLoughlin Minerva Scholarship for Sportswomen")</f>
        <v>McLoughlin Minerva Scholarship for Sportswomen</v>
      </c>
      <c r="C386" t="s">
        <v>336</v>
      </c>
      <c r="D386" s="12" t="s">
        <v>383</v>
      </c>
      <c r="E386" t="s">
        <v>338</v>
      </c>
      <c r="F386" t="s">
        <v>13</v>
      </c>
      <c r="G386" s="12" t="s">
        <v>384</v>
      </c>
      <c r="H386" t="s">
        <v>25</v>
      </c>
      <c r="I386" t="s">
        <v>25</v>
      </c>
    </row>
    <row r="387" spans="1:9" ht="409.5" x14ac:dyDescent="0.25">
      <c r="A387" s="13" t="s">
        <v>10</v>
      </c>
      <c r="B387" t="str">
        <f>HYPERLINK("https://www.scholarships.unsw.edu.au/scholarships/id/1757/6557", "John Lions Computer Science Honours Award")</f>
        <v>John Lions Computer Science Honours Award</v>
      </c>
      <c r="C387" t="s">
        <v>27</v>
      </c>
      <c r="D387" t="s">
        <v>295</v>
      </c>
      <c r="E387" t="s">
        <v>201</v>
      </c>
      <c r="F387" t="s">
        <v>13</v>
      </c>
      <c r="G387" s="12" t="s">
        <v>508</v>
      </c>
      <c r="H387" t="s">
        <v>25</v>
      </c>
      <c r="I387" t="s">
        <v>25</v>
      </c>
    </row>
    <row r="388" spans="1:9" ht="225" x14ac:dyDescent="0.25">
      <c r="A388" s="13" t="s">
        <v>10</v>
      </c>
      <c r="B388" t="str">
        <f>HYPERLINK("https://www.scholarships.unsw.edu.au/scholarships/id/981/6540", "NSWMC Newcastle Mining Engineering Transfer Program")</f>
        <v>NSWMC Newcastle Mining Engineering Transfer Program</v>
      </c>
      <c r="C388" t="s">
        <v>27</v>
      </c>
      <c r="D388" t="s">
        <v>295</v>
      </c>
      <c r="E388" t="s">
        <v>41</v>
      </c>
      <c r="F388" t="s">
        <v>13</v>
      </c>
      <c r="G388" s="12" t="s">
        <v>629</v>
      </c>
      <c r="H388" t="s">
        <v>25</v>
      </c>
      <c r="I388" t="s">
        <v>25</v>
      </c>
    </row>
    <row r="389" spans="1:9" ht="120" x14ac:dyDescent="0.25">
      <c r="A389" s="13" t="s">
        <v>10</v>
      </c>
      <c r="B389" t="str">
        <f>HYPERLINK("https://www.scholarships.unsw.edu.au/scholarships/id/537/6535", "Andrew Thyne Reid Scholarship")</f>
        <v>Andrew Thyne Reid Scholarship</v>
      </c>
      <c r="C389" t="s">
        <v>27</v>
      </c>
      <c r="D389" t="s">
        <v>509</v>
      </c>
      <c r="E389" t="s">
        <v>41</v>
      </c>
      <c r="F389" t="s">
        <v>51</v>
      </c>
      <c r="G389" s="12" t="s">
        <v>630</v>
      </c>
      <c r="H389" t="s">
        <v>25</v>
      </c>
      <c r="I389" t="s">
        <v>25</v>
      </c>
    </row>
    <row r="390" spans="1:9" ht="105" x14ac:dyDescent="0.25">
      <c r="A390" s="13" t="s">
        <v>10</v>
      </c>
      <c r="B390" t="str">
        <f>HYPERLINK("https://www.scholarships.unsw.edu.au/scholarships/id/1005/6542", "UNSW Law Postgraduate Coursework Academic Excellence Scholarship")</f>
        <v>UNSW Law Postgraduate Coursework Academic Excellence Scholarship</v>
      </c>
      <c r="C390" t="s">
        <v>27</v>
      </c>
      <c r="D390" t="s">
        <v>202</v>
      </c>
      <c r="E390" t="s">
        <v>201</v>
      </c>
      <c r="F390" t="s">
        <v>35</v>
      </c>
      <c r="G390" s="12" t="s">
        <v>510</v>
      </c>
      <c r="H390" t="s">
        <v>25</v>
      </c>
      <c r="I390" t="s">
        <v>25</v>
      </c>
    </row>
    <row r="391" spans="1:9" ht="75" x14ac:dyDescent="0.25">
      <c r="A391" s="13" t="s">
        <v>10</v>
      </c>
      <c r="B391" t="str">
        <f>HYPERLINK("https://www.scholarships.unsw.edu.au/scholarships/id/701/6533", "The Faculty of Law Juris Doctor Scholarship for Academic Excellence")</f>
        <v>The Faculty of Law Juris Doctor Scholarship for Academic Excellence</v>
      </c>
      <c r="C391" t="s">
        <v>27</v>
      </c>
      <c r="D391" t="s">
        <v>253</v>
      </c>
      <c r="E391" t="s">
        <v>41</v>
      </c>
      <c r="F391" t="s">
        <v>197</v>
      </c>
      <c r="G391" s="12" t="s">
        <v>631</v>
      </c>
      <c r="H391" t="s">
        <v>25</v>
      </c>
      <c r="I391" t="s">
        <v>25</v>
      </c>
    </row>
    <row r="392" spans="1:9" ht="75" x14ac:dyDescent="0.25">
      <c r="A392" s="13" t="s">
        <v>10</v>
      </c>
      <c r="B392" t="str">
        <f>HYPERLINK("https://www.scholarships.unsw.edu.au/scholarships/id/1839/6561", "Commissioner Hoffman Scholarship")</f>
        <v>Commissioner Hoffman Scholarship</v>
      </c>
      <c r="C392" t="s">
        <v>27</v>
      </c>
      <c r="D392" t="s">
        <v>209</v>
      </c>
      <c r="E392" t="s">
        <v>41</v>
      </c>
      <c r="F392" t="s">
        <v>51</v>
      </c>
      <c r="G392" s="12" t="s">
        <v>511</v>
      </c>
      <c r="H392" t="s">
        <v>25</v>
      </c>
      <c r="I392" t="s">
        <v>25</v>
      </c>
    </row>
    <row r="393" spans="1:9" ht="240" x14ac:dyDescent="0.25">
      <c r="A393" s="13" t="s">
        <v>10</v>
      </c>
      <c r="B393" t="str">
        <f>HYPERLINK("https://www.scholarships.unsw.edu.au/scholarships/id/906/6534", "John Haskell Scholarship")</f>
        <v>John Haskell Scholarship</v>
      </c>
      <c r="C393" t="s">
        <v>27</v>
      </c>
      <c r="D393" t="s">
        <v>209</v>
      </c>
      <c r="E393" t="s">
        <v>41</v>
      </c>
      <c r="F393" t="s">
        <v>35</v>
      </c>
      <c r="G393" s="12" t="s">
        <v>512</v>
      </c>
      <c r="H393" t="s">
        <v>25</v>
      </c>
      <c r="I393" t="s">
        <v>25</v>
      </c>
    </row>
    <row r="394" spans="1:9" ht="409.5" x14ac:dyDescent="0.25">
      <c r="A394" s="13" t="s">
        <v>10</v>
      </c>
      <c r="B394" t="str">
        <f>HYPERLINK("https://www.scholarships.unsw.edu.au/scholarships/id/1583/6523", "Sanctuary Scholarship for People Seeking Asylum and Refugees with Temporary Protection")</f>
        <v>Sanctuary Scholarship for People Seeking Asylum and Refugees with Temporary Protection</v>
      </c>
      <c r="C394" t="s">
        <v>148</v>
      </c>
      <c r="D394" t="s">
        <v>209</v>
      </c>
      <c r="E394" t="s">
        <v>41</v>
      </c>
      <c r="F394" t="s">
        <v>13</v>
      </c>
      <c r="G394" s="12" t="s">
        <v>513</v>
      </c>
      <c r="H394" t="s">
        <v>25</v>
      </c>
      <c r="I394" t="s">
        <v>25</v>
      </c>
    </row>
    <row r="395" spans="1:9" ht="409.5" x14ac:dyDescent="0.25">
      <c r="A395" s="13" t="s">
        <v>10</v>
      </c>
      <c r="B395" t="str">
        <f>HYPERLINK("https://www.scholarships.unsw.edu.au/scholarships/id/1582/6524", "Welcome Scholarship for Students from Refugee Backgrounds")</f>
        <v>Welcome Scholarship for Students from Refugee Backgrounds</v>
      </c>
      <c r="C395" t="s">
        <v>148</v>
      </c>
      <c r="D395" t="s">
        <v>202</v>
      </c>
      <c r="E395" t="s">
        <v>41</v>
      </c>
      <c r="F395" t="s">
        <v>13</v>
      </c>
      <c r="G395" s="12" t="s">
        <v>514</v>
      </c>
      <c r="H395" t="s">
        <v>25</v>
      </c>
      <c r="I395" t="s">
        <v>25</v>
      </c>
    </row>
    <row r="396" spans="1:9" ht="60" x14ac:dyDescent="0.25">
      <c r="A396" s="13" t="s">
        <v>10</v>
      </c>
      <c r="B396" t="str">
        <f>HYPERLINK("https://www.scholarships.unsw.edu.au/scholarships/id/1821/6433", "UNSW Scholarships for International Students Commencing Term 1, 2025")</f>
        <v>UNSW Scholarships for International Students Commencing Term 1, 2025</v>
      </c>
      <c r="C396" t="s">
        <v>27</v>
      </c>
      <c r="D396" t="s">
        <v>209</v>
      </c>
      <c r="E396" t="s">
        <v>201</v>
      </c>
      <c r="F396" t="s">
        <v>197</v>
      </c>
      <c r="G396" s="12" t="s">
        <v>515</v>
      </c>
      <c r="H396" t="s">
        <v>25</v>
      </c>
      <c r="I396" t="s">
        <v>25</v>
      </c>
    </row>
    <row r="397" spans="1:9" ht="330" x14ac:dyDescent="0.25">
      <c r="A397" s="13" t="s">
        <v>10</v>
      </c>
      <c r="B397" t="str">
        <f>HYPERLINK("https://www.scholarships.unsw.edu.au/scholarships/id/1817/6403", "UNSW Sport Scholarships Term 1, 2025")</f>
        <v>UNSW Sport Scholarships Term 1, 2025</v>
      </c>
      <c r="C397" t="s">
        <v>504</v>
      </c>
      <c r="D397" t="s">
        <v>209</v>
      </c>
      <c r="E397" t="s">
        <v>201</v>
      </c>
      <c r="F397" t="s">
        <v>35</v>
      </c>
      <c r="G397" s="12" t="s">
        <v>516</v>
      </c>
      <c r="H397" t="s">
        <v>25</v>
      </c>
      <c r="I397" t="s">
        <v>25</v>
      </c>
    </row>
    <row r="398" spans="1:9" ht="150" x14ac:dyDescent="0.25">
      <c r="A398" s="13" t="s">
        <v>10</v>
      </c>
      <c r="B398" t="str">
        <f>HYPERLINK("https://www.scholarships.unsw.edu.au/scholarships/id/1328/6409", "UNSW Veterans Scholarship")</f>
        <v>UNSW Veterans Scholarship</v>
      </c>
      <c r="C398" t="s">
        <v>14</v>
      </c>
      <c r="D398" t="s">
        <v>209</v>
      </c>
      <c r="E398" t="s">
        <v>41</v>
      </c>
      <c r="F398" t="s">
        <v>35</v>
      </c>
      <c r="G398" s="12" t="s">
        <v>517</v>
      </c>
      <c r="H398" t="s">
        <v>25</v>
      </c>
      <c r="I398" t="s">
        <v>25</v>
      </c>
    </row>
    <row r="399" spans="1:9" ht="360" x14ac:dyDescent="0.25">
      <c r="A399" s="13" t="s">
        <v>10</v>
      </c>
      <c r="B399" t="str">
        <f>HYPERLINK("https://www.scholarships.unsw.edu.au/scholarships/id/1820/6428", "Mike Brungs Scholarship for Women in Chemical Engineering")</f>
        <v>Mike Brungs Scholarship for Women in Chemical Engineering</v>
      </c>
      <c r="C399" t="s">
        <v>14</v>
      </c>
      <c r="D399" t="s">
        <v>202</v>
      </c>
      <c r="E399" t="s">
        <v>41</v>
      </c>
      <c r="F399" t="s">
        <v>13</v>
      </c>
      <c r="G399" s="12" t="s">
        <v>518</v>
      </c>
      <c r="H399" t="s">
        <v>25</v>
      </c>
      <c r="I399" t="s">
        <v>25</v>
      </c>
    </row>
    <row r="400" spans="1:9" ht="60" x14ac:dyDescent="0.25">
      <c r="A400" s="13" t="s">
        <v>10</v>
      </c>
      <c r="B400" t="str">
        <f>HYPERLINK("https://www.scholarships.unsw.edu.au/scholarships/id/1815/6408", "2025 Equity Scholarships for Commencing Undergraduate Students")</f>
        <v>2025 Equity Scholarships for Commencing Undergraduate Students</v>
      </c>
      <c r="C400" t="s">
        <v>27</v>
      </c>
      <c r="D400" t="s">
        <v>209</v>
      </c>
      <c r="E400" t="s">
        <v>41</v>
      </c>
      <c r="F400" t="s">
        <v>197</v>
      </c>
      <c r="G400" s="12" t="s">
        <v>515</v>
      </c>
      <c r="H400" t="s">
        <v>25</v>
      </c>
      <c r="I400" t="s">
        <v>25</v>
      </c>
    </row>
    <row r="401" spans="1:9" ht="409.5" x14ac:dyDescent="0.25">
      <c r="A401" s="13" t="s">
        <v>10</v>
      </c>
      <c r="B401" t="str">
        <f>HYPERLINK("https://www.scholarships.unsw.edu.au/scholarships/id/102/6399", "Scientia Scholarship")</f>
        <v>Scientia Scholarship</v>
      </c>
      <c r="C401" t="s">
        <v>14</v>
      </c>
      <c r="D401" t="s">
        <v>202</v>
      </c>
      <c r="E401" t="s">
        <v>41</v>
      </c>
      <c r="F401" t="s">
        <v>13</v>
      </c>
      <c r="G401" s="12" t="s">
        <v>519</v>
      </c>
      <c r="H401" t="s">
        <v>25</v>
      </c>
      <c r="I401" t="s">
        <v>25</v>
      </c>
    </row>
    <row r="402" spans="1:9" ht="409.5" x14ac:dyDescent="0.25">
      <c r="A402" s="13" t="s">
        <v>10</v>
      </c>
      <c r="B402" t="str">
        <f>HYPERLINK("https://www.scholarships.unsw.edu.au/scholarships/id/1/6398", "Academic Achievement Award (AAA)")</f>
        <v>Academic Achievement Award (AAA)</v>
      </c>
      <c r="C402" t="s">
        <v>14</v>
      </c>
      <c r="D402" t="s">
        <v>209</v>
      </c>
      <c r="E402" t="s">
        <v>201</v>
      </c>
      <c r="F402" t="s">
        <v>13</v>
      </c>
      <c r="G402" s="12" t="s">
        <v>520</v>
      </c>
      <c r="H402" t="s">
        <v>25</v>
      </c>
      <c r="I402" t="s">
        <v>25</v>
      </c>
    </row>
    <row r="403" spans="1:9" ht="405" x14ac:dyDescent="0.25">
      <c r="A403" s="13" t="s">
        <v>10</v>
      </c>
      <c r="B403" t="str">
        <f>HYPERLINK("https://www.scholarships.unsw.edu.au/scholarships/id/1824/6563", "UNSW Cyber Security Award")</f>
        <v>UNSW Cyber Security Award</v>
      </c>
      <c r="C403" t="s">
        <v>14</v>
      </c>
      <c r="D403" t="s">
        <v>209</v>
      </c>
      <c r="E403" t="s">
        <v>201</v>
      </c>
      <c r="F403" t="s">
        <v>13</v>
      </c>
      <c r="G403" s="12" t="s">
        <v>521</v>
      </c>
      <c r="H403" t="s">
        <v>21</v>
      </c>
      <c r="I403" t="s">
        <v>25</v>
      </c>
    </row>
    <row r="404" spans="1:9" ht="60" x14ac:dyDescent="0.25">
      <c r="A404" s="13" t="s">
        <v>10</v>
      </c>
      <c r="B404" t="str">
        <f>HYPERLINK("https://www.scholarships.unsw.edu.au/scholarships/id/1822/6554", "2025 Equity Scholarships for Current Students")</f>
        <v>2025 Equity Scholarships for Current Students</v>
      </c>
      <c r="C404" t="s">
        <v>27</v>
      </c>
      <c r="D404" t="s">
        <v>209</v>
      </c>
      <c r="E404" t="s">
        <v>201</v>
      </c>
      <c r="F404" t="s">
        <v>197</v>
      </c>
      <c r="G404" s="12" t="s">
        <v>515</v>
      </c>
      <c r="H404" t="s">
        <v>25</v>
      </c>
      <c r="I404" t="s">
        <v>25</v>
      </c>
    </row>
    <row r="405" spans="1:9" ht="60" x14ac:dyDescent="0.25">
      <c r="A405" s="13" t="s">
        <v>10</v>
      </c>
      <c r="B405" t="str">
        <f>HYPERLINK("https://www.scholarships.unsw.edu.au/scholarships/id/1835/6553", "2025 Equity Scholarships for Postgraduate Coursework Students")</f>
        <v>2025 Equity Scholarships for Postgraduate Coursework Students</v>
      </c>
      <c r="C405" t="s">
        <v>27</v>
      </c>
      <c r="D405" t="s">
        <v>209</v>
      </c>
      <c r="E405" t="s">
        <v>201</v>
      </c>
      <c r="F405" t="s">
        <v>197</v>
      </c>
      <c r="G405" s="12" t="s">
        <v>515</v>
      </c>
      <c r="H405" t="s">
        <v>25</v>
      </c>
      <c r="I405" t="s">
        <v>25</v>
      </c>
    </row>
    <row r="406" spans="1:9" ht="409.5" x14ac:dyDescent="0.25">
      <c r="A406" s="13" t="s">
        <v>10</v>
      </c>
      <c r="B406" t="str">
        <f>HYPERLINK("https://www.scholarships.unsw.edu.au/scholarships/id/1462/6402", "Daniel and Helen Gauchat Port Macquarie Award for Rural Medical Students")</f>
        <v>Daniel and Helen Gauchat Port Macquarie Award for Rural Medical Students</v>
      </c>
      <c r="C406" t="s">
        <v>14</v>
      </c>
      <c r="D406" t="s">
        <v>209</v>
      </c>
      <c r="E406" t="s">
        <v>201</v>
      </c>
      <c r="F406" t="s">
        <v>13</v>
      </c>
      <c r="G406" s="12" t="s">
        <v>522</v>
      </c>
      <c r="H406" t="s">
        <v>25</v>
      </c>
      <c r="I406" t="s">
        <v>25</v>
      </c>
    </row>
    <row r="407" spans="1:9" ht="60" x14ac:dyDescent="0.25">
      <c r="A407" s="13" t="s">
        <v>10</v>
      </c>
      <c r="B407" t="str">
        <f>HYPERLINK("https://www.scholarships.unsw.edu.au/scholarships/id/1706/6556", "UNSW Exchange Scholarships &amp; Awards for 2025")</f>
        <v>UNSW Exchange Scholarships &amp; Awards for 2025</v>
      </c>
      <c r="C407" t="s">
        <v>27</v>
      </c>
      <c r="D407" t="s">
        <v>230</v>
      </c>
      <c r="E407" t="s">
        <v>201</v>
      </c>
      <c r="F407" t="s">
        <v>197</v>
      </c>
      <c r="G407" s="12" t="s">
        <v>515</v>
      </c>
      <c r="H407" t="s">
        <v>25</v>
      </c>
      <c r="I407" t="s">
        <v>25</v>
      </c>
    </row>
    <row r="408" spans="1:9" ht="105" x14ac:dyDescent="0.25">
      <c r="A408" s="13" t="s">
        <v>10</v>
      </c>
      <c r="B408" t="str">
        <f>HYPERLINK("https://www.scholarships.unsw.edu.au/scholarships/id/1656", "David Nunan Rural Residential Scholarship")</f>
        <v>David Nunan Rural Residential Scholarship</v>
      </c>
      <c r="C408" t="s">
        <v>27</v>
      </c>
      <c r="D408" t="s">
        <v>204</v>
      </c>
      <c r="E408" t="s">
        <v>331</v>
      </c>
      <c r="F408" t="s">
        <v>13</v>
      </c>
      <c r="G408" s="12" t="s">
        <v>633</v>
      </c>
      <c r="H408" t="s">
        <v>25</v>
      </c>
      <c r="I408" t="s">
        <v>25</v>
      </c>
    </row>
    <row r="409" spans="1:9" ht="60" x14ac:dyDescent="0.25">
      <c r="A409" s="13" t="s">
        <v>10</v>
      </c>
      <c r="B409" t="str">
        <f>HYPERLINK("https://www.scholarships.unsw.edu.au/scholarships/id/1223", "Vanessa Hardman Memorial Endowed Scholarship")</f>
        <v>Vanessa Hardman Memorial Endowed Scholarship</v>
      </c>
      <c r="C409" t="s">
        <v>27</v>
      </c>
      <c r="D409" t="s">
        <v>523</v>
      </c>
      <c r="E409" t="s">
        <v>41</v>
      </c>
      <c r="F409" t="s">
        <v>13</v>
      </c>
      <c r="G409" s="12" t="s">
        <v>632</v>
      </c>
      <c r="H409" t="s">
        <v>25</v>
      </c>
      <c r="I409" t="s">
        <v>25</v>
      </c>
    </row>
    <row r="410" spans="1:9" ht="195" x14ac:dyDescent="0.25">
      <c r="A410" s="13" t="s">
        <v>10</v>
      </c>
      <c r="B410" t="str">
        <f>HYPERLINK("https://www.scholarships.unsw.edu.au/scholarships/id/158", "David Garlick Memorial Scholarship")</f>
        <v>David Garlick Memorial Scholarship</v>
      </c>
      <c r="C410" t="s">
        <v>27</v>
      </c>
      <c r="D410" t="s">
        <v>209</v>
      </c>
      <c r="E410" t="s">
        <v>41</v>
      </c>
      <c r="F410" t="s">
        <v>35</v>
      </c>
      <c r="G410" s="12" t="s">
        <v>524</v>
      </c>
      <c r="H410" t="s">
        <v>25</v>
      </c>
      <c r="I410" t="s">
        <v>25</v>
      </c>
    </row>
    <row r="411" spans="1:9" ht="180" x14ac:dyDescent="0.25">
      <c r="A411" s="13" t="s">
        <v>10</v>
      </c>
      <c r="B411" t="str">
        <f>HYPERLINK("https://www.scholarships.unsw.edu.au/scholarships/id/1259", "Roberts Co Women in Built Environment Scholarship")</f>
        <v>Roberts Co Women in Built Environment Scholarship</v>
      </c>
      <c r="C411" t="s">
        <v>27</v>
      </c>
      <c r="D411" t="s">
        <v>209</v>
      </c>
      <c r="E411" t="s">
        <v>41</v>
      </c>
      <c r="F411" t="s">
        <v>13</v>
      </c>
      <c r="G411" s="12" t="s">
        <v>634</v>
      </c>
      <c r="H411" t="s">
        <v>25</v>
      </c>
      <c r="I411" t="s">
        <v>25</v>
      </c>
    </row>
    <row r="412" spans="1:9" ht="30" x14ac:dyDescent="0.25">
      <c r="A412" s="13" t="s">
        <v>10</v>
      </c>
      <c r="B412" t="str">
        <f>HYPERLINK("https://www.scholarships.unsw.edu.au/scholarships/id/1408", "Berk Family Scholarship")</f>
        <v>Berk Family Scholarship</v>
      </c>
      <c r="C412" t="s">
        <v>27</v>
      </c>
      <c r="D412" t="s">
        <v>209</v>
      </c>
      <c r="E412" t="s">
        <v>41</v>
      </c>
      <c r="F412" t="s">
        <v>51</v>
      </c>
      <c r="G412" s="12" t="s">
        <v>635</v>
      </c>
      <c r="H412" t="s">
        <v>25</v>
      </c>
      <c r="I412" t="s">
        <v>25</v>
      </c>
    </row>
    <row r="413" spans="1:9" ht="90" x14ac:dyDescent="0.25">
      <c r="A413" s="13" t="s">
        <v>10</v>
      </c>
      <c r="B413" t="str">
        <f>HYPERLINK("https://www.scholarships.unsw.edu.au/scholarships/id/1530", "Tertiary Access Payment (TAP) Program")</f>
        <v>Tertiary Access Payment (TAP) Program</v>
      </c>
      <c r="C413" t="s">
        <v>14</v>
      </c>
      <c r="D413" s="7" t="s">
        <v>668</v>
      </c>
      <c r="E413" t="s">
        <v>201</v>
      </c>
      <c r="F413" t="s">
        <v>68</v>
      </c>
      <c r="G413" s="12" t="s">
        <v>669</v>
      </c>
      <c r="H413" t="s">
        <v>25</v>
      </c>
      <c r="I413" t="s">
        <v>25</v>
      </c>
    </row>
    <row r="414" spans="1:9" ht="255" x14ac:dyDescent="0.25">
      <c r="A414" s="13" t="s">
        <v>10</v>
      </c>
      <c r="B414" t="str">
        <f>HYPERLINK("https://www.scholarships.unsw.edu.au/scholarships/id/555", "AGSM Alumni Community Leader Scholarship")</f>
        <v>AGSM Alumni Community Leader Scholarship</v>
      </c>
      <c r="C414" t="s">
        <v>27</v>
      </c>
      <c r="D414" t="s">
        <v>525</v>
      </c>
      <c r="E414" t="s">
        <v>41</v>
      </c>
      <c r="F414" t="s">
        <v>51</v>
      </c>
      <c r="G414" s="12" t="s">
        <v>526</v>
      </c>
      <c r="H414" t="s">
        <v>25</v>
      </c>
      <c r="I414" t="s">
        <v>25</v>
      </c>
    </row>
    <row r="415" spans="1:9" ht="105" x14ac:dyDescent="0.25">
      <c r="A415" s="13" t="s">
        <v>10</v>
      </c>
      <c r="B415" t="str">
        <f>HYPERLINK("https://www.scholarships.unsw.edu.au/scholarships/id/1674", "UNSW Sydney Swans AFLW/ Academy Award (T1, 2024)")</f>
        <v>UNSW Sydney Swans AFLW/ Academy Award (T1, 2024)</v>
      </c>
      <c r="C415" t="s">
        <v>504</v>
      </c>
      <c r="D415" t="s">
        <v>202</v>
      </c>
      <c r="E415" t="s">
        <v>201</v>
      </c>
      <c r="F415" t="s">
        <v>35</v>
      </c>
      <c r="G415" s="12" t="s">
        <v>527</v>
      </c>
      <c r="H415" t="s">
        <v>25</v>
      </c>
      <c r="I415" t="s">
        <v>25</v>
      </c>
    </row>
    <row r="416" spans="1:9" ht="45" x14ac:dyDescent="0.25">
      <c r="A416" s="13" t="s">
        <v>10</v>
      </c>
      <c r="B416" t="str">
        <f>HYPERLINK("https://www.scholarships.unsw.edu.au/scholarships/id/850", "Late Stephen Robjohns Science Scholarship")</f>
        <v>Late Stephen Robjohns Science Scholarship</v>
      </c>
      <c r="C416" t="s">
        <v>27</v>
      </c>
      <c r="D416" t="s">
        <v>528</v>
      </c>
      <c r="E416" t="s">
        <v>331</v>
      </c>
      <c r="F416" t="s">
        <v>13</v>
      </c>
      <c r="G416" s="12" t="s">
        <v>636</v>
      </c>
      <c r="H416" t="s">
        <v>25</v>
      </c>
      <c r="I416" t="s">
        <v>25</v>
      </c>
    </row>
    <row r="417" spans="1:9" ht="60" x14ac:dyDescent="0.25">
      <c r="A417" s="13" t="s">
        <v>10</v>
      </c>
      <c r="B417" t="str">
        <f>HYPERLINK("https://www.scholarships.unsw.edu.au/scholarships/id/1792", "Moses Honours Year Scholarship")</f>
        <v>Moses Honours Year Scholarship</v>
      </c>
      <c r="C417" t="s">
        <v>27</v>
      </c>
      <c r="D417" t="s">
        <v>202</v>
      </c>
      <c r="E417" t="s">
        <v>201</v>
      </c>
      <c r="F417" t="s">
        <v>137</v>
      </c>
      <c r="G417" s="12" t="s">
        <v>637</v>
      </c>
      <c r="H417" t="s">
        <v>25</v>
      </c>
      <c r="I417" t="s">
        <v>25</v>
      </c>
    </row>
    <row r="418" spans="1:9" ht="270" x14ac:dyDescent="0.25">
      <c r="A418" s="13" t="s">
        <v>10</v>
      </c>
      <c r="B418" t="str">
        <f>HYPERLINK("https://www.scholarships.unsw.edu.au/scholarships/id/1788", "Pinnacle Investment Management Women in Finance Scholarship")</f>
        <v>Pinnacle Investment Management Women in Finance Scholarship</v>
      </c>
      <c r="C418" t="s">
        <v>27</v>
      </c>
      <c r="D418" t="s">
        <v>202</v>
      </c>
      <c r="E418" t="s">
        <v>201</v>
      </c>
      <c r="F418" t="s">
        <v>13</v>
      </c>
      <c r="G418" s="12" t="s">
        <v>529</v>
      </c>
      <c r="H418" t="s">
        <v>25</v>
      </c>
      <c r="I418" t="s">
        <v>25</v>
      </c>
    </row>
    <row r="419" spans="1:9" ht="180" x14ac:dyDescent="0.25">
      <c r="A419" s="13" t="s">
        <v>10</v>
      </c>
      <c r="B419" t="str">
        <f>HYPERLINK("https://www.scholarships.unsw.edu.au/scholarships/id/871", "CEPAR Honours Scholarship")</f>
        <v>CEPAR Honours Scholarship</v>
      </c>
      <c r="C419" t="s">
        <v>27</v>
      </c>
      <c r="D419" t="s">
        <v>209</v>
      </c>
      <c r="E419" t="s">
        <v>201</v>
      </c>
      <c r="F419" t="s">
        <v>137</v>
      </c>
      <c r="G419" s="12" t="s">
        <v>638</v>
      </c>
      <c r="H419" t="s">
        <v>25</v>
      </c>
      <c r="I419" t="s">
        <v>25</v>
      </c>
    </row>
    <row r="420" spans="1:9" ht="60" x14ac:dyDescent="0.25">
      <c r="A420" s="13" t="s">
        <v>10</v>
      </c>
      <c r="B420" t="str">
        <f>HYPERLINK("https://www.scholarships.unsw.edu.au/scholarships/id/1762", "Faculty of Engineering Honours Scholarships")</f>
        <v>Faculty of Engineering Honours Scholarships</v>
      </c>
      <c r="C420" t="s">
        <v>27</v>
      </c>
      <c r="D420" t="s">
        <v>209</v>
      </c>
      <c r="E420" t="s">
        <v>201</v>
      </c>
      <c r="F420" t="s">
        <v>197</v>
      </c>
      <c r="G420" s="12" t="s">
        <v>515</v>
      </c>
      <c r="H420" t="s">
        <v>25</v>
      </c>
      <c r="I420" t="s">
        <v>25</v>
      </c>
    </row>
    <row r="421" spans="1:9" ht="60" x14ac:dyDescent="0.25">
      <c r="A421" s="13" t="s">
        <v>10</v>
      </c>
      <c r="B421" t="str">
        <f>HYPERLINK("https://www.scholarships.unsw.edu.au/scholarships/id/1764", "UNSW Faculty of Medicine Honours Scholarships 2024")</f>
        <v>UNSW Faculty of Medicine Honours Scholarships 2024</v>
      </c>
      <c r="C421" t="s">
        <v>27</v>
      </c>
      <c r="D421" t="s">
        <v>209</v>
      </c>
      <c r="E421" t="s">
        <v>201</v>
      </c>
      <c r="F421" t="s">
        <v>197</v>
      </c>
      <c r="G421" s="12" t="s">
        <v>515</v>
      </c>
      <c r="H421" t="s">
        <v>25</v>
      </c>
      <c r="I421" t="s">
        <v>25</v>
      </c>
    </row>
    <row r="422" spans="1:9" ht="60" x14ac:dyDescent="0.25">
      <c r="A422" s="13" t="s">
        <v>10</v>
      </c>
      <c r="B422" t="str">
        <f>HYPERLINK("https://www.scholarships.unsw.edu.au/scholarships/id/1795", "UNSW Women Electrical Engineering Scholarships")</f>
        <v>UNSW Women Electrical Engineering Scholarships</v>
      </c>
      <c r="C422" t="s">
        <v>27</v>
      </c>
      <c r="D422" t="s">
        <v>202</v>
      </c>
      <c r="E422" t="s">
        <v>331</v>
      </c>
      <c r="F422" t="s">
        <v>197</v>
      </c>
      <c r="G422" s="12" t="s">
        <v>515</v>
      </c>
      <c r="H422" t="s">
        <v>25</v>
      </c>
      <c r="I422" t="s">
        <v>25</v>
      </c>
    </row>
    <row r="423" spans="1:9" ht="60" x14ac:dyDescent="0.25">
      <c r="A423" s="13" t="s">
        <v>10</v>
      </c>
      <c r="B423" t="str">
        <f>HYPERLINK("https://www.scholarships.unsw.edu.au/scholarships/id/1161", "AFGW NSW Joan Bielski AO Memorial Scholarship")</f>
        <v>AFGW NSW Joan Bielski AO Memorial Scholarship</v>
      </c>
      <c r="C423" t="s">
        <v>14</v>
      </c>
      <c r="D423" s="9" t="s">
        <v>670</v>
      </c>
      <c r="E423" t="s">
        <v>338</v>
      </c>
      <c r="F423" t="s">
        <v>13</v>
      </c>
      <c r="G423" s="12" t="s">
        <v>671</v>
      </c>
      <c r="H423" t="s">
        <v>25</v>
      </c>
      <c r="I423" t="s">
        <v>25</v>
      </c>
    </row>
    <row r="424" spans="1:9" ht="409.5" x14ac:dyDescent="0.25">
      <c r="A424" s="13" t="s">
        <v>10</v>
      </c>
      <c r="B424" t="str">
        <f>HYPERLINK("https://www.scholarships.unsw.edu.au/scholarships/id/255", "Joseph Barling Fellowship")</f>
        <v>Joseph Barling Fellowship</v>
      </c>
      <c r="C424" t="s">
        <v>27</v>
      </c>
      <c r="D424" t="s">
        <v>330</v>
      </c>
      <c r="E424" t="s">
        <v>41</v>
      </c>
      <c r="F424" t="s">
        <v>35</v>
      </c>
      <c r="G424" s="12" t="s">
        <v>530</v>
      </c>
      <c r="H424" t="s">
        <v>25</v>
      </c>
      <c r="I424" t="s">
        <v>25</v>
      </c>
    </row>
    <row r="425" spans="1:9" ht="409.5" x14ac:dyDescent="0.25">
      <c r="A425" s="13" t="s">
        <v>10</v>
      </c>
      <c r="B425" t="str">
        <f>HYPERLINK("https://www.scholarships.unsw.edu.au/scholarships/id/954", "New Colombo Plan Scholarship")</f>
        <v>New Colombo Plan Scholarship</v>
      </c>
      <c r="C425" t="s">
        <v>27</v>
      </c>
      <c r="D425" t="s">
        <v>531</v>
      </c>
      <c r="E425" t="s">
        <v>201</v>
      </c>
      <c r="F425" t="s">
        <v>13</v>
      </c>
      <c r="G425" s="12" t="s">
        <v>639</v>
      </c>
      <c r="H425" t="s">
        <v>21</v>
      </c>
      <c r="I425" t="s">
        <v>25</v>
      </c>
    </row>
    <row r="426" spans="1:9" ht="60" x14ac:dyDescent="0.25">
      <c r="A426" s="13" t="s">
        <v>10</v>
      </c>
      <c r="B426" t="str">
        <f>HYPERLINK("https://www.scholarships.unsw.edu.au/scholarships/id/1707", "UNSW Touch Football Leadership Award")</f>
        <v>UNSW Touch Football Leadership Award</v>
      </c>
      <c r="C426" t="s">
        <v>27</v>
      </c>
      <c r="D426" t="s">
        <v>209</v>
      </c>
      <c r="E426" t="s">
        <v>201</v>
      </c>
      <c r="F426" t="s">
        <v>197</v>
      </c>
      <c r="G426" s="12" t="s">
        <v>515</v>
      </c>
      <c r="H426" t="s">
        <v>25</v>
      </c>
      <c r="I426" t="s">
        <v>25</v>
      </c>
    </row>
    <row r="427" spans="1:9" ht="60" x14ac:dyDescent="0.25">
      <c r="A427" s="13" t="s">
        <v>10</v>
      </c>
      <c r="B427" t="str">
        <f>HYPERLINK("https://www.scholarships.unsw.edu.au/scholarships/id/1727", "Westpac Future Leaders Scholarship")</f>
        <v>Westpac Future Leaders Scholarship</v>
      </c>
      <c r="C427" t="s">
        <v>27</v>
      </c>
      <c r="D427" t="s">
        <v>532</v>
      </c>
      <c r="E427" t="s">
        <v>338</v>
      </c>
      <c r="F427" t="s">
        <v>197</v>
      </c>
      <c r="G427" s="12" t="s">
        <v>515</v>
      </c>
      <c r="H427" t="s">
        <v>25</v>
      </c>
      <c r="I427" t="s">
        <v>25</v>
      </c>
    </row>
    <row r="428" spans="1:9" ht="60" x14ac:dyDescent="0.25">
      <c r="A428" s="13" t="s">
        <v>10</v>
      </c>
      <c r="B428" t="str">
        <f>HYPERLINK("https://www.scholarships.unsw.edu.au/scholarships/id/912", "Danielle Sirmai Memorial Award")</f>
        <v>Danielle Sirmai Memorial Award</v>
      </c>
      <c r="C428" t="s">
        <v>27</v>
      </c>
      <c r="D428" t="s">
        <v>304</v>
      </c>
      <c r="E428" t="s">
        <v>24</v>
      </c>
      <c r="F428" t="s">
        <v>197</v>
      </c>
      <c r="G428" s="12" t="s">
        <v>515</v>
      </c>
      <c r="H428" t="s">
        <v>25</v>
      </c>
      <c r="I428" t="s">
        <v>25</v>
      </c>
    </row>
    <row r="429" spans="1:9" ht="60" x14ac:dyDescent="0.25">
      <c r="A429" s="13" t="s">
        <v>10</v>
      </c>
      <c r="B429" t="str">
        <f>HYPERLINK("https://www.scholarships.unsw.edu.au/scholarships/id/1593", "Tyree Nuclear Masters by Coursework Scholarship")</f>
        <v>Tyree Nuclear Masters by Coursework Scholarship</v>
      </c>
      <c r="C429" t="s">
        <v>27</v>
      </c>
      <c r="D429" t="s">
        <v>204</v>
      </c>
      <c r="E429" t="s">
        <v>41</v>
      </c>
      <c r="F429" t="s">
        <v>51</v>
      </c>
      <c r="G429" s="12" t="s">
        <v>640</v>
      </c>
      <c r="H429" t="s">
        <v>25</v>
      </c>
      <c r="I429" t="s">
        <v>25</v>
      </c>
    </row>
    <row r="430" spans="1:9" ht="45" x14ac:dyDescent="0.25">
      <c r="A430" s="13" t="s">
        <v>10</v>
      </c>
      <c r="B430" t="str">
        <f>HYPERLINK("https://www.scholarships.unsw.edu.au/scholarships/id/1102", "Elias Duek-Cohen Urban Design Award")</f>
        <v>Elias Duek-Cohen Urban Design Award</v>
      </c>
      <c r="C430" t="s">
        <v>27</v>
      </c>
      <c r="D430" t="s">
        <v>209</v>
      </c>
      <c r="E430" t="s">
        <v>201</v>
      </c>
      <c r="F430" t="s">
        <v>13</v>
      </c>
      <c r="G430" s="12" t="s">
        <v>641</v>
      </c>
      <c r="H430" t="s">
        <v>25</v>
      </c>
      <c r="I430" t="s">
        <v>25</v>
      </c>
    </row>
    <row r="431" spans="1:9" ht="409.5" x14ac:dyDescent="0.25">
      <c r="A431" s="13" t="s">
        <v>10</v>
      </c>
      <c r="B431" t="str">
        <f>HYPERLINK("https://www.scholarships.unsw.edu.au/scholarships/id/1797", "RODE Microphones")</f>
        <v>RODE Microphones</v>
      </c>
      <c r="C431" t="s">
        <v>27</v>
      </c>
      <c r="D431" t="s">
        <v>202</v>
      </c>
      <c r="E431" t="s">
        <v>205</v>
      </c>
      <c r="F431" t="s">
        <v>197</v>
      </c>
      <c r="G431" s="12" t="s">
        <v>533</v>
      </c>
      <c r="H431" t="s">
        <v>25</v>
      </c>
      <c r="I431" t="s">
        <v>25</v>
      </c>
    </row>
    <row r="432" spans="1:9" ht="45" x14ac:dyDescent="0.25">
      <c r="A432" s="13" t="s">
        <v>10</v>
      </c>
      <c r="B432" t="str">
        <f>HYPERLINK("https://www.scholarships.unsw.edu.au/scholarships/id/112", "John Niland Scholarship")</f>
        <v>John Niland Scholarship</v>
      </c>
      <c r="C432" t="s">
        <v>27</v>
      </c>
      <c r="D432" t="s">
        <v>528</v>
      </c>
      <c r="E432" t="s">
        <v>201</v>
      </c>
      <c r="F432" t="s">
        <v>13</v>
      </c>
      <c r="G432" s="12" t="s">
        <v>642</v>
      </c>
      <c r="H432" t="s">
        <v>25</v>
      </c>
      <c r="I432" t="s">
        <v>25</v>
      </c>
    </row>
    <row r="433" spans="1:9" ht="60" x14ac:dyDescent="0.25">
      <c r="A433" s="13" t="s">
        <v>10</v>
      </c>
      <c r="B433" t="str">
        <f>HYPERLINK("https://www.scholarships.unsw.edu.au/scholarships/id/1813", "2025 General Merit Undergraduate Scholarships for Commencing Students")</f>
        <v>2025 General Merit Undergraduate Scholarships for Commencing Students</v>
      </c>
      <c r="C433" t="s">
        <v>27</v>
      </c>
      <c r="D433" t="s">
        <v>209</v>
      </c>
      <c r="E433" t="s">
        <v>41</v>
      </c>
      <c r="F433" t="s">
        <v>13</v>
      </c>
      <c r="G433" s="12" t="s">
        <v>643</v>
      </c>
      <c r="H433" t="s">
        <v>25</v>
      </c>
      <c r="I433" t="s">
        <v>25</v>
      </c>
    </row>
    <row r="434" spans="1:9" ht="345" x14ac:dyDescent="0.25">
      <c r="A434" s="13" t="s">
        <v>10</v>
      </c>
      <c r="B434" t="str">
        <f>HYPERLINK("https://www.scholarships.unsw.edu.au/scholarships/id/1633", "School of Chemical Engineering High Achiever Award")</f>
        <v>School of Chemical Engineering High Achiever Award</v>
      </c>
      <c r="C434" t="s">
        <v>27</v>
      </c>
      <c r="D434" t="s">
        <v>209</v>
      </c>
      <c r="E434" t="s">
        <v>201</v>
      </c>
      <c r="F434" t="s">
        <v>13</v>
      </c>
      <c r="G434" s="12" t="s">
        <v>644</v>
      </c>
      <c r="H434" t="s">
        <v>25</v>
      </c>
      <c r="I434" t="s">
        <v>25</v>
      </c>
    </row>
    <row r="435" spans="1:9" ht="60" x14ac:dyDescent="0.25">
      <c r="A435" s="13" t="s">
        <v>10</v>
      </c>
      <c r="B435" t="str">
        <f>HYPERLINK("https://www.scholarships.unsw.edu.au/scholarships/id/1635", "School of Computer Science &amp; Engineering Scholarships for Students Commencing Term 1, 2025")</f>
        <v>School of Computer Science &amp; Engineering Scholarships for Students Commencing Term 1, 2025</v>
      </c>
      <c r="C435" t="s">
        <v>27</v>
      </c>
      <c r="D435" t="s">
        <v>209</v>
      </c>
      <c r="E435" t="s">
        <v>201</v>
      </c>
      <c r="F435" t="s">
        <v>197</v>
      </c>
      <c r="G435" s="12" t="s">
        <v>515</v>
      </c>
      <c r="H435" t="s">
        <v>25</v>
      </c>
      <c r="I435" t="s">
        <v>25</v>
      </c>
    </row>
    <row r="436" spans="1:9" ht="60" x14ac:dyDescent="0.25">
      <c r="A436" s="13" t="s">
        <v>10</v>
      </c>
      <c r="B436" t="str">
        <f>HYPERLINK("https://www.scholarships.unsw.edu.au/scholarships/id/1816", "UNSW Engineering Rural Scholarships Program for Students Commencing Term 1, 2025")</f>
        <v>UNSW Engineering Rural Scholarships Program for Students Commencing Term 1, 2025</v>
      </c>
      <c r="C436" t="s">
        <v>27</v>
      </c>
      <c r="D436" t="s">
        <v>295</v>
      </c>
      <c r="E436" t="s">
        <v>41</v>
      </c>
      <c r="F436" t="s">
        <v>197</v>
      </c>
      <c r="G436" s="12" t="s">
        <v>515</v>
      </c>
      <c r="H436" t="s">
        <v>25</v>
      </c>
      <c r="I436" t="s">
        <v>25</v>
      </c>
    </row>
    <row r="437" spans="1:9" ht="30" x14ac:dyDescent="0.25">
      <c r="A437" s="13" t="s">
        <v>10</v>
      </c>
      <c r="B437" t="str">
        <f>HYPERLINK("https://www.scholarships.unsw.edu.au/scholarships/id/1818", "UNSW Minerals and Energy Resources Engineering Scholarships for Students Commencing Term 1, 2025")</f>
        <v>UNSW Minerals and Energy Resources Engineering Scholarships for Students Commencing Term 1, 2025</v>
      </c>
      <c r="C437" t="s">
        <v>27</v>
      </c>
      <c r="D437" t="s">
        <v>295</v>
      </c>
      <c r="E437" t="s">
        <v>41</v>
      </c>
      <c r="F437" t="s">
        <v>13</v>
      </c>
      <c r="G437" s="12" t="s">
        <v>645</v>
      </c>
      <c r="H437" t="s">
        <v>25</v>
      </c>
      <c r="I437" t="s">
        <v>25</v>
      </c>
    </row>
    <row r="438" spans="1:9" ht="60" x14ac:dyDescent="0.25">
      <c r="A438" s="13" t="s">
        <v>10</v>
      </c>
      <c r="B438" t="str">
        <f>HYPERLINK("https://www.scholarships.unsw.edu.au/scholarships/id/1814", "UNSW Women in Engineering Scholarship Program for Students Commencing Term 1, 2025")</f>
        <v>UNSW Women in Engineering Scholarship Program for Students Commencing Term 1, 2025</v>
      </c>
      <c r="C438" t="s">
        <v>27</v>
      </c>
      <c r="D438" t="s">
        <v>528</v>
      </c>
      <c r="E438" t="s">
        <v>41</v>
      </c>
      <c r="F438" t="s">
        <v>197</v>
      </c>
      <c r="G438" s="12" t="s">
        <v>515</v>
      </c>
      <c r="H438" t="s">
        <v>25</v>
      </c>
      <c r="I438" t="s">
        <v>25</v>
      </c>
    </row>
    <row r="439" spans="1:9" x14ac:dyDescent="0.25">
      <c r="A439" s="13" t="s">
        <v>10</v>
      </c>
      <c r="B439" t="str">
        <f>HYPERLINK("https://www.scholarships.unsw.edu.au/scholarships/id/1735", "Gail Kelly Young Women Leaders Scholarship")</f>
        <v>Gail Kelly Young Women Leaders Scholarship</v>
      </c>
      <c r="C439" t="s">
        <v>27</v>
      </c>
      <c r="D439" t="s">
        <v>202</v>
      </c>
      <c r="E439" t="s">
        <v>331</v>
      </c>
      <c r="F439" t="s">
        <v>13</v>
      </c>
      <c r="G439" s="12" t="s">
        <v>646</v>
      </c>
      <c r="H439" t="s">
        <v>25</v>
      </c>
      <c r="I439" t="s">
        <v>25</v>
      </c>
    </row>
    <row r="440" spans="1:9" ht="75" x14ac:dyDescent="0.25">
      <c r="A440" s="13" t="s">
        <v>10</v>
      </c>
      <c r="B440" t="str">
        <f>HYPERLINK("https://www.scholarships.unsw.edu.au/scholarships/id/1490", "Mike Cannon-Brookes Endowed Scholarship")</f>
        <v>Mike Cannon-Brookes Endowed Scholarship</v>
      </c>
      <c r="C440" t="s">
        <v>27</v>
      </c>
      <c r="D440" t="s">
        <v>202</v>
      </c>
      <c r="E440" t="s">
        <v>41</v>
      </c>
      <c r="F440" t="s">
        <v>13</v>
      </c>
      <c r="G440" s="12" t="s">
        <v>647</v>
      </c>
      <c r="H440" t="s">
        <v>25</v>
      </c>
      <c r="I440" t="s">
        <v>25</v>
      </c>
    </row>
    <row r="441" spans="1:9" ht="60" x14ac:dyDescent="0.25">
      <c r="A441" s="13" t="s">
        <v>10</v>
      </c>
      <c r="B441" t="str">
        <f>HYPERLINK("https://www.scholarships.unsw.edu.au/scholarships/id/1806", "UNSW Business School Merit Scholarships Program for Students Commencing Term 1, 2025")</f>
        <v>UNSW Business School Merit Scholarships Program for Students Commencing Term 1, 2025</v>
      </c>
      <c r="C441" t="s">
        <v>27</v>
      </c>
      <c r="D441" t="s">
        <v>304</v>
      </c>
      <c r="E441" t="s">
        <v>41</v>
      </c>
      <c r="F441" t="s">
        <v>197</v>
      </c>
      <c r="G441" s="12" t="s">
        <v>515</v>
      </c>
      <c r="H441" t="s">
        <v>25</v>
      </c>
      <c r="I441" t="s">
        <v>25</v>
      </c>
    </row>
    <row r="442" spans="1:9" ht="75" x14ac:dyDescent="0.25">
      <c r="A442" s="13" t="s">
        <v>10</v>
      </c>
      <c r="B442" t="str">
        <f>HYPERLINK("https://www.scholarships.unsw.edu.au/scholarships/id/898", "Ian Somervaille Scholarship")</f>
        <v>Ian Somervaille Scholarship</v>
      </c>
      <c r="C442" t="s">
        <v>27</v>
      </c>
      <c r="D442" t="s">
        <v>209</v>
      </c>
      <c r="E442" t="s">
        <v>41</v>
      </c>
      <c r="F442" t="s">
        <v>13</v>
      </c>
      <c r="G442" s="12" t="s">
        <v>648</v>
      </c>
      <c r="H442" t="s">
        <v>25</v>
      </c>
      <c r="I442" t="s">
        <v>25</v>
      </c>
    </row>
    <row r="443" spans="1:9" ht="60" x14ac:dyDescent="0.25">
      <c r="A443" s="13" t="s">
        <v>10</v>
      </c>
      <c r="B443" t="str">
        <f>HYPERLINK("https://www.scholarships.unsw.edu.au/scholarships/id/1810", "UNSW Arts, Design &amp; Architecture Undergraduate Scholarships for Students Commencing Term 1, 2025")</f>
        <v>UNSW Arts, Design &amp; Architecture Undergraduate Scholarships for Students Commencing Term 1, 2025</v>
      </c>
      <c r="C443" t="s">
        <v>27</v>
      </c>
      <c r="D443" t="s">
        <v>209</v>
      </c>
      <c r="E443" t="s">
        <v>201</v>
      </c>
      <c r="F443" t="s">
        <v>197</v>
      </c>
      <c r="G443" s="12" t="s">
        <v>515</v>
      </c>
      <c r="H443" t="s">
        <v>25</v>
      </c>
      <c r="I443" t="s">
        <v>25</v>
      </c>
    </row>
    <row r="444" spans="1:9" ht="45" x14ac:dyDescent="0.25">
      <c r="A444" s="13" t="s">
        <v>10</v>
      </c>
      <c r="B444" t="str">
        <f>HYPERLINK("https://www.scholarships.unsw.edu.au/scholarships/id/1664", "UNSW Law &amp; Justice Undergraduate Criminology and Criminal Justice Excellence Award")</f>
        <v>UNSW Law &amp; Justice Undergraduate Criminology and Criminal Justice Excellence Award</v>
      </c>
      <c r="C444" t="s">
        <v>27</v>
      </c>
      <c r="D444" t="s">
        <v>209</v>
      </c>
      <c r="E444" t="s">
        <v>201</v>
      </c>
      <c r="F444" t="s">
        <v>13</v>
      </c>
      <c r="G444" s="12" t="s">
        <v>649</v>
      </c>
      <c r="H444" t="s">
        <v>25</v>
      </c>
      <c r="I444" t="s">
        <v>25</v>
      </c>
    </row>
    <row r="445" spans="1:9" ht="60" x14ac:dyDescent="0.25">
      <c r="A445" s="13" t="s">
        <v>10</v>
      </c>
      <c r="B445"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45" t="s">
        <v>27</v>
      </c>
      <c r="D445" t="s">
        <v>209</v>
      </c>
      <c r="E445" t="s">
        <v>41</v>
      </c>
      <c r="F445" t="s">
        <v>197</v>
      </c>
      <c r="G445" s="12" t="s">
        <v>515</v>
      </c>
      <c r="H445" t="s">
        <v>25</v>
      </c>
      <c r="I445" t="s">
        <v>25</v>
      </c>
    </row>
    <row r="446" spans="1:9" ht="60" x14ac:dyDescent="0.25">
      <c r="A446" s="13" t="s">
        <v>10</v>
      </c>
      <c r="B446" t="str">
        <f>HYPERLINK("https://www.scholarships.unsw.edu.au/scholarships/id/1812", "UNSW Science Undergraduate Scholarships for Students Commencing Term 1, 2025")</f>
        <v>UNSW Science Undergraduate Scholarships for Students Commencing Term 1, 2025</v>
      </c>
      <c r="C446" t="s">
        <v>27</v>
      </c>
      <c r="D446" t="s">
        <v>209</v>
      </c>
      <c r="E446" t="s">
        <v>41</v>
      </c>
      <c r="F446" t="s">
        <v>197</v>
      </c>
      <c r="G446" s="12" t="s">
        <v>515</v>
      </c>
      <c r="H446" t="s">
        <v>25</v>
      </c>
      <c r="I446" t="s">
        <v>25</v>
      </c>
    </row>
    <row r="447" spans="1:9" ht="135" x14ac:dyDescent="0.25">
      <c r="A447" s="13" t="s">
        <v>10</v>
      </c>
      <c r="B447" t="str">
        <f>HYPERLINK("https://www.scholarships.unsw.edu.au/scholarships/id/1840", "Yiu-Cheung Medical Gateway Scholarship")</f>
        <v>Yiu-Cheung Medical Gateway Scholarship</v>
      </c>
      <c r="C447" t="s">
        <v>27</v>
      </c>
      <c r="D447" t="s">
        <v>202</v>
      </c>
      <c r="E447" t="s">
        <v>41</v>
      </c>
      <c r="F447" t="s">
        <v>13</v>
      </c>
      <c r="G447" s="12" t="s">
        <v>650</v>
      </c>
      <c r="H447" t="s">
        <v>25</v>
      </c>
      <c r="I447" t="s">
        <v>25</v>
      </c>
    </row>
    <row r="448" spans="1:9" ht="375" x14ac:dyDescent="0.25">
      <c r="A448" s="13" t="s">
        <v>10</v>
      </c>
      <c r="B448" t="str">
        <f>HYPERLINK("https://www.scholarships.unsw.edu.au/scholarships/id/1809", "UNSW Community Plus Scholarship")</f>
        <v>UNSW Community Plus Scholarship</v>
      </c>
      <c r="C448" t="s">
        <v>14</v>
      </c>
      <c r="D448" t="s">
        <v>300</v>
      </c>
      <c r="E448" t="s">
        <v>41</v>
      </c>
      <c r="F448" t="s">
        <v>13</v>
      </c>
      <c r="G448" s="12" t="s">
        <v>534</v>
      </c>
      <c r="H448" t="s">
        <v>25</v>
      </c>
      <c r="I448" t="s">
        <v>25</v>
      </c>
    </row>
    <row r="449" spans="1:9" ht="150" x14ac:dyDescent="0.25">
      <c r="A449" s="13" t="s">
        <v>10</v>
      </c>
      <c r="B449" t="str">
        <f>HYPERLINK("https://www.scholarships.unsw.edu.au/scholarships/id/1841", "ARC Centre of Excellence for Weather of the 21st Century Honours Research Award")</f>
        <v>ARC Centre of Excellence for Weather of the 21st Century Honours Research Award</v>
      </c>
      <c r="C449" t="s">
        <v>27</v>
      </c>
      <c r="D449" t="s">
        <v>213</v>
      </c>
      <c r="E449" t="s">
        <v>201</v>
      </c>
      <c r="F449" t="s">
        <v>137</v>
      </c>
      <c r="G449" s="12" t="s">
        <v>535</v>
      </c>
      <c r="H449" t="s">
        <v>25</v>
      </c>
      <c r="I449" t="s">
        <v>25</v>
      </c>
    </row>
    <row r="450" spans="1:9" ht="60" x14ac:dyDescent="0.25">
      <c r="A450" s="13" t="s">
        <v>10</v>
      </c>
      <c r="B450" t="str">
        <f>HYPERLINK("https://www.scholarships.unsw.edu.au/scholarships/id/1845", "Faculty of Science Honours Scholarships - Term 1, 2025")</f>
        <v>Faculty of Science Honours Scholarships - Term 1, 2025</v>
      </c>
      <c r="C450" t="s">
        <v>27</v>
      </c>
      <c r="D450" t="s">
        <v>209</v>
      </c>
      <c r="E450" t="s">
        <v>201</v>
      </c>
      <c r="F450" t="s">
        <v>197</v>
      </c>
      <c r="G450" s="12" t="s">
        <v>515</v>
      </c>
      <c r="H450" t="s">
        <v>25</v>
      </c>
      <c r="I450" t="s">
        <v>25</v>
      </c>
    </row>
    <row r="451" spans="1:9" ht="45" x14ac:dyDescent="0.25">
      <c r="A451" s="13" t="s">
        <v>10</v>
      </c>
      <c r="B451" t="str">
        <f>HYPERLINK("https://www.scholarships.unsw.edu.au/scholarships/id/142", "Lee Whitmont Scholarship")</f>
        <v>Lee Whitmont Scholarship</v>
      </c>
      <c r="C451" t="s">
        <v>27</v>
      </c>
      <c r="D451" t="s">
        <v>209</v>
      </c>
      <c r="E451" t="s">
        <v>201</v>
      </c>
      <c r="F451" t="s">
        <v>13</v>
      </c>
      <c r="G451" s="12" t="s">
        <v>651</v>
      </c>
      <c r="H451" t="s">
        <v>25</v>
      </c>
      <c r="I451" t="s">
        <v>25</v>
      </c>
    </row>
    <row r="452" spans="1:9" ht="60" x14ac:dyDescent="0.25">
      <c r="A452" s="13" t="s">
        <v>10</v>
      </c>
      <c r="B452" t="str">
        <f>HYPERLINK("https://www.scholarships.unsw.edu.au/scholarships/id/1844", "Retinal Research Group Honours Award for Innovation")</f>
        <v>Retinal Research Group Honours Award for Innovation</v>
      </c>
      <c r="C452" t="s">
        <v>27</v>
      </c>
      <c r="D452" t="s">
        <v>209</v>
      </c>
      <c r="E452" t="s">
        <v>201</v>
      </c>
      <c r="F452" t="s">
        <v>137</v>
      </c>
      <c r="G452" s="12" t="s">
        <v>652</v>
      </c>
      <c r="H452" t="s">
        <v>25</v>
      </c>
      <c r="I452" t="s">
        <v>25</v>
      </c>
    </row>
    <row r="453" spans="1:9" ht="255" x14ac:dyDescent="0.25">
      <c r="A453" s="13" t="s">
        <v>10</v>
      </c>
      <c r="B453" t="str">
        <f>HYPERLINK("https://www.scholarships.unsw.edu.au/scholarships/id/1484", "Samar Memorial Honours Award")</f>
        <v>Samar Memorial Honours Award</v>
      </c>
      <c r="C453" t="s">
        <v>27</v>
      </c>
      <c r="D453" t="s">
        <v>209</v>
      </c>
      <c r="E453" t="s">
        <v>201</v>
      </c>
      <c r="F453" t="s">
        <v>137</v>
      </c>
      <c r="G453" s="12" t="s">
        <v>536</v>
      </c>
      <c r="H453" t="s">
        <v>25</v>
      </c>
      <c r="I453" t="s">
        <v>25</v>
      </c>
    </row>
    <row r="454" spans="1:9" ht="60" x14ac:dyDescent="0.25">
      <c r="A454" s="13" t="s">
        <v>10</v>
      </c>
      <c r="B454" t="str">
        <f>HYPERLINK("https://www.scholarships.unsw.edu.au/scholarships/id/1838", "Synergy Protection Agency Award")</f>
        <v>Synergy Protection Agency Award</v>
      </c>
      <c r="C454" t="s">
        <v>27</v>
      </c>
      <c r="D454" t="s">
        <v>209</v>
      </c>
      <c r="E454" t="s">
        <v>201</v>
      </c>
      <c r="F454" t="s">
        <v>51</v>
      </c>
      <c r="G454" s="12" t="s">
        <v>653</v>
      </c>
      <c r="H454" t="s">
        <v>25</v>
      </c>
      <c r="I454" t="s">
        <v>25</v>
      </c>
    </row>
    <row r="455" spans="1:9" ht="60" x14ac:dyDescent="0.25">
      <c r="A455" s="13" t="s">
        <v>10</v>
      </c>
      <c r="B455" t="str">
        <f>HYPERLINK("https://www.scholarships.unsw.edu.au/scholarships/id/1843", "UNSW Arts, Design &amp; Architecture Honours Scholarships - Commencing Term 1, 2025")</f>
        <v>UNSW Arts, Design &amp; Architecture Honours Scholarships - Commencing Term 1, 2025</v>
      </c>
      <c r="C455" t="s">
        <v>27</v>
      </c>
      <c r="D455" t="s">
        <v>209</v>
      </c>
      <c r="E455" t="s">
        <v>201</v>
      </c>
      <c r="F455" t="s">
        <v>197</v>
      </c>
      <c r="G455" s="12" t="s">
        <v>515</v>
      </c>
      <c r="H455" t="s">
        <v>25</v>
      </c>
      <c r="I455" t="s">
        <v>25</v>
      </c>
    </row>
    <row r="456" spans="1:9" ht="60" x14ac:dyDescent="0.25">
      <c r="A456" s="13" t="s">
        <v>10</v>
      </c>
      <c r="B456" t="str">
        <f>HYPERLINK("https://www.scholarships.unsw.edu.au/scholarships/id/1668", "UNSW Business School Honours Scholarships")</f>
        <v>UNSW Business School Honours Scholarships</v>
      </c>
      <c r="C456" t="s">
        <v>27</v>
      </c>
      <c r="D456" t="s">
        <v>209</v>
      </c>
      <c r="E456" t="s">
        <v>201</v>
      </c>
      <c r="F456" t="s">
        <v>197</v>
      </c>
      <c r="G456" s="12" t="s">
        <v>515</v>
      </c>
      <c r="H456" t="s">
        <v>25</v>
      </c>
      <c r="I456" t="s">
        <v>25</v>
      </c>
    </row>
    <row r="457" spans="1:9" ht="195" x14ac:dyDescent="0.25">
      <c r="A457" s="13" t="s">
        <v>10</v>
      </c>
      <c r="B457" t="str">
        <f>HYPERLINK("https://www.scholarships.unsw.edu.au/scholarships/id/1741", "Women in Construction Honours &amp; Postgraduate Award")</f>
        <v>Women in Construction Honours &amp; Postgraduate Award</v>
      </c>
      <c r="C457" t="s">
        <v>27</v>
      </c>
      <c r="D457" t="s">
        <v>209</v>
      </c>
      <c r="E457" t="s">
        <v>201</v>
      </c>
      <c r="F457" t="s">
        <v>35</v>
      </c>
      <c r="G457" s="12" t="s">
        <v>654</v>
      </c>
      <c r="H457" t="s">
        <v>25</v>
      </c>
      <c r="I457" t="s">
        <v>25</v>
      </c>
    </row>
    <row r="458" spans="1:9" ht="60" x14ac:dyDescent="0.25">
      <c r="A458" s="13" t="s">
        <v>10</v>
      </c>
      <c r="B458" t="str">
        <f>HYPERLINK("https://www.scholarships.unsw.edu.au/scholarships/id/1526", "Phillip Goldwyn Matraville High School Scholarship")</f>
        <v>Phillip Goldwyn Matraville High School Scholarship</v>
      </c>
      <c r="C458" t="s">
        <v>27</v>
      </c>
      <c r="D458" t="s">
        <v>209</v>
      </c>
      <c r="E458" t="s">
        <v>285</v>
      </c>
      <c r="F458" t="s">
        <v>197</v>
      </c>
      <c r="G458" s="12" t="s">
        <v>515</v>
      </c>
      <c r="H458" t="s">
        <v>25</v>
      </c>
      <c r="I458" t="s">
        <v>25</v>
      </c>
    </row>
    <row r="459" spans="1:9" ht="75" x14ac:dyDescent="0.25">
      <c r="A459" s="4" t="s">
        <v>8</v>
      </c>
      <c r="B459" s="8" t="str">
        <f>HYPERLINK(" https://www.uts.edu.au/scholarship/wanago-access-scholarship-young-women", "The Wanago Access Scholarship for Young Women")</f>
        <v>The Wanago Access Scholarship for Young Women</v>
      </c>
      <c r="C459" s="7" t="s">
        <v>14</v>
      </c>
      <c r="D459" s="9">
        <v>10000</v>
      </c>
      <c r="E459" s="7">
        <v>5</v>
      </c>
      <c r="F459" s="7" t="s">
        <v>13</v>
      </c>
      <c r="G459" s="10" t="s">
        <v>57</v>
      </c>
      <c r="H459" t="s">
        <v>25</v>
      </c>
      <c r="I459" s="7" t="s">
        <v>25</v>
      </c>
    </row>
    <row r="460" spans="1:9" ht="30" x14ac:dyDescent="0.25">
      <c r="A460" s="4" t="s">
        <v>8</v>
      </c>
      <c r="B460" s="8" t="str">
        <f>HYPERLINK(" https://www.uts.edu.au/scholarship/business-deans-scholarship", "Business Dean's Scholarship")</f>
        <v>Business Dean's Scholarship</v>
      </c>
      <c r="C460" s="7" t="s">
        <v>27</v>
      </c>
      <c r="D460" s="9">
        <v>10000</v>
      </c>
      <c r="E460" s="7">
        <v>3</v>
      </c>
      <c r="F460" s="7" t="s">
        <v>13</v>
      </c>
      <c r="G460" s="10" t="s">
        <v>30</v>
      </c>
      <c r="H460" t="s">
        <v>25</v>
      </c>
      <c r="I460" s="7" t="s">
        <v>25</v>
      </c>
    </row>
    <row r="461" spans="1:9" ht="30" x14ac:dyDescent="0.25">
      <c r="A461" s="4" t="s">
        <v>8</v>
      </c>
      <c r="B461" s="8" t="str">
        <f>HYPERLINK("https://www.uts.edu.au/scholarship/faculty-arts-and-social-sciences-undergraduate-student-merit-scholarship", "Faculty of Arts and Social Sciences Undergraduate Student Merit Scholarship")</f>
        <v>Faculty of Arts and Social Sciences Undergraduate Student Merit Scholarship</v>
      </c>
      <c r="C461" s="7" t="s">
        <v>14</v>
      </c>
      <c r="D461" s="9">
        <v>5000</v>
      </c>
      <c r="E461" s="7">
        <v>1</v>
      </c>
      <c r="F461" s="7" t="s">
        <v>13</v>
      </c>
      <c r="G461" s="10" t="s">
        <v>58</v>
      </c>
      <c r="H461" t="s">
        <v>21</v>
      </c>
      <c r="I461" s="7" t="s">
        <v>25</v>
      </c>
    </row>
    <row r="462" spans="1:9" ht="75" x14ac:dyDescent="0.25">
      <c r="A462" s="4" t="s">
        <v>8</v>
      </c>
      <c r="B462" s="8" t="str">
        <f>HYPERLINK(" https://www.uts.edu.au/scholarship/hansen-yuncken-scholarship-women-construction-and-engineering", "Hansen Yuncken Scholarship for Women in Construction and Engineering")</f>
        <v>Hansen Yuncken Scholarship for Women in Construction and Engineering</v>
      </c>
      <c r="C462" s="7" t="s">
        <v>27</v>
      </c>
      <c r="D462" s="7" t="s">
        <v>59</v>
      </c>
      <c r="E462" s="7">
        <v>1</v>
      </c>
      <c r="F462" s="7" t="s">
        <v>13</v>
      </c>
      <c r="G462" s="10" t="s">
        <v>60</v>
      </c>
      <c r="H462" t="s">
        <v>25</v>
      </c>
      <c r="I462" s="7" t="s">
        <v>16</v>
      </c>
    </row>
    <row r="463" spans="1:9" ht="60" x14ac:dyDescent="0.25">
      <c r="A463" s="4" t="s">
        <v>8</v>
      </c>
      <c r="B463" s="8" t="str">
        <f>HYPERLINK(" https://www.uts.edu.au/scholarship/essence-project-management-scholarship", "Essence Project Management Scholarship")</f>
        <v>Essence Project Management Scholarship</v>
      </c>
      <c r="C463" s="7" t="s">
        <v>27</v>
      </c>
      <c r="D463" s="9">
        <v>10000</v>
      </c>
      <c r="E463" s="7">
        <v>1</v>
      </c>
      <c r="F463" s="7" t="s">
        <v>13</v>
      </c>
      <c r="G463" s="10" t="s">
        <v>61</v>
      </c>
      <c r="H463" t="s">
        <v>25</v>
      </c>
      <c r="I463" t="s">
        <v>16</v>
      </c>
    </row>
    <row r="464" spans="1:9" ht="30" x14ac:dyDescent="0.25">
      <c r="A464" s="4" t="s">
        <v>8</v>
      </c>
      <c r="B464" s="8" t="str">
        <f>HYPERLINK(" https://www.uts.edu.au/scholarship/carl-nielsen-professional-development-scholarship", "Carl Nielsen Professional Development Scholarship")</f>
        <v>Carl Nielsen Professional Development Scholarship</v>
      </c>
      <c r="C464" s="7" t="s">
        <v>27</v>
      </c>
      <c r="D464" s="9">
        <v>5000</v>
      </c>
      <c r="E464" s="7">
        <v>1</v>
      </c>
      <c r="F464" s="7" t="s">
        <v>13</v>
      </c>
      <c r="G464" s="10" t="s">
        <v>62</v>
      </c>
      <c r="H464" t="s">
        <v>25</v>
      </c>
      <c r="I464" t="s">
        <v>25</v>
      </c>
    </row>
    <row r="465" spans="1:9" ht="30" x14ac:dyDescent="0.25">
      <c r="A465" s="4" t="s">
        <v>8</v>
      </c>
      <c r="B465" s="8" t="str">
        <f>HYPERLINK(" https://www.uts.edu.au/scholarship/garth-barnett-scholarship", "Garth Barnett Scholarship")</f>
        <v>Garth Barnett Scholarship</v>
      </c>
      <c r="C465" s="7" t="s">
        <v>27</v>
      </c>
      <c r="D465" s="9">
        <v>9000</v>
      </c>
      <c r="E465" s="7">
        <v>2</v>
      </c>
      <c r="F465" s="7" t="s">
        <v>13</v>
      </c>
      <c r="G465" s="10" t="s">
        <v>62</v>
      </c>
      <c r="H465" t="s">
        <v>25</v>
      </c>
      <c r="I465" t="s">
        <v>25</v>
      </c>
    </row>
    <row r="466" spans="1:9" ht="60" x14ac:dyDescent="0.25">
      <c r="A466" s="4" t="s">
        <v>8</v>
      </c>
      <c r="B466" s="8" t="str">
        <f>HYPERLINK("https://www.uts.edu.au/scholarship/richard-crookes-constructions-merit-scholarship-women", "Richard Crookes Constructions Merit Scholarship for Women")</f>
        <v>Richard Crookes Constructions Merit Scholarship for Women</v>
      </c>
      <c r="C466" s="7" t="s">
        <v>27</v>
      </c>
      <c r="D466" s="9">
        <v>5000</v>
      </c>
      <c r="E466" s="7">
        <v>2</v>
      </c>
      <c r="F466" s="7" t="s">
        <v>13</v>
      </c>
      <c r="G466" s="10" t="s">
        <v>63</v>
      </c>
      <c r="H466" t="s">
        <v>25</v>
      </c>
      <c r="I466" t="s">
        <v>16</v>
      </c>
    </row>
    <row r="467" spans="1:9" ht="45" x14ac:dyDescent="0.25">
      <c r="A467" s="4" t="s">
        <v>8</v>
      </c>
      <c r="B467" s="8" t="str">
        <f>HYPERLINK(" https://www.uts.edu.au/scholarship/charter-hall-property-economics-scholarship", "Charter Hall Property Economics Scholarship")</f>
        <v>Charter Hall Property Economics Scholarship</v>
      </c>
      <c r="C467" s="7" t="s">
        <v>27</v>
      </c>
      <c r="D467" s="9">
        <v>10000</v>
      </c>
      <c r="E467" s="7">
        <v>1</v>
      </c>
      <c r="F467" s="7" t="s">
        <v>13</v>
      </c>
      <c r="G467" s="10" t="s">
        <v>64</v>
      </c>
      <c r="H467" t="s">
        <v>21</v>
      </c>
      <c r="I467" t="s">
        <v>16</v>
      </c>
    </row>
    <row r="468" spans="1:9" ht="60" x14ac:dyDescent="0.25">
      <c r="A468" s="4" t="s">
        <v>8</v>
      </c>
      <c r="B468" s="8" t="str">
        <f>HYPERLINK(" https://www.uts.edu.au/scholarship/cox-architecture-scholarship", "Cox Architecture Scholarship")</f>
        <v>Cox Architecture Scholarship</v>
      </c>
      <c r="C468" s="7" t="s">
        <v>27</v>
      </c>
      <c r="D468" s="9">
        <v>10000</v>
      </c>
      <c r="E468" s="7">
        <v>1</v>
      </c>
      <c r="F468" s="7" t="s">
        <v>13</v>
      </c>
      <c r="G468" s="10" t="s">
        <v>65</v>
      </c>
      <c r="H468" t="s">
        <v>25</v>
      </c>
      <c r="I468" t="s">
        <v>16</v>
      </c>
    </row>
    <row r="469" spans="1:9" ht="75" x14ac:dyDescent="0.25">
      <c r="A469" s="4" t="s">
        <v>8</v>
      </c>
      <c r="B469" s="8" t="str">
        <f>HYPERLINK(" https://www.uts.edu.au/scholarship/mirvac-group-merit-scholarship-women-construction", "Mirvac Group Merit Scholarship for Women in Construction")</f>
        <v>Mirvac Group Merit Scholarship for Women in Construction</v>
      </c>
      <c r="C469" s="7" t="s">
        <v>27</v>
      </c>
      <c r="D469" s="9">
        <v>15000</v>
      </c>
      <c r="E469" s="7">
        <v>1</v>
      </c>
      <c r="F469" s="7" t="s">
        <v>13</v>
      </c>
      <c r="G469" s="10" t="s">
        <v>66</v>
      </c>
      <c r="H469" t="s">
        <v>25</v>
      </c>
      <c r="I469" t="s">
        <v>16</v>
      </c>
    </row>
    <row r="470" spans="1:9" ht="45" x14ac:dyDescent="0.25">
      <c r="A470" s="4" t="s">
        <v>8</v>
      </c>
      <c r="B470" s="8" t="str">
        <f>HYPERLINK("https://www.uts.edu.au/scholarship/order-australia-association-foundation-scholarship", "The Order of Australia Association Foundation Scholarship")</f>
        <v>The Order of Australia Association Foundation Scholarship</v>
      </c>
      <c r="C470" s="7" t="s">
        <v>27</v>
      </c>
      <c r="D470" s="9">
        <v>40000</v>
      </c>
      <c r="E470" s="7">
        <v>2</v>
      </c>
      <c r="F470" s="7" t="s">
        <v>13</v>
      </c>
      <c r="G470" s="10" t="s">
        <v>67</v>
      </c>
      <c r="H470" t="s">
        <v>25</v>
      </c>
      <c r="I470" t="s">
        <v>25</v>
      </c>
    </row>
    <row r="471" spans="1:9" ht="45" x14ac:dyDescent="0.25">
      <c r="A471" s="4" t="s">
        <v>8</v>
      </c>
      <c r="B471" s="8" t="str">
        <f>HYPERLINK("https://www.uts.edu.au/scholarship/toshiba-nathan-godby-engineering-scholarship", "Toshiba Nathan Godby Engineering Scholarship")</f>
        <v>Toshiba Nathan Godby Engineering Scholarship</v>
      </c>
      <c r="C471" s="7" t="s">
        <v>27</v>
      </c>
      <c r="D471" s="9">
        <v>25000</v>
      </c>
      <c r="E471" s="7">
        <v>0.5</v>
      </c>
      <c r="F471" s="7" t="s">
        <v>68</v>
      </c>
      <c r="G471" s="10" t="s">
        <v>69</v>
      </c>
      <c r="H471" t="s">
        <v>25</v>
      </c>
      <c r="I471" s="7" t="s">
        <v>16</v>
      </c>
    </row>
    <row r="472" spans="1:9" ht="60" x14ac:dyDescent="0.25">
      <c r="A472" s="4" t="s">
        <v>8</v>
      </c>
      <c r="B472" s="8" t="str">
        <f>HYPERLINK("https://www.uts.edu.au/scholarship/john-heine-memorial-scholarship-women-engineering", "John Heine Memorial Scholarship for Women in Engineering")</f>
        <v>John Heine Memorial Scholarship for Women in Engineering</v>
      </c>
      <c r="C472" s="7" t="s">
        <v>27</v>
      </c>
      <c r="D472" s="9">
        <v>23000</v>
      </c>
      <c r="E472" s="7">
        <v>5</v>
      </c>
      <c r="F472" s="7" t="s">
        <v>68</v>
      </c>
      <c r="G472" s="10" t="s">
        <v>70</v>
      </c>
      <c r="H472" t="s">
        <v>25</v>
      </c>
      <c r="I472" t="s">
        <v>25</v>
      </c>
    </row>
    <row r="473" spans="1:9" ht="60" x14ac:dyDescent="0.25">
      <c r="A473" s="4" t="s">
        <v>8</v>
      </c>
      <c r="B473" s="8" t="str">
        <f>HYPERLINK("https://www.uts.edu.au/scholarship/wj-lm-sinclair-scholarship-engineering", "WJ &amp; LM Sinclair Scholarship in Engineering")</f>
        <v>WJ &amp; LM Sinclair Scholarship in Engineering</v>
      </c>
      <c r="C473" s="7" t="s">
        <v>14</v>
      </c>
      <c r="D473" s="9">
        <v>20000</v>
      </c>
      <c r="E473" s="7">
        <v>5</v>
      </c>
      <c r="F473" s="7" t="s">
        <v>68</v>
      </c>
      <c r="G473" s="10" t="s">
        <v>71</v>
      </c>
      <c r="H473" t="s">
        <v>21</v>
      </c>
      <c r="I473" s="7" t="s">
        <v>25</v>
      </c>
    </row>
    <row r="474" spans="1:9" ht="45" x14ac:dyDescent="0.25">
      <c r="A474" s="4" t="s">
        <v>8</v>
      </c>
      <c r="B474" s="8" t="str">
        <f>HYPERLINK("https://www.uts.edu.au/scholarship/canon-medical-systems-uts-engineering-scholarship", "Canon Medical Systems – UTS Engineering Scholarship")</f>
        <v>Canon Medical Systems – UTS Engineering Scholarship</v>
      </c>
      <c r="C474" s="7" t="s">
        <v>27</v>
      </c>
      <c r="D474" s="9">
        <v>29000</v>
      </c>
      <c r="E474" s="7">
        <v>1</v>
      </c>
      <c r="F474" s="7" t="s">
        <v>68</v>
      </c>
      <c r="G474" s="10" t="s">
        <v>69</v>
      </c>
      <c r="H474" t="s">
        <v>25</v>
      </c>
      <c r="I474" s="7" t="s">
        <v>16</v>
      </c>
    </row>
    <row r="475" spans="1:9" ht="30" x14ac:dyDescent="0.25">
      <c r="A475" s="4" t="s">
        <v>8</v>
      </c>
      <c r="B475" s="8" t="str">
        <f>HYPERLINK("https://www.uts.edu.au/scholarship/eleanor-dunn-scholarship-engineering", "The Eleanor Dunn Scholarship in Engineering")</f>
        <v>The Eleanor Dunn Scholarship in Engineering</v>
      </c>
      <c r="C475" s="7" t="s">
        <v>14</v>
      </c>
      <c r="D475" s="7" t="s">
        <v>72</v>
      </c>
      <c r="E475" s="7">
        <v>5</v>
      </c>
      <c r="F475" s="7" t="s">
        <v>68</v>
      </c>
      <c r="G475" s="10" t="s">
        <v>73</v>
      </c>
      <c r="H475" t="s">
        <v>25</v>
      </c>
      <c r="I475" s="7" t="s">
        <v>25</v>
      </c>
    </row>
    <row r="476" spans="1:9" ht="60" x14ac:dyDescent="0.25">
      <c r="A476" s="4" t="s">
        <v>8</v>
      </c>
      <c r="B476" s="8" t="str">
        <f>HYPERLINK("https://www.uts.edu.au/scholarship/ericsson-scholarship-women-ict-and-engineering", "Ericsson Scholarship for Women in ICT and Engineering")</f>
        <v>Ericsson Scholarship for Women in ICT and Engineering</v>
      </c>
      <c r="C476" s="7" t="s">
        <v>27</v>
      </c>
      <c r="D476" s="7" t="s">
        <v>74</v>
      </c>
      <c r="E476" s="7" t="s">
        <v>75</v>
      </c>
      <c r="F476" s="7" t="s">
        <v>68</v>
      </c>
      <c r="G476" s="10" t="s">
        <v>76</v>
      </c>
      <c r="H476" t="s">
        <v>25</v>
      </c>
      <c r="I476" s="7" t="s">
        <v>16</v>
      </c>
    </row>
    <row r="477" spans="1:9" ht="45" x14ac:dyDescent="0.25">
      <c r="A477" s="4" t="s">
        <v>8</v>
      </c>
      <c r="B477" s="8" t="str">
        <f>HYPERLINK("https://www.uts.edu.au/scholarship/thales-senior-cooperative-scholarship", "The Thales Senior Cooperative Scholarship")</f>
        <v>The Thales Senior Cooperative Scholarship</v>
      </c>
      <c r="C477" s="7" t="s">
        <v>27</v>
      </c>
      <c r="D477" s="7" t="s">
        <v>77</v>
      </c>
      <c r="E477" s="7" t="s">
        <v>78</v>
      </c>
      <c r="F477" s="7" t="s">
        <v>68</v>
      </c>
      <c r="G477" s="10" t="s">
        <v>79</v>
      </c>
      <c r="H477" t="s">
        <v>25</v>
      </c>
      <c r="I477" s="7" t="s">
        <v>16</v>
      </c>
    </row>
    <row r="478" spans="1:9" ht="60" x14ac:dyDescent="0.25">
      <c r="A478" s="4" t="s">
        <v>8</v>
      </c>
      <c r="B478" s="8" t="str">
        <f>HYPERLINK("https://www.uts.edu.au/scholarship/linden-little-engineering-equity-scholarship", "Linden Little Engineering Equity Scholarship")</f>
        <v>Linden Little Engineering Equity Scholarship</v>
      </c>
      <c r="C478" s="7" t="s">
        <v>14</v>
      </c>
      <c r="D478" s="9">
        <v>17500</v>
      </c>
      <c r="E478" s="7">
        <v>2</v>
      </c>
      <c r="F478" s="7" t="s">
        <v>68</v>
      </c>
      <c r="G478" s="10" t="s">
        <v>71</v>
      </c>
      <c r="H478" t="s">
        <v>25</v>
      </c>
      <c r="I478" t="s">
        <v>25</v>
      </c>
    </row>
    <row r="479" spans="1:9" ht="60" x14ac:dyDescent="0.25">
      <c r="A479" s="4" t="s">
        <v>8</v>
      </c>
      <c r="B479" s="8" t="str">
        <f>HYPERLINK("https://www.uts.edu.au/scholarship/john-heine-memorial-scholarship-engineering", "John Heine Memorial Scholarship in Engineering")</f>
        <v>John Heine Memorial Scholarship in Engineering</v>
      </c>
      <c r="C479" s="7" t="s">
        <v>14</v>
      </c>
      <c r="D479" s="9">
        <v>23000</v>
      </c>
      <c r="E479" s="7">
        <v>5</v>
      </c>
      <c r="F479" s="7" t="s">
        <v>68</v>
      </c>
      <c r="G479" s="10" t="s">
        <v>71</v>
      </c>
      <c r="H479" t="s">
        <v>25</v>
      </c>
      <c r="I479" t="s">
        <v>25</v>
      </c>
    </row>
    <row r="480" spans="1:9" ht="45" x14ac:dyDescent="0.25">
      <c r="A480" s="4" t="s">
        <v>8</v>
      </c>
      <c r="B480" s="8" t="str">
        <f>HYPERLINK("https://www.uts.edu.au/scholarship/engineering-and-information-technology-deans-scholarship", "Engineering and Information Technology Dean’s Scholarship")</f>
        <v>Engineering and Information Technology Dean’s Scholarship</v>
      </c>
      <c r="C480" s="7" t="s">
        <v>27</v>
      </c>
      <c r="D480" s="9">
        <v>30000</v>
      </c>
      <c r="E480" s="7">
        <v>2</v>
      </c>
      <c r="F480" s="7" t="s">
        <v>13</v>
      </c>
      <c r="G480" s="10" t="s">
        <v>79</v>
      </c>
      <c r="H480" t="s">
        <v>25</v>
      </c>
      <c r="I480" t="s">
        <v>25</v>
      </c>
    </row>
    <row r="481" spans="1:9" ht="30" x14ac:dyDescent="0.25">
      <c r="A481" s="4" t="s">
        <v>8</v>
      </c>
      <c r="B481" s="8" t="str">
        <f>HYPERLINK("https://www.uts.edu.au/scholarship/health-deans-scholarship", "Health Dean’s Scholarship")</f>
        <v>Health Dean’s Scholarship</v>
      </c>
      <c r="C481" s="7" t="s">
        <v>27</v>
      </c>
      <c r="D481" s="9">
        <v>10000</v>
      </c>
      <c r="E481" s="7">
        <v>1</v>
      </c>
      <c r="F481" s="7" t="s">
        <v>13</v>
      </c>
      <c r="G481" s="10" t="s">
        <v>81</v>
      </c>
      <c r="H481" t="s">
        <v>25</v>
      </c>
      <c r="I481" t="s">
        <v>25</v>
      </c>
    </row>
    <row r="482" spans="1:9" ht="45" x14ac:dyDescent="0.25">
      <c r="A482" s="4" t="s">
        <v>8</v>
      </c>
      <c r="B482" s="8" t="str">
        <f>HYPERLINK("https://www.uts.edu.au/scholarship/challenger-it-scholarship", "Challenger IT Scholarship")</f>
        <v>Challenger IT Scholarship</v>
      </c>
      <c r="C482" s="7" t="s">
        <v>27</v>
      </c>
      <c r="D482" s="9">
        <v>43000</v>
      </c>
      <c r="E482" s="7">
        <v>1</v>
      </c>
      <c r="F482" s="7" t="s">
        <v>68</v>
      </c>
      <c r="G482" s="10" t="s">
        <v>82</v>
      </c>
      <c r="H482" t="s">
        <v>25</v>
      </c>
      <c r="I482" s="7" t="s">
        <v>16</v>
      </c>
    </row>
    <row r="483" spans="1:9" ht="60" x14ac:dyDescent="0.25">
      <c r="A483" s="4" t="s">
        <v>8</v>
      </c>
      <c r="B483" s="8" t="str">
        <f>HYPERLINK("https://www.uts.edu.au/scholarship/bachelor-information-technology-co-operative-scholarship-program", "Bachelor of Information Technology Co-operative Scholarship Program")</f>
        <v>Bachelor of Information Technology Co-operative Scholarship Program</v>
      </c>
      <c r="C483" s="7" t="s">
        <v>27</v>
      </c>
      <c r="D483" s="11" t="s">
        <v>83</v>
      </c>
      <c r="E483" s="7">
        <v>3</v>
      </c>
      <c r="F483" s="7" t="s">
        <v>13</v>
      </c>
      <c r="G483" s="10" t="s">
        <v>84</v>
      </c>
      <c r="H483" t="s">
        <v>25</v>
      </c>
      <c r="I483" s="7" t="s">
        <v>16</v>
      </c>
    </row>
    <row r="484" spans="1:9" ht="30" x14ac:dyDescent="0.25">
      <c r="A484" s="4" t="s">
        <v>8</v>
      </c>
      <c r="B484" s="8" t="str">
        <f>HYPERLINK("https://www.uts.edu.au/scholarship/law-equity-scholarship", "Law Equity Scholarship")</f>
        <v>Law Equity Scholarship</v>
      </c>
      <c r="C484" s="7" t="s">
        <v>14</v>
      </c>
      <c r="D484" s="9">
        <v>5000</v>
      </c>
      <c r="E484" s="7">
        <v>4</v>
      </c>
      <c r="F484" s="7" t="s">
        <v>13</v>
      </c>
      <c r="G484" s="10" t="s">
        <v>85</v>
      </c>
      <c r="H484" t="s">
        <v>25</v>
      </c>
      <c r="I484" t="s">
        <v>25</v>
      </c>
    </row>
    <row r="485" spans="1:9" ht="45" x14ac:dyDescent="0.25">
      <c r="A485" s="4" t="s">
        <v>8</v>
      </c>
      <c r="B485" s="8" t="str">
        <f>HYPERLINK("https://www.uts.edu.au/scholarship/ezekiel-solomon-scholarship", "Ezekiel Solomon Scholarship")</f>
        <v>Ezekiel Solomon Scholarship</v>
      </c>
      <c r="C485" s="7" t="s">
        <v>14</v>
      </c>
      <c r="D485" s="9">
        <v>5000</v>
      </c>
      <c r="E485" s="7">
        <v>1</v>
      </c>
      <c r="F485" s="7" t="s">
        <v>13</v>
      </c>
      <c r="G485" s="10" t="s">
        <v>86</v>
      </c>
      <c r="H485" t="s">
        <v>25</v>
      </c>
      <c r="I485" t="s">
        <v>25</v>
      </c>
    </row>
    <row r="486" spans="1:9" ht="45" x14ac:dyDescent="0.25">
      <c r="A486" s="4" t="s">
        <v>8</v>
      </c>
      <c r="B486" s="8" t="str">
        <f>HYPERLINK("https://www.uts.edu.au/scholarship/eric-dreikurs-scholarship", "Eric Dreikurs Scholarship")</f>
        <v>Eric Dreikurs Scholarship</v>
      </c>
      <c r="C486" s="7" t="s">
        <v>14</v>
      </c>
      <c r="D486" s="9">
        <v>6000</v>
      </c>
      <c r="E486" s="7">
        <v>1</v>
      </c>
      <c r="F486" s="7" t="s">
        <v>13</v>
      </c>
      <c r="G486" s="10" t="s">
        <v>86</v>
      </c>
      <c r="H486" t="s">
        <v>25</v>
      </c>
      <c r="I486" t="s">
        <v>25</v>
      </c>
    </row>
    <row r="487" spans="1:9" ht="30" x14ac:dyDescent="0.25">
      <c r="A487" s="4" t="s">
        <v>8</v>
      </c>
      <c r="B487" s="8" t="str">
        <f>HYPERLINK("https://www.uts.edu.au/scholarship/law-deans-scholarship", "Law Dean’s Scholarship")</f>
        <v>Law Dean’s Scholarship</v>
      </c>
      <c r="C487" s="7" t="s">
        <v>27</v>
      </c>
      <c r="D487" s="9">
        <v>10000</v>
      </c>
      <c r="E487" s="7">
        <v>1</v>
      </c>
      <c r="F487" s="7" t="s">
        <v>13</v>
      </c>
      <c r="G487" s="10" t="s">
        <v>87</v>
      </c>
      <c r="H487" t="s">
        <v>25</v>
      </c>
      <c r="I487" t="s">
        <v>25</v>
      </c>
    </row>
    <row r="488" spans="1:9" ht="60" x14ac:dyDescent="0.25">
      <c r="A488" s="4" t="s">
        <v>8</v>
      </c>
      <c r="B488" s="8" t="str">
        <f>HYPERLINK("https://www.uts.edu.au/scholarship/law-diversity-and-equity-scholarship", "Law Diversity and Equity Scholarship")</f>
        <v>Law Diversity and Equity Scholarship</v>
      </c>
      <c r="C488" s="7" t="s">
        <v>14</v>
      </c>
      <c r="D488" s="9">
        <v>10000</v>
      </c>
      <c r="E488" s="7">
        <v>1</v>
      </c>
      <c r="F488" s="7" t="s">
        <v>13</v>
      </c>
      <c r="G488" s="10" t="s">
        <v>88</v>
      </c>
      <c r="H488" t="s">
        <v>21</v>
      </c>
      <c r="I488" t="s">
        <v>25</v>
      </c>
    </row>
    <row r="489" spans="1:9" ht="30" x14ac:dyDescent="0.25">
      <c r="A489" s="4" t="s">
        <v>8</v>
      </c>
      <c r="B489" s="8" t="str">
        <f>HYPERLINK("https://www.uts.edu.au/scholarship/science-deans-scholarship", "Science Dean's Scholarship")</f>
        <v>Science Dean's Scholarship</v>
      </c>
      <c r="C489" s="7" t="s">
        <v>27</v>
      </c>
      <c r="D489" s="9">
        <v>15000</v>
      </c>
      <c r="E489" s="7">
        <v>3</v>
      </c>
      <c r="F489" s="7" t="s">
        <v>13</v>
      </c>
      <c r="G489" s="10" t="s">
        <v>90</v>
      </c>
      <c r="H489" t="s">
        <v>25</v>
      </c>
      <c r="I489" t="s">
        <v>25</v>
      </c>
    </row>
    <row r="490" spans="1:9" ht="45" x14ac:dyDescent="0.25">
      <c r="A490" s="4" t="s">
        <v>8</v>
      </c>
      <c r="B490" s="8" t="str">
        <f>HYPERLINK(" https://www.uts.edu.au/scholarship/science-deans-scholarship-women", "Science Dean’s Scholarship for Women")</f>
        <v>Science Dean’s Scholarship for Women</v>
      </c>
      <c r="C490" s="7" t="s">
        <v>27</v>
      </c>
      <c r="D490" s="9">
        <v>15000</v>
      </c>
      <c r="E490" s="7">
        <v>3</v>
      </c>
      <c r="F490" s="7" t="s">
        <v>13</v>
      </c>
      <c r="G490" s="10" t="s">
        <v>89</v>
      </c>
      <c r="H490" t="s">
        <v>25</v>
      </c>
      <c r="I490" t="s">
        <v>25</v>
      </c>
    </row>
    <row r="491" spans="1:9" ht="45" x14ac:dyDescent="0.25">
      <c r="A491" s="4" t="s">
        <v>8</v>
      </c>
      <c r="B491" s="8" t="str">
        <f>HYPERLINK("https://www.uts.edu.au/scholarship/uts-science-high-achievers-scholarship-0", "UTS Science High Achiever’s Scholarship")</f>
        <v>UTS Science High Achiever’s Scholarship</v>
      </c>
      <c r="C491" s="7" t="s">
        <v>27</v>
      </c>
      <c r="D491" s="9">
        <v>6000</v>
      </c>
      <c r="E491" s="7">
        <v>3</v>
      </c>
      <c r="F491" s="7" t="s">
        <v>13</v>
      </c>
      <c r="G491" s="10" t="s">
        <v>89</v>
      </c>
      <c r="H491" t="s">
        <v>25</v>
      </c>
      <c r="I491" t="s">
        <v>25</v>
      </c>
    </row>
    <row r="492" spans="1:9" ht="30" x14ac:dyDescent="0.25">
      <c r="A492" s="4" t="s">
        <v>8</v>
      </c>
      <c r="B492" s="8" t="str">
        <f>HYPERLINK("https://www.uts.edu.au/scholarship/ross-milbourne-elite-athlete-scholarship", "Ross Milbourne Elite Athlete Scholarship")</f>
        <v>Ross Milbourne Elite Athlete Scholarship</v>
      </c>
      <c r="C492" s="7" t="s">
        <v>27</v>
      </c>
      <c r="D492" s="9">
        <v>5000</v>
      </c>
      <c r="E492" s="7">
        <v>1</v>
      </c>
      <c r="F492" s="7" t="s">
        <v>91</v>
      </c>
      <c r="G492" s="10" t="s">
        <v>92</v>
      </c>
      <c r="H492" t="s">
        <v>25</v>
      </c>
      <c r="I492" t="s">
        <v>25</v>
      </c>
    </row>
    <row r="493" spans="1:9" ht="30" x14ac:dyDescent="0.25">
      <c r="A493" s="4" t="s">
        <v>8</v>
      </c>
      <c r="B493" s="8" t="str">
        <f>HYPERLINK("https://www.uts.edu.au/scholarship/tertiary-access-payment-tap", "Tertiary Access Payment (TAP)")</f>
        <v>Tertiary Access Payment (TAP)</v>
      </c>
      <c r="C493" s="7" t="s">
        <v>14</v>
      </c>
      <c r="D493" s="9" t="s">
        <v>23</v>
      </c>
      <c r="E493" s="7">
        <v>1</v>
      </c>
      <c r="F493" s="7" t="s">
        <v>93</v>
      </c>
      <c r="G493" s="10" t="s">
        <v>94</v>
      </c>
      <c r="H493" t="s">
        <v>25</v>
      </c>
      <c r="I493" t="s">
        <v>25</v>
      </c>
    </row>
    <row r="494" spans="1:9" ht="30" x14ac:dyDescent="0.25">
      <c r="A494" s="4" t="s">
        <v>8</v>
      </c>
      <c r="B494" s="8" t="str">
        <f>HYPERLINK("https://www.uts.edu.au/scholarship/gradwell-brungs-scholarship", "The Gradwell Brungs Scholarship")</f>
        <v>The Gradwell Brungs Scholarship</v>
      </c>
      <c r="C494" s="7" t="s">
        <v>27</v>
      </c>
      <c r="D494" s="11" t="s">
        <v>95</v>
      </c>
      <c r="E494" s="7">
        <v>4</v>
      </c>
      <c r="F494" s="7" t="s">
        <v>13</v>
      </c>
      <c r="G494" s="10" t="s">
        <v>96</v>
      </c>
      <c r="H494" t="s">
        <v>25</v>
      </c>
      <c r="I494" t="s">
        <v>25</v>
      </c>
    </row>
    <row r="495" spans="1:9" ht="45" x14ac:dyDescent="0.25">
      <c r="A495" s="4" t="s">
        <v>8</v>
      </c>
      <c r="B495" s="8" t="str">
        <f>HYPERLINK("https://www.uts.edu.au/scholarship/vice-chancellors-merit-scholarship", "Vice-Chancellor's Merit Scholarship")</f>
        <v>Vice-Chancellor's Merit Scholarship</v>
      </c>
      <c r="C495" s="7" t="s">
        <v>14</v>
      </c>
      <c r="D495" s="11" t="s">
        <v>97</v>
      </c>
      <c r="E495" s="7" t="s">
        <v>41</v>
      </c>
      <c r="F495" s="7" t="s">
        <v>13</v>
      </c>
      <c r="G495" s="10" t="s">
        <v>98</v>
      </c>
      <c r="H495" t="s">
        <v>25</v>
      </c>
      <c r="I495" t="s">
        <v>25</v>
      </c>
    </row>
    <row r="496" spans="1:9" x14ac:dyDescent="0.25">
      <c r="A496" s="4" t="s">
        <v>8</v>
      </c>
      <c r="B496" s="8" t="str">
        <f>HYPERLINK("https://www.uts.edu.au/scholarship/vice-chancellors-outstanding-achievement-scholarship", "Vice-Chancellor's Outstanding Achievement Scholarship")</f>
        <v>Vice-Chancellor's Outstanding Achievement Scholarship</v>
      </c>
      <c r="C496" s="7" t="s">
        <v>27</v>
      </c>
      <c r="D496" s="11" t="s">
        <v>97</v>
      </c>
      <c r="E496" s="7" t="s">
        <v>41</v>
      </c>
      <c r="F496" s="7" t="s">
        <v>13</v>
      </c>
      <c r="G496" s="7" t="s">
        <v>99</v>
      </c>
      <c r="H496" t="s">
        <v>25</v>
      </c>
      <c r="I496" t="s">
        <v>25</v>
      </c>
    </row>
    <row r="497" spans="1:9" x14ac:dyDescent="0.25">
      <c r="A497" s="4" t="s">
        <v>8</v>
      </c>
      <c r="B497" s="8" t="str">
        <f>HYPERLINK("https://www.uts.edu.au/scholarship/lawrence-vidoni-memorial-scholarship-0", "Lawrence Vidoni Memorial Scholarship")</f>
        <v>Lawrence Vidoni Memorial Scholarship</v>
      </c>
      <c r="C497" s="7" t="s">
        <v>14</v>
      </c>
      <c r="D497" s="9">
        <v>9000</v>
      </c>
      <c r="E497" s="7">
        <v>3</v>
      </c>
      <c r="F497" s="7" t="s">
        <v>13</v>
      </c>
      <c r="G497" s="7" t="s">
        <v>100</v>
      </c>
      <c r="H497" t="s">
        <v>25</v>
      </c>
      <c r="I497" t="s">
        <v>25</v>
      </c>
    </row>
    <row r="498" spans="1:9" ht="45" x14ac:dyDescent="0.25">
      <c r="A498" s="4" t="s">
        <v>8</v>
      </c>
      <c r="B498" s="8" t="str">
        <f>HYPERLINK("https://www.uts.edu.au/scholarship/uts-economics-discipline-group-honours-scholarship", "UTS Business School Economics Honours Scholarship")</f>
        <v>UTS Business School Economics Honours Scholarship</v>
      </c>
      <c r="C498" s="7" t="s">
        <v>27</v>
      </c>
      <c r="D498" s="9">
        <v>5000</v>
      </c>
      <c r="E498" s="7">
        <v>1</v>
      </c>
      <c r="F498" s="7" t="s">
        <v>13</v>
      </c>
      <c r="G498" s="10" t="s">
        <v>101</v>
      </c>
      <c r="H498" t="s">
        <v>25</v>
      </c>
      <c r="I498" t="s">
        <v>25</v>
      </c>
    </row>
    <row r="499" spans="1:9" ht="45" x14ac:dyDescent="0.25">
      <c r="A499" s="4" t="s">
        <v>8</v>
      </c>
      <c r="B499" s="8" t="str">
        <f>HYPERLINK("https://www.uts.edu.au/scholarship/refinitiv-finance-honours-scholarship", "Refinitiv Finance Honours Scholarship")</f>
        <v>Refinitiv Finance Honours Scholarship</v>
      </c>
      <c r="C499" s="7" t="s">
        <v>27</v>
      </c>
      <c r="D499" s="9">
        <v>5000</v>
      </c>
      <c r="E499" s="7">
        <v>2</v>
      </c>
      <c r="F499" s="7" t="s">
        <v>13</v>
      </c>
      <c r="G499" s="10" t="s">
        <v>102</v>
      </c>
      <c r="H499" t="s">
        <v>25</v>
      </c>
      <c r="I499" t="s">
        <v>25</v>
      </c>
    </row>
    <row r="500" spans="1:9" ht="45" x14ac:dyDescent="0.25">
      <c r="A500" s="4" t="s">
        <v>8</v>
      </c>
      <c r="B500" s="8" t="str">
        <f>HYPERLINK("https://www.uts.edu.au/scholarship/uts-business-school-honours-scholarship", "UTS Business School Honours Scholarship")</f>
        <v>UTS Business School Honours Scholarship</v>
      </c>
      <c r="C500" s="7" t="s">
        <v>27</v>
      </c>
      <c r="D500" s="9">
        <v>5000</v>
      </c>
      <c r="E500" s="7">
        <v>1</v>
      </c>
      <c r="F500" s="7" t="s">
        <v>103</v>
      </c>
      <c r="G500" s="10" t="s">
        <v>104</v>
      </c>
      <c r="H500" t="s">
        <v>25</v>
      </c>
      <c r="I500" t="s">
        <v>25</v>
      </c>
    </row>
    <row r="501" spans="1:9" ht="45" x14ac:dyDescent="0.25">
      <c r="A501" s="4" t="s">
        <v>8</v>
      </c>
      <c r="B501" s="8" t="str">
        <f>HYPERLINK(" https://www.uts.edu.au/scholarship/marketing-honours-scholarship", "Marketing Honours Scholarship")</f>
        <v>Marketing Honours Scholarship</v>
      </c>
      <c r="C501" s="7" t="s">
        <v>27</v>
      </c>
      <c r="D501" s="9">
        <v>5000</v>
      </c>
      <c r="E501" s="7">
        <v>1</v>
      </c>
      <c r="F501" s="7" t="s">
        <v>103</v>
      </c>
      <c r="G501" s="10" t="s">
        <v>105</v>
      </c>
      <c r="H501" t="s">
        <v>25</v>
      </c>
      <c r="I501" t="s">
        <v>25</v>
      </c>
    </row>
    <row r="502" spans="1:9" ht="45" x14ac:dyDescent="0.25">
      <c r="A502" s="4" t="s">
        <v>8</v>
      </c>
      <c r="B502" s="8" t="str">
        <f>HYPERLINK("https://www.uts.edu.au/scholarship/accounting-honours-scholarship", "Accounting Honours Scholarship")</f>
        <v>Accounting Honours Scholarship</v>
      </c>
      <c r="C502" s="7" t="s">
        <v>27</v>
      </c>
      <c r="D502" s="9">
        <v>5000</v>
      </c>
      <c r="E502" s="7">
        <v>1</v>
      </c>
      <c r="F502" s="7" t="s">
        <v>103</v>
      </c>
      <c r="G502" s="10" t="s">
        <v>106</v>
      </c>
      <c r="H502" t="s">
        <v>25</v>
      </c>
      <c r="I502" t="s">
        <v>25</v>
      </c>
    </row>
    <row r="503" spans="1:9" ht="60" x14ac:dyDescent="0.25">
      <c r="A503" s="4" t="s">
        <v>8</v>
      </c>
      <c r="B503" s="8" t="str">
        <f>HYPERLINK("https://www.uts.edu.au/scholarship/plato-investment-management-scholarship-women-finance", "The Plato Investment Management Scholarship for Women in Finance")</f>
        <v>The Plato Investment Management Scholarship for Women in Finance</v>
      </c>
      <c r="C503" s="7" t="s">
        <v>27</v>
      </c>
      <c r="D503" s="9">
        <v>5000</v>
      </c>
      <c r="E503" s="7">
        <v>1</v>
      </c>
      <c r="F503" s="7" t="s">
        <v>107</v>
      </c>
      <c r="G503" s="10" t="s">
        <v>108</v>
      </c>
      <c r="H503" t="s">
        <v>25</v>
      </c>
      <c r="I503" t="s">
        <v>25</v>
      </c>
    </row>
    <row r="504" spans="1:9" ht="60" x14ac:dyDescent="0.25">
      <c r="A504" s="4" t="s">
        <v>8</v>
      </c>
      <c r="B504" s="8" t="str">
        <f>HYPERLINK("https://www.uts.edu.au/scholarship/women-engineering-and-it-cooperative-scholarship", "Women in Engineering and IT Cooperative Scholarship")</f>
        <v>Women in Engineering and IT Cooperative Scholarship</v>
      </c>
      <c r="C504" s="7" t="s">
        <v>27</v>
      </c>
      <c r="D504" s="9" t="s">
        <v>109</v>
      </c>
      <c r="E504" s="7">
        <v>4</v>
      </c>
      <c r="F504" s="7" t="s">
        <v>68</v>
      </c>
      <c r="G504" s="10" t="s">
        <v>70</v>
      </c>
      <c r="H504" t="s">
        <v>25</v>
      </c>
      <c r="I504" t="s">
        <v>16</v>
      </c>
    </row>
    <row r="505" spans="1:9" ht="30" x14ac:dyDescent="0.25">
      <c r="A505" s="4" t="s">
        <v>8</v>
      </c>
      <c r="B505" s="8" t="str">
        <f>HYPERLINK("https://www.uts.edu.au/scholarship/mba-scholarship-outstanding-students-commencing", "MBA Scholarship for Outstanding Students (Commencing)")</f>
        <v>MBA Scholarship for Outstanding Students (Commencing)</v>
      </c>
      <c r="C505" s="7" t="s">
        <v>27</v>
      </c>
      <c r="D505" s="9" t="s">
        <v>110</v>
      </c>
      <c r="E505" s="7">
        <v>1</v>
      </c>
      <c r="F505" s="7" t="s">
        <v>51</v>
      </c>
      <c r="G505" s="10" t="s">
        <v>111</v>
      </c>
      <c r="H505" t="s">
        <v>25</v>
      </c>
      <c r="I505" t="s">
        <v>25</v>
      </c>
    </row>
    <row r="506" spans="1:9" ht="30" x14ac:dyDescent="0.25">
      <c r="A506" s="4" t="s">
        <v>8</v>
      </c>
      <c r="B506" s="8" t="str">
        <f>HYPERLINK("https://www.uts.edu.au/scholarship/mba-scholarship-outstanding-students-current", "MBA Scholarship for Outstanding Students (Current)")</f>
        <v>MBA Scholarship for Outstanding Students (Current)</v>
      </c>
      <c r="C506" s="7" t="s">
        <v>27</v>
      </c>
      <c r="D506" s="9" t="s">
        <v>112</v>
      </c>
      <c r="E506" s="7">
        <v>1</v>
      </c>
      <c r="F506" s="7" t="s">
        <v>51</v>
      </c>
      <c r="G506" s="10" t="s">
        <v>56</v>
      </c>
      <c r="H506" t="s">
        <v>25</v>
      </c>
      <c r="I506" t="s">
        <v>25</v>
      </c>
    </row>
    <row r="507" spans="1:9" ht="30" x14ac:dyDescent="0.25">
      <c r="A507" s="4" t="s">
        <v>8</v>
      </c>
      <c r="B507" s="8" t="str">
        <f>HYPERLINK("https://www.uts.edu.au/scholarship/seerpharma-scholarship", "The SeerPharma Scholarship")</f>
        <v>The SeerPharma Scholarship</v>
      </c>
      <c r="C507" s="7" t="s">
        <v>27</v>
      </c>
      <c r="D507" s="7" t="s">
        <v>113</v>
      </c>
      <c r="E507" s="7">
        <v>1</v>
      </c>
      <c r="F507" s="7" t="s">
        <v>51</v>
      </c>
      <c r="G507" s="10" t="s">
        <v>114</v>
      </c>
      <c r="H507" t="s">
        <v>25</v>
      </c>
      <c r="I507" t="s">
        <v>25</v>
      </c>
    </row>
    <row r="508" spans="1:9" ht="30" x14ac:dyDescent="0.25">
      <c r="A508" s="4" t="s">
        <v>8</v>
      </c>
      <c r="B508" s="8" t="str">
        <f>HYPERLINK("https://www.uts.edu.au/scholarship/andrew-and-lina-gullotta-uts-pharmacy-scholarship", "Andrew and Lina Gullotta UTS Pharmacy Scholarship")</f>
        <v>Andrew and Lina Gullotta UTS Pharmacy Scholarship</v>
      </c>
      <c r="C508" s="7" t="s">
        <v>27</v>
      </c>
      <c r="D508" s="9">
        <v>1500</v>
      </c>
      <c r="E508" s="7">
        <v>1</v>
      </c>
      <c r="F508" s="7" t="s">
        <v>51</v>
      </c>
      <c r="G508" s="10" t="s">
        <v>115</v>
      </c>
      <c r="H508" t="s">
        <v>25</v>
      </c>
      <c r="I508" t="s">
        <v>25</v>
      </c>
    </row>
    <row r="509" spans="1:9" ht="45" x14ac:dyDescent="0.25">
      <c r="A509" s="4" t="s">
        <v>8</v>
      </c>
      <c r="B509" s="8" t="str">
        <f>HYPERLINK("https://www.uts.edu.au/scholarship/uts-science-postgraduate-academic-merit-scholarship", "UTS Science Postgraduate Academic Merit Scholarship")</f>
        <v>UTS Science Postgraduate Academic Merit Scholarship</v>
      </c>
      <c r="C509" s="7" t="s">
        <v>27</v>
      </c>
      <c r="D509" s="7" t="s">
        <v>117</v>
      </c>
      <c r="E509" s="7" t="s">
        <v>41</v>
      </c>
      <c r="F509" s="7" t="s">
        <v>51</v>
      </c>
      <c r="G509" s="10" t="s">
        <v>116</v>
      </c>
      <c r="H509" t="s">
        <v>25</v>
      </c>
      <c r="I509" t="s">
        <v>25</v>
      </c>
    </row>
    <row r="510" spans="1:9" ht="60" x14ac:dyDescent="0.25">
      <c r="A510" s="4" t="s">
        <v>8</v>
      </c>
      <c r="B510" s="8" t="str">
        <f>HYPERLINK("https://www.uts.edu.au/scholarship/uts-dr-con-moshegov-orthoptics-scholarship", "UTS Dr Con Moshegov Orthoptics Scholarship")</f>
        <v>UTS Dr Con Moshegov Orthoptics Scholarship</v>
      </c>
      <c r="C510" s="7" t="s">
        <v>14</v>
      </c>
      <c r="D510" s="9">
        <v>5000</v>
      </c>
      <c r="E510" s="7">
        <v>2</v>
      </c>
      <c r="F510" s="7" t="s">
        <v>51</v>
      </c>
      <c r="G510" s="10" t="s">
        <v>118</v>
      </c>
      <c r="H510" t="s">
        <v>25</v>
      </c>
      <c r="I510" t="s">
        <v>25</v>
      </c>
    </row>
    <row r="511" spans="1:9" ht="75" x14ac:dyDescent="0.25">
      <c r="A511" s="4" t="s">
        <v>8</v>
      </c>
      <c r="B511" s="8" t="str">
        <f>HYPERLINK("https://www.uts.edu.au/scholarship/longevity-pt-scholarship-masters-clinical-exercise-physiology", "Longevity PT Scholarship (Masters of Clinical Exercise Physiology)")</f>
        <v>Longevity PT Scholarship (Masters of Clinical Exercise Physiology)</v>
      </c>
      <c r="C511" s="7" t="s">
        <v>14</v>
      </c>
      <c r="D511" s="7" t="s">
        <v>119</v>
      </c>
      <c r="E511" s="7">
        <v>1</v>
      </c>
      <c r="F511" s="7" t="s">
        <v>51</v>
      </c>
      <c r="G511" s="10" t="s">
        <v>120</v>
      </c>
      <c r="H511" t="s">
        <v>21</v>
      </c>
      <c r="I511" t="s">
        <v>25</v>
      </c>
    </row>
    <row r="512" spans="1:9" ht="90" x14ac:dyDescent="0.25">
      <c r="A512" s="4" t="s">
        <v>8</v>
      </c>
      <c r="B512" s="8" t="str">
        <f>HYPERLINK("https://www.uts.edu.au/scholarship/doctors-co-scholarship", "Doctors &amp; Co Scholarship")</f>
        <v>Doctors &amp; Co Scholarship</v>
      </c>
      <c r="C512" s="7" t="s">
        <v>14</v>
      </c>
      <c r="D512" s="9">
        <v>5000</v>
      </c>
      <c r="E512" s="7">
        <v>1</v>
      </c>
      <c r="F512" s="7" t="s">
        <v>35</v>
      </c>
      <c r="G512" s="10" t="s">
        <v>121</v>
      </c>
      <c r="H512" t="s">
        <v>25</v>
      </c>
      <c r="I512" t="s">
        <v>25</v>
      </c>
    </row>
    <row r="513" spans="1:9" ht="45" x14ac:dyDescent="0.25">
      <c r="A513" s="4" t="s">
        <v>8</v>
      </c>
      <c r="B513" s="8" t="str">
        <f>HYPERLINK("https://www.uts.edu.au/scholarship/wanda-jamrozik-scholarship-journalism", "The Wanda Jamrozik Scholarship in Journalism")</f>
        <v>The Wanda Jamrozik Scholarship in Journalism</v>
      </c>
      <c r="C513" s="7" t="s">
        <v>27</v>
      </c>
      <c r="D513" s="9" t="s">
        <v>122</v>
      </c>
      <c r="E513" s="7">
        <v>0.5</v>
      </c>
      <c r="F513" s="7" t="s">
        <v>35</v>
      </c>
      <c r="G513" s="10" t="s">
        <v>123</v>
      </c>
      <c r="H513" t="s">
        <v>25</v>
      </c>
      <c r="I513" t="s">
        <v>25</v>
      </c>
    </row>
    <row r="514" spans="1:9" ht="45" x14ac:dyDescent="0.25">
      <c r="A514" s="4" t="s">
        <v>8</v>
      </c>
      <c r="B514" s="8" t="str">
        <f>HYPERLINK("https://www.uts.edu.au/scholarship/gordon-young-memorial-scholarship", "https://www.uts.edu.au/scholarship/gordon-young-memorial-scholarship")</f>
        <v>https://www.uts.edu.au/scholarship/gordon-young-memorial-scholarship</v>
      </c>
      <c r="C514" s="7" t="s">
        <v>27</v>
      </c>
      <c r="D514" s="7" t="s">
        <v>126</v>
      </c>
      <c r="E514" s="7">
        <v>1</v>
      </c>
      <c r="F514" s="7" t="s">
        <v>125</v>
      </c>
      <c r="G514" s="10" t="s">
        <v>124</v>
      </c>
      <c r="H514" t="s">
        <v>25</v>
      </c>
      <c r="I514" t="s">
        <v>25</v>
      </c>
    </row>
    <row r="515" spans="1:9" ht="75" x14ac:dyDescent="0.25">
      <c r="A515" s="4" t="s">
        <v>8</v>
      </c>
      <c r="B515" s="8" t="str">
        <f>HYPERLINK("https://www.uts.edu.au/scholarship/mark-lyons-not-profit-and-social-enterprise-management-scholarship", "Mark Lyons Not-for-Profit and Social Enterprise Management Scholarship")</f>
        <v>Mark Lyons Not-for-Profit and Social Enterprise Management Scholarship</v>
      </c>
      <c r="C515" s="7" t="s">
        <v>14</v>
      </c>
      <c r="D515" s="9">
        <v>5000</v>
      </c>
      <c r="E515" s="7">
        <v>1</v>
      </c>
      <c r="F515" s="7" t="s">
        <v>51</v>
      </c>
      <c r="G515" s="10" t="s">
        <v>127</v>
      </c>
      <c r="H515" t="s">
        <v>25</v>
      </c>
      <c r="I515" t="s">
        <v>25</v>
      </c>
    </row>
    <row r="516" spans="1:9" ht="30" x14ac:dyDescent="0.25">
      <c r="A516" s="4" t="s">
        <v>8</v>
      </c>
      <c r="B516" s="8" t="str">
        <f>HYPERLINK("https://www.uts.edu.au/scholarship/postgraduate-business-alumni-scholarship", "Postgraduate Business Alumni Scholarship")</f>
        <v>Postgraduate Business Alumni Scholarship</v>
      </c>
      <c r="C516" s="7" t="s">
        <v>27</v>
      </c>
      <c r="D516" s="7" t="s">
        <v>128</v>
      </c>
      <c r="E516" s="7">
        <v>1</v>
      </c>
      <c r="F516" s="7" t="s">
        <v>51</v>
      </c>
      <c r="G516" s="10" t="s">
        <v>129</v>
      </c>
      <c r="H516" t="s">
        <v>25</v>
      </c>
      <c r="I516" t="s">
        <v>25</v>
      </c>
    </row>
    <row r="517" spans="1:9" x14ac:dyDescent="0.25">
      <c r="A517" s="4" t="s">
        <v>8</v>
      </c>
      <c r="B517" s="8" t="str">
        <f>HYPERLINK("https://www.uts.edu.au/scholarship/equal-access-scholarship-institution-equity-scholarship", "Equal Access Scholarship (Institution Equity Scholarship)")</f>
        <v>Equal Access Scholarship (Institution Equity Scholarship)</v>
      </c>
      <c r="C517" s="7" t="s">
        <v>14</v>
      </c>
      <c r="D517" s="7" t="s">
        <v>130</v>
      </c>
      <c r="E517" s="7">
        <v>1</v>
      </c>
      <c r="F517" s="7" t="s">
        <v>131</v>
      </c>
      <c r="G517" s="7" t="s">
        <v>132</v>
      </c>
      <c r="H517" t="s">
        <v>25</v>
      </c>
      <c r="I517" t="s">
        <v>25</v>
      </c>
    </row>
    <row r="518" spans="1:9" ht="45" x14ac:dyDescent="0.25">
      <c r="A518" s="4" t="s">
        <v>8</v>
      </c>
      <c r="B518" s="8" t="str">
        <f>HYPERLINK("https://www.uts.edu.au/scholarship/ericsson-technology-scholarship", "Ericsson Technology Scholarship")</f>
        <v>Ericsson Technology Scholarship</v>
      </c>
      <c r="C518" s="7" t="s">
        <v>27</v>
      </c>
      <c r="D518" s="9">
        <v>24000</v>
      </c>
      <c r="E518" s="7">
        <v>0.5</v>
      </c>
      <c r="F518" s="7" t="s">
        <v>68</v>
      </c>
      <c r="G518" s="10" t="s">
        <v>79</v>
      </c>
      <c r="H518" t="s">
        <v>25</v>
      </c>
      <c r="I518" t="s">
        <v>16</v>
      </c>
    </row>
    <row r="519" spans="1:9" ht="45" x14ac:dyDescent="0.25">
      <c r="A519" s="4" t="s">
        <v>8</v>
      </c>
      <c r="B519" s="8" t="str">
        <f>HYPERLINK("https://www.uts.edu.au/scholarship/telstra-enterprise-certitude-scholarship", "Telstra Enterprise Certitude Scholarship")</f>
        <v>Telstra Enterprise Certitude Scholarship</v>
      </c>
      <c r="C519" s="7" t="s">
        <v>27</v>
      </c>
      <c r="D519" s="7" t="s">
        <v>133</v>
      </c>
      <c r="E519" s="7" t="s">
        <v>134</v>
      </c>
      <c r="F519" s="7" t="s">
        <v>68</v>
      </c>
      <c r="G519" s="10" t="s">
        <v>82</v>
      </c>
      <c r="H519" t="s">
        <v>25</v>
      </c>
      <c r="I519" t="s">
        <v>16</v>
      </c>
    </row>
    <row r="520" spans="1:9" ht="30" x14ac:dyDescent="0.25">
      <c r="A520" s="4" t="s">
        <v>8</v>
      </c>
      <c r="B520" s="8" t="str">
        <f>HYPERLINK("https://www.uts.edu.au/scholarship/levo-scholarship-women-technology", "LEVO Scholarship for Women in Technology")</f>
        <v>LEVO Scholarship for Women in Technology</v>
      </c>
      <c r="C520" s="7" t="s">
        <v>27</v>
      </c>
      <c r="D520" s="7" t="s">
        <v>135</v>
      </c>
      <c r="E520" s="7">
        <v>4</v>
      </c>
      <c r="F520" s="7" t="s">
        <v>68</v>
      </c>
      <c r="G520" s="10" t="s">
        <v>136</v>
      </c>
      <c r="H520" t="s">
        <v>25</v>
      </c>
      <c r="I520" t="s">
        <v>16</v>
      </c>
    </row>
    <row r="521" spans="1:9" ht="45" x14ac:dyDescent="0.25">
      <c r="A521" s="4" t="s">
        <v>8</v>
      </c>
      <c r="B521" s="8" t="str">
        <f>HYPERLINK("https://www.uts.edu.au/scholarship/pendal-group-finance-honours-scholarship", "The Pendal Group Finance Honours Scholarship")</f>
        <v>The Pendal Group Finance Honours Scholarship</v>
      </c>
      <c r="C521" s="7" t="s">
        <v>27</v>
      </c>
      <c r="D521" s="9">
        <v>10000</v>
      </c>
      <c r="E521" s="7">
        <v>1</v>
      </c>
      <c r="F521" s="7" t="s">
        <v>137</v>
      </c>
      <c r="G521" s="10" t="s">
        <v>138</v>
      </c>
      <c r="H521" t="s">
        <v>25</v>
      </c>
      <c r="I521" t="s">
        <v>25</v>
      </c>
    </row>
    <row r="522" spans="1:9" ht="45" x14ac:dyDescent="0.25">
      <c r="A522" s="4" t="s">
        <v>8</v>
      </c>
      <c r="B522" s="8" t="str">
        <f>HYPERLINK("https://www.uts.edu.au/scholarship/richard-butler-scholarship", "Richard Butler Scholarship")</f>
        <v>Richard Butler Scholarship</v>
      </c>
      <c r="C522" s="7" t="s">
        <v>27</v>
      </c>
      <c r="D522" s="9">
        <v>10000</v>
      </c>
      <c r="E522" s="7">
        <v>1</v>
      </c>
      <c r="F522" s="7" t="s">
        <v>13</v>
      </c>
      <c r="G522" s="10" t="s">
        <v>139</v>
      </c>
      <c r="H522" t="s">
        <v>25</v>
      </c>
      <c r="I522" t="s">
        <v>25</v>
      </c>
    </row>
    <row r="523" spans="1:9" ht="75" x14ac:dyDescent="0.25">
      <c r="A523" s="4" t="s">
        <v>8</v>
      </c>
      <c r="B523" s="8" t="str">
        <f>HYPERLINK("https://www.uts.edu.au/scholarship/epm-projects-scholarship", "EPM Projects Scholarship")</f>
        <v>EPM Projects Scholarship</v>
      </c>
      <c r="C523" s="7" t="s">
        <v>27</v>
      </c>
      <c r="D523" s="9">
        <v>10000</v>
      </c>
      <c r="E523" s="7">
        <v>1</v>
      </c>
      <c r="F523" s="7" t="s">
        <v>13</v>
      </c>
      <c r="G523" s="10" t="s">
        <v>66</v>
      </c>
      <c r="H523" t="s">
        <v>25</v>
      </c>
      <c r="I523" t="s">
        <v>16</v>
      </c>
    </row>
    <row r="524" spans="1:9" ht="60" x14ac:dyDescent="0.25">
      <c r="A524" s="4" t="s">
        <v>8</v>
      </c>
      <c r="B524" s="8" t="str">
        <f>HYPERLINK("https://www.uts.edu.au/scholarship/magdalena-mauchle-fashion-textiles-scholarship", "The Magdalena Mauchle Fashion &amp; Textiles Scholarship")</f>
        <v>The Magdalena Mauchle Fashion &amp; Textiles Scholarship</v>
      </c>
      <c r="C524" s="7" t="s">
        <v>14</v>
      </c>
      <c r="D524" s="9">
        <v>5000</v>
      </c>
      <c r="E524" s="7">
        <v>1</v>
      </c>
      <c r="F524" s="7" t="s">
        <v>13</v>
      </c>
      <c r="G524" s="10" t="s">
        <v>140</v>
      </c>
      <c r="H524" t="s">
        <v>25</v>
      </c>
      <c r="I524" t="s">
        <v>25</v>
      </c>
    </row>
    <row r="525" spans="1:9" ht="60" x14ac:dyDescent="0.25">
      <c r="A525" s="4" t="s">
        <v>8</v>
      </c>
      <c r="B525" s="8" t="str">
        <f>HYPERLINK("https://www.uts.edu.au/scholarship/feit-women-engineering-and-it-scholarship", "The FEIT Women in Engineering and IT Scholarship")</f>
        <v>The FEIT Women in Engineering and IT Scholarship</v>
      </c>
      <c r="C525" s="7" t="s">
        <v>27</v>
      </c>
      <c r="D525" s="9">
        <v>10000</v>
      </c>
      <c r="E525" s="7">
        <v>1</v>
      </c>
      <c r="F525" s="7" t="s">
        <v>13</v>
      </c>
      <c r="G525" s="10" t="s">
        <v>141</v>
      </c>
      <c r="H525" t="s">
        <v>25</v>
      </c>
      <c r="I525" t="s">
        <v>25</v>
      </c>
    </row>
    <row r="526" spans="1:9" ht="30" x14ac:dyDescent="0.25">
      <c r="A526" s="4" t="s">
        <v>8</v>
      </c>
      <c r="B526" s="8" t="str">
        <f>HYPERLINK("https://www.uts.edu.au/scholarship/frank-martin-orthoptics-scholarship", "Frank Martin Orthoptics Scholarship")</f>
        <v>Frank Martin Orthoptics Scholarship</v>
      </c>
      <c r="C526" s="7" t="s">
        <v>27</v>
      </c>
      <c r="D526" s="9">
        <v>3000</v>
      </c>
      <c r="E526" s="7">
        <v>2</v>
      </c>
      <c r="F526" s="7" t="s">
        <v>51</v>
      </c>
      <c r="G526" s="10" t="s">
        <v>142</v>
      </c>
      <c r="H526" t="s">
        <v>25</v>
      </c>
      <c r="I526" t="s">
        <v>25</v>
      </c>
    </row>
    <row r="527" spans="1:9" ht="45" x14ac:dyDescent="0.25">
      <c r="A527" s="4" t="s">
        <v>8</v>
      </c>
      <c r="B527" s="8" t="str">
        <f>HYPERLINK("https://www.uts.edu.au/scholarship/animal-logic-scholarship", "The Animal Logic Scholarship")</f>
        <v>The Animal Logic Scholarship</v>
      </c>
      <c r="C527" s="7" t="s">
        <v>14</v>
      </c>
      <c r="D527" s="9">
        <v>18000</v>
      </c>
      <c r="E527" s="7">
        <v>1</v>
      </c>
      <c r="F527" s="7" t="s">
        <v>51</v>
      </c>
      <c r="G527" s="10" t="s">
        <v>143</v>
      </c>
      <c r="H527" t="s">
        <v>25</v>
      </c>
      <c r="I527" t="s">
        <v>25</v>
      </c>
    </row>
    <row r="528" spans="1:9" ht="30" x14ac:dyDescent="0.25">
      <c r="A528" s="4" t="s">
        <v>8</v>
      </c>
      <c r="B528" s="8" t="str">
        <f>HYPERLINK("https://www.uts.edu.au/scholarship/deans-academic-merit-scholarship-juris-doctor", "Dean's Academic Merit Scholarship Juris Doctor")</f>
        <v>Dean's Academic Merit Scholarship Juris Doctor</v>
      </c>
      <c r="C528" s="7" t="s">
        <v>27</v>
      </c>
      <c r="D528" s="7" t="s">
        <v>144</v>
      </c>
      <c r="E528" s="7" t="s">
        <v>41</v>
      </c>
      <c r="F528" s="7" t="s">
        <v>51</v>
      </c>
      <c r="G528" s="10" t="s">
        <v>145</v>
      </c>
      <c r="H528" t="s">
        <v>25</v>
      </c>
      <c r="I528" t="s">
        <v>25</v>
      </c>
    </row>
    <row r="529" spans="1:9" ht="60" x14ac:dyDescent="0.25">
      <c r="A529" s="4" t="s">
        <v>8</v>
      </c>
      <c r="B529" s="8" t="str">
        <f>HYPERLINK("https://www.uts.edu.au/scholarship/uts-quantitative-finance-postgraduate-scholarship", "UTS Quantitative Finance Postgraduate Scholarship")</f>
        <v>UTS Quantitative Finance Postgraduate Scholarship</v>
      </c>
      <c r="C529" s="7" t="s">
        <v>27</v>
      </c>
      <c r="D529" s="7" t="s">
        <v>146</v>
      </c>
      <c r="E529" s="7" t="s">
        <v>41</v>
      </c>
      <c r="F529" s="7" t="s">
        <v>51</v>
      </c>
      <c r="G529" s="10" t="s">
        <v>147</v>
      </c>
      <c r="H529" t="s">
        <v>25</v>
      </c>
      <c r="I529" t="s">
        <v>25</v>
      </c>
    </row>
    <row r="530" spans="1:9" ht="90" x14ac:dyDescent="0.25">
      <c r="A530" s="4" t="s">
        <v>8</v>
      </c>
      <c r="B530" s="8" t="str">
        <f>HYPERLINK("https://www.uts.edu.au/scholarship/crescent-leadership-scholarship", "Crescent Leadership Scholarship")</f>
        <v>Crescent Leadership Scholarship</v>
      </c>
      <c r="C530" s="7" t="s">
        <v>148</v>
      </c>
      <c r="D530" s="9">
        <v>5000</v>
      </c>
      <c r="E530" s="7">
        <v>1</v>
      </c>
      <c r="F530" s="7" t="s">
        <v>35</v>
      </c>
      <c r="G530" s="10" t="s">
        <v>149</v>
      </c>
      <c r="H530" t="s">
        <v>25</v>
      </c>
      <c r="I530" t="s">
        <v>25</v>
      </c>
    </row>
    <row r="531" spans="1:9" ht="60" x14ac:dyDescent="0.25">
      <c r="A531" s="4" t="s">
        <v>8</v>
      </c>
      <c r="B531" s="8" t="str">
        <f>HYPERLINK("https://www.uts.edu.au/scholarship/uts-housing-resident-networker-scholarship", "UTS Housing Resident Networker Scholarship")</f>
        <v>UTS Housing Resident Networker Scholarship</v>
      </c>
      <c r="C531" s="7" t="s">
        <v>27</v>
      </c>
      <c r="D531" s="9">
        <v>5500</v>
      </c>
      <c r="E531" s="7">
        <v>1</v>
      </c>
      <c r="F531" s="7" t="s">
        <v>131</v>
      </c>
      <c r="G531" s="10" t="s">
        <v>150</v>
      </c>
      <c r="H531" t="s">
        <v>25</v>
      </c>
      <c r="I531" t="s">
        <v>25</v>
      </c>
    </row>
  </sheetData>
  <autoFilter ref="A1:I531" xr:uid="{5773BD61-A8F4-4ACA-BB03-11DEBD312DAE}">
    <sortState xmlns:xlrd2="http://schemas.microsoft.com/office/spreadsheetml/2017/richdata2" ref="A2:I531">
      <sortCondition ref="A1:A53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2024-10-29T03:28:15Z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