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1" documentId="13_ncr:1_{891E6A58-1632-490F-A8B6-5FDA491183CF}" xr6:coauthVersionLast="47" xr6:coauthVersionMax="47" xr10:uidLastSave="{B1C5751D-AA5E-410A-9380-36C08CD9C92B}"/>
  <bookViews>
    <workbookView xWindow="2868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Sheet1!$A$1:$H$176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B20" i="1"/>
  <c r="B171" i="1"/>
  <c r="B170" i="1"/>
  <c r="B169" i="1"/>
  <c r="B168" i="1"/>
  <c r="B167" i="1" l="1"/>
  <c r="B166" i="1"/>
  <c r="B165" i="1"/>
  <c r="B164" i="1"/>
  <c r="B163" i="1"/>
  <c r="B162" i="1" l="1"/>
  <c r="B161" i="1"/>
  <c r="B160" i="1"/>
  <c r="B159" i="1" l="1"/>
  <c r="B158" i="1"/>
  <c r="B157" i="1"/>
  <c r="B156" i="1"/>
  <c r="B155" i="1"/>
  <c r="B154" i="1"/>
  <c r="B153" i="1"/>
  <c r="B152" i="1"/>
  <c r="B151" i="1"/>
  <c r="B150" i="1"/>
  <c r="B149" i="1"/>
  <c r="B148" i="1"/>
  <c r="B147" i="1"/>
  <c r="B146" i="1"/>
  <c r="B145" i="1"/>
  <c r="B144" i="1"/>
  <c r="B141" i="1"/>
  <c r="B140" i="1"/>
  <c r="B143" i="1"/>
  <c r="B142" i="1"/>
  <c r="B139" i="1"/>
  <c r="B138" i="1"/>
  <c r="B137" i="1"/>
  <c r="B136" i="1"/>
  <c r="B135" i="1"/>
  <c r="B134" i="1"/>
  <c r="B172" i="1"/>
  <c r="B173" i="1"/>
  <c r="B174" i="1"/>
  <c r="B175" i="1"/>
  <c r="B176" i="1"/>
  <c r="B111" i="1"/>
  <c r="B110" i="1"/>
  <c r="B109" i="1"/>
  <c r="B108" i="1"/>
  <c r="B133" i="1"/>
  <c r="B112" i="1"/>
  <c r="B113" i="1"/>
  <c r="B114" i="1"/>
  <c r="B115" i="1"/>
  <c r="B116" i="1"/>
  <c r="B117" i="1"/>
  <c r="B118" i="1"/>
  <c r="B119" i="1"/>
  <c r="B120" i="1"/>
  <c r="B121" i="1"/>
  <c r="B122" i="1"/>
  <c r="B123" i="1"/>
  <c r="B124" i="1"/>
  <c r="B125" i="1"/>
  <c r="B126" i="1"/>
  <c r="B127" i="1"/>
  <c r="B128" i="1"/>
  <c r="B129" i="1"/>
  <c r="B130" i="1"/>
  <c r="B131" i="1"/>
  <c r="B132"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l="1"/>
  <c r="B43" i="1"/>
  <c r="B42" i="1"/>
  <c r="B41" i="1"/>
  <c r="B40" i="1"/>
  <c r="B39" i="1"/>
  <c r="B38" i="1"/>
  <c r="B37" i="1"/>
  <c r="B36" i="1"/>
  <c r="B35" i="1"/>
  <c r="B34" i="1" l="1"/>
  <c r="B33" i="1"/>
  <c r="B32" i="1"/>
  <c r="B31" i="1"/>
  <c r="B30" i="1"/>
  <c r="B29" i="1"/>
  <c r="B28" i="1"/>
  <c r="B27" i="1"/>
  <c r="B26" i="1"/>
  <c r="B25" i="1"/>
  <c r="B24" i="1"/>
  <c r="B23" i="1"/>
  <c r="B22" i="1"/>
  <c r="B21" i="1"/>
  <c r="B19" i="1"/>
  <c r="B17" i="1"/>
  <c r="B16" i="1"/>
  <c r="B15" i="1"/>
  <c r="B14" i="1"/>
  <c r="B13" i="1"/>
  <c r="B12" i="1"/>
  <c r="B11" i="1"/>
  <c r="B10" i="1"/>
  <c r="B9" i="1"/>
  <c r="B8" i="1"/>
  <c r="B7" i="1"/>
  <c r="B6" i="1"/>
  <c r="B2" i="1" l="1"/>
  <c r="B3" i="1"/>
  <c r="B4" i="1"/>
  <c r="B5" i="1"/>
</calcChain>
</file>

<file path=xl/sharedStrings.xml><?xml version="1.0" encoding="utf-8"?>
<sst xmlns="http://schemas.openxmlformats.org/spreadsheetml/2006/main" count="1035" uniqueCount="199">
  <si>
    <t>University</t>
  </si>
  <si>
    <t>Name</t>
  </si>
  <si>
    <t>Type</t>
  </si>
  <si>
    <t>Value</t>
  </si>
  <si>
    <t>Criteria</t>
  </si>
  <si>
    <t>Maquarie</t>
  </si>
  <si>
    <t>Charles Sturt University</t>
  </si>
  <si>
    <t>USYD</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</si>
  <si>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</si>
  <si>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</si>
  <si>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</si>
  <si>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</si>
  <si>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</si>
  <si>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</si>
  <si>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</si>
  <si>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</si>
  <si>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</si>
  <si>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</si>
  <si>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</si>
  <si>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</si>
  <si>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</si>
  <si>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</si>
  <si>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</si>
  <si>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</si>
  <si>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</si>
  <si>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</si>
  <si>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</si>
  <si>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</si>
  <si>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</si>
  <si>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</si>
  <si>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</si>
  <si>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</si>
  <si>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</si>
  <si>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</si>
  <si>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</si>
  <si>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</si>
  <si>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</si>
  <si>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</si>
  <si>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</si>
  <si>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</si>
  <si>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</si>
  <si>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</si>
  <si>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</si>
  <si>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</si>
  <si>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</si>
  <si>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</si>
  <si>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</si>
  <si>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</si>
  <si>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</si>
  <si>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</si>
  <si>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</si>
  <si>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</si>
  <si>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</si>
  <si>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</si>
  <si>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</si>
  <si>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</si>
  <si>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</si>
  <si>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</si>
  <si>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</si>
  <si>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</si>
  <si>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</si>
  <si>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</si>
  <si>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</si>
  <si>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</si>
  <si>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</si>
  <si>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</si>
  <si>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</si>
  <si>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</si>
  <si>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</si>
  <si>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</si>
  <si>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</si>
  <si>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</si>
  <si>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</si>
  <si>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</si>
  <si>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</si>
  <si>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</si>
  <si>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</si>
  <si>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</si>
  <si>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</si>
  <si>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</si>
  <si>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</si>
  <si>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</si>
  <si>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</si>
  <si>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</si>
  <si>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</si>
  <si>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</si>
  <si>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</si>
  <si>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</si>
  <si>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</si>
  <si>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</si>
  <si>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</si>
  <si>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</si>
  <si>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</si>
  <si>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</si>
  <si>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</si>
  <si>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</si>
  <si>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</si>
  <si>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</si>
  <si>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</si>
  <si>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</si>
  <si>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</si>
  <si>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</si>
  <si>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</si>
  <si>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</si>
  <si>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</si>
  <si>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</si>
  <si>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</si>
  <si>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</si>
  <si>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</si>
  <si>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</si>
  <si>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</si>
  <si>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</si>
  <si>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</si>
  <si>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</si>
  <si>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</si>
  <si>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</si>
  <si>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</si>
  <si>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</si>
  <si>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</si>
  <si>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</si>
  <si>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</si>
  <si>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</si>
  <si>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</si>
  <si>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</si>
  <si>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</si>
  <si>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</si>
  <si>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</si>
  <si>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</si>
  <si>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</si>
  <si>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</si>
  <si>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</si>
  <si>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</si>
  <si>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</si>
  <si>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</si>
  <si>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</si>
  <si>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</si>
  <si>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</si>
  <si>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</si>
  <si>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</si>
  <si>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</si>
  <si>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</si>
  <si>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</si>
  <si>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</si>
  <si>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</si>
  <si>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</si>
  <si>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</si>
  <si>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</si>
  <si>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</si>
  <si>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</si>
  <si>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</si>
  <si>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</si>
  <si>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</si>
  <si>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 Master of Engineering Science (Nuclear Engineering specialisation)
• Academic merit</t>
  </si>
  <si>
    <t>• Built Environment program
• Academic merit</t>
  </si>
  <si>
    <t>• Engineering and IT programs
• Academic merit</t>
  </si>
  <si>
    <t>$21,600 (Total?)</t>
  </si>
  <si>
    <t>Unspecified</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</si>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</sst>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10">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FFC1C2"/>
        <bgColor indexed="64"/>
      </patternFill>
    </fill>
    <fill>
      <patternFill patternType="solid">
        <fgColor rgb="FFE2FDFE"/>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4">
    <xf numFmtId="0" fontId="0" fillId="0" borderId="0" xfId="0"/>
    <xf numFmtId="0" fontId="1" fillId="2" borderId="1" xfId="1" applyAlignment="1">
      <alignment horizontal="left"/>
    </xf>
    <xf numFmtId="0" fontId="0" fillId="8"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E2FDFE"/>
      <color rgb="FFFFC1C2"/>
      <color rgb="FFD2B9FF"/>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file:///\\ad.uws.edu.au\dfshare\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176"/>
  <sheetViews>
    <sheetView tabSelected="1" workbookViewId="0">
      <selection activeCell="A4" sqref="A4"/>
    </sheetView>
  </sheetViews>
  <sheetFormatPr defaultRowHeight="15" x14ac:dyDescent="0.25"/>
  <cols>
    <col min="1" max="1" width="22.85546875" style="9" customWidth="1"/>
    <col min="2" max="2" width="84.42578125" style="9" customWidth="1"/>
    <col min="3" max="3" width="16.42578125" style="9" customWidth="1"/>
    <col min="4" max="4" width="19.28515625" style="9" customWidth="1"/>
    <col min="5" max="5" width="18.28515625" style="9" customWidth="1"/>
    <col min="6" max="6" width="15.85546875" style="9" customWidth="1"/>
    <col min="7" max="7" width="21.42578125" style="9" customWidth="1"/>
    <col min="8" max="8" width="14.42578125" customWidth="1"/>
    <col min="9" max="9" width="20.5703125" customWidth="1"/>
  </cols>
  <sheetData>
    <row r="1" spans="1:9" ht="16.5" thickTop="1" thickBot="1" x14ac:dyDescent="0.3">
      <c r="A1" s="1" t="s">
        <v>0</v>
      </c>
      <c r="B1" s="1" t="s">
        <v>1</v>
      </c>
      <c r="C1" s="1" t="s">
        <v>2</v>
      </c>
      <c r="D1" s="1" t="s">
        <v>3</v>
      </c>
      <c r="E1" s="1" t="s">
        <v>13</v>
      </c>
      <c r="F1" s="1" t="s">
        <v>12</v>
      </c>
      <c r="G1" s="1" t="s">
        <v>4</v>
      </c>
      <c r="H1" s="1" t="s">
        <v>16</v>
      </c>
      <c r="I1" s="1" t="s">
        <v>81</v>
      </c>
    </row>
    <row r="2" spans="1:9" ht="15.75" thickTop="1" x14ac:dyDescent="0.25">
      <c r="A2" s="3" t="s">
        <v>6</v>
      </c>
      <c r="B2" s="10" t="str">
        <f t="shared" ref="B2:B5" si="0">HYPERLINK("Test")</f>
        <v>Test</v>
      </c>
    </row>
    <row r="3" spans="1:9" x14ac:dyDescent="0.25">
      <c r="A3" s="4" t="s">
        <v>7</v>
      </c>
      <c r="B3" s="10" t="str">
        <f t="shared" si="0"/>
        <v>Test</v>
      </c>
    </row>
    <row r="4" spans="1:9" x14ac:dyDescent="0.25">
      <c r="A4" s="5" t="s">
        <v>8</v>
      </c>
      <c r="B4" s="10" t="str">
        <f t="shared" si="0"/>
        <v>Test</v>
      </c>
    </row>
    <row r="5" spans="1:9" x14ac:dyDescent="0.25">
      <c r="A5" s="7" t="s">
        <v>10</v>
      </c>
      <c r="B5" s="10" t="str">
        <f t="shared" si="0"/>
        <v>Test</v>
      </c>
    </row>
    <row r="6" spans="1:9" x14ac:dyDescent="0.25">
      <c r="A6" s="8" t="s">
        <v>5</v>
      </c>
      <c r="B6" s="10" t="str">
        <f>HYPERLINK("https://www.mq.edu.au/study/admissions-and-entry/scholarships/domestic/indigenous-education-costs-scholarship","Indigenous Education Costs Scholarship")</f>
        <v>Indigenous Education Costs Scholarship</v>
      </c>
      <c r="C6" s="9" t="s">
        <v>15</v>
      </c>
      <c r="D6" s="11">
        <v>3000</v>
      </c>
      <c r="E6" s="9">
        <v>4</v>
      </c>
      <c r="F6" s="9" t="s">
        <v>14</v>
      </c>
      <c r="G6" s="9" t="s">
        <v>18</v>
      </c>
      <c r="H6" t="s">
        <v>17</v>
      </c>
      <c r="I6" s="9" t="s">
        <v>26</v>
      </c>
    </row>
    <row r="7" spans="1:9" ht="30" x14ac:dyDescent="0.25">
      <c r="A7" s="8" t="s">
        <v>5</v>
      </c>
      <c r="B7" s="10" t="str">
        <f>HYPERLINK(" https://www.mq.edu.au/study/admissions-and-entry/scholarships/domestic/indigenous-commonwealth-assistance-scholarship", "Indigenous Commonwealth Assistance Scholarship")</f>
        <v>Indigenous Commonwealth Assistance Scholarship</v>
      </c>
      <c r="C7" s="9" t="s">
        <v>20</v>
      </c>
      <c r="D7" s="11">
        <v>6000</v>
      </c>
      <c r="E7" s="9">
        <v>4</v>
      </c>
      <c r="F7" s="9" t="s">
        <v>14</v>
      </c>
      <c r="G7" s="12" t="s">
        <v>19</v>
      </c>
      <c r="H7" t="s">
        <v>17</v>
      </c>
      <c r="I7" s="9" t="s">
        <v>26</v>
      </c>
    </row>
    <row r="8" spans="1:9" ht="45" x14ac:dyDescent="0.25">
      <c r="A8" s="8" t="s">
        <v>5</v>
      </c>
      <c r="B8" s="10" t="str">
        <f>HYPERLINK(" https://www.mq.edu.au/study/admissions-and-entry/scholarships/domestic/macquarie-regional-and-remote-support-scholarship", "Macquarie Regional and Remote Support Scholarship")</f>
        <v>Macquarie Regional and Remote Support Scholarship</v>
      </c>
      <c r="C8" s="9" t="s">
        <v>15</v>
      </c>
      <c r="D8" s="11">
        <v>10000</v>
      </c>
      <c r="E8" s="9">
        <v>4</v>
      </c>
      <c r="F8" s="9" t="s">
        <v>14</v>
      </c>
      <c r="G8" s="12" t="s">
        <v>21</v>
      </c>
      <c r="H8" s="9" t="s">
        <v>22</v>
      </c>
      <c r="I8" s="9" t="s">
        <v>26</v>
      </c>
    </row>
    <row r="9" spans="1:9" ht="60" x14ac:dyDescent="0.25">
      <c r="A9" s="8" t="s">
        <v>5</v>
      </c>
      <c r="B9" s="10" t="str">
        <f>HYPERLINK(" https://www.mq.edu.au/study/admissions-and-entry/scholarships/domestic/macquarie-education-costs-scholarship", "Macquarie Education Costs Scholarship")</f>
        <v>Macquarie Education Costs Scholarship</v>
      </c>
      <c r="C9" s="9" t="s">
        <v>15</v>
      </c>
      <c r="D9" s="11">
        <v>6000</v>
      </c>
      <c r="E9" s="9">
        <v>4</v>
      </c>
      <c r="F9" s="9" t="s">
        <v>14</v>
      </c>
      <c r="G9" s="12" t="s">
        <v>23</v>
      </c>
      <c r="H9" s="9" t="s">
        <v>22</v>
      </c>
      <c r="I9" s="9" t="s">
        <v>26</v>
      </c>
    </row>
    <row r="10" spans="1:9" ht="60" x14ac:dyDescent="0.25">
      <c r="A10" s="8" t="s">
        <v>5</v>
      </c>
      <c r="B10" s="10" t="str">
        <f>HYPERLINK(" https://www.mq.edu.au/study/admissions-and-entry/scholarships/domestic/tertiary-access-payment", "Tertiary Access Payment")</f>
        <v>Tertiary Access Payment</v>
      </c>
      <c r="C10" s="9" t="s">
        <v>15</v>
      </c>
      <c r="D10" s="9" t="s">
        <v>24</v>
      </c>
      <c r="E10" s="9" t="s">
        <v>25</v>
      </c>
      <c r="F10" s="9" t="s">
        <v>14</v>
      </c>
      <c r="G10" s="12" t="s">
        <v>27</v>
      </c>
      <c r="H10" s="9" t="s">
        <v>26</v>
      </c>
      <c r="I10" s="9" t="s">
        <v>26</v>
      </c>
    </row>
    <row r="11" spans="1:9" ht="45" x14ac:dyDescent="0.25">
      <c r="A11" s="8" t="s">
        <v>5</v>
      </c>
      <c r="B11" s="10" t="str">
        <f>HYPERLINK(" https://www.mq.edu.au/study/admissions-and-entry/scholarships/domestic/jennifer-barton-memorial-law-scholarship", "
Jennifer Barton Memorial Law Scholarship")</f>
        <v xml:space="preserve">
Jennifer Barton Memorial Law Scholarship</v>
      </c>
      <c r="C11" s="9" t="s">
        <v>28</v>
      </c>
      <c r="D11" s="11">
        <v>10000</v>
      </c>
      <c r="E11" s="9">
        <v>1</v>
      </c>
      <c r="F11" s="9" t="s">
        <v>14</v>
      </c>
      <c r="G11" s="12" t="s">
        <v>29</v>
      </c>
      <c r="H11" s="9" t="s">
        <v>26</v>
      </c>
      <c r="I11" s="9" t="s">
        <v>26</v>
      </c>
    </row>
    <row r="12" spans="1:9" ht="30" x14ac:dyDescent="0.25">
      <c r="A12" s="8" t="s">
        <v>5</v>
      </c>
      <c r="B12" s="10" t="str">
        <f>HYPERLINK("https://www.mq.edu.au/study/admissions-and-entry/scholarships/domestic/macquarie-business-school-academic-excellence-scholarship", "Macquarie Business School Academic Excellence Scholarship")</f>
        <v>Macquarie Business School Academic Excellence Scholarship</v>
      </c>
      <c r="C12" s="9" t="s">
        <v>28</v>
      </c>
      <c r="D12" s="9" t="s">
        <v>30</v>
      </c>
      <c r="E12" s="9">
        <v>4</v>
      </c>
      <c r="F12" s="9" t="s">
        <v>14</v>
      </c>
      <c r="G12" s="12" t="s">
        <v>31</v>
      </c>
      <c r="H12" s="9" t="s">
        <v>26</v>
      </c>
      <c r="I12" s="9" t="s">
        <v>26</v>
      </c>
    </row>
    <row r="13" spans="1:9" ht="30" x14ac:dyDescent="0.25">
      <c r="A13" s="8" t="s">
        <v>5</v>
      </c>
      <c r="B13" s="10"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3" s="9" t="s">
        <v>15</v>
      </c>
      <c r="D13" s="9" t="s">
        <v>32</v>
      </c>
      <c r="E13" s="9">
        <v>4</v>
      </c>
      <c r="F13" s="9" t="s">
        <v>14</v>
      </c>
      <c r="G13" s="12" t="s">
        <v>19</v>
      </c>
      <c r="H13" s="9" t="s">
        <v>22</v>
      </c>
      <c r="I13" s="9" t="s">
        <v>26</v>
      </c>
    </row>
    <row r="14" spans="1:9" ht="60" x14ac:dyDescent="0.25">
      <c r="A14" s="8" t="s">
        <v>5</v>
      </c>
      <c r="B14" s="10"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4" s="9" t="s">
        <v>15</v>
      </c>
      <c r="D14" s="9" t="s">
        <v>32</v>
      </c>
      <c r="E14" s="9">
        <v>1</v>
      </c>
      <c r="F14" s="9" t="s">
        <v>14</v>
      </c>
      <c r="G14" s="12" t="s">
        <v>33</v>
      </c>
      <c r="H14" s="9" t="s">
        <v>22</v>
      </c>
      <c r="I14" s="9" t="s">
        <v>26</v>
      </c>
    </row>
    <row r="15" spans="1:9" ht="60" x14ac:dyDescent="0.25">
      <c r="A15" s="8" t="s">
        <v>5</v>
      </c>
      <c r="B15" s="10" t="str">
        <f>HYPERLINK(" https://www.mq.edu.au/study/admissions-and-entry/scholarships/domestic/macquarie-leaders-and-achievers-scholarship", "Macquarie Leaders and Achievers Scholarship")</f>
        <v>Macquarie Leaders and Achievers Scholarship</v>
      </c>
      <c r="C15" s="9" t="s">
        <v>28</v>
      </c>
      <c r="D15" s="11">
        <v>10000</v>
      </c>
      <c r="E15" s="9">
        <v>5</v>
      </c>
      <c r="F15" s="9" t="s">
        <v>14</v>
      </c>
      <c r="G15" s="12" t="s">
        <v>34</v>
      </c>
      <c r="H15" s="9" t="s">
        <v>26</v>
      </c>
      <c r="I15" s="9" t="s">
        <v>26</v>
      </c>
    </row>
    <row r="16" spans="1:9" ht="45" x14ac:dyDescent="0.25">
      <c r="A16" s="8" t="s">
        <v>5</v>
      </c>
      <c r="B16" s="10" t="str">
        <f>HYPERLINK(" https://www.mq.edu.au/study/admissions-and-entry/scholarships/domestic/dr-arthur-pryor-scholarship", "Dr Arthur Pryor Scholarship")</f>
        <v>Dr Arthur Pryor Scholarship</v>
      </c>
      <c r="C16" s="9" t="s">
        <v>28</v>
      </c>
      <c r="D16" s="11">
        <v>5000</v>
      </c>
      <c r="E16" s="9">
        <v>3</v>
      </c>
      <c r="F16" s="9" t="s">
        <v>14</v>
      </c>
      <c r="G16" s="12" t="s">
        <v>35</v>
      </c>
      <c r="H16" s="9" t="s">
        <v>26</v>
      </c>
      <c r="I16" s="9" t="s">
        <v>26</v>
      </c>
    </row>
    <row r="17" spans="1:9" ht="45" x14ac:dyDescent="0.25">
      <c r="A17" s="8" t="s">
        <v>5</v>
      </c>
      <c r="B17" s="10" t="str">
        <f>HYPERLINK("https://www.mq.edu.au/study/admissions-and-entry/scholarships/domestic/faculty-of-science-and-engineering-sustainability-scholarship", "Faculty of Science and Engineering Sustainability Scholarship")</f>
        <v>Faculty of Science and Engineering Sustainability Scholarship</v>
      </c>
      <c r="C17" s="9" t="s">
        <v>28</v>
      </c>
      <c r="D17" s="11">
        <v>5000</v>
      </c>
      <c r="E17" s="9">
        <v>4</v>
      </c>
      <c r="F17" s="9" t="s">
        <v>36</v>
      </c>
      <c r="G17" s="12" t="s">
        <v>37</v>
      </c>
      <c r="H17" s="9" t="s">
        <v>26</v>
      </c>
      <c r="I17" s="9" t="s">
        <v>26</v>
      </c>
    </row>
    <row r="18" spans="1:9" ht="60" x14ac:dyDescent="0.25">
      <c r="A18" s="8" t="s">
        <v>5</v>
      </c>
      <c r="B18" s="10" t="str">
        <f>HYPERLINK(" https://www.mq.edu.au/study/admissions-and-entry/scholarships/domestic/faculty-of-science-and-engineering-women-in-stem-scholarship", "Faculty of Science and Engineering Women in STEM Scholarship")</f>
        <v>Faculty of Science and Engineering Women in STEM Scholarship</v>
      </c>
      <c r="C18" s="9" t="s">
        <v>28</v>
      </c>
      <c r="D18" s="11">
        <v>5000</v>
      </c>
      <c r="E18" s="9">
        <v>4</v>
      </c>
      <c r="F18" s="9" t="s">
        <v>36</v>
      </c>
      <c r="G18" s="12" t="s">
        <v>38</v>
      </c>
      <c r="H18" s="9" t="s">
        <v>26</v>
      </c>
      <c r="I18" s="9" t="s">
        <v>26</v>
      </c>
    </row>
    <row r="19" spans="1:9" ht="45" x14ac:dyDescent="0.25">
      <c r="A19" s="8" t="s">
        <v>5</v>
      </c>
      <c r="B19" s="10" t="str">
        <f>HYPERLINK("https://www.mq.edu.au/study/admissions-and-entry/scholarships/domestic/dr-melanie-beresford-scholarship", "Dr Melanie Beresford Scholarship")</f>
        <v>Dr Melanie Beresford Scholarship</v>
      </c>
      <c r="C19" s="9" t="s">
        <v>28</v>
      </c>
      <c r="D19" s="11">
        <v>7500</v>
      </c>
      <c r="E19" s="9" t="s">
        <v>25</v>
      </c>
      <c r="F19" s="9" t="s">
        <v>36</v>
      </c>
      <c r="G19" s="12" t="s">
        <v>39</v>
      </c>
      <c r="H19" s="9" t="s">
        <v>26</v>
      </c>
      <c r="I19" s="9" t="s">
        <v>26</v>
      </c>
    </row>
    <row r="20" spans="1:9" ht="45" x14ac:dyDescent="0.25">
      <c r="A20" s="8" t="s">
        <v>5</v>
      </c>
      <c r="B20" s="10"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20" s="9" t="s">
        <v>28</v>
      </c>
      <c r="D20" s="11">
        <v>10000</v>
      </c>
      <c r="E20" s="9" t="s">
        <v>25</v>
      </c>
      <c r="F20" s="9" t="s">
        <v>14</v>
      </c>
      <c r="G20" s="12" t="s">
        <v>40</v>
      </c>
      <c r="H20" s="9" t="s">
        <v>26</v>
      </c>
      <c r="I20" s="9" t="s">
        <v>26</v>
      </c>
    </row>
    <row r="21" spans="1:9" ht="30" x14ac:dyDescent="0.25">
      <c r="A21" s="8" t="s">
        <v>5</v>
      </c>
      <c r="B21" s="10" t="str">
        <f>HYPERLINK("https://www.mq.edu.au/study/admissions-and-entry/scholarships/domestic/sports-scholarship", "Sports Scholarship")</f>
        <v>Sports Scholarship</v>
      </c>
      <c r="C21" s="9" t="s">
        <v>28</v>
      </c>
      <c r="D21" s="9" t="s">
        <v>41</v>
      </c>
      <c r="E21" s="9">
        <v>1</v>
      </c>
      <c r="F21" s="9" t="s">
        <v>36</v>
      </c>
      <c r="G21" s="12" t="s">
        <v>182</v>
      </c>
      <c r="H21" s="9" t="s">
        <v>26</v>
      </c>
      <c r="I21" s="9" t="s">
        <v>26</v>
      </c>
    </row>
    <row r="22" spans="1:9" ht="45" x14ac:dyDescent="0.25">
      <c r="A22" s="8" t="s">
        <v>5</v>
      </c>
      <c r="B22" s="10" t="str">
        <f>HYPERLINK(" https://www.mq.edu.au/study/admissions-and-entry/scholarships/domestic/the-mark-pezzano-memorial-scholarship-in-law", "The Mark Pezzano Memorial Scholarship in Law")</f>
        <v>The Mark Pezzano Memorial Scholarship in Law</v>
      </c>
      <c r="C22" s="9" t="s">
        <v>15</v>
      </c>
      <c r="D22" s="11">
        <v>10000</v>
      </c>
      <c r="E22" s="9" t="s">
        <v>42</v>
      </c>
      <c r="F22" s="9" t="s">
        <v>14</v>
      </c>
      <c r="G22" s="12" t="s">
        <v>43</v>
      </c>
      <c r="H22" s="9" t="s">
        <v>26</v>
      </c>
      <c r="I22" s="9" t="s">
        <v>26</v>
      </c>
    </row>
    <row r="23" spans="1:9" ht="60" x14ac:dyDescent="0.25">
      <c r="A23" s="8" t="s">
        <v>5</v>
      </c>
      <c r="B23" s="10" t="str">
        <f>HYPERLINK(" https://www.mq.edu.au/study/admissions-and-entry/scholarships/domestic/macquarie-university-accommodation-sustainability-scholarship", "Macquarie University Accommodation Sustainability Scholarship")</f>
        <v>Macquarie University Accommodation Sustainability Scholarship</v>
      </c>
      <c r="C23" s="9" t="s">
        <v>15</v>
      </c>
      <c r="D23" s="9" t="s">
        <v>32</v>
      </c>
      <c r="E23" s="9">
        <v>3</v>
      </c>
      <c r="F23" s="9" t="s">
        <v>14</v>
      </c>
      <c r="G23" s="12" t="s">
        <v>23</v>
      </c>
      <c r="H23" s="9" t="s">
        <v>26</v>
      </c>
      <c r="I23" s="9" t="s">
        <v>26</v>
      </c>
    </row>
    <row r="24" spans="1:9" x14ac:dyDescent="0.25">
      <c r="A24" s="8" t="s">
        <v>5</v>
      </c>
      <c r="B24" s="10" t="str">
        <f>HYPERLINK("https://www.mq.edu.au/study/admissions-and-entry/scholarships/domestic/sqa-undergraduate-research-scholarship", "
SQA Undergraduate Research Scholarship")</f>
        <v xml:space="preserve">
SQA Undergraduate Research Scholarship</v>
      </c>
      <c r="C24" s="9" t="s">
        <v>28</v>
      </c>
      <c r="D24" s="11">
        <v>3333</v>
      </c>
      <c r="E24" s="9" t="s">
        <v>25</v>
      </c>
      <c r="F24" s="9" t="s">
        <v>14</v>
      </c>
      <c r="G24" s="9" t="s">
        <v>44</v>
      </c>
      <c r="H24" s="9" t="s">
        <v>26</v>
      </c>
      <c r="I24" s="9" t="s">
        <v>26</v>
      </c>
    </row>
    <row r="25" spans="1:9" ht="45" x14ac:dyDescent="0.25">
      <c r="A25" s="8" t="s">
        <v>5</v>
      </c>
      <c r="B25" s="10" t="str">
        <f>HYPERLINK(" https://www.mq.edu.au/study/admissions-and-entry/scholarships/domestic/knox-grammar-school-teacher-education-scholarship", "Knox Grammar School Teacher Education Scholarship")</f>
        <v>Knox Grammar School Teacher Education Scholarship</v>
      </c>
      <c r="C25" s="9" t="s">
        <v>28</v>
      </c>
      <c r="D25" s="11">
        <v>8000</v>
      </c>
      <c r="E25" s="9">
        <v>1</v>
      </c>
      <c r="F25" s="9" t="s">
        <v>36</v>
      </c>
      <c r="G25" s="12" t="s">
        <v>45</v>
      </c>
      <c r="H25" s="9" t="s">
        <v>26</v>
      </c>
      <c r="I25" s="9" t="s">
        <v>26</v>
      </c>
    </row>
    <row r="26" spans="1:9" ht="45" x14ac:dyDescent="0.25">
      <c r="A26" s="8" t="s">
        <v>5</v>
      </c>
      <c r="B26" s="10" t="str">
        <f>HYPERLINK("https://www.mq.edu.au/study/admissions-and-entry/scholarships/domestic/the-goodacre-scholarship", "The Goodacre Scholarship")</f>
        <v>The Goodacre Scholarship</v>
      </c>
      <c r="C26" s="9" t="s">
        <v>15</v>
      </c>
      <c r="D26" s="11">
        <v>10000</v>
      </c>
      <c r="E26" s="9">
        <v>1</v>
      </c>
      <c r="F26" s="9" t="s">
        <v>14</v>
      </c>
      <c r="G26" s="12" t="s">
        <v>46</v>
      </c>
      <c r="H26" t="s">
        <v>17</v>
      </c>
      <c r="I26" s="9" t="s">
        <v>26</v>
      </c>
    </row>
    <row r="27" spans="1:9" ht="30" x14ac:dyDescent="0.25">
      <c r="A27" s="8" t="s">
        <v>5</v>
      </c>
      <c r="B27" s="10" t="str">
        <f>HYPERLINK(" https://www.mq.edu.au/study/admissions-and-entry/scholarships/domestic/commonwealth-teaching-scholarships", "Commonwealth Teaching Scholarships")</f>
        <v>Commonwealth Teaching Scholarships</v>
      </c>
      <c r="C27" s="9" t="s">
        <v>28</v>
      </c>
      <c r="D27" s="13" t="s">
        <v>47</v>
      </c>
      <c r="E27" s="9" t="s">
        <v>42</v>
      </c>
      <c r="F27" s="9" t="s">
        <v>36</v>
      </c>
      <c r="G27" s="9" t="s">
        <v>48</v>
      </c>
      <c r="H27" s="9" t="s">
        <v>26</v>
      </c>
      <c r="I27" s="9" t="s">
        <v>26</v>
      </c>
    </row>
    <row r="28" spans="1:9" ht="45" x14ac:dyDescent="0.25">
      <c r="A28" s="8" t="s">
        <v>5</v>
      </c>
      <c r="B28" s="10" t="str">
        <f>HYPERLINK(" https://www.mq.edu.au/study/admissions-and-entry/scholarships/domestic/bertha-mckenzie-endowment-scholarship", "Bertha McKenzie Endowment Scholarship")</f>
        <v>Bertha McKenzie Endowment Scholarship</v>
      </c>
      <c r="C28" s="9" t="s">
        <v>15</v>
      </c>
      <c r="D28" s="11">
        <v>5058</v>
      </c>
      <c r="E28" s="9" t="s">
        <v>25</v>
      </c>
      <c r="F28" s="9" t="s">
        <v>14</v>
      </c>
      <c r="G28" s="12" t="s">
        <v>49</v>
      </c>
      <c r="H28" s="9" t="s">
        <v>26</v>
      </c>
      <c r="I28" s="9" t="s">
        <v>26</v>
      </c>
    </row>
    <row r="29" spans="1:9" x14ac:dyDescent="0.25">
      <c r="A29" s="8" t="s">
        <v>5</v>
      </c>
      <c r="B29" s="10" t="str">
        <f>HYPERLINK(" https://www.mq.edu.au/study/admissions-and-entry/scholarships/domestic/dr-john-waters-equity-scholarship", "Dr John Waters Equity Scholarship")</f>
        <v>Dr John Waters Equity Scholarship</v>
      </c>
      <c r="C29" s="9" t="s">
        <v>15</v>
      </c>
      <c r="D29" s="11">
        <v>10000</v>
      </c>
      <c r="E29" s="9" t="s">
        <v>25</v>
      </c>
      <c r="F29" s="9" t="s">
        <v>14</v>
      </c>
      <c r="G29" s="9" t="s">
        <v>18</v>
      </c>
      <c r="H29" s="9" t="s">
        <v>26</v>
      </c>
      <c r="I29" s="9" t="s">
        <v>26</v>
      </c>
    </row>
    <row r="30" spans="1:9" ht="45" x14ac:dyDescent="0.25">
      <c r="A30" s="8" t="s">
        <v>5</v>
      </c>
      <c r="B30" s="10" t="str">
        <f>HYPERLINK(" https://www.mq.edu.au/study/admissions-and-entry/scholarships/domestic/macquarie-university-higher-study-scholarship-full-time-rate", "Macquarie University Higher Study Scholarship - Full time rate")</f>
        <v>Macquarie University Higher Study Scholarship - Full time rate</v>
      </c>
      <c r="C30" s="9" t="s">
        <v>15</v>
      </c>
      <c r="D30" s="11">
        <v>12000</v>
      </c>
      <c r="E30" s="9" t="s">
        <v>42</v>
      </c>
      <c r="F30" s="9" t="s">
        <v>51</v>
      </c>
      <c r="G30" s="12" t="s">
        <v>50</v>
      </c>
      <c r="H30" t="s">
        <v>22</v>
      </c>
      <c r="I30" s="9" t="s">
        <v>26</v>
      </c>
    </row>
    <row r="31" spans="1:9" ht="30" x14ac:dyDescent="0.25">
      <c r="A31" s="8" t="s">
        <v>5</v>
      </c>
      <c r="B31" s="10"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31" s="9" t="s">
        <v>28</v>
      </c>
      <c r="D31" s="9" t="s">
        <v>53</v>
      </c>
      <c r="E31" s="9" t="s">
        <v>42</v>
      </c>
      <c r="F31" s="9" t="s">
        <v>52</v>
      </c>
      <c r="G31" s="12" t="s">
        <v>54</v>
      </c>
      <c r="H31" t="s">
        <v>26</v>
      </c>
      <c r="I31" s="9" t="s">
        <v>26</v>
      </c>
    </row>
    <row r="32" spans="1:9" x14ac:dyDescent="0.25">
      <c r="A32" s="8" t="s">
        <v>5</v>
      </c>
      <c r="B32" s="10" t="str">
        <f>HYPERLINK(" https://www.mq.edu.au/study/admissions-and-entry/scholarships/domestic/macquarie-university-higher-study-scholarship-part-time-rate", "Macquarie University Higher Study Scholarship - Part time rate")</f>
        <v>Macquarie University Higher Study Scholarship - Part time rate</v>
      </c>
      <c r="C32" s="9" t="s">
        <v>15</v>
      </c>
      <c r="D32" s="11">
        <v>6000</v>
      </c>
      <c r="E32" s="9" t="s">
        <v>42</v>
      </c>
      <c r="F32" s="9" t="s">
        <v>51</v>
      </c>
      <c r="G32" s="9" t="s">
        <v>18</v>
      </c>
      <c r="H32" t="s">
        <v>26</v>
      </c>
      <c r="I32" s="9" t="s">
        <v>26</v>
      </c>
    </row>
    <row r="33" spans="1:9" ht="30" x14ac:dyDescent="0.25">
      <c r="A33" s="8" t="s">
        <v>5</v>
      </c>
      <c r="B33" s="10" t="str">
        <f>HYPERLINK(" https://www.mq.edu.au/study/admissions-and-entry/scholarships/domestic/macquarie-university-anu-alumni-postgraduate-support-scheme", "Macquarie University-ANU Alumni Postgraduate Support Scheme")</f>
        <v>Macquarie University-ANU Alumni Postgraduate Support Scheme</v>
      </c>
      <c r="C33" s="9" t="s">
        <v>28</v>
      </c>
      <c r="D33" s="9" t="s">
        <v>55</v>
      </c>
      <c r="E33" s="9" t="s">
        <v>42</v>
      </c>
      <c r="F33" s="9" t="s">
        <v>52</v>
      </c>
      <c r="G33" s="12" t="s">
        <v>54</v>
      </c>
      <c r="H33" t="s">
        <v>26</v>
      </c>
      <c r="I33" s="9" t="s">
        <v>26</v>
      </c>
    </row>
    <row r="34" spans="1:9" ht="30" x14ac:dyDescent="0.25">
      <c r="A34" s="8" t="s">
        <v>5</v>
      </c>
      <c r="B34" s="10" t="str">
        <f>HYPERLINK(" https://www.mq.edu.au/study/admissions-and-entry/scholarships/domestic/the-sir-theo-kelly-sustainable-leadership-scholarship", "The Sir Theo Kelly Sustainable Leadership Scholarship")</f>
        <v>The Sir Theo Kelly Sustainable Leadership Scholarship</v>
      </c>
      <c r="C34" s="9" t="s">
        <v>28</v>
      </c>
      <c r="D34" s="11" t="s">
        <v>56</v>
      </c>
      <c r="E34" s="9">
        <v>3</v>
      </c>
      <c r="F34" s="9" t="s">
        <v>52</v>
      </c>
      <c r="G34" s="12" t="s">
        <v>57</v>
      </c>
      <c r="H34" t="s">
        <v>26</v>
      </c>
      <c r="I34" s="9" t="s">
        <v>26</v>
      </c>
    </row>
    <row r="35" spans="1:9" ht="75" x14ac:dyDescent="0.25">
      <c r="A35" s="6" t="s">
        <v>9</v>
      </c>
      <c r="B35" s="10" t="str">
        <f>HYPERLINK(" https://www.uts.edu.au/scholarship/wanago-access-scholarship-young-women", "The Wanago Access Scholarship for Young Women")</f>
        <v>The Wanago Access Scholarship for Young Women</v>
      </c>
      <c r="C35" s="9" t="s">
        <v>15</v>
      </c>
      <c r="D35" s="11">
        <v>10000</v>
      </c>
      <c r="E35" s="9">
        <v>5</v>
      </c>
      <c r="F35" s="9" t="s">
        <v>14</v>
      </c>
      <c r="G35" s="12" t="s">
        <v>58</v>
      </c>
      <c r="H35" t="s">
        <v>26</v>
      </c>
      <c r="I35" s="9" t="s">
        <v>26</v>
      </c>
    </row>
    <row r="36" spans="1:9" ht="30" x14ac:dyDescent="0.25">
      <c r="A36" s="6" t="s">
        <v>9</v>
      </c>
      <c r="B36" s="10" t="str">
        <f>HYPERLINK(" https://www.uts.edu.au/scholarship/business-deans-scholarship", "Business Dean's Scholarship")</f>
        <v>Business Dean's Scholarship</v>
      </c>
      <c r="C36" s="9" t="s">
        <v>28</v>
      </c>
      <c r="D36" s="11">
        <v>10000</v>
      </c>
      <c r="E36" s="9">
        <v>3</v>
      </c>
      <c r="F36" s="9" t="s">
        <v>14</v>
      </c>
      <c r="G36" s="12" t="s">
        <v>31</v>
      </c>
      <c r="H36" t="s">
        <v>26</v>
      </c>
      <c r="I36" s="9" t="s">
        <v>26</v>
      </c>
    </row>
    <row r="37" spans="1:9" ht="30" x14ac:dyDescent="0.25">
      <c r="A37" s="6" t="s">
        <v>9</v>
      </c>
      <c r="B37" s="10" t="str">
        <f>HYPERLINK("https://www.uts.edu.au/scholarship/faculty-arts-and-social-sciences-undergraduate-student-merit-scholarship", "Faculty of Arts and Social Sciences Undergraduate Student Merit Scholarship")</f>
        <v>Faculty of Arts and Social Sciences Undergraduate Student Merit Scholarship</v>
      </c>
      <c r="C37" s="9" t="s">
        <v>15</v>
      </c>
      <c r="D37" s="11">
        <v>5000</v>
      </c>
      <c r="E37" s="9">
        <v>1</v>
      </c>
      <c r="F37" s="9" t="s">
        <v>14</v>
      </c>
      <c r="G37" s="12" t="s">
        <v>59</v>
      </c>
      <c r="H37" t="s">
        <v>22</v>
      </c>
      <c r="I37" s="9" t="s">
        <v>26</v>
      </c>
    </row>
    <row r="38" spans="1:9" ht="75" x14ac:dyDescent="0.25">
      <c r="A38" s="6" t="s">
        <v>9</v>
      </c>
      <c r="B38" s="10" t="str">
        <f>HYPERLINK(" https://www.uts.edu.au/scholarship/hansen-yuncken-scholarship-women-construction-and-engineering", "Hansen Yuncken Scholarship for Women in Construction and Engineering")</f>
        <v>Hansen Yuncken Scholarship for Women in Construction and Engineering</v>
      </c>
      <c r="C38" s="9" t="s">
        <v>28</v>
      </c>
      <c r="D38" s="9" t="s">
        <v>60</v>
      </c>
      <c r="E38" s="9">
        <v>1</v>
      </c>
      <c r="F38" s="9" t="s">
        <v>14</v>
      </c>
      <c r="G38" s="12" t="s">
        <v>61</v>
      </c>
      <c r="H38" t="s">
        <v>26</v>
      </c>
      <c r="I38" s="9" t="s">
        <v>17</v>
      </c>
    </row>
    <row r="39" spans="1:9" ht="60" x14ac:dyDescent="0.25">
      <c r="A39" s="6" t="s">
        <v>9</v>
      </c>
      <c r="B39" s="10" t="str">
        <f>HYPERLINK(" https://www.uts.edu.au/scholarship/essence-project-management-scholarship", "Essence Project Management Scholarship")</f>
        <v>Essence Project Management Scholarship</v>
      </c>
      <c r="C39" s="9" t="s">
        <v>28</v>
      </c>
      <c r="D39" s="11">
        <v>10000</v>
      </c>
      <c r="E39" s="9">
        <v>1</v>
      </c>
      <c r="F39" s="9" t="s">
        <v>14</v>
      </c>
      <c r="G39" s="12" t="s">
        <v>62</v>
      </c>
      <c r="H39" t="s">
        <v>26</v>
      </c>
      <c r="I39" t="s">
        <v>17</v>
      </c>
    </row>
    <row r="40" spans="1:9" ht="30" x14ac:dyDescent="0.25">
      <c r="A40" s="6" t="s">
        <v>9</v>
      </c>
      <c r="B40" s="10" t="str">
        <f>HYPERLINK(" https://www.uts.edu.au/scholarship/carl-nielsen-professional-development-scholarship", "Carl Nielsen Professional Development Scholarship")</f>
        <v>Carl Nielsen Professional Development Scholarship</v>
      </c>
      <c r="C40" s="9" t="s">
        <v>28</v>
      </c>
      <c r="D40" s="11">
        <v>5000</v>
      </c>
      <c r="E40" s="9">
        <v>1</v>
      </c>
      <c r="F40" s="9" t="s">
        <v>14</v>
      </c>
      <c r="G40" s="12" t="s">
        <v>63</v>
      </c>
      <c r="H40" t="s">
        <v>26</v>
      </c>
      <c r="I40" t="s">
        <v>26</v>
      </c>
    </row>
    <row r="41" spans="1:9" ht="30" x14ac:dyDescent="0.25">
      <c r="A41" s="6" t="s">
        <v>9</v>
      </c>
      <c r="B41" s="10" t="str">
        <f>HYPERLINK(" https://www.uts.edu.au/scholarship/garth-barnett-scholarship", "Garth Barnett Scholarship")</f>
        <v>Garth Barnett Scholarship</v>
      </c>
      <c r="C41" s="9" t="s">
        <v>28</v>
      </c>
      <c r="D41" s="11">
        <v>9000</v>
      </c>
      <c r="E41" s="9">
        <v>2</v>
      </c>
      <c r="F41" s="9" t="s">
        <v>14</v>
      </c>
      <c r="G41" s="12" t="s">
        <v>63</v>
      </c>
      <c r="H41" t="s">
        <v>26</v>
      </c>
      <c r="I41" t="s">
        <v>26</v>
      </c>
    </row>
    <row r="42" spans="1:9" ht="60" x14ac:dyDescent="0.25">
      <c r="A42" s="6" t="s">
        <v>9</v>
      </c>
      <c r="B42" s="10" t="str">
        <f>HYPERLINK("https://www.uts.edu.au/scholarship/richard-crookes-constructions-merit-scholarship-women", "Richard Crookes Constructions Merit Scholarship for Women")</f>
        <v>Richard Crookes Constructions Merit Scholarship for Women</v>
      </c>
      <c r="C42" s="9" t="s">
        <v>28</v>
      </c>
      <c r="D42" s="11">
        <v>5000</v>
      </c>
      <c r="E42" s="9">
        <v>2</v>
      </c>
      <c r="F42" s="9" t="s">
        <v>14</v>
      </c>
      <c r="G42" s="12" t="s">
        <v>64</v>
      </c>
      <c r="H42" t="s">
        <v>26</v>
      </c>
      <c r="I42" t="s">
        <v>17</v>
      </c>
    </row>
    <row r="43" spans="1:9" ht="45" x14ac:dyDescent="0.25">
      <c r="A43" s="6" t="s">
        <v>9</v>
      </c>
      <c r="B43" s="10" t="str">
        <f>HYPERLINK(" https://www.uts.edu.au/scholarship/charter-hall-property-economics-scholarship", "Charter Hall Property Economics Scholarship")</f>
        <v>Charter Hall Property Economics Scholarship</v>
      </c>
      <c r="C43" s="9" t="s">
        <v>28</v>
      </c>
      <c r="D43" s="11">
        <v>10000</v>
      </c>
      <c r="E43" s="9">
        <v>1</v>
      </c>
      <c r="F43" s="9" t="s">
        <v>14</v>
      </c>
      <c r="G43" s="12" t="s">
        <v>65</v>
      </c>
      <c r="H43" t="s">
        <v>22</v>
      </c>
      <c r="I43" t="s">
        <v>17</v>
      </c>
    </row>
    <row r="44" spans="1:9" ht="60" x14ac:dyDescent="0.25">
      <c r="A44" s="6" t="s">
        <v>9</v>
      </c>
      <c r="B44" s="10" t="str">
        <f>HYPERLINK(" https://www.uts.edu.au/scholarship/cox-architecture-scholarship", "Cox Architecture Scholarship")</f>
        <v>Cox Architecture Scholarship</v>
      </c>
      <c r="C44" s="9" t="s">
        <v>28</v>
      </c>
      <c r="D44" s="11">
        <v>10000</v>
      </c>
      <c r="E44" s="9">
        <v>1</v>
      </c>
      <c r="F44" s="9" t="s">
        <v>14</v>
      </c>
      <c r="G44" s="12" t="s">
        <v>66</v>
      </c>
      <c r="H44" t="s">
        <v>26</v>
      </c>
      <c r="I44" t="s">
        <v>17</v>
      </c>
    </row>
    <row r="45" spans="1:9" ht="75" x14ac:dyDescent="0.25">
      <c r="A45" s="6" t="s">
        <v>9</v>
      </c>
      <c r="B45" s="10" t="str">
        <f>HYPERLINK(" https://www.uts.edu.au/scholarship/mirvac-group-merit-scholarship-women-construction", "Mirvac Group Merit Scholarship for Women in Construction")</f>
        <v>Mirvac Group Merit Scholarship for Women in Construction</v>
      </c>
      <c r="C45" s="9" t="s">
        <v>28</v>
      </c>
      <c r="D45" s="11">
        <v>15000</v>
      </c>
      <c r="E45" s="9">
        <v>1</v>
      </c>
      <c r="F45" s="9" t="s">
        <v>14</v>
      </c>
      <c r="G45" s="12" t="s">
        <v>67</v>
      </c>
      <c r="H45" t="s">
        <v>26</v>
      </c>
      <c r="I45" t="s">
        <v>17</v>
      </c>
    </row>
    <row r="46" spans="1:9" ht="45" x14ac:dyDescent="0.25">
      <c r="A46" s="6" t="s">
        <v>9</v>
      </c>
      <c r="B46" s="10" t="str">
        <f>HYPERLINK("https://www.uts.edu.au/scholarship/order-australia-association-foundation-scholarship", "The Order of Australia Association Foundation Scholarship")</f>
        <v>The Order of Australia Association Foundation Scholarship</v>
      </c>
      <c r="C46" s="9" t="s">
        <v>28</v>
      </c>
      <c r="D46" s="11">
        <v>40000</v>
      </c>
      <c r="E46" s="9">
        <v>2</v>
      </c>
      <c r="F46" s="9" t="s">
        <v>14</v>
      </c>
      <c r="G46" s="12" t="s">
        <v>68</v>
      </c>
      <c r="H46" t="s">
        <v>26</v>
      </c>
      <c r="I46" t="s">
        <v>26</v>
      </c>
    </row>
    <row r="47" spans="1:9" ht="45" x14ac:dyDescent="0.25">
      <c r="A47" s="6" t="s">
        <v>9</v>
      </c>
      <c r="B47" s="10" t="str">
        <f>HYPERLINK("https://www.uts.edu.au/scholarship/toshiba-nathan-godby-engineering-scholarship", "Toshiba Nathan Godby Engineering Scholarship")</f>
        <v>Toshiba Nathan Godby Engineering Scholarship</v>
      </c>
      <c r="C47" s="9" t="s">
        <v>28</v>
      </c>
      <c r="D47" s="11">
        <v>25000</v>
      </c>
      <c r="E47" s="9">
        <v>0.5</v>
      </c>
      <c r="F47" s="9" t="s">
        <v>69</v>
      </c>
      <c r="G47" s="12" t="s">
        <v>70</v>
      </c>
      <c r="H47" t="s">
        <v>26</v>
      </c>
      <c r="I47" s="9" t="s">
        <v>17</v>
      </c>
    </row>
    <row r="48" spans="1:9" ht="60" x14ac:dyDescent="0.25">
      <c r="A48" s="6" t="s">
        <v>9</v>
      </c>
      <c r="B48" s="10" t="str">
        <f>HYPERLINK("https://www.uts.edu.au/scholarship/john-heine-memorial-scholarship-women-engineering", "John Heine Memorial Scholarship for Women in Engineering")</f>
        <v>John Heine Memorial Scholarship for Women in Engineering</v>
      </c>
      <c r="C48" s="9" t="s">
        <v>28</v>
      </c>
      <c r="D48" s="11">
        <v>23000</v>
      </c>
      <c r="E48" s="9">
        <v>5</v>
      </c>
      <c r="F48" s="9" t="s">
        <v>69</v>
      </c>
      <c r="G48" s="12" t="s">
        <v>71</v>
      </c>
      <c r="H48" t="s">
        <v>26</v>
      </c>
      <c r="I48" t="s">
        <v>26</v>
      </c>
    </row>
    <row r="49" spans="1:9" ht="60" x14ac:dyDescent="0.25">
      <c r="A49" s="6" t="s">
        <v>9</v>
      </c>
      <c r="B49" s="10" t="str">
        <f>HYPERLINK("https://www.uts.edu.au/scholarship/wj-lm-sinclair-scholarship-engineering", "WJ &amp; LM Sinclair Scholarship in Engineering")</f>
        <v>WJ &amp; LM Sinclair Scholarship in Engineering</v>
      </c>
      <c r="C49" s="9" t="s">
        <v>15</v>
      </c>
      <c r="D49" s="11">
        <v>20000</v>
      </c>
      <c r="E49" s="9">
        <v>5</v>
      </c>
      <c r="F49" s="9" t="s">
        <v>69</v>
      </c>
      <c r="G49" s="12" t="s">
        <v>72</v>
      </c>
      <c r="H49" t="s">
        <v>22</v>
      </c>
      <c r="I49" s="9" t="s">
        <v>26</v>
      </c>
    </row>
    <row r="50" spans="1:9" ht="45" x14ac:dyDescent="0.25">
      <c r="A50" s="6" t="s">
        <v>9</v>
      </c>
      <c r="B50" s="10" t="str">
        <f>HYPERLINK("https://www.uts.edu.au/scholarship/canon-medical-systems-uts-engineering-scholarship", "Canon Medical Systems – UTS Engineering Scholarship")</f>
        <v>Canon Medical Systems – UTS Engineering Scholarship</v>
      </c>
      <c r="C50" s="9" t="s">
        <v>28</v>
      </c>
      <c r="D50" s="11">
        <v>29000</v>
      </c>
      <c r="E50" s="9">
        <v>1</v>
      </c>
      <c r="F50" s="9" t="s">
        <v>69</v>
      </c>
      <c r="G50" s="12" t="s">
        <v>70</v>
      </c>
      <c r="H50" t="s">
        <v>26</v>
      </c>
      <c r="I50" s="9" t="s">
        <v>17</v>
      </c>
    </row>
    <row r="51" spans="1:9" ht="30" x14ac:dyDescent="0.25">
      <c r="A51" s="6" t="s">
        <v>9</v>
      </c>
      <c r="B51" s="10" t="str">
        <f>HYPERLINK("https://www.uts.edu.au/scholarship/eleanor-dunn-scholarship-engineering", "The Eleanor Dunn Scholarship in Engineering")</f>
        <v>The Eleanor Dunn Scholarship in Engineering</v>
      </c>
      <c r="C51" s="9" t="s">
        <v>15</v>
      </c>
      <c r="D51" s="9" t="s">
        <v>73</v>
      </c>
      <c r="E51" s="9">
        <v>5</v>
      </c>
      <c r="F51" s="9" t="s">
        <v>69</v>
      </c>
      <c r="G51" s="12" t="s">
        <v>74</v>
      </c>
      <c r="H51" t="s">
        <v>26</v>
      </c>
      <c r="I51" s="9" t="s">
        <v>26</v>
      </c>
    </row>
    <row r="52" spans="1:9" ht="60" x14ac:dyDescent="0.25">
      <c r="A52" s="6" t="s">
        <v>9</v>
      </c>
      <c r="B52" s="10" t="str">
        <f>HYPERLINK("https://www.uts.edu.au/scholarship/ericsson-scholarship-women-ict-and-engineering", "Ericsson Scholarship for Women in ICT and Engineering")</f>
        <v>Ericsson Scholarship for Women in ICT and Engineering</v>
      </c>
      <c r="C52" s="9" t="s">
        <v>28</v>
      </c>
      <c r="D52" s="9" t="s">
        <v>75</v>
      </c>
      <c r="E52" s="9" t="s">
        <v>76</v>
      </c>
      <c r="F52" s="9" t="s">
        <v>69</v>
      </c>
      <c r="G52" s="12" t="s">
        <v>77</v>
      </c>
      <c r="H52" t="s">
        <v>26</v>
      </c>
      <c r="I52" s="9" t="s">
        <v>17</v>
      </c>
    </row>
    <row r="53" spans="1:9" ht="45" x14ac:dyDescent="0.25">
      <c r="A53" s="6" t="s">
        <v>9</v>
      </c>
      <c r="B53" s="10" t="str">
        <f>HYPERLINK("https://www.uts.edu.au/scholarship/thales-senior-cooperative-scholarship", "The Thales Senior Cooperative Scholarship")</f>
        <v>The Thales Senior Cooperative Scholarship</v>
      </c>
      <c r="C53" s="9" t="s">
        <v>28</v>
      </c>
      <c r="D53" s="9" t="s">
        <v>78</v>
      </c>
      <c r="E53" s="9" t="s">
        <v>79</v>
      </c>
      <c r="F53" s="9" t="s">
        <v>69</v>
      </c>
      <c r="G53" s="12" t="s">
        <v>80</v>
      </c>
      <c r="H53" t="s">
        <v>26</v>
      </c>
      <c r="I53" s="9" t="s">
        <v>17</v>
      </c>
    </row>
    <row r="54" spans="1:9" ht="60" x14ac:dyDescent="0.25">
      <c r="A54" s="6" t="s">
        <v>9</v>
      </c>
      <c r="B54" s="10" t="str">
        <f>HYPERLINK("https://www.uts.edu.au/scholarship/linden-little-engineering-equity-scholarship", "Linden Little Engineering Equity Scholarship")</f>
        <v>Linden Little Engineering Equity Scholarship</v>
      </c>
      <c r="C54" s="9" t="s">
        <v>15</v>
      </c>
      <c r="D54" s="11">
        <v>17500</v>
      </c>
      <c r="E54" s="9">
        <v>2</v>
      </c>
      <c r="F54" s="9" t="s">
        <v>69</v>
      </c>
      <c r="G54" s="12" t="s">
        <v>72</v>
      </c>
      <c r="H54" t="s">
        <v>26</v>
      </c>
      <c r="I54" t="s">
        <v>26</v>
      </c>
    </row>
    <row r="55" spans="1:9" ht="60" x14ac:dyDescent="0.25">
      <c r="A55" s="6" t="s">
        <v>9</v>
      </c>
      <c r="B55" s="10" t="str">
        <f>HYPERLINK("https://www.uts.edu.au/scholarship/john-heine-memorial-scholarship-engineering", "John Heine Memorial Scholarship in Engineering")</f>
        <v>John Heine Memorial Scholarship in Engineering</v>
      </c>
      <c r="C55" s="9" t="s">
        <v>15</v>
      </c>
      <c r="D55" s="11">
        <v>23000</v>
      </c>
      <c r="E55" s="9">
        <v>5</v>
      </c>
      <c r="F55" s="9" t="s">
        <v>69</v>
      </c>
      <c r="G55" s="12" t="s">
        <v>72</v>
      </c>
      <c r="H55" t="s">
        <v>26</v>
      </c>
      <c r="I55" t="s">
        <v>26</v>
      </c>
    </row>
    <row r="56" spans="1:9" ht="45" x14ac:dyDescent="0.25">
      <c r="A56" s="6" t="s">
        <v>9</v>
      </c>
      <c r="B56" s="10" t="str">
        <f>HYPERLINK("https://www.uts.edu.au/scholarship/engineering-and-information-technology-deans-scholarship", "Engineering and Information Technology Dean’s Scholarship")</f>
        <v>Engineering and Information Technology Dean’s Scholarship</v>
      </c>
      <c r="C56" s="9" t="s">
        <v>28</v>
      </c>
      <c r="D56" s="11">
        <v>30000</v>
      </c>
      <c r="E56" s="9">
        <v>2</v>
      </c>
      <c r="F56" s="9" t="s">
        <v>14</v>
      </c>
      <c r="G56" s="12" t="s">
        <v>80</v>
      </c>
      <c r="H56" t="s">
        <v>26</v>
      </c>
      <c r="I56" t="s">
        <v>26</v>
      </c>
    </row>
    <row r="57" spans="1:9" ht="30" x14ac:dyDescent="0.25">
      <c r="A57" s="6" t="s">
        <v>9</v>
      </c>
      <c r="B57" s="10" t="str">
        <f>HYPERLINK("https://www.uts.edu.au/scholarship/health-deans-scholarship", "Health Dean’s Scholarship")</f>
        <v>Health Dean’s Scholarship</v>
      </c>
      <c r="C57" s="9" t="s">
        <v>28</v>
      </c>
      <c r="D57" s="11">
        <v>10000</v>
      </c>
      <c r="E57" s="9">
        <v>1</v>
      </c>
      <c r="F57" s="9" t="s">
        <v>14</v>
      </c>
      <c r="G57" s="12" t="s">
        <v>82</v>
      </c>
      <c r="H57" t="s">
        <v>26</v>
      </c>
      <c r="I57" t="s">
        <v>26</v>
      </c>
    </row>
    <row r="58" spans="1:9" ht="45" x14ac:dyDescent="0.25">
      <c r="A58" s="6" t="s">
        <v>9</v>
      </c>
      <c r="B58" s="10" t="str">
        <f>HYPERLINK("https://www.uts.edu.au/scholarship/challenger-it-scholarship", "Challenger IT Scholarship")</f>
        <v>Challenger IT Scholarship</v>
      </c>
      <c r="C58" s="9" t="s">
        <v>28</v>
      </c>
      <c r="D58" s="11">
        <v>43000</v>
      </c>
      <c r="E58" s="9">
        <v>1</v>
      </c>
      <c r="F58" s="9" t="s">
        <v>69</v>
      </c>
      <c r="G58" s="12" t="s">
        <v>83</v>
      </c>
      <c r="H58" t="s">
        <v>26</v>
      </c>
      <c r="I58" s="9" t="s">
        <v>17</v>
      </c>
    </row>
    <row r="59" spans="1:9" ht="60" x14ac:dyDescent="0.25">
      <c r="A59" s="6" t="s">
        <v>9</v>
      </c>
      <c r="B59" s="10" t="str">
        <f>HYPERLINK("https://www.uts.edu.au/scholarship/bachelor-information-technology-co-operative-scholarship-program", "Bachelor of Information Technology Co-operative Scholarship Program")</f>
        <v>Bachelor of Information Technology Co-operative Scholarship Program</v>
      </c>
      <c r="C59" s="9" t="s">
        <v>28</v>
      </c>
      <c r="D59" s="13" t="s">
        <v>84</v>
      </c>
      <c r="E59" s="9">
        <v>3</v>
      </c>
      <c r="F59" s="9" t="s">
        <v>14</v>
      </c>
      <c r="G59" s="12" t="s">
        <v>85</v>
      </c>
      <c r="H59" t="s">
        <v>26</v>
      </c>
      <c r="I59" s="9" t="s">
        <v>17</v>
      </c>
    </row>
    <row r="60" spans="1:9" ht="30" x14ac:dyDescent="0.25">
      <c r="A60" s="6" t="s">
        <v>9</v>
      </c>
      <c r="B60" s="10" t="str">
        <f>HYPERLINK("https://www.uts.edu.au/scholarship/law-equity-scholarship", "Law Equity Scholarship")</f>
        <v>Law Equity Scholarship</v>
      </c>
      <c r="C60" s="9" t="s">
        <v>15</v>
      </c>
      <c r="D60" s="11">
        <v>5000</v>
      </c>
      <c r="E60" s="9">
        <v>4</v>
      </c>
      <c r="F60" s="9" t="s">
        <v>14</v>
      </c>
      <c r="G60" s="12" t="s">
        <v>86</v>
      </c>
      <c r="H60" t="s">
        <v>26</v>
      </c>
      <c r="I60" t="s">
        <v>26</v>
      </c>
    </row>
    <row r="61" spans="1:9" ht="45" x14ac:dyDescent="0.25">
      <c r="A61" s="6" t="s">
        <v>9</v>
      </c>
      <c r="B61" s="10" t="str">
        <f>HYPERLINK("https://www.uts.edu.au/scholarship/ezekiel-solomon-scholarship", "Ezekiel Solomon Scholarship")</f>
        <v>Ezekiel Solomon Scholarship</v>
      </c>
      <c r="C61" s="9" t="s">
        <v>15</v>
      </c>
      <c r="D61" s="11">
        <v>5000</v>
      </c>
      <c r="E61" s="9">
        <v>1</v>
      </c>
      <c r="F61" s="9" t="s">
        <v>14</v>
      </c>
      <c r="G61" s="12" t="s">
        <v>87</v>
      </c>
      <c r="H61" t="s">
        <v>26</v>
      </c>
      <c r="I61" t="s">
        <v>26</v>
      </c>
    </row>
    <row r="62" spans="1:9" ht="45" x14ac:dyDescent="0.25">
      <c r="A62" s="6" t="s">
        <v>9</v>
      </c>
      <c r="B62" s="10" t="str">
        <f>HYPERLINK("https://www.uts.edu.au/scholarship/eric-dreikurs-scholarship", "Eric Dreikurs Scholarship")</f>
        <v>Eric Dreikurs Scholarship</v>
      </c>
      <c r="C62" s="9" t="s">
        <v>15</v>
      </c>
      <c r="D62" s="11">
        <v>6000</v>
      </c>
      <c r="E62" s="9">
        <v>1</v>
      </c>
      <c r="F62" s="9" t="s">
        <v>14</v>
      </c>
      <c r="G62" s="12" t="s">
        <v>87</v>
      </c>
      <c r="H62" t="s">
        <v>26</v>
      </c>
      <c r="I62" t="s">
        <v>26</v>
      </c>
    </row>
    <row r="63" spans="1:9" ht="30" x14ac:dyDescent="0.25">
      <c r="A63" s="6" t="s">
        <v>9</v>
      </c>
      <c r="B63" s="10" t="str">
        <f>HYPERLINK("https://www.uts.edu.au/scholarship/law-deans-scholarship", "Law Dean’s Scholarship")</f>
        <v>Law Dean’s Scholarship</v>
      </c>
      <c r="C63" s="9" t="s">
        <v>28</v>
      </c>
      <c r="D63" s="11">
        <v>10000</v>
      </c>
      <c r="E63" s="9">
        <v>1</v>
      </c>
      <c r="F63" s="9" t="s">
        <v>14</v>
      </c>
      <c r="G63" s="12" t="s">
        <v>88</v>
      </c>
      <c r="H63" t="s">
        <v>26</v>
      </c>
      <c r="I63" t="s">
        <v>26</v>
      </c>
    </row>
    <row r="64" spans="1:9" ht="60" x14ac:dyDescent="0.25">
      <c r="A64" s="6" t="s">
        <v>9</v>
      </c>
      <c r="B64" s="10" t="str">
        <f>HYPERLINK("https://www.uts.edu.au/scholarship/law-diversity-and-equity-scholarship", "Law Diversity and Equity Scholarship")</f>
        <v>Law Diversity and Equity Scholarship</v>
      </c>
      <c r="C64" s="9" t="s">
        <v>15</v>
      </c>
      <c r="D64" s="11">
        <v>10000</v>
      </c>
      <c r="E64" s="9">
        <v>1</v>
      </c>
      <c r="F64" s="9" t="s">
        <v>14</v>
      </c>
      <c r="G64" s="12" t="s">
        <v>89</v>
      </c>
      <c r="H64" t="s">
        <v>22</v>
      </c>
      <c r="I64" t="s">
        <v>26</v>
      </c>
    </row>
    <row r="65" spans="1:9" ht="30" x14ac:dyDescent="0.25">
      <c r="A65" s="6" t="s">
        <v>9</v>
      </c>
      <c r="B65" s="10" t="str">
        <f>HYPERLINK("https://www.uts.edu.au/scholarship/science-deans-scholarship", "Science Dean's Scholarship")</f>
        <v>Science Dean's Scholarship</v>
      </c>
      <c r="C65" s="9" t="s">
        <v>28</v>
      </c>
      <c r="D65" s="11">
        <v>15000</v>
      </c>
      <c r="E65" s="9">
        <v>3</v>
      </c>
      <c r="F65" s="9" t="s">
        <v>14</v>
      </c>
      <c r="G65" s="12" t="s">
        <v>91</v>
      </c>
      <c r="H65" t="s">
        <v>26</v>
      </c>
      <c r="I65" t="s">
        <v>26</v>
      </c>
    </row>
    <row r="66" spans="1:9" ht="45" x14ac:dyDescent="0.25">
      <c r="A66" s="6" t="s">
        <v>9</v>
      </c>
      <c r="B66" s="10" t="str">
        <f>HYPERLINK(" https://www.uts.edu.au/scholarship/science-deans-scholarship-women", "Science Dean’s Scholarship for Women")</f>
        <v>Science Dean’s Scholarship for Women</v>
      </c>
      <c r="C66" s="9" t="s">
        <v>28</v>
      </c>
      <c r="D66" s="11">
        <v>15000</v>
      </c>
      <c r="E66" s="9">
        <v>3</v>
      </c>
      <c r="F66" s="9" t="s">
        <v>14</v>
      </c>
      <c r="G66" s="12" t="s">
        <v>90</v>
      </c>
      <c r="H66" t="s">
        <v>26</v>
      </c>
      <c r="I66" t="s">
        <v>26</v>
      </c>
    </row>
    <row r="67" spans="1:9" ht="45" x14ac:dyDescent="0.25">
      <c r="A67" s="6" t="s">
        <v>9</v>
      </c>
      <c r="B67" s="10" t="str">
        <f>HYPERLINK("https://www.uts.edu.au/scholarship/uts-science-high-achievers-scholarship-0", "UTS Science High Achiever’s Scholarship")</f>
        <v>UTS Science High Achiever’s Scholarship</v>
      </c>
      <c r="C67" s="9" t="s">
        <v>28</v>
      </c>
      <c r="D67" s="11">
        <v>6000</v>
      </c>
      <c r="E67" s="9">
        <v>3</v>
      </c>
      <c r="F67" s="9" t="s">
        <v>14</v>
      </c>
      <c r="G67" s="12" t="s">
        <v>90</v>
      </c>
      <c r="H67" t="s">
        <v>26</v>
      </c>
      <c r="I67" t="s">
        <v>26</v>
      </c>
    </row>
    <row r="68" spans="1:9" ht="30" x14ac:dyDescent="0.25">
      <c r="A68" s="6" t="s">
        <v>9</v>
      </c>
      <c r="B68" s="10" t="str">
        <f>HYPERLINK("https://www.uts.edu.au/scholarship/ross-milbourne-elite-athlete-scholarship", "Ross Milbourne Elite Athlete Scholarship")</f>
        <v>Ross Milbourne Elite Athlete Scholarship</v>
      </c>
      <c r="C68" s="9" t="s">
        <v>28</v>
      </c>
      <c r="D68" s="11">
        <v>5000</v>
      </c>
      <c r="E68" s="9">
        <v>1</v>
      </c>
      <c r="F68" s="9" t="s">
        <v>92</v>
      </c>
      <c r="G68" s="12" t="s">
        <v>93</v>
      </c>
      <c r="H68" t="s">
        <v>26</v>
      </c>
      <c r="I68" t="s">
        <v>26</v>
      </c>
    </row>
    <row r="69" spans="1:9" ht="30" x14ac:dyDescent="0.25">
      <c r="A69" s="6" t="s">
        <v>9</v>
      </c>
      <c r="B69" s="10" t="str">
        <f>HYPERLINK("https://www.uts.edu.au/scholarship/tertiary-access-payment-tap", "Tertiary Access Payment (TAP)")</f>
        <v>Tertiary Access Payment (TAP)</v>
      </c>
      <c r="C69" s="9" t="s">
        <v>15</v>
      </c>
      <c r="D69" s="11" t="s">
        <v>24</v>
      </c>
      <c r="E69" s="9">
        <v>1</v>
      </c>
      <c r="F69" s="9" t="s">
        <v>94</v>
      </c>
      <c r="G69" s="12" t="s">
        <v>95</v>
      </c>
      <c r="H69" t="s">
        <v>26</v>
      </c>
      <c r="I69" t="s">
        <v>26</v>
      </c>
    </row>
    <row r="70" spans="1:9" ht="30" x14ac:dyDescent="0.25">
      <c r="A70" s="6" t="s">
        <v>9</v>
      </c>
      <c r="B70" s="10" t="str">
        <f>HYPERLINK("https://www.uts.edu.au/scholarship/gradwell-brungs-scholarship", "The Gradwell Brungs Scholarship")</f>
        <v>The Gradwell Brungs Scholarship</v>
      </c>
      <c r="C70" s="9" t="s">
        <v>28</v>
      </c>
      <c r="D70" s="13" t="s">
        <v>96</v>
      </c>
      <c r="E70" s="9">
        <v>4</v>
      </c>
      <c r="F70" s="9" t="s">
        <v>14</v>
      </c>
      <c r="G70" s="12" t="s">
        <v>97</v>
      </c>
      <c r="H70" t="s">
        <v>26</v>
      </c>
      <c r="I70" t="s">
        <v>26</v>
      </c>
    </row>
    <row r="71" spans="1:9" ht="45" x14ac:dyDescent="0.25">
      <c r="A71" s="6" t="s">
        <v>9</v>
      </c>
      <c r="B71" s="10" t="str">
        <f>HYPERLINK("https://www.uts.edu.au/scholarship/vice-chancellors-merit-scholarship", "Vice-Chancellor's Merit Scholarship")</f>
        <v>Vice-Chancellor's Merit Scholarship</v>
      </c>
      <c r="C71" s="9" t="s">
        <v>15</v>
      </c>
      <c r="D71" s="13" t="s">
        <v>98</v>
      </c>
      <c r="E71" s="9" t="s">
        <v>42</v>
      </c>
      <c r="F71" s="9" t="s">
        <v>14</v>
      </c>
      <c r="G71" s="12" t="s">
        <v>99</v>
      </c>
      <c r="H71" t="s">
        <v>26</v>
      </c>
      <c r="I71" t="s">
        <v>26</v>
      </c>
    </row>
    <row r="72" spans="1:9" x14ac:dyDescent="0.25">
      <c r="A72" s="6" t="s">
        <v>9</v>
      </c>
      <c r="B72" s="10" t="str">
        <f>HYPERLINK("https://www.uts.edu.au/scholarship/vice-chancellors-outstanding-achievement-scholarship", "Vice-Chancellor's Outstanding Achievement Scholarship")</f>
        <v>Vice-Chancellor's Outstanding Achievement Scholarship</v>
      </c>
      <c r="C72" s="9" t="s">
        <v>28</v>
      </c>
      <c r="D72" s="13" t="s">
        <v>98</v>
      </c>
      <c r="E72" s="9" t="s">
        <v>42</v>
      </c>
      <c r="F72" s="9" t="s">
        <v>14</v>
      </c>
      <c r="G72" s="9" t="s">
        <v>100</v>
      </c>
      <c r="H72" t="s">
        <v>26</v>
      </c>
      <c r="I72" t="s">
        <v>26</v>
      </c>
    </row>
    <row r="73" spans="1:9" x14ac:dyDescent="0.25">
      <c r="A73" s="6" t="s">
        <v>9</v>
      </c>
      <c r="B73" s="10" t="str">
        <f>HYPERLINK("https://www.uts.edu.au/scholarship/lawrence-vidoni-memorial-scholarship-0", "Lawrence Vidoni Memorial Scholarship")</f>
        <v>Lawrence Vidoni Memorial Scholarship</v>
      </c>
      <c r="C73" s="9" t="s">
        <v>15</v>
      </c>
      <c r="D73" s="11">
        <v>9000</v>
      </c>
      <c r="E73" s="9">
        <v>3</v>
      </c>
      <c r="F73" s="9" t="s">
        <v>14</v>
      </c>
      <c r="G73" s="9" t="s">
        <v>101</v>
      </c>
      <c r="H73" t="s">
        <v>26</v>
      </c>
      <c r="I73" t="s">
        <v>26</v>
      </c>
    </row>
    <row r="74" spans="1:9" ht="45" x14ac:dyDescent="0.25">
      <c r="A74" s="6" t="s">
        <v>9</v>
      </c>
      <c r="B74" s="10" t="str">
        <f>HYPERLINK("https://www.uts.edu.au/scholarship/uts-economics-discipline-group-honours-scholarship", "UTS Business School Economics Honours Scholarship")</f>
        <v>UTS Business School Economics Honours Scholarship</v>
      </c>
      <c r="C74" s="9" t="s">
        <v>28</v>
      </c>
      <c r="D74" s="11">
        <v>5000</v>
      </c>
      <c r="E74" s="9">
        <v>1</v>
      </c>
      <c r="F74" s="9" t="s">
        <v>14</v>
      </c>
      <c r="G74" s="12" t="s">
        <v>102</v>
      </c>
      <c r="H74" t="s">
        <v>26</v>
      </c>
      <c r="I74" t="s">
        <v>26</v>
      </c>
    </row>
    <row r="75" spans="1:9" ht="45" x14ac:dyDescent="0.25">
      <c r="A75" s="6" t="s">
        <v>9</v>
      </c>
      <c r="B75" s="10" t="str">
        <f>HYPERLINK("https://www.uts.edu.au/scholarship/refinitiv-finance-honours-scholarship", "Refinitiv Finance Honours Scholarship")</f>
        <v>Refinitiv Finance Honours Scholarship</v>
      </c>
      <c r="C75" s="9" t="s">
        <v>28</v>
      </c>
      <c r="D75" s="11">
        <v>5000</v>
      </c>
      <c r="E75" s="9">
        <v>2</v>
      </c>
      <c r="F75" s="9" t="s">
        <v>14</v>
      </c>
      <c r="G75" s="12" t="s">
        <v>103</v>
      </c>
      <c r="H75" t="s">
        <v>26</v>
      </c>
      <c r="I75" t="s">
        <v>26</v>
      </c>
    </row>
    <row r="76" spans="1:9" ht="45" x14ac:dyDescent="0.25">
      <c r="A76" s="6" t="s">
        <v>9</v>
      </c>
      <c r="B76" s="10" t="str">
        <f>HYPERLINK("https://www.uts.edu.au/scholarship/uts-business-school-honours-scholarship", "UTS Business School Honours Scholarship")</f>
        <v>UTS Business School Honours Scholarship</v>
      </c>
      <c r="C76" s="9" t="s">
        <v>28</v>
      </c>
      <c r="D76" s="11">
        <v>5000</v>
      </c>
      <c r="E76" s="9">
        <v>1</v>
      </c>
      <c r="F76" s="9" t="s">
        <v>104</v>
      </c>
      <c r="G76" s="12" t="s">
        <v>105</v>
      </c>
      <c r="H76" t="s">
        <v>26</v>
      </c>
      <c r="I76" t="s">
        <v>26</v>
      </c>
    </row>
    <row r="77" spans="1:9" ht="45" x14ac:dyDescent="0.25">
      <c r="A77" s="6" t="s">
        <v>9</v>
      </c>
      <c r="B77" s="10" t="str">
        <f>HYPERLINK(" https://www.uts.edu.au/scholarship/marketing-honours-scholarship", "Marketing Honours Scholarship")</f>
        <v>Marketing Honours Scholarship</v>
      </c>
      <c r="C77" s="9" t="s">
        <v>28</v>
      </c>
      <c r="D77" s="11">
        <v>5000</v>
      </c>
      <c r="E77" s="9">
        <v>1</v>
      </c>
      <c r="F77" s="9" t="s">
        <v>104</v>
      </c>
      <c r="G77" s="12" t="s">
        <v>106</v>
      </c>
      <c r="H77" t="s">
        <v>26</v>
      </c>
      <c r="I77" t="s">
        <v>26</v>
      </c>
    </row>
    <row r="78" spans="1:9" ht="45" x14ac:dyDescent="0.25">
      <c r="A78" s="6" t="s">
        <v>9</v>
      </c>
      <c r="B78" s="10" t="str">
        <f>HYPERLINK("https://www.uts.edu.au/scholarship/accounting-honours-scholarship", "Accounting Honours Scholarship")</f>
        <v>Accounting Honours Scholarship</v>
      </c>
      <c r="C78" s="9" t="s">
        <v>28</v>
      </c>
      <c r="D78" s="11">
        <v>5000</v>
      </c>
      <c r="E78" s="9">
        <v>1</v>
      </c>
      <c r="F78" s="9" t="s">
        <v>104</v>
      </c>
      <c r="G78" s="12" t="s">
        <v>107</v>
      </c>
      <c r="H78" t="s">
        <v>26</v>
      </c>
      <c r="I78" t="s">
        <v>26</v>
      </c>
    </row>
    <row r="79" spans="1:9" ht="60" x14ac:dyDescent="0.25">
      <c r="A79" s="6" t="s">
        <v>9</v>
      </c>
      <c r="B79" s="10" t="str">
        <f>HYPERLINK("https://www.uts.edu.au/scholarship/plato-investment-management-scholarship-women-finance", "The Plato Investment Management Scholarship for Women in Finance")</f>
        <v>The Plato Investment Management Scholarship for Women in Finance</v>
      </c>
      <c r="C79" s="9" t="s">
        <v>28</v>
      </c>
      <c r="D79" s="11">
        <v>5000</v>
      </c>
      <c r="E79" s="9">
        <v>1</v>
      </c>
      <c r="F79" s="9" t="s">
        <v>108</v>
      </c>
      <c r="G79" s="12" t="s">
        <v>109</v>
      </c>
      <c r="H79" t="s">
        <v>26</v>
      </c>
      <c r="I79" t="s">
        <v>26</v>
      </c>
    </row>
    <row r="80" spans="1:9" ht="60" x14ac:dyDescent="0.25">
      <c r="A80" s="6" t="s">
        <v>9</v>
      </c>
      <c r="B80" s="10" t="str">
        <f>HYPERLINK("https://www.uts.edu.au/scholarship/women-engineering-and-it-cooperative-scholarship", "Women in Engineering and IT Cooperative Scholarship")</f>
        <v>Women in Engineering and IT Cooperative Scholarship</v>
      </c>
      <c r="C80" s="9" t="s">
        <v>28</v>
      </c>
      <c r="D80" s="11" t="s">
        <v>110</v>
      </c>
      <c r="E80" s="9">
        <v>4</v>
      </c>
      <c r="F80" s="9" t="s">
        <v>69</v>
      </c>
      <c r="G80" s="12" t="s">
        <v>71</v>
      </c>
      <c r="H80" t="s">
        <v>26</v>
      </c>
      <c r="I80" t="s">
        <v>17</v>
      </c>
    </row>
    <row r="81" spans="1:9" ht="30" x14ac:dyDescent="0.25">
      <c r="A81" s="6" t="s">
        <v>9</v>
      </c>
      <c r="B81" s="10" t="str">
        <f>HYPERLINK("https://www.uts.edu.au/scholarship/mba-scholarship-outstanding-students-commencing", "MBA Scholarship for Outstanding Students (Commencing)")</f>
        <v>MBA Scholarship for Outstanding Students (Commencing)</v>
      </c>
      <c r="C81" s="9" t="s">
        <v>28</v>
      </c>
      <c r="D81" s="11" t="s">
        <v>111</v>
      </c>
      <c r="E81" s="9">
        <v>1</v>
      </c>
      <c r="F81" s="9" t="s">
        <v>52</v>
      </c>
      <c r="G81" s="12" t="s">
        <v>112</v>
      </c>
      <c r="H81" t="s">
        <v>26</v>
      </c>
      <c r="I81" t="s">
        <v>26</v>
      </c>
    </row>
    <row r="82" spans="1:9" ht="30" x14ac:dyDescent="0.25">
      <c r="A82" s="6" t="s">
        <v>9</v>
      </c>
      <c r="B82" s="10" t="str">
        <f>HYPERLINK("https://www.uts.edu.au/scholarship/mba-scholarship-outstanding-students-current", "MBA Scholarship for Outstanding Students (Current)")</f>
        <v>MBA Scholarship for Outstanding Students (Current)</v>
      </c>
      <c r="C82" s="9" t="s">
        <v>28</v>
      </c>
      <c r="D82" s="11" t="s">
        <v>113</v>
      </c>
      <c r="E82" s="9">
        <v>1</v>
      </c>
      <c r="F82" s="9" t="s">
        <v>52</v>
      </c>
      <c r="G82" s="12" t="s">
        <v>57</v>
      </c>
      <c r="H82" t="s">
        <v>26</v>
      </c>
      <c r="I82" t="s">
        <v>26</v>
      </c>
    </row>
    <row r="83" spans="1:9" ht="30" x14ac:dyDescent="0.25">
      <c r="A83" s="6" t="s">
        <v>9</v>
      </c>
      <c r="B83" s="10" t="str">
        <f>HYPERLINK("https://www.uts.edu.au/scholarship/seerpharma-scholarship", "The SeerPharma Scholarship")</f>
        <v>The SeerPharma Scholarship</v>
      </c>
      <c r="C83" s="9" t="s">
        <v>28</v>
      </c>
      <c r="D83" s="9" t="s">
        <v>114</v>
      </c>
      <c r="E83" s="9">
        <v>1</v>
      </c>
      <c r="F83" s="9" t="s">
        <v>52</v>
      </c>
      <c r="G83" s="12" t="s">
        <v>115</v>
      </c>
      <c r="H83" t="s">
        <v>26</v>
      </c>
      <c r="I83" t="s">
        <v>26</v>
      </c>
    </row>
    <row r="84" spans="1:9" ht="30" x14ac:dyDescent="0.25">
      <c r="A84" s="6" t="s">
        <v>9</v>
      </c>
      <c r="B84" s="10" t="str">
        <f>HYPERLINK("https://www.uts.edu.au/scholarship/andrew-and-lina-gullotta-uts-pharmacy-scholarship", "Andrew and Lina Gullotta UTS Pharmacy Scholarship")</f>
        <v>Andrew and Lina Gullotta UTS Pharmacy Scholarship</v>
      </c>
      <c r="C84" s="9" t="s">
        <v>28</v>
      </c>
      <c r="D84" s="11">
        <v>1500</v>
      </c>
      <c r="E84" s="9">
        <v>1</v>
      </c>
      <c r="F84" s="9" t="s">
        <v>52</v>
      </c>
      <c r="G84" s="12" t="s">
        <v>116</v>
      </c>
      <c r="H84" t="s">
        <v>26</v>
      </c>
      <c r="I84" t="s">
        <v>26</v>
      </c>
    </row>
    <row r="85" spans="1:9" ht="45" x14ac:dyDescent="0.25">
      <c r="A85" s="6" t="s">
        <v>9</v>
      </c>
      <c r="B85" s="10" t="str">
        <f>HYPERLINK("https://www.uts.edu.au/scholarship/uts-science-postgraduate-academic-merit-scholarship", "UTS Science Postgraduate Academic Merit Scholarship")</f>
        <v>UTS Science Postgraduate Academic Merit Scholarship</v>
      </c>
      <c r="C85" s="9" t="s">
        <v>28</v>
      </c>
      <c r="D85" s="9" t="s">
        <v>118</v>
      </c>
      <c r="E85" s="9" t="s">
        <v>42</v>
      </c>
      <c r="F85" s="9" t="s">
        <v>52</v>
      </c>
      <c r="G85" s="12" t="s">
        <v>117</v>
      </c>
      <c r="H85" t="s">
        <v>26</v>
      </c>
      <c r="I85" t="s">
        <v>26</v>
      </c>
    </row>
    <row r="86" spans="1:9" ht="60" x14ac:dyDescent="0.25">
      <c r="A86" s="6" t="s">
        <v>9</v>
      </c>
      <c r="B86" s="10" t="str">
        <f>HYPERLINK("https://www.uts.edu.au/scholarship/uts-dr-con-moshegov-orthoptics-scholarship", "UTS Dr Con Moshegov Orthoptics Scholarship")</f>
        <v>UTS Dr Con Moshegov Orthoptics Scholarship</v>
      </c>
      <c r="C86" s="9" t="s">
        <v>15</v>
      </c>
      <c r="D86" s="11">
        <v>5000</v>
      </c>
      <c r="E86" s="9">
        <v>2</v>
      </c>
      <c r="F86" s="9" t="s">
        <v>52</v>
      </c>
      <c r="G86" s="12" t="s">
        <v>119</v>
      </c>
      <c r="H86" t="s">
        <v>26</v>
      </c>
      <c r="I86" t="s">
        <v>26</v>
      </c>
    </row>
    <row r="87" spans="1:9" ht="75" x14ac:dyDescent="0.25">
      <c r="A87" s="6" t="s">
        <v>9</v>
      </c>
      <c r="B87" s="10" t="str">
        <f>HYPERLINK("https://www.uts.edu.au/scholarship/longevity-pt-scholarship-masters-clinical-exercise-physiology", "Longevity PT Scholarship (Masters of Clinical Exercise Physiology)")</f>
        <v>Longevity PT Scholarship (Masters of Clinical Exercise Physiology)</v>
      </c>
      <c r="C87" s="9" t="s">
        <v>15</v>
      </c>
      <c r="D87" s="9" t="s">
        <v>120</v>
      </c>
      <c r="E87" s="9">
        <v>1</v>
      </c>
      <c r="F87" s="9" t="s">
        <v>52</v>
      </c>
      <c r="G87" s="12" t="s">
        <v>121</v>
      </c>
      <c r="H87" t="s">
        <v>22</v>
      </c>
      <c r="I87" t="s">
        <v>26</v>
      </c>
    </row>
    <row r="88" spans="1:9" ht="90" x14ac:dyDescent="0.25">
      <c r="A88" s="6" t="s">
        <v>9</v>
      </c>
      <c r="B88" s="10" t="str">
        <f>HYPERLINK("https://www.uts.edu.au/scholarship/doctors-co-scholarship", "Doctors &amp; Co Scholarship")</f>
        <v>Doctors &amp; Co Scholarship</v>
      </c>
      <c r="C88" s="9" t="s">
        <v>15</v>
      </c>
      <c r="D88" s="11">
        <v>5000</v>
      </c>
      <c r="E88" s="9">
        <v>1</v>
      </c>
      <c r="F88" s="9" t="s">
        <v>36</v>
      </c>
      <c r="G88" s="12" t="s">
        <v>122</v>
      </c>
      <c r="H88" t="s">
        <v>26</v>
      </c>
      <c r="I88" t="s">
        <v>26</v>
      </c>
    </row>
    <row r="89" spans="1:9" ht="45" x14ac:dyDescent="0.25">
      <c r="A89" s="6" t="s">
        <v>9</v>
      </c>
      <c r="B89" s="10" t="str">
        <f>HYPERLINK("https://www.uts.edu.au/scholarship/wanda-jamrozik-scholarship-journalism", "The Wanda Jamrozik Scholarship in Journalism")</f>
        <v>The Wanda Jamrozik Scholarship in Journalism</v>
      </c>
      <c r="C89" s="9" t="s">
        <v>28</v>
      </c>
      <c r="D89" s="11" t="s">
        <v>123</v>
      </c>
      <c r="E89" s="9">
        <v>0.5</v>
      </c>
      <c r="F89" s="9" t="s">
        <v>36</v>
      </c>
      <c r="G89" s="12" t="s">
        <v>124</v>
      </c>
      <c r="H89" t="s">
        <v>26</v>
      </c>
      <c r="I89" t="s">
        <v>26</v>
      </c>
    </row>
    <row r="90" spans="1:9" ht="45" x14ac:dyDescent="0.25">
      <c r="A90" s="6" t="s">
        <v>9</v>
      </c>
      <c r="B90" s="10" t="str">
        <f>HYPERLINK("https://www.uts.edu.au/scholarship/gordon-young-memorial-scholarship", "https://www.uts.edu.au/scholarship/gordon-young-memorial-scholarship")</f>
        <v>https://www.uts.edu.au/scholarship/gordon-young-memorial-scholarship</v>
      </c>
      <c r="C90" s="9" t="s">
        <v>28</v>
      </c>
      <c r="D90" s="9" t="s">
        <v>127</v>
      </c>
      <c r="E90" s="9">
        <v>1</v>
      </c>
      <c r="F90" s="9" t="s">
        <v>126</v>
      </c>
      <c r="G90" s="12" t="s">
        <v>125</v>
      </c>
      <c r="H90" t="s">
        <v>26</v>
      </c>
      <c r="I90" t="s">
        <v>26</v>
      </c>
    </row>
    <row r="91" spans="1:9" ht="75" x14ac:dyDescent="0.25">
      <c r="A91" s="6" t="s">
        <v>9</v>
      </c>
      <c r="B91" s="10" t="str">
        <f>HYPERLINK("https://www.uts.edu.au/scholarship/mark-lyons-not-profit-and-social-enterprise-management-scholarship", "Mark Lyons Not-for-Profit and Social Enterprise Management Scholarship")</f>
        <v>Mark Lyons Not-for-Profit and Social Enterprise Management Scholarship</v>
      </c>
      <c r="C91" s="9" t="s">
        <v>15</v>
      </c>
      <c r="D91" s="11">
        <v>5000</v>
      </c>
      <c r="E91" s="9">
        <v>1</v>
      </c>
      <c r="F91" s="9" t="s">
        <v>52</v>
      </c>
      <c r="G91" s="12" t="s">
        <v>128</v>
      </c>
      <c r="H91" t="s">
        <v>26</v>
      </c>
      <c r="I91" t="s">
        <v>26</v>
      </c>
    </row>
    <row r="92" spans="1:9" ht="30" x14ac:dyDescent="0.25">
      <c r="A92" s="6" t="s">
        <v>9</v>
      </c>
      <c r="B92" s="10" t="str">
        <f>HYPERLINK("https://www.uts.edu.au/scholarship/postgraduate-business-alumni-scholarship", "Postgraduate Business Alumni Scholarship")</f>
        <v>Postgraduate Business Alumni Scholarship</v>
      </c>
      <c r="C92" s="9" t="s">
        <v>28</v>
      </c>
      <c r="D92" s="9" t="s">
        <v>129</v>
      </c>
      <c r="E92" s="9">
        <v>1</v>
      </c>
      <c r="F92" s="9" t="s">
        <v>52</v>
      </c>
      <c r="G92" s="12" t="s">
        <v>130</v>
      </c>
      <c r="H92" t="s">
        <v>26</v>
      </c>
      <c r="I92" t="s">
        <v>26</v>
      </c>
    </row>
    <row r="93" spans="1:9" x14ac:dyDescent="0.25">
      <c r="A93" s="6" t="s">
        <v>9</v>
      </c>
      <c r="B93" s="10" t="str">
        <f>HYPERLINK("https://www.uts.edu.au/scholarship/equal-access-scholarship-institution-equity-scholarship", "Equal Access Scholarship (Institution Equity Scholarship)")</f>
        <v>Equal Access Scholarship (Institution Equity Scholarship)</v>
      </c>
      <c r="C93" s="9" t="s">
        <v>15</v>
      </c>
      <c r="D93" s="9" t="s">
        <v>131</v>
      </c>
      <c r="E93" s="9">
        <v>1</v>
      </c>
      <c r="F93" s="9" t="s">
        <v>132</v>
      </c>
      <c r="G93" s="9" t="s">
        <v>133</v>
      </c>
      <c r="H93" t="s">
        <v>26</v>
      </c>
      <c r="I93" t="s">
        <v>26</v>
      </c>
    </row>
    <row r="94" spans="1:9" ht="45" x14ac:dyDescent="0.25">
      <c r="A94" s="6" t="s">
        <v>9</v>
      </c>
      <c r="B94" s="10" t="str">
        <f>HYPERLINK("https://www.uts.edu.au/scholarship/ericsson-technology-scholarship", "Ericsson Technology Scholarship")</f>
        <v>Ericsson Technology Scholarship</v>
      </c>
      <c r="C94" s="9" t="s">
        <v>28</v>
      </c>
      <c r="D94" s="11">
        <v>24000</v>
      </c>
      <c r="E94" s="9">
        <v>0.5</v>
      </c>
      <c r="F94" s="9" t="s">
        <v>69</v>
      </c>
      <c r="G94" s="12" t="s">
        <v>80</v>
      </c>
      <c r="H94" t="s">
        <v>26</v>
      </c>
      <c r="I94" t="s">
        <v>17</v>
      </c>
    </row>
    <row r="95" spans="1:9" ht="45" x14ac:dyDescent="0.25">
      <c r="A95" s="6" t="s">
        <v>9</v>
      </c>
      <c r="B95" s="10" t="str">
        <f>HYPERLINK("https://www.uts.edu.au/scholarship/telstra-enterprise-certitude-scholarship", "Telstra Enterprise Certitude Scholarship")</f>
        <v>Telstra Enterprise Certitude Scholarship</v>
      </c>
      <c r="C95" s="9" t="s">
        <v>28</v>
      </c>
      <c r="D95" s="9" t="s">
        <v>134</v>
      </c>
      <c r="E95" s="9" t="s">
        <v>135</v>
      </c>
      <c r="F95" s="9" t="s">
        <v>69</v>
      </c>
      <c r="G95" s="12" t="s">
        <v>83</v>
      </c>
      <c r="H95" t="s">
        <v>26</v>
      </c>
      <c r="I95" t="s">
        <v>17</v>
      </c>
    </row>
    <row r="96" spans="1:9" ht="30" x14ac:dyDescent="0.25">
      <c r="A96" s="6" t="s">
        <v>9</v>
      </c>
      <c r="B96" s="10" t="str">
        <f>HYPERLINK("https://www.uts.edu.au/scholarship/levo-scholarship-women-technology", "LEVO Scholarship for Women in Technology")</f>
        <v>LEVO Scholarship for Women in Technology</v>
      </c>
      <c r="C96" s="9" t="s">
        <v>28</v>
      </c>
      <c r="D96" s="9" t="s">
        <v>136</v>
      </c>
      <c r="E96" s="9">
        <v>4</v>
      </c>
      <c r="F96" s="9" t="s">
        <v>69</v>
      </c>
      <c r="G96" s="12" t="s">
        <v>137</v>
      </c>
      <c r="H96" t="s">
        <v>26</v>
      </c>
      <c r="I96" t="s">
        <v>17</v>
      </c>
    </row>
    <row r="97" spans="1:9" ht="45" x14ac:dyDescent="0.25">
      <c r="A97" s="6" t="s">
        <v>9</v>
      </c>
      <c r="B97" s="10" t="str">
        <f>HYPERLINK("https://www.uts.edu.au/scholarship/pendal-group-finance-honours-scholarship", "The Pendal Group Finance Honours Scholarship")</f>
        <v>The Pendal Group Finance Honours Scholarship</v>
      </c>
      <c r="C97" s="9" t="s">
        <v>28</v>
      </c>
      <c r="D97" s="11">
        <v>10000</v>
      </c>
      <c r="E97" s="9">
        <v>1</v>
      </c>
      <c r="F97" s="9" t="s">
        <v>138</v>
      </c>
      <c r="G97" s="12" t="s">
        <v>139</v>
      </c>
      <c r="H97" t="s">
        <v>26</v>
      </c>
      <c r="I97" t="s">
        <v>26</v>
      </c>
    </row>
    <row r="98" spans="1:9" ht="45" x14ac:dyDescent="0.25">
      <c r="A98" s="6" t="s">
        <v>9</v>
      </c>
      <c r="B98" s="10" t="str">
        <f>HYPERLINK("https://www.uts.edu.au/scholarship/richard-butler-scholarship", "Richard Butler Scholarship")</f>
        <v>Richard Butler Scholarship</v>
      </c>
      <c r="C98" s="9" t="s">
        <v>28</v>
      </c>
      <c r="D98" s="11">
        <v>10000</v>
      </c>
      <c r="E98" s="9">
        <v>1</v>
      </c>
      <c r="F98" s="9" t="s">
        <v>14</v>
      </c>
      <c r="G98" s="12" t="s">
        <v>140</v>
      </c>
      <c r="H98" t="s">
        <v>26</v>
      </c>
      <c r="I98" t="s">
        <v>26</v>
      </c>
    </row>
    <row r="99" spans="1:9" ht="75" x14ac:dyDescent="0.25">
      <c r="A99" s="6" t="s">
        <v>9</v>
      </c>
      <c r="B99" s="10" t="str">
        <f>HYPERLINK("https://www.uts.edu.au/scholarship/epm-projects-scholarship", "EPM Projects Scholarship")</f>
        <v>EPM Projects Scholarship</v>
      </c>
      <c r="C99" s="9" t="s">
        <v>28</v>
      </c>
      <c r="D99" s="11">
        <v>10000</v>
      </c>
      <c r="E99" s="9">
        <v>1</v>
      </c>
      <c r="F99" s="9" t="s">
        <v>14</v>
      </c>
      <c r="G99" s="12" t="s">
        <v>67</v>
      </c>
      <c r="H99" t="s">
        <v>26</v>
      </c>
      <c r="I99" t="s">
        <v>17</v>
      </c>
    </row>
    <row r="100" spans="1:9" ht="60" x14ac:dyDescent="0.25">
      <c r="A100" s="6" t="s">
        <v>9</v>
      </c>
      <c r="B100" s="10" t="str">
        <f>HYPERLINK("https://www.uts.edu.au/scholarship/magdalena-mauchle-fashion-textiles-scholarship", "The Magdalena Mauchle Fashion &amp; Textiles Scholarship")</f>
        <v>The Magdalena Mauchle Fashion &amp; Textiles Scholarship</v>
      </c>
      <c r="C100" s="9" t="s">
        <v>15</v>
      </c>
      <c r="D100" s="11">
        <v>5000</v>
      </c>
      <c r="E100" s="9">
        <v>1</v>
      </c>
      <c r="F100" s="9" t="s">
        <v>14</v>
      </c>
      <c r="G100" s="12" t="s">
        <v>141</v>
      </c>
      <c r="H100" t="s">
        <v>26</v>
      </c>
      <c r="I100" t="s">
        <v>26</v>
      </c>
    </row>
    <row r="101" spans="1:9" ht="60" x14ac:dyDescent="0.25">
      <c r="A101" s="6" t="s">
        <v>9</v>
      </c>
      <c r="B101" s="10" t="str">
        <f>HYPERLINK("https://www.uts.edu.au/scholarship/feit-women-engineering-and-it-scholarship", "The FEIT Women in Engineering and IT Scholarship")</f>
        <v>The FEIT Women in Engineering and IT Scholarship</v>
      </c>
      <c r="C101" s="9" t="s">
        <v>28</v>
      </c>
      <c r="D101" s="11">
        <v>10000</v>
      </c>
      <c r="E101" s="9">
        <v>1</v>
      </c>
      <c r="F101" s="9" t="s">
        <v>14</v>
      </c>
      <c r="G101" s="12" t="s">
        <v>142</v>
      </c>
      <c r="H101" t="s">
        <v>26</v>
      </c>
      <c r="I101" t="s">
        <v>26</v>
      </c>
    </row>
    <row r="102" spans="1:9" ht="30" x14ac:dyDescent="0.25">
      <c r="A102" s="6" t="s">
        <v>9</v>
      </c>
      <c r="B102" s="10" t="str">
        <f>HYPERLINK("https://www.uts.edu.au/scholarship/frank-martin-orthoptics-scholarship", "Frank Martin Orthoptics Scholarship")</f>
        <v>Frank Martin Orthoptics Scholarship</v>
      </c>
      <c r="C102" s="9" t="s">
        <v>28</v>
      </c>
      <c r="D102" s="11">
        <v>3000</v>
      </c>
      <c r="E102" s="9">
        <v>2</v>
      </c>
      <c r="F102" s="9" t="s">
        <v>52</v>
      </c>
      <c r="G102" s="12" t="s">
        <v>143</v>
      </c>
      <c r="H102" t="s">
        <v>26</v>
      </c>
      <c r="I102" t="s">
        <v>26</v>
      </c>
    </row>
    <row r="103" spans="1:9" ht="45" x14ac:dyDescent="0.25">
      <c r="A103" s="6" t="s">
        <v>9</v>
      </c>
      <c r="B103" s="10" t="str">
        <f>HYPERLINK("https://www.uts.edu.au/scholarship/animal-logic-scholarship", "The Animal Logic Scholarship")</f>
        <v>The Animal Logic Scholarship</v>
      </c>
      <c r="C103" s="9" t="s">
        <v>15</v>
      </c>
      <c r="D103" s="11">
        <v>18000</v>
      </c>
      <c r="E103" s="9">
        <v>1</v>
      </c>
      <c r="F103" s="9" t="s">
        <v>52</v>
      </c>
      <c r="G103" s="12" t="s">
        <v>144</v>
      </c>
      <c r="H103" t="s">
        <v>26</v>
      </c>
      <c r="I103" t="s">
        <v>26</v>
      </c>
    </row>
    <row r="104" spans="1:9" ht="30" x14ac:dyDescent="0.25">
      <c r="A104" s="6" t="s">
        <v>9</v>
      </c>
      <c r="B104" s="10" t="str">
        <f>HYPERLINK("https://www.uts.edu.au/scholarship/deans-academic-merit-scholarship-juris-doctor", "Dean's Academic Merit Scholarship Juris Doctor")</f>
        <v>Dean's Academic Merit Scholarship Juris Doctor</v>
      </c>
      <c r="C104" s="9" t="s">
        <v>28</v>
      </c>
      <c r="D104" s="9" t="s">
        <v>145</v>
      </c>
      <c r="E104" s="9" t="s">
        <v>42</v>
      </c>
      <c r="F104" s="9" t="s">
        <v>52</v>
      </c>
      <c r="G104" s="12" t="s">
        <v>146</v>
      </c>
      <c r="H104" t="s">
        <v>26</v>
      </c>
      <c r="I104" t="s">
        <v>26</v>
      </c>
    </row>
    <row r="105" spans="1:9" ht="60" x14ac:dyDescent="0.25">
      <c r="A105" s="6" t="s">
        <v>9</v>
      </c>
      <c r="B105" s="10" t="str">
        <f>HYPERLINK("https://www.uts.edu.au/scholarship/uts-quantitative-finance-postgraduate-scholarship", "UTS Quantitative Finance Postgraduate Scholarship")</f>
        <v>UTS Quantitative Finance Postgraduate Scholarship</v>
      </c>
      <c r="C105" s="9" t="s">
        <v>28</v>
      </c>
      <c r="D105" s="9" t="s">
        <v>147</v>
      </c>
      <c r="E105" s="9" t="s">
        <v>42</v>
      </c>
      <c r="F105" s="9" t="s">
        <v>52</v>
      </c>
      <c r="G105" s="12" t="s">
        <v>148</v>
      </c>
      <c r="H105" t="s">
        <v>26</v>
      </c>
      <c r="I105" t="s">
        <v>26</v>
      </c>
    </row>
    <row r="106" spans="1:9" ht="90" x14ac:dyDescent="0.25">
      <c r="A106" s="6" t="s">
        <v>9</v>
      </c>
      <c r="B106" s="10" t="str">
        <f>HYPERLINK("https://www.uts.edu.au/scholarship/crescent-leadership-scholarship", "Crescent Leadership Scholarship")</f>
        <v>Crescent Leadership Scholarship</v>
      </c>
      <c r="C106" s="9" t="s">
        <v>149</v>
      </c>
      <c r="D106" s="11">
        <v>5000</v>
      </c>
      <c r="E106" s="9">
        <v>1</v>
      </c>
      <c r="F106" s="9" t="s">
        <v>36</v>
      </c>
      <c r="G106" s="12" t="s">
        <v>150</v>
      </c>
      <c r="H106" t="s">
        <v>26</v>
      </c>
      <c r="I106" t="s">
        <v>26</v>
      </c>
    </row>
    <row r="107" spans="1:9" ht="60" x14ac:dyDescent="0.25">
      <c r="A107" s="6" t="s">
        <v>9</v>
      </c>
      <c r="B107" s="10" t="str">
        <f>HYPERLINK("https://www.uts.edu.au/scholarship/uts-housing-resident-networker-scholarship", "UTS Housing Resident Networker Scholarship")</f>
        <v>UTS Housing Resident Networker Scholarship</v>
      </c>
      <c r="C107" s="9" t="s">
        <v>28</v>
      </c>
      <c r="D107" s="11">
        <v>5500</v>
      </c>
      <c r="E107" s="9">
        <v>1</v>
      </c>
      <c r="F107" s="9" t="s">
        <v>132</v>
      </c>
      <c r="G107" s="12" t="s">
        <v>151</v>
      </c>
      <c r="H107" t="s">
        <v>26</v>
      </c>
      <c r="I107" t="s">
        <v>26</v>
      </c>
    </row>
    <row r="108" spans="1:9" ht="75" x14ac:dyDescent="0.25">
      <c r="A108" s="2" t="s">
        <v>11</v>
      </c>
      <c r="B108" s="10" t="str">
        <f>HYPERLINK("https://www.scholarships.unsw.edu.au/scholarships/id/1593/6541", "Tyree Nuclear Masters by Coursework Scholarship")</f>
        <v>Tyree Nuclear Masters by Coursework Scholarship</v>
      </c>
      <c r="C108" s="9" t="s">
        <v>28</v>
      </c>
      <c r="D108" s="11">
        <v>8000</v>
      </c>
      <c r="E108" s="9" t="s">
        <v>42</v>
      </c>
      <c r="F108" s="9" t="s">
        <v>52</v>
      </c>
      <c r="G108" s="12" t="s">
        <v>152</v>
      </c>
      <c r="H108" t="s">
        <v>26</v>
      </c>
      <c r="I108" t="s">
        <v>26</v>
      </c>
    </row>
    <row r="109" spans="1:9" ht="45" x14ac:dyDescent="0.25">
      <c r="A109" s="2" t="s">
        <v>11</v>
      </c>
      <c r="B109" s="10" t="str">
        <f>HYPERLINK("https://www.scholarships.unsw.edu.au/scholarships/id/1102/6527", "Elias Duek-Cohen Urban Design Award")</f>
        <v>Elias Duek-Cohen Urban Design Award</v>
      </c>
      <c r="C109" s="9" t="s">
        <v>28</v>
      </c>
      <c r="D109" s="11">
        <v>5000</v>
      </c>
      <c r="E109" s="9">
        <v>1</v>
      </c>
      <c r="F109" s="9" t="s">
        <v>138</v>
      </c>
      <c r="G109" s="12" t="s">
        <v>153</v>
      </c>
      <c r="H109" t="s">
        <v>26</v>
      </c>
      <c r="I109" t="s">
        <v>26</v>
      </c>
    </row>
    <row r="110" spans="1:9" ht="45" x14ac:dyDescent="0.25">
      <c r="A110" s="2" t="s">
        <v>11</v>
      </c>
      <c r="B110" s="10" t="str">
        <f>HYPERLINK("https://www.scholarships.unsw.edu.au/scholarships/id/1797/6525", "RODE Microphones")</f>
        <v>RODE Microphones</v>
      </c>
      <c r="C110" s="9" t="s">
        <v>28</v>
      </c>
      <c r="D110" s="11">
        <v>10000</v>
      </c>
      <c r="E110" s="9">
        <v>2</v>
      </c>
      <c r="F110" s="9" t="s">
        <v>14</v>
      </c>
      <c r="G110" s="12" t="s">
        <v>154</v>
      </c>
      <c r="H110" t="s">
        <v>26</v>
      </c>
      <c r="I110" t="s">
        <v>26</v>
      </c>
    </row>
    <row r="111" spans="1:9" x14ac:dyDescent="0.25">
      <c r="A111" s="2" t="s">
        <v>11</v>
      </c>
      <c r="B111" s="10" t="str">
        <f>HYPERLINK("https://www.scholarships.unsw.edu.au/scholarships/id/126/6351", "UNSW Co-op Program")</f>
        <v>UNSW Co-op Program</v>
      </c>
      <c r="C111" s="9" t="s">
        <v>156</v>
      </c>
      <c r="D111" s="11" t="s">
        <v>155</v>
      </c>
      <c r="E111" s="9">
        <v>4</v>
      </c>
      <c r="F111" s="9" t="s">
        <v>156</v>
      </c>
      <c r="G111" s="9" t="s">
        <v>156</v>
      </c>
      <c r="H111" t="s">
        <v>26</v>
      </c>
      <c r="I111" t="s">
        <v>26</v>
      </c>
    </row>
    <row r="112" spans="1:9" x14ac:dyDescent="0.25">
      <c r="A112" s="2" t="s">
        <v>11</v>
      </c>
      <c r="B112" s="10" t="str">
        <f t="shared" ref="B112:B133" si="1">HYPERLINK(" B23", "Test")</f>
        <v>Test</v>
      </c>
      <c r="H112" t="s">
        <v>26</v>
      </c>
      <c r="I112" t="s">
        <v>26</v>
      </c>
    </row>
    <row r="113" spans="1:9" x14ac:dyDescent="0.25">
      <c r="A113" s="2" t="s">
        <v>11</v>
      </c>
      <c r="B113" s="10" t="str">
        <f t="shared" si="1"/>
        <v>Test</v>
      </c>
      <c r="H113" t="s">
        <v>26</v>
      </c>
      <c r="I113" t="s">
        <v>26</v>
      </c>
    </row>
    <row r="114" spans="1:9" x14ac:dyDescent="0.25">
      <c r="A114" s="2" t="s">
        <v>11</v>
      </c>
      <c r="B114" s="10" t="str">
        <f t="shared" si="1"/>
        <v>Test</v>
      </c>
      <c r="H114" t="s">
        <v>26</v>
      </c>
      <c r="I114" t="s">
        <v>26</v>
      </c>
    </row>
    <row r="115" spans="1:9" x14ac:dyDescent="0.25">
      <c r="A115" s="2" t="s">
        <v>11</v>
      </c>
      <c r="B115" s="10" t="str">
        <f t="shared" si="1"/>
        <v>Test</v>
      </c>
      <c r="H115" t="s">
        <v>26</v>
      </c>
      <c r="I115" t="s">
        <v>26</v>
      </c>
    </row>
    <row r="116" spans="1:9" x14ac:dyDescent="0.25">
      <c r="A116" s="2" t="s">
        <v>11</v>
      </c>
      <c r="B116" s="10" t="str">
        <f t="shared" si="1"/>
        <v>Test</v>
      </c>
      <c r="H116" t="s">
        <v>26</v>
      </c>
      <c r="I116" t="s">
        <v>26</v>
      </c>
    </row>
    <row r="117" spans="1:9" x14ac:dyDescent="0.25">
      <c r="A117" s="2" t="s">
        <v>11</v>
      </c>
      <c r="B117" s="10" t="str">
        <f t="shared" si="1"/>
        <v>Test</v>
      </c>
      <c r="H117" t="s">
        <v>26</v>
      </c>
      <c r="I117" t="s">
        <v>26</v>
      </c>
    </row>
    <row r="118" spans="1:9" x14ac:dyDescent="0.25">
      <c r="A118" s="2" t="s">
        <v>11</v>
      </c>
      <c r="B118" s="10" t="str">
        <f t="shared" si="1"/>
        <v>Test</v>
      </c>
      <c r="H118" t="s">
        <v>26</v>
      </c>
      <c r="I118" t="s">
        <v>26</v>
      </c>
    </row>
    <row r="119" spans="1:9" x14ac:dyDescent="0.25">
      <c r="A119" s="2" t="s">
        <v>11</v>
      </c>
      <c r="B119" s="10" t="str">
        <f t="shared" si="1"/>
        <v>Test</v>
      </c>
      <c r="H119" t="s">
        <v>26</v>
      </c>
      <c r="I119" t="s">
        <v>26</v>
      </c>
    </row>
    <row r="120" spans="1:9" x14ac:dyDescent="0.25">
      <c r="A120" s="2" t="s">
        <v>11</v>
      </c>
      <c r="B120" s="10" t="str">
        <f t="shared" si="1"/>
        <v>Test</v>
      </c>
      <c r="H120" t="s">
        <v>26</v>
      </c>
      <c r="I120" t="s">
        <v>26</v>
      </c>
    </row>
    <row r="121" spans="1:9" x14ac:dyDescent="0.25">
      <c r="A121" s="2" t="s">
        <v>11</v>
      </c>
      <c r="B121" s="10" t="str">
        <f t="shared" si="1"/>
        <v>Test</v>
      </c>
      <c r="H121" t="s">
        <v>26</v>
      </c>
      <c r="I121" t="s">
        <v>26</v>
      </c>
    </row>
    <row r="122" spans="1:9" x14ac:dyDescent="0.25">
      <c r="A122" s="2" t="s">
        <v>11</v>
      </c>
      <c r="B122" s="10" t="str">
        <f t="shared" si="1"/>
        <v>Test</v>
      </c>
      <c r="H122" t="s">
        <v>26</v>
      </c>
      <c r="I122" t="s">
        <v>26</v>
      </c>
    </row>
    <row r="123" spans="1:9" x14ac:dyDescent="0.25">
      <c r="A123" s="2" t="s">
        <v>11</v>
      </c>
      <c r="B123" s="10" t="str">
        <f t="shared" si="1"/>
        <v>Test</v>
      </c>
      <c r="H123" t="s">
        <v>26</v>
      </c>
      <c r="I123" t="s">
        <v>26</v>
      </c>
    </row>
    <row r="124" spans="1:9" x14ac:dyDescent="0.25">
      <c r="A124" s="2" t="s">
        <v>11</v>
      </c>
      <c r="B124" s="10" t="str">
        <f t="shared" si="1"/>
        <v>Test</v>
      </c>
      <c r="H124" t="s">
        <v>26</v>
      </c>
      <c r="I124" t="s">
        <v>26</v>
      </c>
    </row>
    <row r="125" spans="1:9" x14ac:dyDescent="0.25">
      <c r="A125" s="2" t="s">
        <v>11</v>
      </c>
      <c r="B125" s="10" t="str">
        <f t="shared" si="1"/>
        <v>Test</v>
      </c>
      <c r="H125" t="s">
        <v>26</v>
      </c>
      <c r="I125" t="s">
        <v>26</v>
      </c>
    </row>
    <row r="126" spans="1:9" x14ac:dyDescent="0.25">
      <c r="A126" s="2" t="s">
        <v>11</v>
      </c>
      <c r="B126" s="10" t="str">
        <f t="shared" si="1"/>
        <v>Test</v>
      </c>
      <c r="H126" t="s">
        <v>26</v>
      </c>
      <c r="I126" t="s">
        <v>26</v>
      </c>
    </row>
    <row r="127" spans="1:9" x14ac:dyDescent="0.25">
      <c r="A127" s="2" t="s">
        <v>11</v>
      </c>
      <c r="B127" s="10" t="str">
        <f t="shared" si="1"/>
        <v>Test</v>
      </c>
      <c r="H127" t="s">
        <v>26</v>
      </c>
      <c r="I127" t="s">
        <v>26</v>
      </c>
    </row>
    <row r="128" spans="1:9" x14ac:dyDescent="0.25">
      <c r="A128" s="2" t="s">
        <v>11</v>
      </c>
      <c r="B128" s="10" t="str">
        <f t="shared" si="1"/>
        <v>Test</v>
      </c>
      <c r="H128" t="s">
        <v>26</v>
      </c>
      <c r="I128" t="s">
        <v>26</v>
      </c>
    </row>
    <row r="129" spans="1:9" x14ac:dyDescent="0.25">
      <c r="A129" s="2" t="s">
        <v>11</v>
      </c>
      <c r="B129" s="10" t="str">
        <f t="shared" si="1"/>
        <v>Test</v>
      </c>
      <c r="H129" t="s">
        <v>26</v>
      </c>
      <c r="I129" t="s">
        <v>26</v>
      </c>
    </row>
    <row r="130" spans="1:9" x14ac:dyDescent="0.25">
      <c r="A130" s="2" t="s">
        <v>11</v>
      </c>
      <c r="B130" s="10" t="str">
        <f t="shared" si="1"/>
        <v>Test</v>
      </c>
      <c r="H130" t="s">
        <v>26</v>
      </c>
      <c r="I130" t="s">
        <v>26</v>
      </c>
    </row>
    <row r="131" spans="1:9" x14ac:dyDescent="0.25">
      <c r="A131" s="2" t="s">
        <v>11</v>
      </c>
      <c r="B131" s="10" t="str">
        <f t="shared" si="1"/>
        <v>Test</v>
      </c>
      <c r="H131" t="s">
        <v>26</v>
      </c>
      <c r="I131" t="s">
        <v>26</v>
      </c>
    </row>
    <row r="132" spans="1:9" x14ac:dyDescent="0.25">
      <c r="A132" s="2" t="s">
        <v>11</v>
      </c>
      <c r="B132" s="10" t="str">
        <f t="shared" si="1"/>
        <v>Test</v>
      </c>
      <c r="H132" t="s">
        <v>26</v>
      </c>
      <c r="I132" t="s">
        <v>26</v>
      </c>
    </row>
    <row r="133" spans="1:9" x14ac:dyDescent="0.25">
      <c r="A133" s="2" t="s">
        <v>11</v>
      </c>
      <c r="B133" s="10" t="str">
        <f t="shared" si="1"/>
        <v>Test</v>
      </c>
      <c r="H133" t="s">
        <v>26</v>
      </c>
      <c r="I133" t="s">
        <v>26</v>
      </c>
    </row>
    <row r="134" spans="1:9" ht="105" x14ac:dyDescent="0.25">
      <c r="A134" s="7" t="s">
        <v>10</v>
      </c>
      <c r="B134" s="10" t="str">
        <f>HYPERLINK("https://www.newcastle.edu.au/scholarships/CESE_04", "College of Engineering, Science and Environment Relocation Scholarship")</f>
        <v>College of Engineering, Science and Environment Relocation Scholarship</v>
      </c>
      <c r="C134" s="9" t="s">
        <v>28</v>
      </c>
      <c r="D134" s="11">
        <v>5000</v>
      </c>
      <c r="E134" s="9">
        <v>2</v>
      </c>
      <c r="F134" s="9" t="s">
        <v>14</v>
      </c>
      <c r="G134" s="12" t="s">
        <v>158</v>
      </c>
      <c r="H134" t="s">
        <v>22</v>
      </c>
      <c r="I134" t="s">
        <v>26</v>
      </c>
    </row>
    <row r="135" spans="1:9" ht="90" x14ac:dyDescent="0.25">
      <c r="A135" s="7" t="s">
        <v>10</v>
      </c>
      <c r="B135" s="10" t="str">
        <f>HYPERLINK("https://www.newcastle.edu.au/scholarships/BUSLAW_012", "Neville Sawyer AM Scholarship")</f>
        <v>Neville Sawyer AM Scholarship</v>
      </c>
      <c r="C135" s="9" t="s">
        <v>28</v>
      </c>
      <c r="D135" s="11">
        <v>10000</v>
      </c>
      <c r="E135" s="9">
        <v>1</v>
      </c>
      <c r="F135" s="9" t="s">
        <v>52</v>
      </c>
      <c r="G135" s="12" t="s">
        <v>159</v>
      </c>
      <c r="H135" t="s">
        <v>26</v>
      </c>
      <c r="I135" t="s">
        <v>26</v>
      </c>
    </row>
    <row r="136" spans="1:9" ht="60" x14ac:dyDescent="0.25">
      <c r="A136" s="7" t="s">
        <v>10</v>
      </c>
      <c r="B136" s="10" t="str">
        <f>HYPERLINK("https://www.newcastle.edu.au/scholarships/ENGB_070", "CSIRO Women in Energy Scholarship")</f>
        <v>CSIRO Women in Energy Scholarship</v>
      </c>
      <c r="C136" s="9" t="s">
        <v>28</v>
      </c>
      <c r="D136" s="11">
        <v>10000</v>
      </c>
      <c r="E136" s="9">
        <v>4</v>
      </c>
      <c r="F136" s="9" t="s">
        <v>14</v>
      </c>
      <c r="G136" s="12" t="s">
        <v>160</v>
      </c>
      <c r="H136" t="s">
        <v>26</v>
      </c>
      <c r="I136" t="s">
        <v>26</v>
      </c>
    </row>
    <row r="137" spans="1:9" ht="60" x14ac:dyDescent="0.25">
      <c r="A137" s="7" t="s">
        <v>10</v>
      </c>
      <c r="B137" s="10" t="str">
        <f>HYPERLINK("https://www.newcastle.edu.au/scholarships/EXT_068", "Lewis Ewart Lewis Physiotherapy Scholarship")</f>
        <v>Lewis Ewart Lewis Physiotherapy Scholarship</v>
      </c>
      <c r="C137" s="9" t="s">
        <v>15</v>
      </c>
      <c r="D137" s="9" t="s">
        <v>157</v>
      </c>
      <c r="E137" s="9" t="s">
        <v>161</v>
      </c>
      <c r="F137" s="9" t="s">
        <v>14</v>
      </c>
      <c r="G137" s="12" t="s">
        <v>162</v>
      </c>
      <c r="H137" t="s">
        <v>26</v>
      </c>
      <c r="I137" t="s">
        <v>26</v>
      </c>
    </row>
    <row r="138" spans="1:9" ht="60" x14ac:dyDescent="0.25">
      <c r="A138" s="7" t="s">
        <v>10</v>
      </c>
      <c r="B138" s="10" t="str">
        <f>HYPERLINK("https://www.newcastle.edu.au/scholarships/EXT_131", "Ingrid and Ryszard Knopf Podiatric Medicine Scholarship")</f>
        <v>Ingrid and Ryszard Knopf Podiatric Medicine Scholarship</v>
      </c>
      <c r="C138" s="9" t="s">
        <v>15</v>
      </c>
      <c r="D138" s="11">
        <v>5000</v>
      </c>
      <c r="E138" s="9" t="s">
        <v>161</v>
      </c>
      <c r="F138" s="9" t="s">
        <v>14</v>
      </c>
      <c r="G138" s="12" t="s">
        <v>163</v>
      </c>
      <c r="H138" t="s">
        <v>26</v>
      </c>
      <c r="I138" t="s">
        <v>26</v>
      </c>
    </row>
    <row r="139" spans="1:9" ht="30" x14ac:dyDescent="0.25">
      <c r="A139" s="7" t="s">
        <v>10</v>
      </c>
      <c r="B139" s="10" t="str">
        <f>HYPERLINK("https://www.newcastle.edu.au/scholarships/EXT_140", "Shaping Futures Scholarships")</f>
        <v>Shaping Futures Scholarships</v>
      </c>
      <c r="C139" s="9" t="s">
        <v>15</v>
      </c>
      <c r="D139" s="9" t="s">
        <v>157</v>
      </c>
      <c r="E139" s="9" t="s">
        <v>161</v>
      </c>
      <c r="F139" s="9" t="s">
        <v>14</v>
      </c>
      <c r="G139" s="12" t="s">
        <v>59</v>
      </c>
      <c r="H139" t="s">
        <v>26</v>
      </c>
      <c r="I139" t="s">
        <v>26</v>
      </c>
    </row>
    <row r="140" spans="1:9" ht="90" x14ac:dyDescent="0.25">
      <c r="A140" s="7" t="s">
        <v>10</v>
      </c>
      <c r="B140" s="10" t="str">
        <f>HYPERLINK("https://www.newcastle.edu.au/scholarships/EXT_238", "MBC Group Construction Management Scholarship")</f>
        <v>MBC Group Construction Management Scholarship</v>
      </c>
      <c r="C140" s="9" t="s">
        <v>15</v>
      </c>
      <c r="D140" s="11">
        <v>5000</v>
      </c>
      <c r="E140" s="9">
        <v>2</v>
      </c>
      <c r="F140" s="9" t="s">
        <v>14</v>
      </c>
      <c r="G140" s="12" t="s">
        <v>166</v>
      </c>
      <c r="H140" t="s">
        <v>26</v>
      </c>
      <c r="I140" t="s">
        <v>26</v>
      </c>
    </row>
    <row r="141" spans="1:9" ht="75" x14ac:dyDescent="0.25">
      <c r="A141" s="7" t="s">
        <v>10</v>
      </c>
      <c r="B141" s="10" t="str">
        <f>HYPERLINK("https://www.newcastle.edu.au/scholarships/EXT_241", "The Bloomfield Group Foundation Scholarship")</f>
        <v>The Bloomfield Group Foundation Scholarship</v>
      </c>
      <c r="C141" s="9" t="s">
        <v>15</v>
      </c>
      <c r="D141" s="11">
        <v>5000</v>
      </c>
      <c r="E141" s="9">
        <v>1</v>
      </c>
      <c r="F141" s="9" t="s">
        <v>14</v>
      </c>
      <c r="G141" s="12" t="s">
        <v>167</v>
      </c>
      <c r="H141" t="s">
        <v>26</v>
      </c>
      <c r="I141" t="s">
        <v>26</v>
      </c>
    </row>
    <row r="142" spans="1:9" ht="45" x14ac:dyDescent="0.25">
      <c r="A142" s="7" t="s">
        <v>10</v>
      </c>
      <c r="B142" s="10" t="str">
        <f>HYPERLINK("https://www.newcastle.edu.au/scholarships/EXT_196", "Valasi Bleazard Memorial Scholarship in Music")</f>
        <v>Valasi Bleazard Memorial Scholarship in Music</v>
      </c>
      <c r="C142" s="9" t="s">
        <v>28</v>
      </c>
      <c r="D142" s="11">
        <v>12500</v>
      </c>
      <c r="E142" s="9">
        <v>1</v>
      </c>
      <c r="F142" s="9" t="s">
        <v>14</v>
      </c>
      <c r="G142" s="12" t="s">
        <v>164</v>
      </c>
      <c r="H142" t="s">
        <v>26</v>
      </c>
      <c r="I142" t="s">
        <v>26</v>
      </c>
    </row>
    <row r="143" spans="1:9" ht="45" x14ac:dyDescent="0.25">
      <c r="A143" s="7" t="s">
        <v>10</v>
      </c>
      <c r="B143" s="10" t="str">
        <f>HYPERLINK("https://www.newcastle.edu.au/scholarships/EXT_199", "Friends of the University Sport Scholarship")</f>
        <v>Friends of the University Sport Scholarship</v>
      </c>
      <c r="C143" s="9" t="s">
        <v>28</v>
      </c>
      <c r="D143" s="11">
        <v>5000</v>
      </c>
      <c r="E143" s="9" t="s">
        <v>161</v>
      </c>
      <c r="F143" s="9" t="s">
        <v>14</v>
      </c>
      <c r="G143" s="12" t="s">
        <v>165</v>
      </c>
      <c r="H143" t="s">
        <v>26</v>
      </c>
      <c r="I143" t="s">
        <v>26</v>
      </c>
    </row>
    <row r="144" spans="1:9" ht="60" x14ac:dyDescent="0.25">
      <c r="A144" s="7" t="s">
        <v>10</v>
      </c>
      <c r="B144" s="10" t="str">
        <f>HYPERLINK("https://www.newcastle.edu.au/scholarships/EXT_251", "Student Residences Scholarship")</f>
        <v>Student Residences Scholarship</v>
      </c>
      <c r="C144" s="9" t="s">
        <v>15</v>
      </c>
      <c r="D144" s="11">
        <v>5000</v>
      </c>
      <c r="E144" s="9" t="s">
        <v>161</v>
      </c>
      <c r="F144" s="9" t="s">
        <v>14</v>
      </c>
      <c r="G144" s="12" t="s">
        <v>169</v>
      </c>
      <c r="H144" t="s">
        <v>26</v>
      </c>
      <c r="I144" t="s">
        <v>26</v>
      </c>
    </row>
    <row r="145" spans="1:9" ht="30" x14ac:dyDescent="0.25">
      <c r="A145" s="7" t="s">
        <v>10</v>
      </c>
      <c r="B145" s="10" t="str">
        <f>HYPERLINK("https://www.newcastle.edu.au/scholarships/EXT_252", "LGBTQIA+ Shaping Futures Scholarship")</f>
        <v>LGBTQIA+ Shaping Futures Scholarship</v>
      </c>
      <c r="C145" s="9" t="s">
        <v>15</v>
      </c>
      <c r="D145" s="11">
        <v>5000</v>
      </c>
      <c r="E145" s="9" t="s">
        <v>161</v>
      </c>
      <c r="F145" s="9" t="s">
        <v>14</v>
      </c>
      <c r="G145" s="12" t="s">
        <v>168</v>
      </c>
      <c r="H145" t="s">
        <v>26</v>
      </c>
      <c r="I145" t="s">
        <v>26</v>
      </c>
    </row>
    <row r="146" spans="1:9" ht="60" x14ac:dyDescent="0.25">
      <c r="A146" s="7" t="s">
        <v>10</v>
      </c>
      <c r="B146" s="10" t="str">
        <f>HYPERLINK("https://www.newcastle.edu.au/scholarships/EXT_257", "Betty Josephine Fyffe Rural Medical Excellence Scholarship")</f>
        <v>Betty Josephine Fyffe Rural Medical Excellence Scholarship</v>
      </c>
      <c r="C146" s="9" t="s">
        <v>28</v>
      </c>
      <c r="D146" s="11">
        <v>10000</v>
      </c>
      <c r="E146" s="9">
        <v>5</v>
      </c>
      <c r="F146" s="9" t="s">
        <v>14</v>
      </c>
      <c r="G146" s="12" t="s">
        <v>170</v>
      </c>
      <c r="H146" t="s">
        <v>26</v>
      </c>
      <c r="I146" t="s">
        <v>26</v>
      </c>
    </row>
    <row r="147" spans="1:9" ht="60" x14ac:dyDescent="0.25">
      <c r="A147" s="7" t="s">
        <v>10</v>
      </c>
      <c r="B147" s="10" t="str">
        <f>HYPERLINK("https://www.newcastle.edu.au/scholarships/EXT_258", "Betty Josephine Fyffe Rural Equity Scholarships")</f>
        <v>Betty Josephine Fyffe Rural Equity Scholarships</v>
      </c>
      <c r="C147" s="9" t="s">
        <v>15</v>
      </c>
      <c r="D147" s="11">
        <v>10000</v>
      </c>
      <c r="E147" s="9">
        <v>5</v>
      </c>
      <c r="F147" s="9" t="s">
        <v>14</v>
      </c>
      <c r="G147" s="12" t="s">
        <v>171</v>
      </c>
      <c r="H147" t="s">
        <v>26</v>
      </c>
      <c r="I147" t="s">
        <v>26</v>
      </c>
    </row>
    <row r="148" spans="1:9" ht="45" x14ac:dyDescent="0.25">
      <c r="A148" s="7" t="s">
        <v>10</v>
      </c>
      <c r="B148" s="10" t="str">
        <f>HYPERLINK("https://www.newcastle.edu.au/scholarships/EXT_262", "Idemitsu Australia Scholarship")</f>
        <v>Idemitsu Australia Scholarship</v>
      </c>
      <c r="C148" s="9" t="s">
        <v>15</v>
      </c>
      <c r="D148" s="11">
        <v>10000</v>
      </c>
      <c r="E148" s="9">
        <v>1</v>
      </c>
      <c r="F148" s="9" t="s">
        <v>14</v>
      </c>
      <c r="G148" s="12" t="s">
        <v>172</v>
      </c>
      <c r="H148" t="s">
        <v>26</v>
      </c>
      <c r="I148" t="s">
        <v>26</v>
      </c>
    </row>
    <row r="149" spans="1:9" x14ac:dyDescent="0.25">
      <c r="A149" s="7" t="s">
        <v>10</v>
      </c>
      <c r="B149" s="10" t="str">
        <f>HYPERLINK("https://www.newcastle.edu.au/scholarships/EXT_272", "Shaping Futures Postgraduate Scholarship")</f>
        <v>Shaping Futures Postgraduate Scholarship</v>
      </c>
      <c r="C149" s="9" t="s">
        <v>15</v>
      </c>
      <c r="D149" s="11">
        <v>5000</v>
      </c>
      <c r="E149" s="9" t="s">
        <v>161</v>
      </c>
      <c r="F149" s="9" t="s">
        <v>52</v>
      </c>
      <c r="G149" s="12" t="s">
        <v>133</v>
      </c>
      <c r="H149" t="s">
        <v>26</v>
      </c>
      <c r="I149" t="s">
        <v>26</v>
      </c>
    </row>
    <row r="150" spans="1:9" ht="60" x14ac:dyDescent="0.25">
      <c r="A150" s="7" t="s">
        <v>10</v>
      </c>
      <c r="B150" s="10" t="str">
        <f>HYPERLINK("https://www.newcastle.edu.au/scholarships/EXT_283", "Crystalbrook Kingsley Environmental Scholarship")</f>
        <v>Crystalbrook Kingsley Environmental Scholarship</v>
      </c>
      <c r="C150" s="9" t="s">
        <v>28</v>
      </c>
      <c r="D150" s="11">
        <v>5000</v>
      </c>
      <c r="E150" s="9" t="s">
        <v>161</v>
      </c>
      <c r="F150" s="9" t="s">
        <v>108</v>
      </c>
      <c r="G150" s="12" t="s">
        <v>173</v>
      </c>
      <c r="H150" t="s">
        <v>26</v>
      </c>
      <c r="I150" t="s">
        <v>26</v>
      </c>
    </row>
    <row r="151" spans="1:9" ht="60" x14ac:dyDescent="0.25">
      <c r="A151" s="7" t="s">
        <v>10</v>
      </c>
      <c r="B151" s="10" t="str">
        <f>HYPERLINK("https://www.newcastle.edu.au/scholarships/EXT_311", "Friends of the University Lorna George Memorial Scholarship for Allied Health and Psychology")</f>
        <v>Friends of the University Lorna George Memorial Scholarship for Allied Health and Psychology</v>
      </c>
      <c r="C151" s="9" t="s">
        <v>15</v>
      </c>
      <c r="D151" s="11">
        <v>5000</v>
      </c>
      <c r="E151" s="9">
        <v>1</v>
      </c>
      <c r="F151" s="9" t="s">
        <v>14</v>
      </c>
      <c r="G151" s="12" t="s">
        <v>174</v>
      </c>
      <c r="H151" t="s">
        <v>26</v>
      </c>
      <c r="I151" t="s">
        <v>26</v>
      </c>
    </row>
    <row r="152" spans="1:9" ht="105" x14ac:dyDescent="0.25">
      <c r="A152" s="7" t="s">
        <v>10</v>
      </c>
      <c r="B152" s="10" t="str">
        <f>HYPERLINK("https://www.newcastle.edu.au/scholarships/EXT_318", "Western Earthmoving Scholarship for Construction and Engineering")</f>
        <v>Western Earthmoving Scholarship for Construction and Engineering</v>
      </c>
      <c r="C152" s="9" t="s">
        <v>28</v>
      </c>
      <c r="D152" s="11">
        <v>15000</v>
      </c>
      <c r="E152" s="9">
        <v>1</v>
      </c>
      <c r="F152" s="9" t="s">
        <v>14</v>
      </c>
      <c r="G152" s="12" t="s">
        <v>175</v>
      </c>
      <c r="H152" t="s">
        <v>26</v>
      </c>
      <c r="I152" t="s">
        <v>26</v>
      </c>
    </row>
    <row r="153" spans="1:9" ht="30" x14ac:dyDescent="0.25">
      <c r="A153" s="7" t="s">
        <v>10</v>
      </c>
      <c r="B153" s="10" t="str">
        <f>HYPERLINK("https://www.newcastle.edu.au/scholarships/EXT_332", "Greater Charitable Foundation Equity Scholarship")</f>
        <v>Greater Charitable Foundation Equity Scholarship</v>
      </c>
      <c r="C153" s="9" t="s">
        <v>15</v>
      </c>
      <c r="D153" s="11">
        <v>10000</v>
      </c>
      <c r="E153" s="9">
        <v>3</v>
      </c>
      <c r="F153" s="9" t="s">
        <v>14</v>
      </c>
      <c r="G153" s="12" t="s">
        <v>176</v>
      </c>
      <c r="H153" t="s">
        <v>26</v>
      </c>
      <c r="I153" t="s">
        <v>26</v>
      </c>
    </row>
    <row r="154" spans="1:9" x14ac:dyDescent="0.25">
      <c r="A154" s="7" t="s">
        <v>10</v>
      </c>
      <c r="B154" s="10" t="str">
        <f>HYPERLINK("https://www.newcastle.edu.au/scholarships/EXT_333", "Shamila, Ravendra and Roneal Naidu Scholarship")</f>
        <v>Shamila, Ravendra and Roneal Naidu Scholarship</v>
      </c>
      <c r="C154" s="9" t="s">
        <v>15</v>
      </c>
      <c r="D154" s="11">
        <v>8000</v>
      </c>
      <c r="E154" s="9">
        <v>4</v>
      </c>
      <c r="F154" s="9" t="s">
        <v>14</v>
      </c>
      <c r="G154" s="12" t="s">
        <v>133</v>
      </c>
      <c r="H154" t="s">
        <v>22</v>
      </c>
      <c r="I154" t="s">
        <v>26</v>
      </c>
    </row>
    <row r="155" spans="1:9" ht="30" x14ac:dyDescent="0.25">
      <c r="A155" s="7" t="s">
        <v>10</v>
      </c>
      <c r="B155" s="10" t="str">
        <f>HYPERLINK(" https://www.newcastle.edu.au/scholarships/ESSUN_3000", "Equity Scholarships Scheme University of Newcastle (ESSUN)")</f>
        <v>Equity Scholarships Scheme University of Newcastle (ESSUN)</v>
      </c>
      <c r="C155" s="9" t="s">
        <v>15</v>
      </c>
      <c r="D155" s="13" t="s">
        <v>178</v>
      </c>
      <c r="E155" s="9">
        <v>1</v>
      </c>
      <c r="F155" s="9" t="s">
        <v>14</v>
      </c>
      <c r="G155" s="12" t="s">
        <v>177</v>
      </c>
      <c r="H155" t="s">
        <v>26</v>
      </c>
      <c r="I155" t="s">
        <v>26</v>
      </c>
    </row>
    <row r="156" spans="1:9" ht="60" x14ac:dyDescent="0.25">
      <c r="A156" s="7" t="s">
        <v>10</v>
      </c>
      <c r="B156" s="10" t="str">
        <f>HYPERLINK("https://www.newcastle.edu.au/scholarships/EXT_336", "Sparke Helmore Law Scholarship")</f>
        <v>Sparke Helmore Law Scholarship</v>
      </c>
      <c r="C156" s="9" t="s">
        <v>15</v>
      </c>
      <c r="D156" s="11">
        <v>5000</v>
      </c>
      <c r="E156" s="9" t="s">
        <v>161</v>
      </c>
      <c r="F156" s="9" t="s">
        <v>138</v>
      </c>
      <c r="G156" s="12" t="s">
        <v>179</v>
      </c>
      <c r="H156" t="s">
        <v>26</v>
      </c>
      <c r="I156" t="s">
        <v>26</v>
      </c>
    </row>
    <row r="157" spans="1:9" ht="30" x14ac:dyDescent="0.25">
      <c r="A157" s="7" t="s">
        <v>10</v>
      </c>
      <c r="B157" s="10" t="str">
        <f>HYPERLINK("https://www.newcastle.edu.au/scholarships/EXT_348", "Evelyn Brown Scholarship in Nursing")</f>
        <v>Evelyn Brown Scholarship in Nursing</v>
      </c>
      <c r="C157" s="9" t="s">
        <v>15</v>
      </c>
      <c r="D157" s="11">
        <v>6000</v>
      </c>
      <c r="E157" s="9" t="s">
        <v>161</v>
      </c>
      <c r="F157" s="9" t="s">
        <v>14</v>
      </c>
      <c r="G157" s="12" t="s">
        <v>180</v>
      </c>
      <c r="H157" t="s">
        <v>26</v>
      </c>
      <c r="I157" t="s">
        <v>26</v>
      </c>
    </row>
    <row r="158" spans="1:9" ht="30" x14ac:dyDescent="0.25">
      <c r="A158" s="7" t="s">
        <v>10</v>
      </c>
      <c r="B158" s="10" t="str">
        <f>HYPERLINK("https://www.newcastle.edu.au/scholarships/UNI_025", "University of Newcastle Sports Scholarships")</f>
        <v>University of Newcastle Sports Scholarships</v>
      </c>
      <c r="C158" s="9" t="s">
        <v>28</v>
      </c>
      <c r="D158" s="13" t="s">
        <v>181</v>
      </c>
      <c r="E158" s="9" t="s">
        <v>161</v>
      </c>
      <c r="F158" s="9" t="s">
        <v>14</v>
      </c>
      <c r="G158" s="12" t="s">
        <v>182</v>
      </c>
      <c r="H158" t="s">
        <v>26</v>
      </c>
      <c r="I158" t="s">
        <v>26</v>
      </c>
    </row>
    <row r="159" spans="1:9" ht="60" x14ac:dyDescent="0.25">
      <c r="A159" s="7" t="s">
        <v>10</v>
      </c>
      <c r="B159" s="10" t="str">
        <f>HYPERLINK("https://www.newcastle.edu.au/scholarships/CESE_02", "College of Engineering, Science and Environment High Achiever Scholarship")</f>
        <v>College of Engineering, Science and Environment High Achiever Scholarship</v>
      </c>
      <c r="C159" s="9" t="s">
        <v>28</v>
      </c>
      <c r="D159" s="13" t="s">
        <v>183</v>
      </c>
      <c r="E159" s="9">
        <v>1</v>
      </c>
      <c r="F159" s="9" t="s">
        <v>14</v>
      </c>
      <c r="G159" s="12" t="s">
        <v>184</v>
      </c>
      <c r="H159" t="s">
        <v>26</v>
      </c>
      <c r="I159" t="s">
        <v>26</v>
      </c>
    </row>
    <row r="160" spans="1:9" ht="90" x14ac:dyDescent="0.25">
      <c r="A160" s="7" t="s">
        <v>10</v>
      </c>
      <c r="B160" s="10" t="str">
        <f>HYPERLINK("https://www.newcastle.edu.au/scholarships/CESE_03", "College of Engineering, Science and Environment Gender Equity Scholarship")</f>
        <v>College of Engineering, Science and Environment Gender Equity Scholarship</v>
      </c>
      <c r="C160" s="9" t="s">
        <v>15</v>
      </c>
      <c r="D160" s="13" t="s">
        <v>185</v>
      </c>
      <c r="E160" s="9">
        <v>1</v>
      </c>
      <c r="F160" s="9" t="s">
        <v>14</v>
      </c>
      <c r="G160" s="12" t="s">
        <v>186</v>
      </c>
      <c r="H160" t="s">
        <v>26</v>
      </c>
      <c r="I160" t="s">
        <v>26</v>
      </c>
    </row>
    <row r="161" spans="1:9" ht="45" x14ac:dyDescent="0.25">
      <c r="A161" s="7" t="s">
        <v>10</v>
      </c>
      <c r="B161" s="10" t="str">
        <f>HYPERLINK("https://www.newcastle.edu.au/scholarships/EXT_029", "Port Waratah Coal Services Undergraduate Engineering Scholarship")</f>
        <v>Port Waratah Coal Services Undergraduate Engineering Scholarship</v>
      </c>
      <c r="C161" s="9" t="s">
        <v>15</v>
      </c>
      <c r="D161" s="13" t="s">
        <v>187</v>
      </c>
      <c r="E161" s="9">
        <v>3</v>
      </c>
      <c r="F161" s="9" t="s">
        <v>14</v>
      </c>
      <c r="G161" s="12" t="s">
        <v>188</v>
      </c>
      <c r="H161" t="s">
        <v>22</v>
      </c>
      <c r="I161" t="s">
        <v>26</v>
      </c>
    </row>
    <row r="162" spans="1:9" ht="45" x14ac:dyDescent="0.25">
      <c r="A162" s="7" t="s">
        <v>10</v>
      </c>
      <c r="B162" s="10" t="str">
        <f>HYPERLINK("https://www.newcastle.edu.au/scholarships/EXT_177", "Catherine and Peter Tay High Achiever Engineering Undergraduate Scholarship")</f>
        <v>Catherine and Peter Tay High Achiever Engineering Undergraduate Scholarship</v>
      </c>
      <c r="C162" s="9" t="s">
        <v>28</v>
      </c>
      <c r="D162" s="11">
        <v>8000</v>
      </c>
      <c r="E162" s="9">
        <v>4</v>
      </c>
      <c r="F162" s="9" t="s">
        <v>14</v>
      </c>
      <c r="G162" s="12" t="s">
        <v>189</v>
      </c>
      <c r="H162" t="s">
        <v>26</v>
      </c>
      <c r="I162" t="s">
        <v>26</v>
      </c>
    </row>
    <row r="163" spans="1:9" ht="60" x14ac:dyDescent="0.25">
      <c r="A163" s="7" t="s">
        <v>10</v>
      </c>
      <c r="B163" s="10" t="str">
        <f>HYPERLINK("https://www.newcastle.edu.au/scholarships/EXT_185", "Professor Beryl Nashar Scholarship for Excellence in Geology")</f>
        <v>Professor Beryl Nashar Scholarship for Excellence in Geology</v>
      </c>
      <c r="C163" s="9" t="s">
        <v>28</v>
      </c>
      <c r="D163" s="11">
        <v>1000</v>
      </c>
      <c r="E163" s="9" t="s">
        <v>161</v>
      </c>
      <c r="F163" s="9" t="s">
        <v>138</v>
      </c>
      <c r="G163" s="12" t="s">
        <v>190</v>
      </c>
      <c r="H163" t="s">
        <v>26</v>
      </c>
      <c r="I163" t="s">
        <v>26</v>
      </c>
    </row>
    <row r="164" spans="1:9" ht="75" x14ac:dyDescent="0.25">
      <c r="A164" s="7" t="s">
        <v>10</v>
      </c>
      <c r="B164" s="10" t="str">
        <f>HYPERLINK("https://www.newcastle.edu.au/scholarships/EXT_229", "Boeing Engineering and IT Scholarship for Women")</f>
        <v>Boeing Engineering and IT Scholarship for Women</v>
      </c>
      <c r="C164" s="9" t="s">
        <v>28</v>
      </c>
      <c r="D164" s="11">
        <v>5000</v>
      </c>
      <c r="E164" s="9">
        <v>1</v>
      </c>
      <c r="F164" s="9" t="s">
        <v>14</v>
      </c>
      <c r="G164" s="12" t="s">
        <v>191</v>
      </c>
      <c r="H164" t="s">
        <v>26</v>
      </c>
      <c r="I164" t="s">
        <v>26</v>
      </c>
    </row>
    <row r="165" spans="1:9" ht="90" x14ac:dyDescent="0.25">
      <c r="A165" s="7" t="s">
        <v>10</v>
      </c>
      <c r="B165" s="10" t="str">
        <f>HYPERLINK("https://www.newcastle.edu.au/scholarships/EXT_240", "Malcolm Benaud Smith Construction Management (Building) Scholarship")</f>
        <v>Malcolm Benaud Smith Construction Management (Building) Scholarship</v>
      </c>
      <c r="C165" s="9" t="s">
        <v>28</v>
      </c>
      <c r="D165" s="11">
        <v>10000</v>
      </c>
      <c r="E165" s="9">
        <v>1</v>
      </c>
      <c r="F165" s="9" t="s">
        <v>14</v>
      </c>
      <c r="G165" s="12" t="s">
        <v>192</v>
      </c>
      <c r="H165" t="s">
        <v>26</v>
      </c>
      <c r="I165" t="s">
        <v>26</v>
      </c>
    </row>
    <row r="166" spans="1:9" ht="60" x14ac:dyDescent="0.25">
      <c r="A166" s="7" t="s">
        <v>10</v>
      </c>
      <c r="B166" s="10" t="str">
        <f>HYPERLINK("https://www.newcastle.edu.au/scholarships/EXT_320", "Boeing IT and Computer Systems Scholarship")</f>
        <v>Boeing IT and Computer Systems Scholarship</v>
      </c>
      <c r="C166" s="9" t="s">
        <v>28</v>
      </c>
      <c r="D166" s="11">
        <v>5000</v>
      </c>
      <c r="E166" s="9">
        <v>1</v>
      </c>
      <c r="F166" s="9" t="s">
        <v>14</v>
      </c>
      <c r="G166" s="12" t="s">
        <v>193</v>
      </c>
      <c r="H166" t="s">
        <v>26</v>
      </c>
      <c r="I166" t="s">
        <v>26</v>
      </c>
    </row>
    <row r="167" spans="1:9" ht="45" x14ac:dyDescent="0.25">
      <c r="A167" s="7" t="s">
        <v>10</v>
      </c>
      <c r="B167" s="10" t="str">
        <f>HYPERLINK("https://www.newcastle.edu.au/scholarships/EXT_322", "Boeing Environmental Sustainability in STEM Scholarship")</f>
        <v>Boeing Environmental Sustainability in STEM Scholarship</v>
      </c>
      <c r="C167" s="9" t="s">
        <v>28</v>
      </c>
      <c r="D167" s="11">
        <v>5000</v>
      </c>
      <c r="E167" s="9">
        <v>1</v>
      </c>
      <c r="F167" s="9" t="s">
        <v>14</v>
      </c>
      <c r="G167" s="12" t="s">
        <v>194</v>
      </c>
      <c r="H167" t="s">
        <v>26</v>
      </c>
      <c r="I167" t="s">
        <v>26</v>
      </c>
    </row>
    <row r="168" spans="1:9" ht="45" x14ac:dyDescent="0.25">
      <c r="A168" s="7" t="s">
        <v>10</v>
      </c>
      <c r="B168" s="10" t="str">
        <f>HYPERLINK("https://www.newcastle.edu.au/scholarships/EXT_328", "HunterWiSE Scholarship for Women in STEM")</f>
        <v>HunterWiSE Scholarship for Women in STEM</v>
      </c>
      <c r="C168" s="9" t="s">
        <v>28</v>
      </c>
      <c r="D168" s="11">
        <v>5000</v>
      </c>
      <c r="E168" s="9" t="s">
        <v>161</v>
      </c>
      <c r="F168" s="9" t="s">
        <v>14</v>
      </c>
      <c r="G168" s="12" t="s">
        <v>195</v>
      </c>
      <c r="H168" t="s">
        <v>26</v>
      </c>
      <c r="I168" t="s">
        <v>26</v>
      </c>
    </row>
    <row r="169" spans="1:9" ht="45" x14ac:dyDescent="0.25">
      <c r="A169" s="7" t="s">
        <v>10</v>
      </c>
      <c r="B169" s="10" t="str">
        <f>HYPERLINK("https://www.newcastle.edu.au/scholarships/EXT_330", "Valley Industries Speech Pathology Scholarship")</f>
        <v>Valley Industries Speech Pathology Scholarship</v>
      </c>
      <c r="C169" s="9" t="s">
        <v>15</v>
      </c>
      <c r="D169" s="11">
        <v>5000</v>
      </c>
      <c r="E169" s="9" t="s">
        <v>161</v>
      </c>
      <c r="F169" s="9" t="s">
        <v>14</v>
      </c>
      <c r="G169" s="12" t="s">
        <v>196</v>
      </c>
      <c r="H169" t="s">
        <v>26</v>
      </c>
      <c r="I169" t="s">
        <v>26</v>
      </c>
    </row>
    <row r="170" spans="1:9" ht="75" x14ac:dyDescent="0.25">
      <c r="A170" s="7" t="s">
        <v>10</v>
      </c>
      <c r="B170" s="10" t="str">
        <f>HYPERLINK("https://www.newcastle.edu.au/scholarships/EXT_338", "AGL Bayswater Power Station Scholarships for Females in Engineering")</f>
        <v>AGL Bayswater Power Station Scholarships for Females in Engineering</v>
      </c>
      <c r="C170" s="9" t="s">
        <v>28</v>
      </c>
      <c r="D170" s="11">
        <v>15000</v>
      </c>
      <c r="E170" s="9">
        <v>3</v>
      </c>
      <c r="F170" s="9" t="s">
        <v>14</v>
      </c>
      <c r="G170" s="12" t="s">
        <v>197</v>
      </c>
      <c r="H170" t="s">
        <v>26</v>
      </c>
      <c r="I170" t="s">
        <v>26</v>
      </c>
    </row>
    <row r="171" spans="1:9" ht="30" x14ac:dyDescent="0.25">
      <c r="A171" s="7" t="s">
        <v>10</v>
      </c>
      <c r="B171" s="10" t="str">
        <f>HYPERLINK("https://www.newcastle.edu.au/scholarships/EXT_350", "Boeing Disability Scholarship")</f>
        <v>Boeing Disability Scholarship</v>
      </c>
      <c r="C171" s="9" t="s">
        <v>15</v>
      </c>
      <c r="D171" s="11">
        <v>5000</v>
      </c>
      <c r="E171" s="9" t="s">
        <v>161</v>
      </c>
      <c r="F171" s="9" t="s">
        <v>14</v>
      </c>
      <c r="G171" s="12" t="s">
        <v>198</v>
      </c>
      <c r="H171" t="s">
        <v>26</v>
      </c>
      <c r="I171" t="s">
        <v>26</v>
      </c>
    </row>
    <row r="172" spans="1:9" x14ac:dyDescent="0.25">
      <c r="A172" s="7" t="s">
        <v>10</v>
      </c>
      <c r="B172" s="10" t="str">
        <f t="shared" ref="B172:B176" si="2">HYPERLINK(" B23", "Test")</f>
        <v>Test</v>
      </c>
      <c r="H172" t="s">
        <v>26</v>
      </c>
      <c r="I172" t="s">
        <v>26</v>
      </c>
    </row>
    <row r="173" spans="1:9" x14ac:dyDescent="0.25">
      <c r="A173" s="7" t="s">
        <v>10</v>
      </c>
      <c r="B173" s="10" t="str">
        <f t="shared" si="2"/>
        <v>Test</v>
      </c>
      <c r="H173" t="s">
        <v>26</v>
      </c>
      <c r="I173" t="s">
        <v>26</v>
      </c>
    </row>
    <row r="174" spans="1:9" x14ac:dyDescent="0.25">
      <c r="A174" s="7" t="s">
        <v>10</v>
      </c>
      <c r="B174" s="10" t="str">
        <f t="shared" si="2"/>
        <v>Test</v>
      </c>
      <c r="H174" t="s">
        <v>26</v>
      </c>
      <c r="I174" t="s">
        <v>26</v>
      </c>
    </row>
    <row r="175" spans="1:9" x14ac:dyDescent="0.25">
      <c r="A175" s="7" t="s">
        <v>10</v>
      </c>
      <c r="B175" s="10" t="str">
        <f t="shared" si="2"/>
        <v>Test</v>
      </c>
      <c r="H175" t="s">
        <v>26</v>
      </c>
      <c r="I175" t="s">
        <v>26</v>
      </c>
    </row>
    <row r="176" spans="1:9" x14ac:dyDescent="0.25">
      <c r="A176" s="7" t="s">
        <v>10</v>
      </c>
      <c r="B176" s="10" t="str">
        <f t="shared" si="2"/>
        <v>Test</v>
      </c>
      <c r="H176" t="s">
        <v>26</v>
      </c>
      <c r="I176" t="s">
        <v>26</v>
      </c>
    </row>
  </sheetData>
  <autoFilter ref="A1:H176" xr:uid="{5773BD61-A8F4-4ACA-BB03-11DEBD312DA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2024-10-15T00:12:49Z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