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westernsydneyedu.sharepoint.com/sites/ScholarshipsOperationsGroup/Shared Documents/Git/Scholarships/"/>
    </mc:Choice>
  </mc:AlternateContent>
  <xr:revisionPtr revIDLastSave="1776" documentId="11_02A169CE2EF2BE07F727D8CF02F0AE323586B34E" xr6:coauthVersionLast="47" xr6:coauthVersionMax="47" xr10:uidLastSave="{97F3BFFF-225F-450D-A3EC-1801252DB444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Sheet1!$A$1:$I$345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<sst xmlns="http://schemas.openxmlformats.org/spreadsheetml/2006/main" count="2678" uniqueCount="441">
  <si>
    <t>University</t>
  </si>
  <si>
    <t>Name</t>
  </si>
  <si>
    <t>Type</t>
  </si>
  <si>
    <t>Value</t>
  </si>
  <si>
    <t>Duration</t>
  </si>
  <si>
    <t>Level</t>
  </si>
  <si>
    <t>Criteria</t>
  </si>
  <si>
    <t>Indigenous</t>
  </si>
  <si>
    <t>Placement</t>
  </si>
  <si>
    <t>USYD</t>
  </si>
  <si>
    <t>NA</t>
  </si>
  <si>
    <t>Dean's Discrection</t>
  </si>
  <si>
    <t>UG/PG</t>
  </si>
  <si>
    <t>No</t>
  </si>
  <si>
    <t>TBC</t>
  </si>
  <si>
    <t>PG</t>
  </si>
  <si>
    <t>$6,000</t>
  </si>
  <si>
    <t>$750</t>
  </si>
  <si>
    <t>UG</t>
  </si>
  <si>
    <t>$5,000</t>
  </si>
  <si>
    <t>$8,550</t>
  </si>
  <si>
    <t>$10,000</t>
  </si>
  <si>
    <t>$15,000</t>
  </si>
  <si>
    <t>$500</t>
  </si>
  <si>
    <t>$20,000</t>
  </si>
  <si>
    <t>$38,000</t>
  </si>
  <si>
    <t>$2,500</t>
  </si>
  <si>
    <t>$50,000</t>
  </si>
  <si>
    <t>$9,000</t>
  </si>
  <si>
    <t>Yes</t>
  </si>
  <si>
    <t>$25,000</t>
  </si>
  <si>
    <t>$2,000</t>
  </si>
  <si>
    <t>$7,500</t>
  </si>
  <si>
    <t>$8,500</t>
  </si>
  <si>
    <t>$7,000</t>
  </si>
  <si>
    <t>$4,000</t>
  </si>
  <si>
    <t>$1,666</t>
  </si>
  <si>
    <t>$3,000</t>
  </si>
  <si>
    <t>$40,000</t>
  </si>
  <si>
    <t>$8,000</t>
  </si>
  <si>
    <t>$22,000</t>
  </si>
  <si>
    <t>$1,500</t>
  </si>
  <si>
    <t>$12,000</t>
  </si>
  <si>
    <t>$8,300</t>
  </si>
  <si>
    <t>$8,200</t>
  </si>
  <si>
    <t>$4,500</t>
  </si>
  <si>
    <t>$60,000</t>
  </si>
  <si>
    <t>$11,750</t>
  </si>
  <si>
    <t>$4,350</t>
  </si>
  <si>
    <t>$1,000</t>
  </si>
  <si>
    <t>$16,000</t>
  </si>
  <si>
    <t>$5,500</t>
  </si>
  <si>
    <t>$21,625</t>
  </si>
  <si>
    <t>$36,000</t>
  </si>
  <si>
    <t>$42,000</t>
  </si>
  <si>
    <t>$5,250</t>
  </si>
  <si>
    <t>$54,000</t>
  </si>
  <si>
    <t>$7,200</t>
  </si>
  <si>
    <t>$29,000</t>
  </si>
  <si>
    <t>&lt;p&gt;a. The Scholarship is valued at $10,000 and is tenable for the normal full-time duration of the recipient’s undergraduate degree or combined undergraduate degree (agreed program).&lt;/p&gt;</t>
  </si>
  <si>
    <t>Determined by Dean</t>
  </si>
  <si>
    <t>High Potential</t>
  </si>
  <si>
    <t>One-off</t>
  </si>
  <si>
    <t>6 months</t>
  </si>
  <si>
    <t>1 years</t>
  </si>
  <si>
    <t>4 years</t>
  </si>
  <si>
    <t>3 years</t>
  </si>
  <si>
    <t>5 years</t>
  </si>
  <si>
    <t>12 weeks</t>
  </si>
  <si>
    <t>$6,000
$25,000</t>
  </si>
  <si>
    <t>4 years
1.5 years</t>
  </si>
  <si>
    <t>• Jazz student
• Financial hardship
• Sydney Conservatorium of Music student</t>
  </si>
  <si>
    <t>Honours</t>
  </si>
  <si>
    <t>• Business honours (Marketing)
• Academic merit</t>
  </si>
  <si>
    <t>• Finance Honours Program
• Academic merit</t>
  </si>
  <si>
    <t>$2,500 - $5,000</t>
  </si>
  <si>
    <t xml:space="preserve">$4,000 - $8,000 </t>
  </si>
  <si>
    <t>• International Business
• Academic Merit</t>
  </si>
  <si>
    <t>• Recent piano graduate from the Conservatorium</t>
  </si>
  <si>
    <t>• 1st year MBA
• Applicant of the UN Women MBA Scholarship</t>
  </si>
  <si>
    <t>• Academic Merit
• Financial hardship</t>
  </si>
  <si>
    <t>Equity</t>
  </si>
  <si>
    <t>$10,000-$40,000</t>
  </si>
  <si>
    <t>Tuition fees</t>
  </si>
  <si>
    <t>• MBA (Leadership and Enterprise)</t>
  </si>
  <si>
    <t>$5,000-$10,000</t>
  </si>
  <si>
    <t>2 subjects</t>
  </si>
  <si>
    <t>• Accounting honours
• Academic Merit</t>
  </si>
  <si>
    <t>• Accounting Honours
• Academic Merit</t>
  </si>
  <si>
    <t>• 1st year MBA
• Academic Merit</t>
  </si>
  <si>
    <t>Duration of Degree</t>
  </si>
  <si>
    <t>$5,000: Academic Merit
$7,000: Financial Need</t>
  </si>
  <si>
    <t>High Potential/Equity</t>
  </si>
  <si>
    <t>• Academic Merit 
• Financial Hardship
• School of Business</t>
  </si>
  <si>
    <t>• Business Honours
• Academic Merit</t>
  </si>
  <si>
    <t>• Selected Laws programs
• Willing to attend the LawWithoutWalls (LWOW) Sprint program
• Avaliable to both international and domestic</t>
  </si>
  <si>
    <t>• Bachelor of Laws or Juris Doctor
• In Social Justice Program (run by the school)
•</t>
  </si>
  <si>
    <t xml:space="preserve">• Selected Engineering programs
• Continuing 
• Academic Merit </t>
  </si>
  <si>
    <t>• HCA programs
• Major in History
• Provide statement
• Financial Hardship
• Academic Merit</t>
  </si>
  <si>
    <t>• Rural or Regional
• 1st year Bachelor of Laws or Juris Doctor
• Written statement - community work/leadership skills</t>
  </si>
  <si>
    <t>• Academic Merit
• School of Chemical and Biomolecular Engineering - Selected programs
• Continuing</t>
  </si>
  <si>
    <t>• Faculty of Arts and Social Sciences programs
• No CSP
• 1st year</t>
  </si>
  <si>
    <t>UG/Honours</t>
  </si>
  <si>
    <t>• Major in Chinese Studies (introductory) 
• Honours in Chinese studies</t>
  </si>
  <si>
    <t>• Equity Criteria
• Sydney College of the Arts programs</t>
  </si>
  <si>
    <t>• Selected subject in Archaeology 
• Field work at Zagora
• Avaliable to both international and domestic</t>
  </si>
  <si>
    <t>• 3rd year Medicine
• Accepted into an elective term in orthopaedic and traumatic surgery
• Academic Merit
• Provide statement</t>
  </si>
  <si>
    <t xml:space="preserve">1 term, 2 $5,000 
payments. </t>
  </si>
  <si>
    <t>• Selected subjects in Pharmacy
• Must be completing mental health research</t>
  </si>
  <si>
    <t>• Medicine students
• Present their own work at the conference
• 3rd or 4th year</t>
  </si>
  <si>
    <t>• Final year Bachelor of Pharmacy and Management or Master of Pharmacy Practice.
• Placement site over 100km from home.
• Provide statement</t>
  </si>
  <si>
    <t xml:space="preserve">$300-$800
Depends on 
distance. </t>
  </si>
  <si>
    <t>$14,500 for 6 
semesters
$500 One-off</t>
  </si>
  <si>
    <t>$87,500 (MAX)
Meant for
tuition</t>
  </si>
  <si>
    <t>Honours/PG</t>
  </si>
  <si>
    <t>• Nursing programs
• Demonstrate interest in reproductive health and family planning as a component of women’s health in developing countries.
• Academic Merit</t>
  </si>
  <si>
    <t>• Studying Geology and/or Mineralogy within the School of Geosciences
• 1st year
• Avaliable to both international and domestic</t>
  </si>
  <si>
    <t>• CDMS Honours
• Completed specified mathematics/statistics units of study
• Avaliable to both international and domestic</t>
  </si>
  <si>
    <t>• Equity Criteria
• Selected Science programs
• Academic Merit</t>
  </si>
  <si>
    <t>• Psychology Honours
• 1 year
• Equity Criteria</t>
  </si>
  <si>
    <t>• Sydney University rugby players
• Continuing
• Academic Merit
• Provide statement</t>
  </si>
  <si>
    <t>• Internship in digital health
• Cover letter</t>
  </si>
  <si>
    <t>• Master of Business Administration
• 1st year
• Academic Merit
• Provide statement</t>
  </si>
  <si>
    <t>• Master of Business Administration
• 1st year
• Academic Merit
• Provide statement
• Preference will be given to applicants working in the not-for-profit sector, especially charities</t>
  </si>
  <si>
    <t>50% tuition fees</t>
  </si>
  <si>
    <t>• Master of Business Administration
• 1st year
• Academic Merit
• Identify as someone from a minority group</t>
  </si>
  <si>
    <t>20% of tuition fees</t>
  </si>
  <si>
    <t>• Master of Business Administration (Executive)
• 1st year
• Academic Merit
• Provide statement</t>
  </si>
  <si>
    <t>• Executive Master of Business Administration
• 1st year
• Academic Merit
• Ideally be working in a social enterprise or as a social entrepreneur</t>
  </si>
  <si>
    <t>50%-100% tuition fees</t>
  </si>
  <si>
    <t>• Minimum 10 years of professional experience
• University staff who plan to study the Executive MBA</t>
  </si>
  <si>
    <t>• University staff member eligible to study the MBA
• Provide statement
• Academic Merit</t>
  </si>
  <si>
    <t>2 units of study</t>
  </si>
  <si>
    <t>• Master of Business Administration
• Demonstrate outstanding leadership potential in the business domain
• Academic Merit</t>
  </si>
  <si>
    <t>66% of tuition fees</t>
  </si>
  <si>
    <t>• Executive MBA
• Not be an employee of the University of Sydney or UN Women National Committee Australia
• Provide Statement
• Academic Merit</t>
  </si>
  <si>
    <t>CSP instead of 
full-paying</t>
  </si>
  <si>
    <t>• Doctor of Veterinary Medicine
• Equity Criteria
• Commencing</t>
  </si>
  <si>
    <t>Preference</t>
  </si>
  <si>
    <t>• Bachelor of Veterinary Biology and Doctor of Veterinary Medicine
• Be able to demonstrate low socio-economic status
• Commencing</t>
  </si>
  <si>
    <t>• Received a MySydney Scholarship
• Over 18
• Submitted an Educational Access Scheme (EAS) application</t>
  </si>
  <si>
    <t>60% accommodation costs</t>
  </si>
  <si>
    <t>N/A</t>
  </si>
  <si>
    <t>• Full-time student at the Conservatorium of Music
• Studying instrumental studies</t>
  </si>
  <si>
    <t>• Master of Interaction Design and Electronic Arts
• 1st year
• Academic merit</t>
  </si>
  <si>
    <t>• Studying to become a composer. 
• Student at Sydney Conservatorium of Music
• Academic merit</t>
  </si>
  <si>
    <t>• Female or gender diverse
• Financial hardship
• Studying jazz</t>
  </si>
  <si>
    <t>• Studying piano
• Academic merit</t>
  </si>
  <si>
    <t>• Studying violin
• Academic merit</t>
  </si>
  <si>
    <t>• Studying piano
• Resided in Australia for the past five years
• Low socio-economic background</t>
  </si>
  <si>
    <t>• 20 years old or youger
• Studying piano or organ
• Academic merit</t>
  </si>
  <si>
    <t>• School of Business programs
• Academic merit (ATAR)
• Has not done any university studies</t>
  </si>
  <si>
    <t>$2,250
$4,500
$9,000</t>
  </si>
  <si>
    <t>6 cps
12cps
18cps</t>
  </si>
  <si>
    <t>• Any PG coursework program except MBA
• Academic merit</t>
  </si>
  <si>
    <t>• Bachelor of Advanced Studies
• Specific subject
• Academic merit</t>
  </si>
  <si>
    <t xml:space="preserve">• Studying 'back of orchestra' instruments
• Academic merit </t>
  </si>
  <si>
    <t>• Singing and/or piano student
• Academic merit</t>
  </si>
  <si>
    <t>• Classical piano student
• Financial hardship
• Provide statement</t>
  </si>
  <si>
    <t>• Student at Sydney Conservatorium of Music.
• Academic merit</t>
  </si>
  <si>
    <t>• String student
• Born in Australia</t>
  </si>
  <si>
    <t>• Studying classical music
• Financial hardship
• Provide statement</t>
  </si>
  <si>
    <t>• Low-socioeconomic background
• Piano student
• Provide statement</t>
  </si>
  <si>
    <t>• School of Business programs
• Academic merit (ATAR)
• Provide statement</t>
  </si>
  <si>
    <t>• Recent school leaver
• Selected programs in Design in Architecture,
• Academic merit(ATAR)
• Has not done any university studies</t>
  </si>
  <si>
    <t>• School of Business programs and double degrees with Law
• Academic merit (ATAR)
• Provide statement</t>
  </si>
  <si>
    <t>• Financial hardship
• Provide statement
• Studying the flute</t>
  </si>
  <si>
    <t>• 1st year
• Bachelor of Design in Architecture (Honours) 
• Academic merit</t>
  </si>
  <si>
    <t>• Student at the Conservatorium 
• Preference given to students studying bassoon, oboe and saxophone.
• Academic merit</t>
  </si>
  <si>
    <t>• Male
• Opera student
• Academic merit</t>
  </si>
  <si>
    <t>• Aged between 20 and 40
• Musical composition student
• Studying musical composition</t>
  </si>
  <si>
    <t>• Student at the Conservatorium
• Low-socioeconomic background
• Financial hardship</t>
  </si>
  <si>
    <t>• Student at the Conservatorium
• Academic merit</t>
  </si>
  <si>
    <t>• Rural or Regional
• Selected Business progrmas
• Recent school leaver</t>
  </si>
  <si>
    <t>• Study in the Digital Music and Media Program
• Australian Citizen 
• Provide statement</t>
  </si>
  <si>
    <t>• Australian Citizen
• Student at the Conservatorium 
• Rural or Regional</t>
  </si>
  <si>
    <t>• Studying conducting
• Already be a proven young orchestral conductor in the professional musical world
• Provide statement</t>
  </si>
  <si>
    <t>• Financial hardship
• Selected WIL subjects</t>
  </si>
  <si>
    <t>• String student
• Academic merit</t>
  </si>
  <si>
    <t>• Student undertaking further studies as a piano accompanist or opera répétiteur 
• Academic merit</t>
  </si>
  <si>
    <t>• Singing student
• Female preference
• Academic merit</t>
  </si>
  <si>
    <t>• Student at  Sydney Conservatorium of Music
• Provide statement
• Academic merit</t>
  </si>
  <si>
    <t>• Studying classical music, including early music and opera studies
• Academic merit
• Provide statement</t>
  </si>
  <si>
    <t>• Classical music (including early music and opera) student
• Academic merit
• Provide statement</t>
  </si>
  <si>
    <t>• Singing student
• Female</t>
  </si>
  <si>
    <t>• Student studying conducting
• Academic merit
• Provide statement</t>
  </si>
  <si>
    <t>• Opera student
• Low socio-economic background</t>
  </si>
  <si>
    <t>• Student at the Conservatorium
• Academic merit
• Provide statement</t>
  </si>
  <si>
    <t>• School of Business programs
• Academic merit (ATAR)
• Recent School Leaver</t>
  </si>
  <si>
    <t>• Student at the Conservatorium
• Academic merit
• Studying violin.</t>
  </si>
  <si>
    <t>• Pianoforte student
• Academic merit
• Provide statement</t>
  </si>
  <si>
    <t>• Between 20 and 45 years old
• Studying vocal teaching and repertoire</t>
  </si>
  <si>
    <t>• Studying vocal studies
• Academic merit
• Provide statement</t>
  </si>
  <si>
    <t>• Completed the Bachelor of Design in Architecture
• Academic merit</t>
  </si>
  <si>
    <t>• Piano, violin, viola or cello student
• Financial hardship</t>
  </si>
  <si>
    <t>• Student at the Conservatorium 
• Academic merit
• Provide statement</t>
  </si>
  <si>
    <t>• Student at the Conservatorium
• Preference will be given to students studying bassoon, oboe or saxophone.
• Academic merit</t>
  </si>
  <si>
    <t>• Saxophone student
• Low socio-economic background 
• 1st and 2nd year</t>
  </si>
  <si>
    <t>• Brass, percussion, jazz, keyboard, organ and church music, vocal studies, opera, woodwind, composition, music education or musicology students
• Academic merit
• Provide statement</t>
  </si>
  <si>
    <t>• Final year of Bachelor of Architecture and Environments
• Completed the Unit of Study BAEN3001</t>
  </si>
  <si>
    <t>• Student at the Conservatorium
• Studying violin
• Academic merit</t>
  </si>
  <si>
    <t>• Singing student
• Academic merit
• Provide statement</t>
  </si>
  <si>
    <t>• Undergraduate double bass student
• Academic merit
• Provide statement</t>
  </si>
  <si>
    <t>• Student at the Conservatorium
• Studying classical music.
• Provide statement</t>
  </si>
  <si>
    <t>• Music and voice student
• Academic merit
• Provide statement</t>
  </si>
  <si>
    <t>• Studying 'back of orchestra' instruments including lower bass (trombones), or woodwind (clarinet, oboe or bassoon)
• Academic merit
• Provide statement</t>
  </si>
  <si>
    <t>• Voice and/or instrument student
• Academic merit
• Provide statement</t>
  </si>
  <si>
    <t>• Undergraduate music students
• Low socio-economic background</t>
  </si>
  <si>
    <t>• Singing, oboe, violin, cello or clarinet student 
• Born in Australia
• Aged between 20 and 30</t>
  </si>
  <si>
    <t>• Rural or Regional
• Academic merit
• Provide statement</t>
  </si>
  <si>
    <t>• Cello, violin and/or piano student 
• Academic merit
• Provide statement</t>
  </si>
  <si>
    <t>• Studying classical music
• Financial hardship</t>
  </si>
  <si>
    <t>• Music education student
• Academic merit
• Provide statement</t>
  </si>
  <si>
    <t>• Organ student 
• Academic merit
• Provide statement</t>
  </si>
  <si>
    <t>• French horn student
• Academic merit</t>
  </si>
  <si>
    <t>• Studying voice or piano
• Academic merit
• Provide statement
• Financial hardship</t>
  </si>
  <si>
    <t>3-4 years</t>
  </si>
  <si>
    <t>• School of Business
• Academic merit (ATAR)
• Provide statement</t>
  </si>
  <si>
    <t>• School of Business
• Academic merit (ATAR)
• Rural or Regional</t>
  </si>
  <si>
    <t>• Female
• Organ student
• Academic merit</t>
  </si>
  <si>
    <t>• School of Business
• Academic merit (ATAR)
• HSL or gap year
• Provide statement - extracurricular activites</t>
  </si>
  <si>
    <t>• Violin student
• Academic merit</t>
  </si>
  <si>
    <t>• Piano, Voice or Orchestral Instruments student
• Academic merit</t>
  </si>
  <si>
    <t>• Member of a string quartet
• Academic merit</t>
  </si>
  <si>
    <t>• Student at the Conservatorium of Music
• Financial hardship</t>
  </si>
  <si>
    <t>• Studying brass instrument
• Academic merit</t>
  </si>
  <si>
    <t>• Studying vocal studies or similar
• Academic merit</t>
  </si>
  <si>
    <t>Music</t>
  </si>
  <si>
    <t>• Student at the Conservatorium of Music
• Financial hardship
• Be from a low socio-economic background</t>
  </si>
  <si>
    <t>• School of Business
• Academic merit (ATAR or WAM)
• Provide statement</t>
  </si>
  <si>
    <t>• Violin, viola, violoncello, piano or organ student 
• Academic merit</t>
  </si>
  <si>
    <t>• Piano student
• Academic merit</t>
  </si>
  <si>
    <t>• School of Business
• Academic merit (ATAR)
• Financial hardship</t>
  </si>
  <si>
    <t>• School of Business
• Student from a government high school
• Academic merit (ATAR)</t>
  </si>
  <si>
    <t>• Classical music student
• Low socio-economic background
• Financial hardship</t>
  </si>
  <si>
    <t>• Come from a "Disadvantaged Background"
• Student at the Conservatorium of Music</t>
  </si>
  <si>
    <t>• Female
• 2nd year
• Bachelor of Commerce
• Academic merit</t>
  </si>
  <si>
    <t>2 years</t>
  </si>
  <si>
    <t>• Master of English Studies or Master of Creative Writing student
• Financial hardship
• UAC Equity</t>
  </si>
  <si>
    <t>• Final year of a Bachelor of Laws (LLB)
• Academic merit
• Provide statement</t>
  </si>
  <si>
    <t>• School of Chemical and Biomolecular Engineering
• Rural or Regional
• Academic merit</t>
  </si>
  <si>
    <t>• Honours in American Studies
• Must undertake a project or activity
• Academic merit</t>
  </si>
  <si>
    <t>• Bachelor of Civil Engineering
• UAC Equity 
• Low Socio-Economic background</t>
  </si>
  <si>
    <t>• Engineering, Health or Medicine programs
• UAC Equity 
• Low Socio-Economic background</t>
  </si>
  <si>
    <t>• Faculty of Arts and Social Sciences
• 1st year
• Academic merit</t>
  </si>
  <si>
    <t>• Juris Doctor
• Academic merit</t>
  </si>
  <si>
    <t>• Anthropology honours student
• UAC Equirty</t>
  </si>
  <si>
    <t>• Chemical and Biomolecular Engineering programs 
• Financial hardship
• Selected subjects</t>
  </si>
  <si>
    <t>• Selected Laws programs
• Domestic and international students</t>
  </si>
  <si>
    <t>• Bachelor of Advanced Computing (Honours)
• Domestic and international students
• Academic merit (WAM)</t>
  </si>
  <si>
    <t>• Faculty of Arts or School of Business
• UAC Equity
• Academic merit</t>
  </si>
  <si>
    <t>• Selected primary teaching programs
• Demonstrate an interest in primary curriculum development</t>
  </si>
  <si>
    <t>• Faculty of Engineering
• Enrolled in COMP4446
• UAC Equity (Selected criteria)</t>
  </si>
  <si>
    <t>• Bachelor of Laws (LLB)
• HSL or gap year
• Financial hardship</t>
  </si>
  <si>
    <t>• Business or Economics programs
• Low Socio-Economic background</t>
  </si>
  <si>
    <t>• Female
• Economic programs 
• 3rd year</t>
  </si>
  <si>
    <t>• Master of Teaching (Early Childhood)
• 1st year
• Provide statement &amp; References</t>
  </si>
  <si>
    <t>• Faculty of Engineering
• Academic merit (WAM)</t>
  </si>
  <si>
    <t>• Financial hardship
• Faculty of Engineering
• Have completed at least one semester of study</t>
  </si>
  <si>
    <t xml:space="preserve">• HSL 
• Faculty of Engineering
• Academic merit (ATAR) </t>
  </si>
  <si>
    <t xml:space="preserve">• Faculty of Engineering: Masters
• Academic merit (WAM) </t>
  </si>
  <si>
    <t>• Female 
• HSL
• Faculty of Engineering</t>
  </si>
  <si>
    <t>• Female 
• HSL
• Faculty of Engineering
• Academic merit (ATAR)</t>
  </si>
  <si>
    <t xml:space="preserve">• Civil Engineering
• 2nd year </t>
  </si>
  <si>
    <t xml:space="preserve">• Faculty of Arts and Social Sciences
• Selected subjects </t>
  </si>
  <si>
    <t>• Faculty of Arts and Social Sciences
• Studying French and Francophone or Germanic Studies
• Academic merit</t>
  </si>
  <si>
    <t>• HSL
• Female 
• Apply for admission through EAS</t>
  </si>
  <si>
    <t>$177 per CP
Max $34,000</t>
  </si>
  <si>
    <t>$12,000 - UG
$9,000 - PG</t>
  </si>
  <si>
    <t>• Selected teaching programs 
• Undertake an internship at the International Grammar School</t>
  </si>
  <si>
    <t xml:space="preserve">• Engineering programs 
• Low Socio-Economic background
• Academic merit </t>
  </si>
  <si>
    <t>• About to or have graduated from a Bachelor of Laws or Juris Doctor from the University of Sydney within the last 5 years
• Unconditional offer of admission in a postgraduate degree within the Sydney Law School</t>
  </si>
  <si>
    <t>• Sydney School of Education
• Intend to teach mathematics or science
• Academic merit</t>
  </si>
  <si>
    <t>• Faculty of Arts and Social Sciences
• Minor in Australian Literature</t>
  </si>
  <si>
    <t>3 semesters</t>
  </si>
  <si>
    <t>• Female 
• Master of English Studies or Master of Creative Writing student</t>
  </si>
  <si>
    <t xml:space="preserve">• Bachelor of Visual Arts or Bachelor of Visual Arts and Bachelor of Advanced Studies student
• Financial hardship
• UAC Equity </t>
  </si>
  <si>
    <t>• Bachelor of Visual Arts, or Bachelor of Visual Arts and Bachelor of Advanced Studies student
• Financial hardship
• Studio specialisation</t>
  </si>
  <si>
    <t>• BA (Hons), BA and BAS (Hons), BAS (Hons)
• Conducting research in history</t>
  </si>
  <si>
    <t>• Master of Criminology 
• Academic merit (WAM)</t>
  </si>
  <si>
    <t>• Enrolled into Indonesian unit(s) of study
• 1st or 2nd year
• Academic merit (ATAR OR WAM)</t>
  </si>
  <si>
    <t>• Currently enrolled in final semester in a LLB or JD
• Undertake a 75 day PLT program at Marrickville Legal Centre</t>
  </si>
  <si>
    <t>• Currently enrolled in final semester in LLB or JD
• Undertake a 75-day PLT program at the Redfern Legal Centre</t>
  </si>
  <si>
    <t>• Italian honours student
• Preference may be given to students who can demonstrate financial need.</t>
  </si>
  <si>
    <t>• School of Law programs
• Academic merit 
• Completing research or studies in the fields of commercial law or equity</t>
  </si>
  <si>
    <t>• Majoring in English
• Financial hardship
• UAC Equity</t>
  </si>
  <si>
    <t>• Bachelor of Arts or Bachelor of Arts and Bachelor of Advanced Studies student
• Major in History
• Demonstrate disadvantage or hardship.</t>
  </si>
  <si>
    <t>• Faculty of Arts and Social Sciences
• 2nd year
• Majoring in Arabic Languages and Cultures</t>
  </si>
  <si>
    <t>• Studying visual arts
• Final year</t>
  </si>
  <si>
    <t>• Juris Doctor
• Financial hardship</t>
  </si>
  <si>
    <t>• Male
• HSL
• School of Chemical and Biomolecular Engineering
• Rural or Regional</t>
  </si>
  <si>
    <t>• Civil Engineering
• Financial hardship
• NSW resident</t>
  </si>
  <si>
    <t>• Philosophy honours student
• UAC Equity
• School of Humanities</t>
  </si>
  <si>
    <t>• School of Education and Social Work 
• Must commence internship in the current year of receipt of scholarship</t>
  </si>
  <si>
    <t>• Bachelor of Economics or Bachelor of Economics combined degree student
• Selected subjects
• Academic merit (WAM)</t>
  </si>
  <si>
    <t xml:space="preserve">• Political Economy degree
• 1st year
• UAC Equity </t>
  </si>
  <si>
    <t>• Master of Social Justice
• 1st year 
• Not be a recipient of a Commonwealth Supported Place</t>
  </si>
  <si>
    <t>• Faculty of Engineering
• Aboriginal and/or Torres Strait Islander and/or experiencing financial hardship and/or from rural/regional/remote area
• HSL</t>
  </si>
  <si>
    <t>$312 per CP
Max $60,000</t>
  </si>
  <si>
    <t>• 1st year
• Selected subjects
• Academic merit (WAM)</t>
  </si>
  <si>
    <t>$4,000
Living allowance
Tuition fees
2 subjects</t>
  </si>
  <si>
    <t>• Master of Social Justice
• Not be a recipient of a Commonwealth supported place.</t>
  </si>
  <si>
    <t>• Bachelor of Civil Law
• About to graduate/have graduated in the last two years from the Bachelor of Laws or Juris Doctor at the University of Sydney</t>
  </si>
  <si>
    <t>• HSL or gap year
• Commencing Bachelor of Engineering Honours (Mechanical or Mechatronic Engineering)
• Academic merit</t>
  </si>
  <si>
    <t>• Philosophy Honours student
• Philosophy must be in the areas of bioethics, ethics, or political philosophy</t>
  </si>
  <si>
    <t>• Combined Law or the Juris Doctor Program
• Financial hardship</t>
  </si>
  <si>
    <t>• Faculty of Arts and Social Sciences
• Studying modern Greek or Byzantine studies</t>
  </si>
  <si>
    <t>• Gender and Cultural Studies
• Financial hardship
• UAC Equity</t>
  </si>
  <si>
    <t>• Undertake an internship at Ravenswood School for Girls
• Final year
• English, mathematics, science, social sciences, languages, and/or TESOL
• Academic merit</t>
  </si>
  <si>
    <t xml:space="preserve">• Studying an undergraduate degree at the School of Chemical and Biomolecular Engineering
• HSL </t>
  </si>
  <si>
    <t>• Master of Social Work (Qualifying)
• Two years experience working in HIV/AIDS
• Counsellor in the area of HIV/AIDS
• Hold a degree or diploma in social welfare, social work, psychology or a related area</t>
  </si>
  <si>
    <t>• Sydney Law School
• Academic merit</t>
  </si>
  <si>
    <t>• Commencing an undergraduate combined law program
• Financial hardship</t>
  </si>
  <si>
    <t>• Combined undergraduate law degree student
• Financial hardship</t>
  </si>
  <si>
    <t>• Undertake an internship at Saint Ignatius College Riverview School
• Final year</t>
  </si>
  <si>
    <t>• Aeronautical or Aerospace Engineering
• Low SES 
• Academic merit</t>
  </si>
  <si>
    <t>• HSL
• Demonstrate financial hardship, medical condition, or be from a rural or remote area
• Faculty of Engineering</t>
  </si>
  <si>
    <t>• Honours year
• Bachelor of Advanced Studies
• Domestic or international student</t>
  </si>
  <si>
    <t>• Bachelor of Arts (Dual Degree, Sciences Po, France) or Bachelor of Economics (Dual Degree, Sciences Po, France)
• Academic merit
• Provide statement</t>
  </si>
  <si>
    <t>• Studying in the School of Art, Communication and English
• Demonstrate your ability to compose poetry and/or academic writing about poetry</t>
  </si>
  <si>
    <t>• Faculty of Arts and Social Sciences
• Financial hardship
• Demonstrate interest in policy and law reform</t>
  </si>
  <si>
    <t>• Academic merit (WAM)
• Undertake an internship
• Final year</t>
  </si>
  <si>
    <t>• Undertake an internship at Wenona School.
• Final year
• Academic merit (WAM)</t>
  </si>
  <si>
    <t>• Bachelor of Laws (LLB) or a Juris Doctor (JD) 
• Registered with Inclusion and Disability Services (IDS) 
• Selected subjects</t>
  </si>
  <si>
    <t>• Hebrew, Biblical and Jewish Studies degree
• Must have completed selected subjects</t>
  </si>
  <si>
    <t>• Southeast Asian studies
• Faculty of Arts and Social Sciences</t>
  </si>
  <si>
    <t>• Honours year in English
• Academic merit 
• Provide statement</t>
  </si>
  <si>
    <t>• Bachelor of Visual Arts or Bachelor of Visual Arts and Bachelor of Advanced Studies
• UAC Equity
• Selected subjects</t>
  </si>
  <si>
    <t>• Undertake an internship at Kambala School
• Final year
• Academic merit (WAM)</t>
  </si>
  <si>
    <t>• Undertake an internship at Knox Grammar School
• Final year
• Academic merit (WAM)</t>
  </si>
  <si>
    <t>• Masters in Indigenous Language Education student
• Provide statement</t>
  </si>
  <si>
    <t>• Undertake an internship at MLC School
• Final year
• Academic merit (WAM)</t>
  </si>
  <si>
    <t>9 months</t>
  </si>
  <si>
    <t>• Studying English
• Financial hardship
• UAC Equity</t>
  </si>
  <si>
    <t>• Aged between 18 and 30
• Written statement - community &amp; leadership work
• 2nd year</t>
  </si>
  <si>
    <t xml:space="preserve">• Social Work/Social Welfare programs
• Financial hardship
• UAC Equity </t>
  </si>
  <si>
    <t>• Undertake an internship at Sydney Church of England Grammar School (Shore)
• Final year
• Academic merit (WAM)</t>
  </si>
  <si>
    <t>• Faculty of Engineering
• Demonstrate financial need, financial disadvantage, or social disadvantage</t>
  </si>
  <si>
    <t>• English Major
• 2nd, 3rd or 4th yea
• UAC Equity</t>
  </si>
  <si>
    <t>• Undertake an internship at Waverley College 
• Final year
• Academic merit (WAM)</t>
  </si>
  <si>
    <t>• Female
• Bachelor of Engineering Honours (Civil Engineering)
• Able to demonstrate financial need, diligence and good conduct
1 July 2</t>
  </si>
  <si>
    <t>• Major in American Studies
• UAC Equity</t>
  </si>
  <si>
    <t>• Studying education
• Interested in the area of special needs
• Financial hardship</t>
  </si>
  <si>
    <t>• Aboriginal and/or Torres Strait Islander or from a low socio-economic background
• Engineering Degree</t>
  </si>
  <si>
    <t>• Penultimate year of Bachelor of Laws or Juris Doctor
• Academic merit</t>
  </si>
  <si>
    <t xml:space="preserve">• Occupational Therapy, Speech Pathology or Physiotherapy
• Academic merit </t>
  </si>
  <si>
    <t>$208.33 per CP
Max $10,000</t>
  </si>
  <si>
    <t>• Master of Medicine (Clinical Epidemiology) or Master of Science in Medicine (Clinical Epidemiology) student</t>
  </si>
  <si>
    <t>• Bachelor of Oral Health or Dental Medicine
• Enrolled in courses requiring specialised course materials or uniforms
• Domestic or international student</t>
  </si>
  <si>
    <t>• Medicine and Health programs
• Enrolled in courses requiring specialised course materials or uniforms
• Domestic or international student</t>
  </si>
  <si>
    <t>• Coursework degree in Medicine and Health
• Undertaking a mandatory placement 
• Registered carer
• Domestic or international student</t>
  </si>
  <si>
    <t>• Master of Global Health student
• Experienced hardship or disadvantage (Similar to UAC Equity)</t>
  </si>
  <si>
    <t>1 semester</t>
  </si>
  <si>
    <t>• Master of Global Health
• Demonstrate a commitment to social justice and global health</t>
  </si>
  <si>
    <t xml:space="preserve">• Master of Public Health
• Demonstrate a commitment to social justice </t>
  </si>
  <si>
    <t>• Selected Nursing programs
• Financial hardship</t>
  </si>
  <si>
    <t>• Pharmacy student
• Demonstrate financial or social disadvantage</t>
  </si>
  <si>
    <t>• Doctor of Medicine
• 3rd year
• Interested in general practice and community primary care</t>
  </si>
  <si>
    <t>• Master of Public Health
• UAC Equity</t>
  </si>
  <si>
    <t>• Master of Health Policy and Planning 
• Academic merit</t>
  </si>
  <si>
    <t xml:space="preserve">• Master of Health Policy and Planning
• Academic merit </t>
  </si>
  <si>
    <t>• Postgraduate nursing student from Greater Sydney
• Academic merit</t>
  </si>
  <si>
    <t>Split among 6 semesters
and a one-off
payment.</t>
  </si>
  <si>
    <t>• Nursing student from the Greater Sydney region
• 1st year</t>
  </si>
  <si>
    <t>• Selected Nursing programs
• Rural or Regional</t>
  </si>
  <si>
    <t>• School of Pharmacy: Selected programs
• Academic merit
• Provide statement</t>
  </si>
  <si>
    <t>• Doctor of Medicine 
• 1st year
• Academic merit</t>
  </si>
  <si>
    <t>Up to $7,500</t>
  </si>
  <si>
    <t>1.5 years</t>
  </si>
  <si>
    <t>• Master of Cancer and Haematology Nursing</t>
  </si>
  <si>
    <t>• Bachelor of Pharmacy
• Academic merit (ATAR)</t>
  </si>
  <si>
    <t>• Doctor of Dental Medicine
• 3rd year
• Academic merit</t>
  </si>
  <si>
    <t xml:space="preserve">• Doctor of Veterinary Medicine
• UAC Equity </t>
  </si>
  <si>
    <t>• Master of Mathematical Sciences
• Academic merit (WAM)</t>
  </si>
  <si>
    <t>• Selected Mathematics subjects
• School of Science
• Domestic or international student</t>
  </si>
  <si>
    <t>• M Veterinary Studies, M Veterinary Clinical Studies
• Research area must be in veterinary pathology</t>
  </si>
  <si>
    <t>• Undertaking an honours program and specialising in soil science
• Academic merit 
• Provide statement</t>
  </si>
  <si>
    <t>• Doctor of Veterinary Medicine
• Academic merit</t>
  </si>
  <si>
    <t>• Bachelor of Science and Bachelor of Advanced Studies (Agriculture)
• Selected majors
• 3rd year</t>
  </si>
  <si>
    <t>6 years</t>
  </si>
  <si>
    <t>• Bachelor of Veterinary Biology and Doctor of Veterinary Medicine 
• Rural or Regional
• HSL</t>
  </si>
  <si>
    <t>• Science programs majoring in Physics
• 2nd year
• Domestic or international student</t>
  </si>
  <si>
    <t>• Selected Science programs
• Low SES</t>
  </si>
  <si>
    <t>• Doctor of Veterinary Medicine
• UAC Equity</t>
  </si>
  <si>
    <t>• Doctor of Veterinary Medicine
• 3rd yearr
• UAC Equity</t>
  </si>
  <si>
    <t>• Continuing student
• Chemistry major
• UAC Equity</t>
  </si>
  <si>
    <t xml:space="preserve">• Honours degree in the School of Chemistry
• UAC Equity </t>
  </si>
  <si>
    <t>• Commencing honours student
• Completed an undergraduate degree at a university overseas, interstate or in rural or remote NSW
• Academic merit</t>
  </si>
  <si>
    <t xml:space="preserve">• Master of Veterinary Studies/Master of Veterinary Clinical 
• Graduated with a degree in veterinary science </t>
  </si>
  <si>
    <t>• Bachelor of Agricultural Science or Bachelor of Agricultural Science Honours
• Catholic
• HSL
• Financial hardship</t>
  </si>
  <si>
    <t>• Agricultural Science
• Academic merit</t>
  </si>
  <si>
    <t>• Faculty of Science
• Academic merit (ATAR)</t>
  </si>
  <si>
    <t>• Bachelor of Veterinary Biology and Doctor of Veterinary Medicine
• Top achiever in the HSC</t>
  </si>
  <si>
    <t>• Bachelor of Science (Honours), or embedded honours study within the Bachelor of Advanced Studies
• Achieve the highest grades in the final year of the Bachelor of Science</t>
  </si>
  <si>
    <t>• Faculty of Science
• Low SES
• UAC Equity</t>
  </si>
  <si>
    <t>• Selected subjects
• Honours (Applied Mathematics)
• Domestic or international student</t>
  </si>
  <si>
    <t>•  Graduate Diploma in Psychology
• Commencing 
• Academic merit</t>
  </si>
  <si>
    <t>• School of Physics
• UAC Equity
• Financial Hardship</t>
  </si>
  <si>
    <t>• Female
• School of Mathematics and Statistics
• Domestic or international student</t>
  </si>
  <si>
    <t>• Female
• Faculty of Science: Subjects in Mathematics
• Domestic or international student</t>
  </si>
  <si>
    <t>• Female
• Faculty of Science
• HSL</t>
  </si>
  <si>
    <t>• Honours program in Agriculture focused research topic
• Must have completed selected science programs</t>
  </si>
  <si>
    <t>• UAC Equity</t>
  </si>
  <si>
    <t>• Doctor of Veterinary Medicine
• Selected subject</t>
  </si>
  <si>
    <t>• Doctor of Veterinary Medicine
• Academic merit
• Provide statement</t>
  </si>
  <si>
    <t>• Bachelor of Agricultural Science or Bachelor of Agricultural Science Honours
• HSL
• Financial hardship</t>
  </si>
  <si>
    <t>• Rural or Regional
• Bachelor of Science and Bachelor of Advanced Studies (Agriculture), or the Bachelor of Science and Bachelor of Advanced Studies (Food and Agribusiness)
• Active current recipient of the Rural Sustainability scholarship</t>
  </si>
  <si>
    <t>• HSL
• B Science/B Advanced Studies (Agriculture) or B Science/B Advanced Studies (Food and Agribusiness)  
• Rural or Regional</t>
  </si>
  <si>
    <t>• Faculty of Science
• HSL
• Academic merit (ATAR)</t>
  </si>
  <si>
    <t>• Doctor of Veterinary Medicine
• Experience in the rural sector</t>
  </si>
  <si>
    <t>• Female
• Honours degree in the fields of Agriculture and Animal Sciences
• Domestic or international student</t>
  </si>
  <si>
    <t>• School of Science
• HSL 
• Rural or Regional</t>
  </si>
  <si>
    <t>• Doctor of Veterinary Medicine
• Sydney University Veterinary Society member
• UAC Equity</t>
  </si>
  <si>
    <t>• Top achiever in the HSC
• Bachelor of Veterinary Biology and Doctor of Veterinary Medicine</t>
  </si>
  <si>
    <t>• School of Chemistry
• Financial hardship</t>
  </si>
  <si>
    <t>• Honours program in Chemistry, Mathematics, Molecular Bioscience and/or Physics
• Financial hardship</t>
  </si>
  <si>
    <t>Accommodation
4 years</t>
  </si>
  <si>
    <t>• Under 30 years of age at the time of application
• MySydney Scholarship offer from the University of Sydney</t>
  </si>
  <si>
    <t>• Low SES</t>
  </si>
  <si>
    <t>5  years</t>
  </si>
  <si>
    <t>• Rural or Regional
• Financial hardship</t>
  </si>
  <si>
    <t>• HSL
• Academic merit (ATAR)</t>
  </si>
  <si>
    <t>• ELMP Non-Award Program 
• From a minority group
• 10 years of relevant professional experience 
• Employed in a project-related role</t>
  </si>
  <si>
    <t>Non-Award</t>
  </si>
  <si>
    <t>• Rural or Regional
• Have experienced disadvantage
• HSL</t>
  </si>
  <si>
    <t>• Completed Year 12 in a rural high school with UAC educational disadvantage "SO1C"
• UAC Equity</t>
  </si>
  <si>
    <t>• Interested in issues related to urbanism 
• Academic merit (WAM)
• 1st year</t>
  </si>
  <si>
    <t>• Low SES
• HSL</t>
  </si>
  <si>
    <t>• Must be from a disadvantaged background
• Preference to female in STEM</t>
  </si>
  <si>
    <t>• Must be a full-fee paying student
• Selected programs</t>
  </si>
  <si>
    <t>Payable across total units of study required for relevant course.</t>
  </si>
  <si>
    <t>• Not eligible for a MySydney Scholarship
• Meet selected UAC Equity criteria (not all)</t>
  </si>
  <si>
    <t>• Academic merit
• Financial hardship
• UAC Equity</t>
  </si>
  <si>
    <t>• Person with a physical disability
• Financial hardship</t>
  </si>
  <si>
    <t>• Academic merit
• Provide statement
• Student at the Conservatorium of Music</t>
  </si>
  <si>
    <t>• Academic merit
• Provide statement
• Studying piano</t>
  </si>
  <si>
    <t xml:space="preserve">• Academic merit
• Provide statement
• Participating in promotion and development of Australian choral music as choral conductor
• Must be aged up to 35 years </t>
  </si>
  <si>
    <t>• School of Nursing and Midwifery
• Low SES
• Financial hardship</t>
  </si>
  <si>
    <t>• From an area of Australia that is not Greater Sydney
• Bachelor of Nursing (Advanced Studies)</t>
  </si>
  <si>
    <t>• Faculty of Engineering
• Rural or Regional
• Provide statement</t>
  </si>
  <si>
    <t>• Bachelor of Pharmacy and Management (Honours)  
• Academic merit (ATAR) 
• Rural or Regional - Preference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</si>
</sst>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2" fillId="0" borderId="0" xfId="1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6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6" fontId="0" fillId="0" borderId="0" xfId="0" applyNumberFormat="1"/>
    <xf numFmtId="0" fontId="0" fillId="0" borderId="0" xfId="0" applyFill="1" applyAlignment="1">
      <alignment horizontal="left"/>
    </xf>
    <xf numFmtId="0" fontId="0" fillId="0" borderId="0" xfId="0" applyFill="1"/>
    <xf numFmtId="6" fontId="0" fillId="0" borderId="0" xfId="0" applyNumberForma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5"/>
  <sheetViews>
    <sheetView tabSelected="1" workbookViewId="0">
      <selection activeCell="C3" sqref="C3"/>
    </sheetView>
  </sheetViews>
  <sheetFormatPr defaultRowHeight="15" x14ac:dyDescent="0.25"/>
  <cols>
    <col min="1" max="1" width="10" customWidth="1"/>
    <col min="2" max="2" width="40.42578125" customWidth="1"/>
    <col min="3" max="3" width="37.28515625" customWidth="1"/>
    <col min="4" max="4" width="20.85546875" style="6" customWidth="1"/>
    <col min="5" max="5" width="15.28515625" customWidth="1"/>
    <col min="6" max="6" width="11.5703125" customWidth="1"/>
    <col min="7" max="7" width="22.28515625" style="2" customWidth="1"/>
    <col min="8" max="8" width="13" customWidth="1"/>
    <col min="9" max="9" width="15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</row>
    <row r="2" spans="1:9" ht="75" x14ac:dyDescent="0.25">
      <c r="A2" t="s">
        <v>9</v>
      </c>
      <c r="B2" t="str">
        <f>HYPERLINK("https://www.sydney.edu.au/scholarships/a/alan-hyland-scholarship-for-instrumental-studies.html", "Alan Hyland Scholarship for Instrumental Studies")</f>
        <v>Alan Hyland Scholarship for Instrumental Studies</v>
      </c>
      <c r="C2" t="s">
        <v>61</v>
      </c>
      <c r="D2" t="s">
        <v>11</v>
      </c>
      <c r="E2" t="s">
        <v>142</v>
      </c>
      <c r="F2" t="s">
        <v>12</v>
      </c>
      <c r="G2" s="2" t="s">
        <v>143</v>
      </c>
      <c r="H2" t="s">
        <v>13</v>
      </c>
      <c r="I2" t="s">
        <v>13</v>
      </c>
    </row>
    <row r="3" spans="1:9" ht="75" x14ac:dyDescent="0.25">
      <c r="A3" t="s">
        <v>9</v>
      </c>
      <c r="B3" t="str">
        <f>HYPERLINK("https://www.sydney.edu.au/scholarships/a/alek-safarian-mba-scholarship.html", "Alek Safarian MBA Scholarship")</f>
        <v>Alek Safarian MBA Scholarship</v>
      </c>
      <c r="C3" t="s">
        <v>61</v>
      </c>
      <c r="D3" t="s">
        <v>83</v>
      </c>
      <c r="E3" t="s">
        <v>90</v>
      </c>
      <c r="F3" t="s">
        <v>15</v>
      </c>
      <c r="G3" s="2" t="s">
        <v>122</v>
      </c>
      <c r="H3" t="s">
        <v>13</v>
      </c>
      <c r="I3" t="s">
        <v>13</v>
      </c>
    </row>
    <row r="4" spans="1:9" ht="75" x14ac:dyDescent="0.25">
      <c r="A4" t="s">
        <v>9</v>
      </c>
      <c r="B4" t="str">
        <f>HYPERLINK("https://www.sydney.edu.au/scholarships/a/alexandria-harbin-atlassian-scholarship.html", "The Alexandria Harbin Atlassian Coursework Scholarship")</f>
        <v>The Alexandria Harbin Atlassian Coursework Scholarship</v>
      </c>
      <c r="C4" t="s">
        <v>61</v>
      </c>
      <c r="D4" s="9">
        <v>10000</v>
      </c>
      <c r="E4" t="s">
        <v>64</v>
      </c>
      <c r="F4" t="s">
        <v>15</v>
      </c>
      <c r="G4" s="2" t="s">
        <v>144</v>
      </c>
      <c r="H4" t="s">
        <v>13</v>
      </c>
      <c r="I4" t="s">
        <v>13</v>
      </c>
    </row>
    <row r="5" spans="1:9" ht="90" x14ac:dyDescent="0.25">
      <c r="A5" t="s">
        <v>9</v>
      </c>
      <c r="B5" t="str">
        <f>HYPERLINK("https://www.sydney.edu.au/scholarships/a/alison-burrell-bequest.html", "Alison Burrell Bequest")</f>
        <v>Alison Burrell Bequest</v>
      </c>
      <c r="C5" t="s">
        <v>61</v>
      </c>
      <c r="D5" t="s">
        <v>14</v>
      </c>
      <c r="E5" t="s">
        <v>64</v>
      </c>
      <c r="F5" t="s">
        <v>12</v>
      </c>
      <c r="G5" s="2" t="s">
        <v>145</v>
      </c>
      <c r="H5" t="s">
        <v>13</v>
      </c>
      <c r="I5" t="s">
        <v>13</v>
      </c>
    </row>
    <row r="6" spans="1:9" ht="150" x14ac:dyDescent="0.25">
      <c r="A6" t="s">
        <v>9</v>
      </c>
      <c r="B6" t="str">
        <f>HYPERLINK("https://www.sydney.edu.au/scholarships/a/anstice-mba-scholarship-community-leadership.html", "Anstice MBA Scholarship for Community Leadership")</f>
        <v>Anstice MBA Scholarship for Community Leadership</v>
      </c>
      <c r="C6" t="s">
        <v>61</v>
      </c>
      <c r="D6" t="s">
        <v>83</v>
      </c>
      <c r="E6" t="s">
        <v>90</v>
      </c>
      <c r="F6" t="s">
        <v>15</v>
      </c>
      <c r="G6" s="2" t="s">
        <v>123</v>
      </c>
      <c r="H6" t="s">
        <v>13</v>
      </c>
      <c r="I6" t="s">
        <v>13</v>
      </c>
    </row>
    <row r="7" spans="1:9" ht="60" x14ac:dyDescent="0.25">
      <c r="A7" t="s">
        <v>9</v>
      </c>
      <c r="B7" t="str">
        <f>HYPERLINK("https://www.sydney.edu.au/scholarships/a/anthony---sharon-lee-foundation-jazz-scholarship-for-female-and-.html", "Anthony &amp; Sharon Lee Foundation Jazz Scholarship for Female and/or Gender Diverse")</f>
        <v>Anthony &amp; Sharon Lee Foundation Jazz Scholarship for Female and/or Gender Diverse</v>
      </c>
      <c r="C7" t="s">
        <v>81</v>
      </c>
      <c r="D7" s="9">
        <v>10000</v>
      </c>
      <c r="E7" t="s">
        <v>64</v>
      </c>
      <c r="F7" t="s">
        <v>12</v>
      </c>
      <c r="G7" s="2" t="s">
        <v>146</v>
      </c>
      <c r="H7" t="s">
        <v>13</v>
      </c>
      <c r="I7" t="s">
        <v>13</v>
      </c>
    </row>
    <row r="8" spans="1:9" ht="75" x14ac:dyDescent="0.25">
      <c r="A8" t="s">
        <v>9</v>
      </c>
      <c r="B8" t="str">
        <f>HYPERLINK("https://www.sydney.edu.au/scholarships/a/anthony-sharon-lee-foundation-jazz-scholarship.html", "Anthony and Sharon Lee Foundation Jazz Scholarship")</f>
        <v>Anthony and Sharon Lee Foundation Jazz Scholarship</v>
      </c>
      <c r="C8" t="s">
        <v>10</v>
      </c>
      <c r="D8" s="2" t="s">
        <v>69</v>
      </c>
      <c r="E8" s="2" t="s">
        <v>70</v>
      </c>
      <c r="F8" t="s">
        <v>15</v>
      </c>
      <c r="G8" s="2" t="s">
        <v>71</v>
      </c>
      <c r="H8" t="s">
        <v>13</v>
      </c>
      <c r="I8" t="s">
        <v>13</v>
      </c>
    </row>
    <row r="9" spans="1:9" ht="75" x14ac:dyDescent="0.25">
      <c r="A9" t="s">
        <v>9</v>
      </c>
      <c r="B9" s="4" t="str">
        <f>HYPERLINK("https://www.sydney.edu.au/scholarships/a/anthony-strachan-scholarship.html", "Anthony Strachan Scholarship")</f>
        <v>Anthony Strachan Scholarship</v>
      </c>
      <c r="C9" t="s">
        <v>227</v>
      </c>
      <c r="D9" t="s">
        <v>11</v>
      </c>
      <c r="E9" t="s">
        <v>11</v>
      </c>
      <c r="F9" t="s">
        <v>12</v>
      </c>
      <c r="G9" s="2" t="s">
        <v>434</v>
      </c>
      <c r="H9" t="s">
        <v>13</v>
      </c>
      <c r="I9" t="s">
        <v>13</v>
      </c>
    </row>
    <row r="10" spans="1:9" ht="30" x14ac:dyDescent="0.25">
      <c r="A10" t="s">
        <v>9</v>
      </c>
      <c r="B10" t="str">
        <f>HYPERLINK("https://www.sydney.edu.au/scholarships/a/belinda-frances-hughes-piano-scholarship.html", "Belinda Frances Hughes Piano Scholarship")</f>
        <v>Belinda Frances Hughes Piano Scholarship</v>
      </c>
      <c r="C10" t="s">
        <v>61</v>
      </c>
      <c r="D10" t="s">
        <v>11</v>
      </c>
      <c r="E10" t="s">
        <v>142</v>
      </c>
      <c r="F10" t="s">
        <v>12</v>
      </c>
      <c r="G10" s="2" t="s">
        <v>147</v>
      </c>
      <c r="H10" t="s">
        <v>13</v>
      </c>
      <c r="I10" t="s">
        <v>13</v>
      </c>
    </row>
    <row r="11" spans="1:9" ht="30" x14ac:dyDescent="0.25">
      <c r="A11" t="s">
        <v>9</v>
      </c>
      <c r="B11" t="str">
        <f>HYPERLINK("https://www.sydney.edu.au/scholarships/a/belinda-frances-hughes-violin-scholarship.html", "Belinda Frances Hughes Violin Scholarship")</f>
        <v>Belinda Frances Hughes Violin Scholarship</v>
      </c>
      <c r="C11" t="s">
        <v>61</v>
      </c>
      <c r="D11" t="s">
        <v>11</v>
      </c>
      <c r="E11" t="s">
        <v>142</v>
      </c>
      <c r="F11" t="s">
        <v>12</v>
      </c>
      <c r="G11" s="2" t="s">
        <v>148</v>
      </c>
      <c r="H11" t="s">
        <v>13</v>
      </c>
      <c r="I11" t="s">
        <v>13</v>
      </c>
    </row>
    <row r="12" spans="1:9" ht="30" x14ac:dyDescent="0.25">
      <c r="A12" t="s">
        <v>9</v>
      </c>
      <c r="B12" t="str">
        <f>HYPERLINK("https://www.sydney.edu.au/scholarships/a/bessie-cook-piano-award.html", "The Bessie Cook Piano Award")</f>
        <v>The Bessie Cook Piano Award</v>
      </c>
      <c r="C12" t="s">
        <v>61</v>
      </c>
      <c r="D12" t="s">
        <v>14</v>
      </c>
      <c r="E12" t="s">
        <v>142</v>
      </c>
      <c r="F12" t="s">
        <v>10</v>
      </c>
      <c r="G12" s="2" t="s">
        <v>147</v>
      </c>
      <c r="H12" t="s">
        <v>13</v>
      </c>
      <c r="I12" t="s">
        <v>13</v>
      </c>
    </row>
    <row r="13" spans="1:9" ht="75" x14ac:dyDescent="0.25">
      <c r="A13" t="s">
        <v>9</v>
      </c>
      <c r="B13" t="str">
        <f>HYPERLINK("https://www.sydney.edu.au/scholarships/a/board-of-governors-scholarship.html", "Board of Governors' Scholarship")</f>
        <v>Board of Governors' Scholarship</v>
      </c>
      <c r="C13" t="s">
        <v>227</v>
      </c>
      <c r="D13" t="s">
        <v>11</v>
      </c>
      <c r="E13" t="s">
        <v>60</v>
      </c>
      <c r="F13" t="s">
        <v>12</v>
      </c>
      <c r="G13" s="2" t="s">
        <v>434</v>
      </c>
      <c r="H13" t="s">
        <v>13</v>
      </c>
      <c r="I13" t="s">
        <v>13</v>
      </c>
    </row>
    <row r="14" spans="1:9" ht="75" x14ac:dyDescent="0.25">
      <c r="A14" t="s">
        <v>9</v>
      </c>
      <c r="B14" t="str">
        <f>HYPERLINK("https://www.sydney.edu.au/scholarships/a/brian-abel-piano-scholarship.html", "Brian Abel Piano Scholarship")</f>
        <v>Brian Abel Piano Scholarship</v>
      </c>
      <c r="C14" t="s">
        <v>81</v>
      </c>
      <c r="D14" t="s">
        <v>11</v>
      </c>
      <c r="E14" t="s">
        <v>142</v>
      </c>
      <c r="F14" t="s">
        <v>10</v>
      </c>
      <c r="G14" s="2" t="s">
        <v>149</v>
      </c>
      <c r="H14" t="s">
        <v>13</v>
      </c>
      <c r="I14" t="s">
        <v>13</v>
      </c>
    </row>
    <row r="15" spans="1:9" ht="60" x14ac:dyDescent="0.25">
      <c r="A15" t="s">
        <v>9</v>
      </c>
      <c r="B15" t="str">
        <f>HYPERLINK("https://www.sydney.edu.au/scholarships/a/bruce-a-pontin-memorial-scholarship.html", "Bruce A Pontin Memorial Scholarship")</f>
        <v>Bruce A Pontin Memorial Scholarship</v>
      </c>
      <c r="C15" t="s">
        <v>61</v>
      </c>
      <c r="D15" t="s">
        <v>11</v>
      </c>
      <c r="E15" t="s">
        <v>142</v>
      </c>
      <c r="F15" t="s">
        <v>12</v>
      </c>
      <c r="G15" s="2" t="s">
        <v>150</v>
      </c>
      <c r="H15" t="s">
        <v>13</v>
      </c>
      <c r="I15" t="s">
        <v>13</v>
      </c>
    </row>
    <row r="16" spans="1:9" ht="90" x14ac:dyDescent="0.25">
      <c r="A16" t="s">
        <v>9</v>
      </c>
      <c r="B16" t="str">
        <f>HYPERLINK("https://www.sydney.edu.au/scholarships/a/business-school-all-round-excellence.html", "University of Sydney Business School All-Round Excellence Scholarship")</f>
        <v>University of Sydney Business School All-Round Excellence Scholarship</v>
      </c>
      <c r="C16" t="s">
        <v>61</v>
      </c>
      <c r="D16" s="9">
        <v>7500</v>
      </c>
      <c r="E16" t="s">
        <v>65</v>
      </c>
      <c r="F16" t="s">
        <v>18</v>
      </c>
      <c r="G16" s="2" t="s">
        <v>151</v>
      </c>
      <c r="H16" t="s">
        <v>13</v>
      </c>
      <c r="I16" t="s">
        <v>13</v>
      </c>
    </row>
    <row r="17" spans="1:9" ht="45" x14ac:dyDescent="0.25">
      <c r="A17" t="s">
        <v>9</v>
      </c>
      <c r="B17" t="str">
        <f>HYPERLINK("https://www.sydney.edu.au/scholarships/a/business_school_postgraduate_kick_starter_scholarship.html", "Business School Postgraduate Kick Starter Scholarship")</f>
        <v>Business School Postgraduate Kick Starter Scholarship</v>
      </c>
      <c r="C17" t="s">
        <v>61</v>
      </c>
      <c r="D17" s="2" t="s">
        <v>152</v>
      </c>
      <c r="E17" s="2" t="s">
        <v>153</v>
      </c>
      <c r="F17" t="s">
        <v>15</v>
      </c>
      <c r="G17" s="2" t="s">
        <v>154</v>
      </c>
      <c r="H17" t="s">
        <v>13</v>
      </c>
      <c r="I17" t="s">
        <v>13</v>
      </c>
    </row>
    <row r="18" spans="1:9" ht="60" x14ac:dyDescent="0.25">
      <c r="A18" t="s">
        <v>9</v>
      </c>
      <c r="B18" t="str">
        <f>HYPERLINK("https://www.sydney.edu.au/scholarships/a/buss4909-startup-project-scholarship.html", "BUSS4909 Startup Project Scholarship")</f>
        <v>BUSS4909 Startup Project Scholarship</v>
      </c>
      <c r="C18" t="s">
        <v>61</v>
      </c>
      <c r="D18" t="s">
        <v>19</v>
      </c>
      <c r="E18" t="s">
        <v>62</v>
      </c>
      <c r="F18" t="s">
        <v>18</v>
      </c>
      <c r="G18" s="2" t="s">
        <v>155</v>
      </c>
      <c r="H18" t="s">
        <v>13</v>
      </c>
      <c r="I18" t="s">
        <v>13</v>
      </c>
    </row>
    <row r="19" spans="1:9" ht="45" x14ac:dyDescent="0.25">
      <c r="A19" t="s">
        <v>9</v>
      </c>
      <c r="B19" t="str">
        <f>HYPERLINK("https://www.sydney.edu.au/scholarships/a/canon-honours-scholarship.html", "Canon Honours Scholarship")</f>
        <v>Canon Honours Scholarship</v>
      </c>
      <c r="C19" t="s">
        <v>61</v>
      </c>
      <c r="D19" s="6" t="s">
        <v>76</v>
      </c>
      <c r="E19" t="s">
        <v>64</v>
      </c>
      <c r="F19" t="s">
        <v>72</v>
      </c>
      <c r="G19" s="2" t="s">
        <v>73</v>
      </c>
      <c r="H19" t="s">
        <v>13</v>
      </c>
      <c r="I19" t="s">
        <v>13</v>
      </c>
    </row>
    <row r="20" spans="1:9" ht="45" x14ac:dyDescent="0.25">
      <c r="A20" t="s">
        <v>9</v>
      </c>
      <c r="B20" t="str">
        <f>HYPERLINK("https://www.sydney.edu.au/scholarships/a/cary-james-and-anne-witheford-back-of-orchestra-scholarship.html", "Cary James and Anne Witheford Back of Orchestra Scholarship")</f>
        <v>Cary James and Anne Witheford Back of Orchestra Scholarship</v>
      </c>
      <c r="C20" t="s">
        <v>61</v>
      </c>
      <c r="D20" t="s">
        <v>20</v>
      </c>
      <c r="E20" t="s">
        <v>66</v>
      </c>
      <c r="F20" t="s">
        <v>18</v>
      </c>
      <c r="G20" s="2" t="s">
        <v>156</v>
      </c>
      <c r="H20" t="s">
        <v>13</v>
      </c>
      <c r="I20" t="s">
        <v>13</v>
      </c>
    </row>
    <row r="21" spans="1:9" ht="45" x14ac:dyDescent="0.25">
      <c r="A21" t="s">
        <v>9</v>
      </c>
      <c r="B21" t="str">
        <f>HYPERLINK("https://www.sydney.edu.au/scholarships/a/chapple-bremner-scholarship.html", "Chapple/Bremner Scholarship")</f>
        <v>Chapple/Bremner Scholarship</v>
      </c>
      <c r="C21" t="s">
        <v>61</v>
      </c>
      <c r="D21" t="s">
        <v>11</v>
      </c>
      <c r="E21" t="s">
        <v>142</v>
      </c>
      <c r="F21" t="s">
        <v>12</v>
      </c>
      <c r="G21" s="2" t="s">
        <v>157</v>
      </c>
      <c r="H21" t="s">
        <v>13</v>
      </c>
      <c r="I21" t="s">
        <v>13</v>
      </c>
    </row>
    <row r="22" spans="1:9" ht="60" x14ac:dyDescent="0.25">
      <c r="A22" t="s">
        <v>9</v>
      </c>
      <c r="B22" t="str">
        <f>HYPERLINK("https://www.sydney.edu.au/scholarships/a/clarence-addison-turrill-scholarship.html", "Clarence Addison Turrill Scholarship")</f>
        <v>Clarence Addison Turrill Scholarship</v>
      </c>
      <c r="C22" t="s">
        <v>81</v>
      </c>
      <c r="D22" t="s">
        <v>14</v>
      </c>
      <c r="E22" t="s">
        <v>142</v>
      </c>
      <c r="F22" t="s">
        <v>15</v>
      </c>
      <c r="G22" s="2" t="s">
        <v>158</v>
      </c>
      <c r="H22" t="s">
        <v>13</v>
      </c>
      <c r="I22" t="s">
        <v>13</v>
      </c>
    </row>
    <row r="23" spans="1:9" ht="60" x14ac:dyDescent="0.25">
      <c r="A23" t="s">
        <v>9</v>
      </c>
      <c r="B23" t="str">
        <f>HYPERLINK("https://www.sydney.edu.au/scholarships/a/conservatorium-of-music-scholarship.html", "Conservatorium of Music Scholarship")</f>
        <v>Conservatorium of Music Scholarship</v>
      </c>
      <c r="C23" t="s">
        <v>61</v>
      </c>
      <c r="D23" t="s">
        <v>11</v>
      </c>
      <c r="E23" t="s">
        <v>142</v>
      </c>
      <c r="F23" t="s">
        <v>12</v>
      </c>
      <c r="G23" s="2" t="s">
        <v>159</v>
      </c>
      <c r="H23" t="s">
        <v>13</v>
      </c>
      <c r="I23" t="s">
        <v>13</v>
      </c>
    </row>
    <row r="24" spans="1:9" ht="30" x14ac:dyDescent="0.25">
      <c r="A24" t="s">
        <v>9</v>
      </c>
      <c r="B24" t="str">
        <f>HYPERLINK("https://www.sydney.edu.au/scholarships/a/corinna-dhage-mayer-string-scholarship.html", "Corinna D'Hage Mayer String Scholarship")</f>
        <v>Corinna D'Hage Mayer String Scholarship</v>
      </c>
      <c r="C24" t="s">
        <v>61</v>
      </c>
      <c r="D24" t="s">
        <v>11</v>
      </c>
      <c r="E24" t="s">
        <v>142</v>
      </c>
      <c r="F24" t="s">
        <v>12</v>
      </c>
      <c r="G24" s="2" t="s">
        <v>160</v>
      </c>
      <c r="H24" t="s">
        <v>13</v>
      </c>
      <c r="I24" t="s">
        <v>13</v>
      </c>
    </row>
    <row r="25" spans="1:9" ht="60" x14ac:dyDescent="0.25">
      <c r="A25" t="s">
        <v>9</v>
      </c>
      <c r="B25" t="str">
        <f>HYPERLINK("https://www.sydney.edu.au/scholarships/a/costa-rosa-harsas-award.html", "Costa Rosa Harsas Award")</f>
        <v>Costa Rosa Harsas Award</v>
      </c>
      <c r="C25" t="s">
        <v>81</v>
      </c>
      <c r="D25" t="s">
        <v>11</v>
      </c>
      <c r="E25" t="s">
        <v>142</v>
      </c>
      <c r="F25" t="s">
        <v>12</v>
      </c>
      <c r="G25" s="2" t="s">
        <v>161</v>
      </c>
      <c r="H25" t="s">
        <v>13</v>
      </c>
      <c r="I25" t="s">
        <v>13</v>
      </c>
    </row>
    <row r="26" spans="1:9" ht="90" x14ac:dyDescent="0.25">
      <c r="A26" t="s">
        <v>9</v>
      </c>
      <c r="B26" t="str">
        <f>HYPERLINK("https://www.sydney.edu.au/scholarships/a/cultural-diversity-business-executive-mba-scholarship.html", "Cultural Diversity in Business Executive MBA Scholarship")</f>
        <v>Cultural Diversity in Business Executive MBA Scholarship</v>
      </c>
      <c r="C26" t="s">
        <v>61</v>
      </c>
      <c r="D26" t="s">
        <v>124</v>
      </c>
      <c r="E26" t="s">
        <v>90</v>
      </c>
      <c r="F26" t="s">
        <v>15</v>
      </c>
      <c r="G26" s="2" t="s">
        <v>125</v>
      </c>
      <c r="H26" t="s">
        <v>13</v>
      </c>
      <c r="I26" t="s">
        <v>13</v>
      </c>
    </row>
    <row r="27" spans="1:9" ht="60" x14ac:dyDescent="0.25">
      <c r="A27" t="s">
        <v>9</v>
      </c>
      <c r="B27" t="str">
        <f>HYPERLINK("https://www.sydney.edu.au/scholarships/a/david-nhilla-dumbrell-scholarship.html", "The David and Nhilla Dumbrell Scholarship")</f>
        <v>The David and Nhilla Dumbrell Scholarship</v>
      </c>
      <c r="C27" t="s">
        <v>81</v>
      </c>
      <c r="D27" t="s">
        <v>14</v>
      </c>
      <c r="E27" t="s">
        <v>142</v>
      </c>
      <c r="F27" t="s">
        <v>12</v>
      </c>
      <c r="G27" s="2" t="s">
        <v>162</v>
      </c>
      <c r="H27" t="s">
        <v>13</v>
      </c>
      <c r="I27" t="s">
        <v>13</v>
      </c>
    </row>
    <row r="28" spans="1:9" ht="75" x14ac:dyDescent="0.25">
      <c r="A28" t="s">
        <v>9</v>
      </c>
      <c r="B28" t="str">
        <f>HYPERLINK("https://www.sydney.edu.au/scholarships/a/david-w-johnson-scholarship.html", "David W Johnson Scholarship")</f>
        <v>David W Johnson Scholarship</v>
      </c>
      <c r="C28" t="s">
        <v>61</v>
      </c>
      <c r="D28" t="s">
        <v>21</v>
      </c>
      <c r="E28" t="s">
        <v>65</v>
      </c>
      <c r="F28" t="s">
        <v>18</v>
      </c>
      <c r="G28" s="2" t="s">
        <v>163</v>
      </c>
      <c r="H28" t="s">
        <v>13</v>
      </c>
      <c r="I28" t="s">
        <v>13</v>
      </c>
    </row>
    <row r="29" spans="1:9" ht="90" x14ac:dyDescent="0.25">
      <c r="A29" t="s">
        <v>9</v>
      </c>
      <c r="B29" t="str">
        <f>HYPERLINK("https://www.sydney.edu.au/scholarships/a/deans-excellence-scholarship-emba.html", "The Dean's Excellence Scholarship (Executive MBA)")</f>
        <v>The Dean's Excellence Scholarship (Executive MBA)</v>
      </c>
      <c r="C29" t="s">
        <v>61</v>
      </c>
      <c r="D29" t="s">
        <v>126</v>
      </c>
      <c r="E29" t="s">
        <v>90</v>
      </c>
      <c r="F29" t="s">
        <v>15</v>
      </c>
      <c r="G29" s="2" t="s">
        <v>127</v>
      </c>
      <c r="H29" t="s">
        <v>13</v>
      </c>
      <c r="I29" t="s">
        <v>13</v>
      </c>
    </row>
    <row r="30" spans="1:9" ht="105" x14ac:dyDescent="0.25">
      <c r="A30" t="s">
        <v>9</v>
      </c>
      <c r="B30" t="str">
        <f>HYPERLINK("https://www.sydney.edu.au/scholarships/a/deans-merit-scholarship.html", "Architecture, Design and Planning Dean's Merit Scholarship")</f>
        <v>Architecture, Design and Planning Dean's Merit Scholarship</v>
      </c>
      <c r="C30" t="s">
        <v>61</v>
      </c>
      <c r="D30" s="9">
        <v>1000</v>
      </c>
      <c r="E30" t="s">
        <v>64</v>
      </c>
      <c r="F30" t="s">
        <v>18</v>
      </c>
      <c r="G30" s="2" t="s">
        <v>164</v>
      </c>
      <c r="H30" t="s">
        <v>13</v>
      </c>
      <c r="I30" t="s">
        <v>13</v>
      </c>
    </row>
    <row r="31" spans="1:9" ht="105" x14ac:dyDescent="0.25">
      <c r="A31" t="s">
        <v>9</v>
      </c>
      <c r="B31" t="str">
        <f>HYPERLINK("https://www.sydney.edu.au/scholarships/a/deans-outstanding-merit-scholarship.html", "Architecture, Design and Planning Dean's Outstanding Merit Scholarship")</f>
        <v>Architecture, Design and Planning Dean's Outstanding Merit Scholarship</v>
      </c>
      <c r="C31" t="s">
        <v>61</v>
      </c>
      <c r="D31" s="9">
        <v>1000</v>
      </c>
      <c r="E31" t="s">
        <v>90</v>
      </c>
      <c r="F31" t="s">
        <v>18</v>
      </c>
      <c r="G31" s="2" t="s">
        <v>164</v>
      </c>
      <c r="H31" t="s">
        <v>13</v>
      </c>
      <c r="I31" t="s">
        <v>13</v>
      </c>
    </row>
    <row r="32" spans="1:9" ht="90" x14ac:dyDescent="0.25">
      <c r="A32" t="s">
        <v>9</v>
      </c>
      <c r="B32" t="str">
        <f>HYPERLINK("https://www.sydney.edu.au/scholarships/a/deans-scholarship-business.html", "Dean's Undergraduate Scholarship in Business")</f>
        <v>Dean's Undergraduate Scholarship in Business</v>
      </c>
      <c r="C32" t="s">
        <v>61</v>
      </c>
      <c r="D32" t="s">
        <v>22</v>
      </c>
      <c r="E32" t="s">
        <v>65</v>
      </c>
      <c r="F32" t="s">
        <v>18</v>
      </c>
      <c r="G32" s="2" t="s">
        <v>165</v>
      </c>
      <c r="H32" t="s">
        <v>13</v>
      </c>
      <c r="I32" t="s">
        <v>13</v>
      </c>
    </row>
    <row r="33" spans="1:9" ht="45" x14ac:dyDescent="0.25">
      <c r="A33" t="s">
        <v>9</v>
      </c>
      <c r="B33" t="str">
        <f>HYPERLINK("https://www.sydney.edu.au/scholarships/a/deirdre-hall-scholarship-for-musically-talented-flute-students.html", "Deirdre Hall Scholarship for Musically Talented Flute Students")</f>
        <v>Deirdre Hall Scholarship for Musically Talented Flute Students</v>
      </c>
      <c r="C33" t="s">
        <v>81</v>
      </c>
      <c r="D33" t="s">
        <v>19</v>
      </c>
      <c r="E33" t="s">
        <v>60</v>
      </c>
      <c r="F33" t="s">
        <v>18</v>
      </c>
      <c r="G33" s="2" t="s">
        <v>166</v>
      </c>
      <c r="H33" t="s">
        <v>13</v>
      </c>
      <c r="I33" t="s">
        <v>13</v>
      </c>
    </row>
    <row r="34" spans="1:9" ht="60" x14ac:dyDescent="0.25">
      <c r="A34" t="s">
        <v>9</v>
      </c>
      <c r="B34" t="str">
        <f>HYPERLINK("https://www.sydney.edu.au/scholarships/a/diana-inglis-carment-scholarship.html", "Diana Inglis Carment Scholarship")</f>
        <v>Diana Inglis Carment Scholarship</v>
      </c>
      <c r="C34" t="s">
        <v>61</v>
      </c>
      <c r="D34" t="s">
        <v>19</v>
      </c>
      <c r="E34" t="s">
        <v>64</v>
      </c>
      <c r="F34" t="s">
        <v>18</v>
      </c>
      <c r="G34" s="2" t="s">
        <v>167</v>
      </c>
      <c r="H34" t="s">
        <v>13</v>
      </c>
      <c r="I34" t="s">
        <v>13</v>
      </c>
    </row>
    <row r="35" spans="1:9" ht="105" x14ac:dyDescent="0.25">
      <c r="A35" t="s">
        <v>9</v>
      </c>
      <c r="B35" t="str">
        <f>HYPERLINK("https://www.sydney.edu.au/scholarships/a/dilys-milton-renham-scholarship.html", "Dylis and Milton Renham Scholarship")</f>
        <v>Dylis and Milton Renham Scholarship</v>
      </c>
      <c r="C35" t="s">
        <v>61</v>
      </c>
      <c r="D35" t="s">
        <v>11</v>
      </c>
      <c r="E35" t="s">
        <v>60</v>
      </c>
      <c r="F35" t="s">
        <v>12</v>
      </c>
      <c r="G35" s="2" t="s">
        <v>168</v>
      </c>
      <c r="H35" t="s">
        <v>13</v>
      </c>
      <c r="I35" t="s">
        <v>13</v>
      </c>
    </row>
    <row r="36" spans="1:9" ht="45" x14ac:dyDescent="0.25">
      <c r="A36" t="s">
        <v>9</v>
      </c>
      <c r="B36" t="str">
        <f>HYPERLINK("https://www.sydney.edu.au/scholarships/a/donald-lionel-edgerton-scholarship.html", "The Donald Lionel Edgerton Scholarship")</f>
        <v>The Donald Lionel Edgerton Scholarship</v>
      </c>
      <c r="C36" t="s">
        <v>61</v>
      </c>
      <c r="D36" t="s">
        <v>14</v>
      </c>
      <c r="E36" t="s">
        <v>60</v>
      </c>
      <c r="F36" t="s">
        <v>12</v>
      </c>
      <c r="G36" s="2" t="s">
        <v>169</v>
      </c>
      <c r="H36" t="s">
        <v>13</v>
      </c>
      <c r="I36" t="s">
        <v>13</v>
      </c>
    </row>
    <row r="37" spans="1:9" ht="90" x14ac:dyDescent="0.25">
      <c r="A37" t="s">
        <v>9</v>
      </c>
      <c r="B37" t="str">
        <f>HYPERLINK("https://www.sydney.edu.au/scholarships/a/doris-burnett-ford-scholarship.html", "Doris Burnett Ford Scholarship")</f>
        <v>Doris Burnett Ford Scholarship</v>
      </c>
      <c r="C37" t="s">
        <v>61</v>
      </c>
      <c r="D37" t="s">
        <v>11</v>
      </c>
      <c r="E37" t="s">
        <v>60</v>
      </c>
      <c r="F37" t="s">
        <v>12</v>
      </c>
      <c r="G37" s="2" t="s">
        <v>170</v>
      </c>
      <c r="H37" t="s">
        <v>13</v>
      </c>
      <c r="I37" t="s">
        <v>13</v>
      </c>
    </row>
    <row r="38" spans="1:9" ht="75" x14ac:dyDescent="0.25">
      <c r="A38" t="s">
        <v>9</v>
      </c>
      <c r="B38" t="str">
        <f>HYPERLINK("https://www.sydney.edu.au/scholarships/a/elaine-mccaghern-musical-scholarship.html", "The Elaine McCaghern Musical Scholarship")</f>
        <v>The Elaine McCaghern Musical Scholarship</v>
      </c>
      <c r="C38" t="s">
        <v>81</v>
      </c>
      <c r="D38" t="s">
        <v>11</v>
      </c>
      <c r="E38" t="s">
        <v>60</v>
      </c>
      <c r="F38" t="s">
        <v>12</v>
      </c>
      <c r="G38" s="2" t="s">
        <v>171</v>
      </c>
      <c r="H38" t="s">
        <v>13</v>
      </c>
      <c r="I38" t="s">
        <v>13</v>
      </c>
    </row>
    <row r="39" spans="1:9" ht="45" x14ac:dyDescent="0.25">
      <c r="A39" t="s">
        <v>9</v>
      </c>
      <c r="B39" t="str">
        <f>HYPERLINK("https://www.sydney.edu.au/scholarships/a/elise-herrman-scholarship.html", "The Elise Herrman Scholarship")</f>
        <v>The Elise Herrman Scholarship</v>
      </c>
      <c r="C39" t="s">
        <v>61</v>
      </c>
      <c r="D39" t="s">
        <v>14</v>
      </c>
      <c r="E39" t="s">
        <v>60</v>
      </c>
      <c r="F39" t="s">
        <v>12</v>
      </c>
      <c r="G39" s="2" t="s">
        <v>172</v>
      </c>
      <c r="H39" t="s">
        <v>13</v>
      </c>
      <c r="I39" t="s">
        <v>13</v>
      </c>
    </row>
    <row r="40" spans="1:9" ht="60" x14ac:dyDescent="0.25">
      <c r="A40" t="s">
        <v>9</v>
      </c>
      <c r="B40" t="str">
        <f>HYPERLINK("https://www.sydney.edu.au/scholarships/a/eric-campbell-scott--rural---regional--scholarship.html", "Eric Campbell Scott (Rural / Regional) Scholarship")</f>
        <v>Eric Campbell Scott (Rural / Regional) Scholarship</v>
      </c>
      <c r="C40" t="s">
        <v>81</v>
      </c>
      <c r="D40" t="s">
        <v>21</v>
      </c>
      <c r="E40" t="s">
        <v>65</v>
      </c>
      <c r="F40" t="s">
        <v>18</v>
      </c>
      <c r="G40" s="2" t="s">
        <v>173</v>
      </c>
      <c r="H40" t="s">
        <v>13</v>
      </c>
      <c r="I40" t="s">
        <v>13</v>
      </c>
    </row>
    <row r="41" spans="1:9" ht="75" x14ac:dyDescent="0.25">
      <c r="A41" t="s">
        <v>9</v>
      </c>
      <c r="B41" t="str">
        <f>HYPERLINK("https://www.sydney.edu.au/scholarships/a/ernest-heine-family-foundation-digital-music-scholarship.html", "Ernest Heine Family Foundation Digital Music Scholarship")</f>
        <v>Ernest Heine Family Foundation Digital Music Scholarship</v>
      </c>
      <c r="C41" t="s">
        <v>61</v>
      </c>
      <c r="D41" t="s">
        <v>24</v>
      </c>
      <c r="E41" t="s">
        <v>65</v>
      </c>
      <c r="F41" t="s">
        <v>18</v>
      </c>
      <c r="G41" s="2" t="s">
        <v>174</v>
      </c>
      <c r="H41" t="s">
        <v>13</v>
      </c>
      <c r="I41" t="s">
        <v>13</v>
      </c>
    </row>
    <row r="42" spans="1:9" ht="60" x14ac:dyDescent="0.25">
      <c r="A42" t="s">
        <v>9</v>
      </c>
      <c r="B42" t="str">
        <f>HYPERLINK("https://www.sydney.edu.au/scholarships/a/ernest-heine-family-foundation-undergraduate-scholarship.html", "Ernest Heine Family Foundation Undergraduate Scholarship")</f>
        <v>Ernest Heine Family Foundation Undergraduate Scholarship</v>
      </c>
      <c r="C42" t="s">
        <v>61</v>
      </c>
      <c r="D42" t="s">
        <v>25</v>
      </c>
      <c r="E42" t="s">
        <v>65</v>
      </c>
      <c r="F42" t="s">
        <v>18</v>
      </c>
      <c r="G42" s="2" t="s">
        <v>175</v>
      </c>
      <c r="H42" t="s">
        <v>13</v>
      </c>
      <c r="I42" t="s">
        <v>13</v>
      </c>
    </row>
    <row r="43" spans="1:9" ht="105" x14ac:dyDescent="0.25">
      <c r="A43" t="s">
        <v>9</v>
      </c>
      <c r="B43" t="str">
        <f>HYPERLINK("https://www.sydney.edu.au/scholarships/a/eugene-goossens-conducting-fellowship.html", "Eugene Goossens Conducting Fellowship")</f>
        <v>Eugene Goossens Conducting Fellowship</v>
      </c>
      <c r="C43" t="s">
        <v>61</v>
      </c>
      <c r="D43" t="s">
        <v>11</v>
      </c>
      <c r="E43" t="s">
        <v>60</v>
      </c>
      <c r="F43" t="s">
        <v>12</v>
      </c>
      <c r="G43" s="2" t="s">
        <v>176</v>
      </c>
      <c r="H43" t="s">
        <v>13</v>
      </c>
      <c r="I43" t="s">
        <v>13</v>
      </c>
    </row>
    <row r="44" spans="1:9" ht="30" x14ac:dyDescent="0.25">
      <c r="A44" t="s">
        <v>9</v>
      </c>
      <c r="B44" t="str">
        <f>HYPERLINK("https://www.sydney.edu.au/scholarships/a/experience-in-industry-scholarship.html", "Experience in Industry Scholarship")</f>
        <v>Experience in Industry Scholarship</v>
      </c>
      <c r="C44" t="s">
        <v>81</v>
      </c>
      <c r="D44" t="s">
        <v>26</v>
      </c>
      <c r="E44" t="s">
        <v>62</v>
      </c>
      <c r="F44" t="s">
        <v>12</v>
      </c>
      <c r="G44" s="2" t="s">
        <v>177</v>
      </c>
      <c r="H44" t="s">
        <v>13</v>
      </c>
      <c r="I44" t="s">
        <v>29</v>
      </c>
    </row>
    <row r="45" spans="1:9" ht="45" x14ac:dyDescent="0.25">
      <c r="A45" t="s">
        <v>9</v>
      </c>
      <c r="B45" t="str">
        <f>HYPERLINK("https://www.sydney.edu.au/scholarships/a/finance-honours-scholarship.html", "Finance Honours Scholarship")</f>
        <v>Finance Honours Scholarship</v>
      </c>
      <c r="C45" t="s">
        <v>61</v>
      </c>
      <c r="D45" s="6" t="s">
        <v>75</v>
      </c>
      <c r="E45" t="s">
        <v>64</v>
      </c>
      <c r="F45" t="s">
        <v>72</v>
      </c>
      <c r="G45" s="2" t="s">
        <v>74</v>
      </c>
      <c r="H45" t="s">
        <v>13</v>
      </c>
      <c r="I45" t="s">
        <v>13</v>
      </c>
    </row>
    <row r="46" spans="1:9" ht="30" x14ac:dyDescent="0.25">
      <c r="A46" t="s">
        <v>9</v>
      </c>
      <c r="B46" t="str">
        <f>HYPERLINK("https://www.sydney.edu.au/scholarships/a/flora-jean-ferriss-scholarship.html", "Flora Jean Ferriss Scholarship")</f>
        <v>Flora Jean Ferriss Scholarship</v>
      </c>
      <c r="C46" t="s">
        <v>61</v>
      </c>
      <c r="D46" t="s">
        <v>14</v>
      </c>
      <c r="E46" t="s">
        <v>142</v>
      </c>
      <c r="F46" t="s">
        <v>12</v>
      </c>
      <c r="G46" s="2" t="s">
        <v>178</v>
      </c>
      <c r="H46" t="s">
        <v>13</v>
      </c>
      <c r="I46" t="s">
        <v>13</v>
      </c>
    </row>
    <row r="47" spans="1:9" ht="75" x14ac:dyDescent="0.25">
      <c r="A47" t="s">
        <v>9</v>
      </c>
      <c r="B47" t="str">
        <f>HYPERLINK("https://www.sydney.edu.au/scholarships/a/future-leaders-mba-scholarship.html", "Future Leaders MBA Scholarship")</f>
        <v>Future Leaders MBA Scholarship</v>
      </c>
      <c r="C47" t="s">
        <v>61</v>
      </c>
      <c r="D47" t="s">
        <v>83</v>
      </c>
      <c r="E47" t="s">
        <v>90</v>
      </c>
      <c r="F47" t="s">
        <v>15</v>
      </c>
      <c r="G47" s="2" t="s">
        <v>122</v>
      </c>
      <c r="H47" t="s">
        <v>13</v>
      </c>
      <c r="I47" t="s">
        <v>13</v>
      </c>
    </row>
    <row r="48" spans="1:9" ht="75" x14ac:dyDescent="0.25">
      <c r="A48" t="s">
        <v>9</v>
      </c>
      <c r="B48" t="str">
        <f>HYPERLINK("https://www.sydney.edu.au/scholarships/a/geoffrey-parsons-australian-scholarship.html", "Geoffrey Parsons Australian Scholarship")</f>
        <v>Geoffrey Parsons Australian Scholarship</v>
      </c>
      <c r="C48" t="s">
        <v>61</v>
      </c>
      <c r="D48" t="s">
        <v>14</v>
      </c>
      <c r="E48" t="s">
        <v>142</v>
      </c>
      <c r="F48" t="s">
        <v>12</v>
      </c>
      <c r="G48" s="2" t="s">
        <v>179</v>
      </c>
      <c r="H48" t="s">
        <v>13</v>
      </c>
      <c r="I48" t="s">
        <v>13</v>
      </c>
    </row>
    <row r="49" spans="1:9" ht="45" x14ac:dyDescent="0.25">
      <c r="A49" t="s">
        <v>9</v>
      </c>
      <c r="B49" t="str">
        <f>HYPERLINK("https://www.sydney.edu.au/scholarships/a/geoffrey-rothwell-scholarship.html", "The Geoffrey Rothwell Scholarship")</f>
        <v>The Geoffrey Rothwell Scholarship</v>
      </c>
      <c r="C49" t="s">
        <v>61</v>
      </c>
      <c r="D49" t="s">
        <v>14</v>
      </c>
      <c r="E49" t="s">
        <v>142</v>
      </c>
      <c r="F49" t="s">
        <v>12</v>
      </c>
      <c r="G49" s="2" t="s">
        <v>180</v>
      </c>
      <c r="H49" t="s">
        <v>13</v>
      </c>
      <c r="I49" t="s">
        <v>13</v>
      </c>
    </row>
    <row r="50" spans="1:9" ht="75" x14ac:dyDescent="0.25">
      <c r="A50" t="s">
        <v>9</v>
      </c>
      <c r="B50" t="str">
        <f>HYPERLINK("https://www.sydney.edu.au/scholarships/a/george-wallace-henderson-scholarship.html", "George Wallace Henderson Scholarship")</f>
        <v>George Wallace Henderson Scholarship</v>
      </c>
      <c r="C50" t="s">
        <v>61</v>
      </c>
      <c r="D50" t="s">
        <v>11</v>
      </c>
      <c r="E50" t="s">
        <v>60</v>
      </c>
      <c r="F50" t="s">
        <v>12</v>
      </c>
      <c r="G50" s="2" t="s">
        <v>181</v>
      </c>
      <c r="H50" t="s">
        <v>13</v>
      </c>
      <c r="I50" t="s">
        <v>13</v>
      </c>
    </row>
    <row r="51" spans="1:9" ht="90" x14ac:dyDescent="0.25">
      <c r="A51" t="s">
        <v>9</v>
      </c>
      <c r="B51" t="str">
        <f>HYPERLINK("https://www.sydney.edu.au/scholarships/a/greenberg-gurney-jensen-fund-2.html", "Greenberg-Gurney-Jensen Fund 2")</f>
        <v>Greenberg-Gurney-Jensen Fund 2</v>
      </c>
      <c r="C51" t="s">
        <v>61</v>
      </c>
      <c r="D51" t="s">
        <v>11</v>
      </c>
      <c r="E51" t="s">
        <v>60</v>
      </c>
      <c r="F51" t="s">
        <v>12</v>
      </c>
      <c r="G51" s="2" t="s">
        <v>182</v>
      </c>
      <c r="H51" t="s">
        <v>13</v>
      </c>
      <c r="I51" t="s">
        <v>13</v>
      </c>
    </row>
    <row r="52" spans="1:9" ht="75" x14ac:dyDescent="0.25">
      <c r="A52" t="s">
        <v>9</v>
      </c>
      <c r="B52" t="str">
        <f>HYPERLINK("https://www.sydney.edu.au/scholarships/a/greenberg-gurney-jensen-fund.html", "Greenberg-Gurney-Jensen Fund")</f>
        <v>Greenberg-Gurney-Jensen Fund</v>
      </c>
      <c r="C52" t="s">
        <v>61</v>
      </c>
      <c r="D52" t="s">
        <v>14</v>
      </c>
      <c r="E52" t="s">
        <v>60</v>
      </c>
      <c r="F52" t="s">
        <v>12</v>
      </c>
      <c r="G52" s="2" t="s">
        <v>183</v>
      </c>
      <c r="H52" t="s">
        <v>13</v>
      </c>
      <c r="I52" t="s">
        <v>13</v>
      </c>
    </row>
    <row r="53" spans="1:9" ht="30" x14ac:dyDescent="0.25">
      <c r="A53" t="s">
        <v>9</v>
      </c>
      <c r="B53" t="str">
        <f>HYPERLINK("https://www.sydney.edu.au/scholarships/a/helen-myers-scholarship.html", "Helen Myers Scholarship")</f>
        <v>Helen Myers Scholarship</v>
      </c>
      <c r="C53" t="s">
        <v>61</v>
      </c>
      <c r="D53" t="s">
        <v>14</v>
      </c>
      <c r="E53" t="s">
        <v>60</v>
      </c>
      <c r="F53" t="s">
        <v>12</v>
      </c>
      <c r="G53" s="2" t="s">
        <v>184</v>
      </c>
      <c r="H53" t="s">
        <v>13</v>
      </c>
      <c r="I53" t="s">
        <v>13</v>
      </c>
    </row>
    <row r="54" spans="1:9" ht="60" x14ac:dyDescent="0.25">
      <c r="A54" t="s">
        <v>9</v>
      </c>
      <c r="B54" t="str">
        <f>HYPERLINK("https://www.sydney.edu.au/scholarships/a/helen-quach-scholarship.html", "Helen Quach Scholarship")</f>
        <v>Helen Quach Scholarship</v>
      </c>
      <c r="C54" t="s">
        <v>61</v>
      </c>
      <c r="D54" t="s">
        <v>14</v>
      </c>
      <c r="E54" t="s">
        <v>60</v>
      </c>
      <c r="F54" t="s">
        <v>12</v>
      </c>
      <c r="G54" s="2" t="s">
        <v>185</v>
      </c>
      <c r="H54" t="s">
        <v>13</v>
      </c>
      <c r="I54" t="s">
        <v>13</v>
      </c>
    </row>
    <row r="55" spans="1:9" ht="45" x14ac:dyDescent="0.25">
      <c r="A55" t="s">
        <v>9</v>
      </c>
      <c r="B55" t="str">
        <f>HYPERLINK("https://www.sydney.edu.au/scholarships/a/helpmann-family-fellowship.html", "The Helpmann Family Fellowship")</f>
        <v>The Helpmann Family Fellowship</v>
      </c>
      <c r="C55" t="s">
        <v>81</v>
      </c>
      <c r="D55" t="s">
        <v>14</v>
      </c>
      <c r="E55" t="s">
        <v>60</v>
      </c>
      <c r="F55" t="s">
        <v>12</v>
      </c>
      <c r="G55" s="2" t="s">
        <v>186</v>
      </c>
      <c r="H55" t="s">
        <v>13</v>
      </c>
      <c r="I55" t="s">
        <v>13</v>
      </c>
    </row>
    <row r="56" spans="1:9" ht="60" x14ac:dyDescent="0.25">
      <c r="A56" t="s">
        <v>9</v>
      </c>
      <c r="B56" t="str">
        <f>HYPERLINK("https://www.sydney.edu.au/scholarships/a/henderson-postgraduate-scholarship.html", "Henderson Postgraduate Scholarship")</f>
        <v>Henderson Postgraduate Scholarship</v>
      </c>
      <c r="C56" t="s">
        <v>61</v>
      </c>
      <c r="D56" t="s">
        <v>14</v>
      </c>
      <c r="E56" t="s">
        <v>60</v>
      </c>
      <c r="F56" t="s">
        <v>15</v>
      </c>
      <c r="G56" s="2" t="s">
        <v>187</v>
      </c>
      <c r="H56" t="s">
        <v>13</v>
      </c>
      <c r="I56" t="s">
        <v>13</v>
      </c>
    </row>
    <row r="57" spans="1:9" ht="45" x14ac:dyDescent="0.25">
      <c r="A57" t="s">
        <v>9</v>
      </c>
      <c r="B57" t="str">
        <f>HYPERLINK("https://www.sydney.edu.au/scholarships/a/international-business-scholarship-honours.html", "International Business Scholarship in Honours")</f>
        <v>International Business Scholarship in Honours</v>
      </c>
      <c r="C57" t="s">
        <v>61</v>
      </c>
      <c r="D57" s="7">
        <v>6000</v>
      </c>
      <c r="E57" t="s">
        <v>64</v>
      </c>
      <c r="F57" t="s">
        <v>72</v>
      </c>
      <c r="G57" s="2" t="s">
        <v>77</v>
      </c>
      <c r="H57" t="s">
        <v>13</v>
      </c>
      <c r="I57" t="s">
        <v>13</v>
      </c>
    </row>
    <row r="58" spans="1:9" ht="60" x14ac:dyDescent="0.25">
      <c r="A58" t="s">
        <v>9</v>
      </c>
      <c r="B58" t="str">
        <f>HYPERLINK("https://www.sydney.edu.au/scholarships/a/iremonger-marceau-family-scholarship.html", "Iremonger Marceau Family Scholarship")</f>
        <v>Iremonger Marceau Family Scholarship</v>
      </c>
      <c r="C58" t="s">
        <v>61</v>
      </c>
      <c r="D58" t="s">
        <v>11</v>
      </c>
      <c r="E58" t="s">
        <v>60</v>
      </c>
      <c r="F58" t="s">
        <v>12</v>
      </c>
      <c r="G58" s="2" t="s">
        <v>187</v>
      </c>
      <c r="H58" t="s">
        <v>13</v>
      </c>
      <c r="I58" t="s">
        <v>13</v>
      </c>
    </row>
    <row r="59" spans="1:9" ht="75" x14ac:dyDescent="0.25">
      <c r="A59" t="s">
        <v>9</v>
      </c>
      <c r="B59" t="str">
        <f>HYPERLINK("https://www.sydney.edu.au/scholarships/a/james-strong-iag-scholarship-business.html", "James Strong - IAG Scholarship for Business")</f>
        <v>James Strong - IAG Scholarship for Business</v>
      </c>
      <c r="C59" t="s">
        <v>61</v>
      </c>
      <c r="D59" s="9">
        <v>9000</v>
      </c>
      <c r="E59" t="s">
        <v>66</v>
      </c>
      <c r="F59" t="s">
        <v>18</v>
      </c>
      <c r="G59" s="2" t="s">
        <v>188</v>
      </c>
      <c r="H59" t="s">
        <v>13</v>
      </c>
      <c r="I59" t="s">
        <v>13</v>
      </c>
    </row>
    <row r="60" spans="1:9" ht="75" x14ac:dyDescent="0.25">
      <c r="A60" t="s">
        <v>9</v>
      </c>
      <c r="B60" t="str">
        <f>HYPERLINK("https://www.sydney.edu.au/scholarships/a/james-strong-nomura-scholarship-business.html", "James Strong - Nomura Scholarship for Business")</f>
        <v>James Strong - Nomura Scholarship for Business</v>
      </c>
      <c r="C60" t="s">
        <v>61</v>
      </c>
      <c r="D60" t="s">
        <v>28</v>
      </c>
      <c r="E60" t="s">
        <v>66</v>
      </c>
      <c r="F60" t="s">
        <v>18</v>
      </c>
      <c r="G60" s="2" t="s">
        <v>188</v>
      </c>
      <c r="H60" t="s">
        <v>13</v>
      </c>
      <c r="I60" t="s">
        <v>13</v>
      </c>
    </row>
    <row r="61" spans="1:9" ht="75" x14ac:dyDescent="0.25">
      <c r="A61" t="s">
        <v>9</v>
      </c>
      <c r="B61" t="str">
        <f>HYPERLINK("https://www.sydney.edu.au/scholarships/a/james-strong-qantas-scholarship-business.html", "James Strong - Qantas Scholarship for Business")</f>
        <v>James Strong - Qantas Scholarship for Business</v>
      </c>
      <c r="C61" t="s">
        <v>61</v>
      </c>
      <c r="D61" t="s">
        <v>28</v>
      </c>
      <c r="E61" t="s">
        <v>66</v>
      </c>
      <c r="F61" t="s">
        <v>18</v>
      </c>
      <c r="G61" s="2" t="s">
        <v>188</v>
      </c>
      <c r="H61" t="s">
        <v>13</v>
      </c>
      <c r="I61" t="s">
        <v>13</v>
      </c>
    </row>
    <row r="62" spans="1:9" ht="60" x14ac:dyDescent="0.25">
      <c r="A62" t="s">
        <v>9</v>
      </c>
      <c r="B62" t="str">
        <f>HYPERLINK("https://www.sydney.edu.au/scholarships/a/jean-giles-and-thomas-louis-pidcock-violin-scholarship.html", "Jean Giles and Thomas Louis Pidcock Violin Scholarship")</f>
        <v>Jean Giles and Thomas Louis Pidcock Violin Scholarship</v>
      </c>
      <c r="C62" t="s">
        <v>61</v>
      </c>
      <c r="D62" t="s">
        <v>14</v>
      </c>
      <c r="E62" t="s">
        <v>60</v>
      </c>
      <c r="F62" t="s">
        <v>12</v>
      </c>
      <c r="G62" s="2" t="s">
        <v>189</v>
      </c>
      <c r="H62" t="s">
        <v>13</v>
      </c>
      <c r="I62" t="s">
        <v>13</v>
      </c>
    </row>
    <row r="63" spans="1:9" ht="60" x14ac:dyDescent="0.25">
      <c r="A63" t="s">
        <v>9</v>
      </c>
      <c r="B63" t="str">
        <f>HYPERLINK("https://www.sydney.edu.au/scholarships/a/joan-james-armstrong-award.html", "The Joan and James Armstrong Award")</f>
        <v>The Joan and James Armstrong Award</v>
      </c>
      <c r="C63" t="s">
        <v>61</v>
      </c>
      <c r="D63" t="s">
        <v>11</v>
      </c>
      <c r="E63" t="s">
        <v>60</v>
      </c>
      <c r="F63" t="s">
        <v>12</v>
      </c>
      <c r="G63" s="2" t="s">
        <v>187</v>
      </c>
      <c r="H63" t="s">
        <v>13</v>
      </c>
      <c r="I63" t="s">
        <v>13</v>
      </c>
    </row>
    <row r="64" spans="1:9" ht="45" x14ac:dyDescent="0.25">
      <c r="A64" t="s">
        <v>9</v>
      </c>
      <c r="B64" t="str">
        <f>HYPERLINK("https://www.sydney.edu.au/scholarships/a/john-dorothy-vimpani-pianoforte-fund.html", "John and Dorothy Vimpani Pianoforte Fund")</f>
        <v>John and Dorothy Vimpani Pianoforte Fund</v>
      </c>
      <c r="C64" t="s">
        <v>61</v>
      </c>
      <c r="D64" t="s">
        <v>14</v>
      </c>
      <c r="E64" t="s">
        <v>60</v>
      </c>
      <c r="F64" t="s">
        <v>12</v>
      </c>
      <c r="G64" s="2" t="s">
        <v>190</v>
      </c>
      <c r="H64" t="s">
        <v>13</v>
      </c>
      <c r="I64" t="s">
        <v>13</v>
      </c>
    </row>
    <row r="65" spans="1:9" ht="60" x14ac:dyDescent="0.25">
      <c r="A65" t="s">
        <v>9</v>
      </c>
      <c r="B65" t="str">
        <f>HYPERLINK("https://www.sydney.edu.au/scholarships/a/john-holt-todd-and-florence-todd-scholarship.html", "The John Holt Todd and Florence Todd Scholarship")</f>
        <v>The John Holt Todd and Florence Todd Scholarship</v>
      </c>
      <c r="C65" t="s">
        <v>61</v>
      </c>
      <c r="D65" t="s">
        <v>14</v>
      </c>
      <c r="E65" t="s">
        <v>60</v>
      </c>
      <c r="F65" t="s">
        <v>12</v>
      </c>
      <c r="G65" s="2" t="s">
        <v>191</v>
      </c>
      <c r="H65" t="s">
        <v>13</v>
      </c>
      <c r="I65" t="s">
        <v>13</v>
      </c>
    </row>
    <row r="66" spans="1:9" ht="60" x14ac:dyDescent="0.25">
      <c r="A66" t="s">
        <v>9</v>
      </c>
      <c r="B66" t="str">
        <f>HYPERLINK("https://www.sydney.edu.au/scholarships/a/john-luscombe-scholarship-for-vocal-studies.html", "John Luscombe Scholarship for Vocal Studies")</f>
        <v>John Luscombe Scholarship for Vocal Studies</v>
      </c>
      <c r="C66" t="s">
        <v>61</v>
      </c>
      <c r="D66" t="s">
        <v>11</v>
      </c>
      <c r="E66" t="s">
        <v>60</v>
      </c>
      <c r="F66" t="s">
        <v>12</v>
      </c>
      <c r="G66" s="2" t="s">
        <v>192</v>
      </c>
      <c r="H66" t="s">
        <v>13</v>
      </c>
      <c r="I66" t="s">
        <v>13</v>
      </c>
    </row>
    <row r="67" spans="1:9" ht="60" x14ac:dyDescent="0.25">
      <c r="A67" t="s">
        <v>9</v>
      </c>
      <c r="B67" t="str">
        <f>HYPERLINK("https://www.sydney.edu.au/scholarships/a/jw-bk-elkins-architectural-scholarship.html", "JW and BK Elkins Architectural Award")</f>
        <v>JW and BK Elkins Architectural Award</v>
      </c>
      <c r="C67" t="s">
        <v>61</v>
      </c>
      <c r="D67" s="9">
        <v>1500</v>
      </c>
      <c r="E67" t="s">
        <v>64</v>
      </c>
      <c r="F67" t="s">
        <v>72</v>
      </c>
      <c r="G67" s="2" t="s">
        <v>193</v>
      </c>
      <c r="H67" t="s">
        <v>13</v>
      </c>
      <c r="I67" t="s">
        <v>13</v>
      </c>
    </row>
    <row r="68" spans="1:9" ht="45" x14ac:dyDescent="0.25">
      <c r="A68" t="s">
        <v>9</v>
      </c>
      <c r="B68" t="str">
        <f>HYPERLINK("https://www.sydney.edu.au/scholarships/a/kathleen-allison-short-scholarship.html", "The Kathleen and Allison Short Scholarship")</f>
        <v>The Kathleen and Allison Short Scholarship</v>
      </c>
      <c r="C68" t="s">
        <v>81</v>
      </c>
      <c r="D68" t="s">
        <v>14</v>
      </c>
      <c r="E68" t="s">
        <v>60</v>
      </c>
      <c r="F68" t="s">
        <v>12</v>
      </c>
      <c r="G68" s="2" t="s">
        <v>194</v>
      </c>
      <c r="H68" t="s">
        <v>13</v>
      </c>
      <c r="I68" t="s">
        <v>13</v>
      </c>
    </row>
    <row r="69" spans="1:9" ht="60" x14ac:dyDescent="0.25">
      <c r="A69" t="s">
        <v>9</v>
      </c>
      <c r="B69" t="str">
        <f>HYPERLINK("https://www.sydney.edu.au/scholarships/a/kathleen-e-armstrong-bequest.html", "The Kathleen E Armstrong Bequest")</f>
        <v>The Kathleen E Armstrong Bequest</v>
      </c>
      <c r="C69" t="s">
        <v>61</v>
      </c>
      <c r="D69" t="s">
        <v>14</v>
      </c>
      <c r="E69" t="s">
        <v>60</v>
      </c>
      <c r="F69" t="s">
        <v>12</v>
      </c>
      <c r="G69" s="2" t="s">
        <v>195</v>
      </c>
      <c r="H69" t="s">
        <v>13</v>
      </c>
      <c r="I69" t="s">
        <v>13</v>
      </c>
    </row>
    <row r="70" spans="1:9" ht="45" x14ac:dyDescent="0.25">
      <c r="A70" t="s">
        <v>9</v>
      </c>
      <c r="B70" t="str">
        <f>HYPERLINK("https://www.sydney.edu.au/scholarships/a/keith-eileen-ong-prize-piano.html", "Keith and Eileen Ong Prize for Piano")</f>
        <v>Keith and Eileen Ong Prize for Piano</v>
      </c>
      <c r="C70" t="s">
        <v>61</v>
      </c>
      <c r="D70" s="6" t="s">
        <v>21</v>
      </c>
      <c r="E70" t="s">
        <v>62</v>
      </c>
      <c r="F70" t="s">
        <v>15</v>
      </c>
      <c r="G70" s="2" t="s">
        <v>78</v>
      </c>
      <c r="H70" t="s">
        <v>13</v>
      </c>
      <c r="I70" t="s">
        <v>13</v>
      </c>
    </row>
    <row r="71" spans="1:9" ht="105" x14ac:dyDescent="0.25">
      <c r="A71" t="s">
        <v>9</v>
      </c>
      <c r="B71" t="str">
        <f>HYPERLINK("https://www.sydney.edu.au/scholarships/a/kim-walker-scholarship-endowment-fund.html", "The Kim Walker Scholarship Endowment Fund")</f>
        <v>The Kim Walker Scholarship Endowment Fund</v>
      </c>
      <c r="C71" t="s">
        <v>61</v>
      </c>
      <c r="D71" t="s">
        <v>14</v>
      </c>
      <c r="E71" t="s">
        <v>60</v>
      </c>
      <c r="F71" t="s">
        <v>12</v>
      </c>
      <c r="G71" s="2" t="s">
        <v>196</v>
      </c>
      <c r="H71" t="s">
        <v>13</v>
      </c>
      <c r="I71" t="s">
        <v>13</v>
      </c>
    </row>
    <row r="72" spans="1:9" ht="60" x14ac:dyDescent="0.25">
      <c r="A72" t="s">
        <v>9</v>
      </c>
      <c r="B72" t="str">
        <f>HYPERLINK("https://www.sydney.edu.au/scholarships/a/kirkpix-trust-scholarship.html", "The Kirkpix Trust Scholarship")</f>
        <v>The Kirkpix Trust Scholarship</v>
      </c>
      <c r="C72" t="s">
        <v>61</v>
      </c>
      <c r="D72" t="s">
        <v>14</v>
      </c>
      <c r="E72" t="s">
        <v>60</v>
      </c>
      <c r="F72" t="s">
        <v>12</v>
      </c>
      <c r="G72" s="2" t="s">
        <v>197</v>
      </c>
      <c r="H72" t="s">
        <v>13</v>
      </c>
      <c r="I72" t="s">
        <v>13</v>
      </c>
    </row>
    <row r="73" spans="1:9" ht="60" x14ac:dyDescent="0.25">
      <c r="A73" t="s">
        <v>9</v>
      </c>
      <c r="B73" t="str">
        <f>HYPERLINK("https://www.sydney.edu.au/scholarships/a/leadership-scholarship-mba.html", "Leadership Scholarship (MBA)")</f>
        <v>Leadership Scholarship (MBA)</v>
      </c>
      <c r="C73" t="s">
        <v>61</v>
      </c>
      <c r="D73" s="6" t="s">
        <v>83</v>
      </c>
      <c r="E73" t="s">
        <v>86</v>
      </c>
      <c r="F73" t="s">
        <v>15</v>
      </c>
      <c r="G73" s="2" t="s">
        <v>79</v>
      </c>
      <c r="H73" t="s">
        <v>13</v>
      </c>
      <c r="I73" t="s">
        <v>13</v>
      </c>
    </row>
    <row r="74" spans="1:9" ht="120" x14ac:dyDescent="0.25">
      <c r="A74" t="s">
        <v>9</v>
      </c>
      <c r="B74" t="str">
        <f>HYPERLINK("https://www.sydney.edu.au/scholarships/a/leadership-social-impact-global-executive-mba-scholarship.html", "Leadership for Social Impact Global Executive MBA Scholarship")</f>
        <v>Leadership for Social Impact Global Executive MBA Scholarship</v>
      </c>
      <c r="C74" t="s">
        <v>61</v>
      </c>
      <c r="D74" t="s">
        <v>124</v>
      </c>
      <c r="E74" t="s">
        <v>90</v>
      </c>
      <c r="F74" t="s">
        <v>15</v>
      </c>
      <c r="G74" s="2" t="s">
        <v>128</v>
      </c>
      <c r="H74" t="s">
        <v>13</v>
      </c>
      <c r="I74" t="s">
        <v>13</v>
      </c>
    </row>
    <row r="75" spans="1:9" ht="45" x14ac:dyDescent="0.25">
      <c r="A75" t="s">
        <v>9</v>
      </c>
      <c r="B75" t="str">
        <f>HYPERLINK("https://www.sydney.edu.au/scholarships/a/linda-kingsbury-jeffery-scholarship-singing.html", "The Linda Kingsbury Jeffery Scholarship for Singing")</f>
        <v>The Linda Kingsbury Jeffery Scholarship for Singing</v>
      </c>
      <c r="C75" t="s">
        <v>61</v>
      </c>
      <c r="D75" t="s">
        <v>14</v>
      </c>
      <c r="E75" t="s">
        <v>60</v>
      </c>
      <c r="F75" t="s">
        <v>12</v>
      </c>
      <c r="G75" s="2" t="s">
        <v>201</v>
      </c>
      <c r="H75" t="s">
        <v>13</v>
      </c>
      <c r="I75" t="s">
        <v>13</v>
      </c>
    </row>
    <row r="76" spans="1:9" ht="30" x14ac:dyDescent="0.25">
      <c r="A76" t="s">
        <v>9</v>
      </c>
      <c r="B76" t="str">
        <f>HYPERLINK("https://www.sydney.edu.au/scholarships/a/local-industry-placement-program-scholarship.html", "Local Industry Placement Program Scholarship")</f>
        <v>Local Industry Placement Program Scholarship</v>
      </c>
      <c r="C76" t="s">
        <v>81</v>
      </c>
      <c r="D76" s="7">
        <v>2500</v>
      </c>
      <c r="E76" t="s">
        <v>62</v>
      </c>
      <c r="F76" t="s">
        <v>12</v>
      </c>
      <c r="G76" s="2" t="s">
        <v>80</v>
      </c>
      <c r="H76" t="s">
        <v>13</v>
      </c>
      <c r="I76" t="s">
        <v>29</v>
      </c>
    </row>
    <row r="77" spans="1:9" ht="150" x14ac:dyDescent="0.25">
      <c r="A77" t="s">
        <v>9</v>
      </c>
      <c r="B77" t="str">
        <f>HYPERLINK("https://www.sydney.edu.au/scholarships/a/margaret-henderson-scholarship.html", "Margaret Henderson Scholarship")</f>
        <v>Margaret Henderson Scholarship</v>
      </c>
      <c r="C77" t="s">
        <v>61</v>
      </c>
      <c r="D77" t="s">
        <v>14</v>
      </c>
      <c r="E77" t="s">
        <v>60</v>
      </c>
      <c r="F77" t="s">
        <v>12</v>
      </c>
      <c r="G77" s="2" t="s">
        <v>198</v>
      </c>
      <c r="H77" t="s">
        <v>13</v>
      </c>
      <c r="I77" t="s">
        <v>13</v>
      </c>
    </row>
    <row r="78" spans="1:9" ht="75" x14ac:dyDescent="0.25">
      <c r="A78" t="s">
        <v>9</v>
      </c>
      <c r="B78" t="str">
        <f>HYPERLINK("https://www.sydney.edu.au/scholarships/a/margot-and-neville-gruzman-scholarship-for-urban-design-in-archi.html", "Margot and Neville Gruzman Award for Urban Design in Architecture")</f>
        <v>Margot and Neville Gruzman Award for Urban Design in Architecture</v>
      </c>
      <c r="C78" t="s">
        <v>61</v>
      </c>
      <c r="D78" t="s">
        <v>26</v>
      </c>
      <c r="E78" t="s">
        <v>62</v>
      </c>
      <c r="F78" t="s">
        <v>18</v>
      </c>
      <c r="G78" s="2" t="s">
        <v>199</v>
      </c>
      <c r="H78" t="s">
        <v>13</v>
      </c>
      <c r="I78" t="s">
        <v>13</v>
      </c>
    </row>
    <row r="79" spans="1:9" ht="60" x14ac:dyDescent="0.25">
      <c r="A79" t="s">
        <v>9</v>
      </c>
      <c r="B79" t="str">
        <f>HYPERLINK("https://www.sydney.edu.au/scholarships/a/matteson---nancy-roberts-violin-scholarship.html", "Matteson &amp; Nancy Roberts Violin Scholarship")</f>
        <v>Matteson &amp; Nancy Roberts Violin Scholarship</v>
      </c>
      <c r="C79" t="s">
        <v>61</v>
      </c>
      <c r="D79" t="s">
        <v>11</v>
      </c>
      <c r="E79" t="s">
        <v>60</v>
      </c>
      <c r="F79" t="s">
        <v>12</v>
      </c>
      <c r="G79" s="2" t="s">
        <v>200</v>
      </c>
      <c r="H79" t="s">
        <v>13</v>
      </c>
      <c r="I79" t="s">
        <v>13</v>
      </c>
    </row>
    <row r="80" spans="1:9" ht="30" x14ac:dyDescent="0.25">
      <c r="A80" t="s">
        <v>9</v>
      </c>
      <c r="B80" t="str">
        <f>HYPERLINK("https://www.sydney.edu.au/scholarships/a/mba-directors-scholarship.html", "MBA Director's Scholarship")</f>
        <v>MBA Director's Scholarship</v>
      </c>
      <c r="C80" t="s">
        <v>61</v>
      </c>
      <c r="D80" s="6" t="s">
        <v>82</v>
      </c>
      <c r="E80" t="s">
        <v>83</v>
      </c>
      <c r="F80" t="s">
        <v>15</v>
      </c>
      <c r="G80" s="2" t="s">
        <v>84</v>
      </c>
      <c r="H80" t="s">
        <v>13</v>
      </c>
      <c r="I80" t="s">
        <v>13</v>
      </c>
    </row>
    <row r="81" spans="1:9" ht="60" x14ac:dyDescent="0.25">
      <c r="A81" t="s">
        <v>9</v>
      </c>
      <c r="B81" t="str">
        <f>HYPERLINK("https://www.sydney.edu.au/scholarships/a/michael-bannigan-scholarship-double-bass.html", "The Michael Bannigan Scholarship for the Double Bass")</f>
        <v>The Michael Bannigan Scholarship for the Double Bass</v>
      </c>
      <c r="C81" t="s">
        <v>61</v>
      </c>
      <c r="D81" t="s">
        <v>14</v>
      </c>
      <c r="E81" t="s">
        <v>60</v>
      </c>
      <c r="F81" t="s">
        <v>12</v>
      </c>
      <c r="G81" s="2" t="s">
        <v>202</v>
      </c>
      <c r="H81" t="s">
        <v>13</v>
      </c>
      <c r="I81" t="s">
        <v>13</v>
      </c>
    </row>
    <row r="82" spans="1:9" ht="75" x14ac:dyDescent="0.25">
      <c r="A82" t="s">
        <v>9</v>
      </c>
      <c r="B82" t="str">
        <f>HYPERLINK("https://www.sydney.edu.au/scholarships/a/myron-kantor-bequest.html", "Myron Kantor Bequest")</f>
        <v>Myron Kantor Bequest</v>
      </c>
      <c r="C82" t="s">
        <v>61</v>
      </c>
      <c r="D82" t="s">
        <v>11</v>
      </c>
      <c r="E82" t="s">
        <v>60</v>
      </c>
      <c r="F82" t="s">
        <v>12</v>
      </c>
      <c r="G82" s="2" t="s">
        <v>203</v>
      </c>
      <c r="H82" t="s">
        <v>13</v>
      </c>
      <c r="I82" t="s">
        <v>13</v>
      </c>
    </row>
    <row r="83" spans="1:9" ht="60" x14ac:dyDescent="0.25">
      <c r="A83" t="s">
        <v>9</v>
      </c>
      <c r="B83" t="str">
        <f>HYPERLINK("https://www.sydney.edu.au/scholarships/a/olive-margaret-stewart-bequest.html", "The Olive Margaret Stewart Bequest")</f>
        <v>The Olive Margaret Stewart Bequest</v>
      </c>
      <c r="C83" t="s">
        <v>61</v>
      </c>
      <c r="D83" t="s">
        <v>14</v>
      </c>
      <c r="E83" t="s">
        <v>60</v>
      </c>
      <c r="F83" t="s">
        <v>12</v>
      </c>
      <c r="G83" s="2" t="s">
        <v>204</v>
      </c>
      <c r="H83" t="s">
        <v>13</v>
      </c>
      <c r="I83" t="s">
        <v>13</v>
      </c>
    </row>
    <row r="84" spans="1:9" ht="120" x14ac:dyDescent="0.25">
      <c r="A84" t="s">
        <v>9</v>
      </c>
      <c r="B84" t="str">
        <f>HYPERLINK("https://www.sydney.edu.au/scholarships/a/orchestra-witheford-don-scholarship.html", "Orchestra - Witheford Don Scholarship")</f>
        <v>Orchestra - Witheford Don Scholarship</v>
      </c>
      <c r="C84" t="s">
        <v>61</v>
      </c>
      <c r="D84" t="s">
        <v>14</v>
      </c>
      <c r="E84" t="s">
        <v>60</v>
      </c>
      <c r="F84" t="s">
        <v>12</v>
      </c>
      <c r="G84" s="2" t="s">
        <v>205</v>
      </c>
      <c r="H84" t="s">
        <v>13</v>
      </c>
      <c r="I84" t="s">
        <v>13</v>
      </c>
    </row>
    <row r="85" spans="1:9" ht="60" x14ac:dyDescent="0.25">
      <c r="A85" t="s">
        <v>9</v>
      </c>
      <c r="B85" t="str">
        <f>HYPERLINK("https://www.sydney.edu.au/scholarships/a/patricia-bell-grant.html", "Patricia Bell Grant")</f>
        <v>Patricia Bell Grant</v>
      </c>
      <c r="C85" t="s">
        <v>61</v>
      </c>
      <c r="D85" t="s">
        <v>14</v>
      </c>
      <c r="E85" t="s">
        <v>60</v>
      </c>
      <c r="F85" t="s">
        <v>12</v>
      </c>
      <c r="G85" s="2" t="s">
        <v>206</v>
      </c>
      <c r="H85" t="s">
        <v>13</v>
      </c>
      <c r="I85" t="s">
        <v>13</v>
      </c>
    </row>
    <row r="86" spans="1:9" ht="60" x14ac:dyDescent="0.25">
      <c r="A86" t="s">
        <v>9</v>
      </c>
      <c r="B86" t="str">
        <f>HYPERLINK("https://www.sydney.edu.au/scholarships/a/patricia-long-scholarship.html", "Patricia Long Scholarship")</f>
        <v>Patricia Long Scholarship</v>
      </c>
      <c r="C86" t="s">
        <v>81</v>
      </c>
      <c r="D86" t="s">
        <v>14</v>
      </c>
      <c r="E86" t="s">
        <v>60</v>
      </c>
      <c r="F86" t="s">
        <v>18</v>
      </c>
      <c r="G86" s="2" t="s">
        <v>207</v>
      </c>
      <c r="H86" t="s">
        <v>13</v>
      </c>
      <c r="I86" t="s">
        <v>13</v>
      </c>
    </row>
    <row r="87" spans="1:9" ht="90" x14ac:dyDescent="0.25">
      <c r="A87" t="s">
        <v>9</v>
      </c>
      <c r="B87" t="str">
        <f>HYPERLINK("https://www.sydney.edu.au/scholarships/a/patricia-lucas-music-achievement-scholarship.html", "Patricia Lucas Music Achievement Scholarship")</f>
        <v>Patricia Lucas Music Achievement Scholarship</v>
      </c>
      <c r="C87" t="s">
        <v>61</v>
      </c>
      <c r="D87" t="s">
        <v>14</v>
      </c>
      <c r="E87" t="s">
        <v>60</v>
      </c>
      <c r="F87" t="s">
        <v>12</v>
      </c>
      <c r="G87" s="2" t="s">
        <v>208</v>
      </c>
      <c r="H87" t="s">
        <v>13</v>
      </c>
      <c r="I87" t="s">
        <v>13</v>
      </c>
    </row>
    <row r="88" spans="1:9" ht="45" x14ac:dyDescent="0.25">
      <c r="A88" t="s">
        <v>9</v>
      </c>
      <c r="B88" t="str">
        <f>HYPERLINK("https://www.sydney.edu.au/scholarships/a/peter-davidson-music-scholarship.html", "Peter Davidson Music Scholarship")</f>
        <v>Peter Davidson Music Scholarship</v>
      </c>
      <c r="C88" t="s">
        <v>81</v>
      </c>
      <c r="D88" t="s">
        <v>21</v>
      </c>
      <c r="E88" t="s">
        <v>60</v>
      </c>
      <c r="F88" t="s">
        <v>18</v>
      </c>
      <c r="G88" s="2" t="s">
        <v>209</v>
      </c>
      <c r="H88" t="s">
        <v>13</v>
      </c>
      <c r="I88" t="s">
        <v>13</v>
      </c>
    </row>
    <row r="89" spans="1:9" ht="45" x14ac:dyDescent="0.25">
      <c r="A89" t="s">
        <v>9</v>
      </c>
      <c r="B89" t="str">
        <f>HYPERLINK("https://www.sydney.edu.au/scholarships/a/peter-davidson-scholarship.html", "Peter Davidson Scholarship")</f>
        <v>Peter Davidson Scholarship</v>
      </c>
      <c r="C89" t="s">
        <v>61</v>
      </c>
      <c r="D89" t="s">
        <v>14</v>
      </c>
      <c r="E89" t="s">
        <v>60</v>
      </c>
      <c r="F89" t="s">
        <v>15</v>
      </c>
      <c r="G89" s="2" t="s">
        <v>172</v>
      </c>
      <c r="H89" t="s">
        <v>13</v>
      </c>
      <c r="I89" t="s">
        <v>13</v>
      </c>
    </row>
    <row r="90" spans="1:9" ht="90" x14ac:dyDescent="0.25">
      <c r="A90" t="s">
        <v>9</v>
      </c>
      <c r="B90" t="str">
        <f>HYPERLINK("https://www.sydney.edu.au/scholarships/a/professional-leadership-development-scholarship-executive-mba.html", "Professional Leadership Development Scholarship (Executive MBA)")</f>
        <v>Professional Leadership Development Scholarship (Executive MBA)</v>
      </c>
      <c r="C90" t="s">
        <v>61</v>
      </c>
      <c r="D90" t="s">
        <v>129</v>
      </c>
      <c r="E90" t="s">
        <v>90</v>
      </c>
      <c r="F90" t="s">
        <v>15</v>
      </c>
      <c r="G90" s="2" t="s">
        <v>130</v>
      </c>
      <c r="H90" t="s">
        <v>13</v>
      </c>
      <c r="I90" t="s">
        <v>13</v>
      </c>
    </row>
    <row r="91" spans="1:9" ht="75" x14ac:dyDescent="0.25">
      <c r="A91" t="s">
        <v>9</v>
      </c>
      <c r="B91" t="str">
        <f>HYPERLINK("https://www.sydney.edu.au/scholarships/a/professional-leadership-development-scholarship-mba.html", "Professional Leadership Development Scholarship (MBA)")</f>
        <v>Professional Leadership Development Scholarship (MBA)</v>
      </c>
      <c r="C91" t="s">
        <v>61</v>
      </c>
      <c r="D91" t="s">
        <v>124</v>
      </c>
      <c r="E91" t="s">
        <v>90</v>
      </c>
      <c r="F91" t="s">
        <v>15</v>
      </c>
      <c r="G91" s="2" t="s">
        <v>131</v>
      </c>
      <c r="H91" t="s">
        <v>13</v>
      </c>
      <c r="I91" t="s">
        <v>13</v>
      </c>
    </row>
    <row r="92" spans="1:9" ht="60" x14ac:dyDescent="0.25">
      <c r="A92" t="s">
        <v>9</v>
      </c>
      <c r="B92" t="str">
        <f>HYPERLINK("https://www.sydney.edu.au/scholarships/a/queen-victoria-club-scholarship.html", "Queen Victoria Club Scholarship")</f>
        <v>Queen Victoria Club Scholarship</v>
      </c>
      <c r="C92" t="s">
        <v>61</v>
      </c>
      <c r="D92" t="s">
        <v>14</v>
      </c>
      <c r="E92" t="s">
        <v>60</v>
      </c>
      <c r="F92" t="s">
        <v>12</v>
      </c>
      <c r="G92" s="2" t="s">
        <v>210</v>
      </c>
      <c r="H92" t="s">
        <v>13</v>
      </c>
      <c r="I92" t="s">
        <v>13</v>
      </c>
    </row>
    <row r="93" spans="1:9" ht="45" x14ac:dyDescent="0.25">
      <c r="A93" t="s">
        <v>9</v>
      </c>
      <c r="B93" t="str">
        <f>HYPERLINK("https://www.sydney.edu.au/scholarships/a/quinquin-foundation.html", "Quinquin Foundation Scholarship")</f>
        <v>Quinquin Foundation Scholarship</v>
      </c>
      <c r="C93" t="s">
        <v>81</v>
      </c>
      <c r="D93" t="s">
        <v>11</v>
      </c>
      <c r="E93" t="s">
        <v>60</v>
      </c>
      <c r="F93" t="s">
        <v>12</v>
      </c>
      <c r="G93" s="2" t="s">
        <v>211</v>
      </c>
      <c r="H93" t="s">
        <v>13</v>
      </c>
      <c r="I93" t="s">
        <v>13</v>
      </c>
    </row>
    <row r="94" spans="1:9" ht="60" x14ac:dyDescent="0.25">
      <c r="A94" t="s">
        <v>9</v>
      </c>
      <c r="B94" t="str">
        <f>HYPERLINK("https://www.sydney.edu.au/scholarships/a/richard-antony-oppen-scholarship.html", "In Memory of Richard Antony Oppen")</f>
        <v>In Memory of Richard Antony Oppen</v>
      </c>
      <c r="C94" t="s">
        <v>61</v>
      </c>
      <c r="D94" t="s">
        <v>14</v>
      </c>
      <c r="E94" t="s">
        <v>60</v>
      </c>
      <c r="F94" t="s">
        <v>12</v>
      </c>
      <c r="G94" s="2" t="s">
        <v>212</v>
      </c>
      <c r="H94" t="s">
        <v>13</v>
      </c>
      <c r="I94" t="s">
        <v>13</v>
      </c>
    </row>
    <row r="95" spans="1:9" ht="45" x14ac:dyDescent="0.25">
      <c r="A95" t="s">
        <v>9</v>
      </c>
      <c r="B95" t="str">
        <f>HYPERLINK("https://www.sydney.edu.au/scholarships/a/richard-doreen-wilson-organ-scholarship.html", "The Richard and Doreen Wilson Organ Scholarship")</f>
        <v>The Richard and Doreen Wilson Organ Scholarship</v>
      </c>
      <c r="C95" t="s">
        <v>61</v>
      </c>
      <c r="D95" t="s">
        <v>14</v>
      </c>
      <c r="E95" t="s">
        <v>60</v>
      </c>
      <c r="F95" t="s">
        <v>12</v>
      </c>
      <c r="G95" s="2" t="s">
        <v>213</v>
      </c>
      <c r="H95" t="s">
        <v>13</v>
      </c>
      <c r="I95" t="s">
        <v>13</v>
      </c>
    </row>
    <row r="96" spans="1:9" ht="30" x14ac:dyDescent="0.25">
      <c r="A96" t="s">
        <v>9</v>
      </c>
      <c r="B96" t="str">
        <f>HYPERLINK("https://www.sydney.edu.au/scholarships/a/richard-merewether-french-horn-fellowship.html", "Richard Merewether French Horn Fellowship")</f>
        <v>Richard Merewether French Horn Fellowship</v>
      </c>
      <c r="C96" t="s">
        <v>227</v>
      </c>
      <c r="D96" s="6" t="s">
        <v>14</v>
      </c>
      <c r="E96" t="s">
        <v>60</v>
      </c>
      <c r="F96" t="s">
        <v>12</v>
      </c>
      <c r="G96" s="2" t="s">
        <v>214</v>
      </c>
      <c r="H96" t="s">
        <v>13</v>
      </c>
      <c r="I96" t="s">
        <v>13</v>
      </c>
    </row>
    <row r="97" spans="1:9" ht="30" x14ac:dyDescent="0.25">
      <c r="A97" t="s">
        <v>9</v>
      </c>
      <c r="B97" t="str">
        <f>HYPERLINK("https://www.sydney.edu.au/scholarships/a/rj-chambers-honours-scholarship.html", "RJ Chambers Honours Scholarship")</f>
        <v>RJ Chambers Honours Scholarship</v>
      </c>
      <c r="C97" t="s">
        <v>61</v>
      </c>
      <c r="D97" s="6" t="s">
        <v>85</v>
      </c>
      <c r="E97" t="s">
        <v>64</v>
      </c>
      <c r="F97" t="s">
        <v>72</v>
      </c>
      <c r="G97" s="2" t="s">
        <v>87</v>
      </c>
      <c r="H97" t="s">
        <v>13</v>
      </c>
      <c r="I97" t="s">
        <v>13</v>
      </c>
    </row>
    <row r="98" spans="1:9" ht="60" x14ac:dyDescent="0.25">
      <c r="A98" t="s">
        <v>9</v>
      </c>
      <c r="B98" t="str">
        <f>HYPERLINK("https://www.sydney.edu.au/scholarships/a/robert-o-albert-scholarship.html", "The Albert Scholarships")</f>
        <v>The Albert Scholarships</v>
      </c>
      <c r="C98" t="s">
        <v>227</v>
      </c>
      <c r="D98" s="6" t="s">
        <v>30</v>
      </c>
      <c r="E98" t="s">
        <v>64</v>
      </c>
      <c r="F98" t="s">
        <v>15</v>
      </c>
      <c r="G98" s="2" t="s">
        <v>159</v>
      </c>
      <c r="H98" t="s">
        <v>13</v>
      </c>
      <c r="I98" t="s">
        <v>13</v>
      </c>
    </row>
    <row r="99" spans="1:9" ht="30" x14ac:dyDescent="0.25">
      <c r="A99" t="s">
        <v>9</v>
      </c>
      <c r="B99" t="str">
        <f>HYPERLINK("https://www.sydney.edu.au/scholarships/a/robert-r-sterling-distinguished-honours-scholarship-accounting.html", "Robert R Sterling Distinguished Honours Scholarship in Accounting")</f>
        <v>Robert R Sterling Distinguished Honours Scholarship in Accounting</v>
      </c>
      <c r="C99" t="s">
        <v>61</v>
      </c>
      <c r="D99" s="6" t="s">
        <v>21</v>
      </c>
      <c r="E99" t="s">
        <v>64</v>
      </c>
      <c r="F99" t="s">
        <v>72</v>
      </c>
      <c r="G99" s="2" t="s">
        <v>88</v>
      </c>
      <c r="H99" t="s">
        <v>13</v>
      </c>
      <c r="I99" t="s">
        <v>13</v>
      </c>
    </row>
    <row r="100" spans="1:9" ht="75" x14ac:dyDescent="0.25">
      <c r="A100" t="s">
        <v>9</v>
      </c>
      <c r="B100" t="str">
        <f>HYPERLINK("https://www.sydney.edu.au/scholarships/a/rosemary-valentine-memorial-prize.html", "Rosemary Valentine Memorial Prize")</f>
        <v>Rosemary Valentine Memorial Prize</v>
      </c>
      <c r="C100" t="s">
        <v>81</v>
      </c>
      <c r="D100" s="6" t="s">
        <v>11</v>
      </c>
      <c r="E100" t="s">
        <v>60</v>
      </c>
      <c r="F100" t="s">
        <v>12</v>
      </c>
      <c r="G100" s="2" t="s">
        <v>215</v>
      </c>
      <c r="H100" t="s">
        <v>13</v>
      </c>
      <c r="I100" t="s">
        <v>13</v>
      </c>
    </row>
    <row r="101" spans="1:9" ht="60" x14ac:dyDescent="0.25">
      <c r="A101" t="s">
        <v>9</v>
      </c>
      <c r="B101" t="str">
        <f>HYPERLINK("https://www.sydney.edu.au/scholarships/a/rural-regional-leadership-scholarship.html", "University of Sydney Business School Rural/Regional Leadership Scholarship")</f>
        <v>University of Sydney Business School Rural/Regional Leadership Scholarship</v>
      </c>
      <c r="C101" t="s">
        <v>61</v>
      </c>
      <c r="D101" s="7">
        <v>6000</v>
      </c>
      <c r="E101" t="s">
        <v>216</v>
      </c>
      <c r="F101" t="s">
        <v>18</v>
      </c>
      <c r="G101" s="2" t="s">
        <v>218</v>
      </c>
      <c r="H101" t="s">
        <v>13</v>
      </c>
      <c r="I101" t="s">
        <v>13</v>
      </c>
    </row>
    <row r="102" spans="1:9" ht="45" x14ac:dyDescent="0.25">
      <c r="A102" t="s">
        <v>9</v>
      </c>
      <c r="B102" t="str">
        <f>HYPERLINK("https://www.sydney.edu.au/scholarships/a/sarah-murial-jeavons-memorial-scholarship.html", "Sarah and Murial Jeavons Memorial Scholarship")</f>
        <v>Sarah and Murial Jeavons Memorial Scholarship</v>
      </c>
      <c r="C102" t="s">
        <v>227</v>
      </c>
      <c r="D102" s="6" t="s">
        <v>14</v>
      </c>
      <c r="E102" t="s">
        <v>60</v>
      </c>
      <c r="F102" t="s">
        <v>12</v>
      </c>
      <c r="G102" s="2" t="s">
        <v>219</v>
      </c>
      <c r="H102" t="s">
        <v>13</v>
      </c>
      <c r="I102" t="s">
        <v>13</v>
      </c>
    </row>
    <row r="103" spans="1:9" ht="90" x14ac:dyDescent="0.25">
      <c r="A103" t="s">
        <v>9</v>
      </c>
      <c r="B103" t="str">
        <f>HYPERLINK("https://www.sydney.edu.au/scholarships/a/scholarship-merit-excellence-extracurricular-endeavour.html", "Scholarship with Merit for Excellence in Extracurricular Endeavour")</f>
        <v>Scholarship with Merit for Excellence in Extracurricular Endeavour</v>
      </c>
      <c r="C103" t="s">
        <v>61</v>
      </c>
      <c r="D103" s="7">
        <v>6000</v>
      </c>
      <c r="E103" t="s">
        <v>65</v>
      </c>
      <c r="F103" t="s">
        <v>18</v>
      </c>
      <c r="G103" s="2" t="s">
        <v>220</v>
      </c>
      <c r="H103" t="s">
        <v>13</v>
      </c>
      <c r="I103" t="s">
        <v>13</v>
      </c>
    </row>
    <row r="104" spans="1:9" ht="105" x14ac:dyDescent="0.25">
      <c r="A104" t="s">
        <v>9</v>
      </c>
      <c r="B104" t="str">
        <f>HYPERLINK("https://www.sydney.edu.au/scholarships/a/social-impact-scholarship.html", "The Social Impact Scholarship (MBA)")</f>
        <v>The Social Impact Scholarship (MBA)</v>
      </c>
      <c r="C104" t="s">
        <v>61</v>
      </c>
      <c r="D104" t="s">
        <v>83</v>
      </c>
      <c r="E104" t="s">
        <v>132</v>
      </c>
      <c r="F104" t="s">
        <v>15</v>
      </c>
      <c r="G104" s="2" t="s">
        <v>133</v>
      </c>
      <c r="H104" t="s">
        <v>13</v>
      </c>
      <c r="I104" t="s">
        <v>13</v>
      </c>
    </row>
    <row r="105" spans="1:9" ht="30" x14ac:dyDescent="0.25">
      <c r="A105" t="s">
        <v>9</v>
      </c>
      <c r="B105" t="str">
        <f>HYPERLINK("https://www.sydney.edu.au/scholarships/a/ted-susan-meller-memorial-scholarship-fund.html", "The Ted and Susan Meller Memorial Scholarship Fund")</f>
        <v>The Ted and Susan Meller Memorial Scholarship Fund</v>
      </c>
      <c r="C105" t="s">
        <v>227</v>
      </c>
      <c r="D105" s="6" t="s">
        <v>14</v>
      </c>
      <c r="E105" t="s">
        <v>60</v>
      </c>
      <c r="F105" t="s">
        <v>12</v>
      </c>
      <c r="G105" s="2" t="s">
        <v>221</v>
      </c>
      <c r="H105" t="s">
        <v>13</v>
      </c>
      <c r="I105" t="s">
        <v>13</v>
      </c>
    </row>
    <row r="106" spans="1:9" ht="75" x14ac:dyDescent="0.25">
      <c r="A106" t="s">
        <v>9</v>
      </c>
      <c r="B106" t="str">
        <f>HYPERLINK("https://www.sydney.edu.au/scholarships/a/the-chandler-scholarship.html", "The Chandler Scholarship")</f>
        <v>The Chandler Scholarship</v>
      </c>
      <c r="C106" t="s">
        <v>227</v>
      </c>
      <c r="D106" t="s">
        <v>11</v>
      </c>
      <c r="E106" t="s">
        <v>60</v>
      </c>
      <c r="F106" t="s">
        <v>12</v>
      </c>
      <c r="G106" s="2" t="s">
        <v>434</v>
      </c>
      <c r="H106" t="s">
        <v>13</v>
      </c>
      <c r="I106" t="s">
        <v>13</v>
      </c>
    </row>
    <row r="107" spans="1:9" ht="45" x14ac:dyDescent="0.25">
      <c r="A107" t="s">
        <v>9</v>
      </c>
      <c r="B107" t="str">
        <f>HYPERLINK("https://www.sydney.edu.au/scholarships/a/the-conry-brauer-scholarship-for-piano-tuition.html", "The Conry Brauer Scholarship for Piano Tuition")</f>
        <v>The Conry Brauer Scholarship for Piano Tuition</v>
      </c>
      <c r="C107" t="s">
        <v>227</v>
      </c>
      <c r="D107" t="s">
        <v>11</v>
      </c>
      <c r="E107" t="s">
        <v>60</v>
      </c>
      <c r="F107" t="s">
        <v>12</v>
      </c>
      <c r="G107" s="2" t="s">
        <v>435</v>
      </c>
      <c r="H107" t="s">
        <v>13</v>
      </c>
      <c r="I107" t="s">
        <v>13</v>
      </c>
    </row>
    <row r="108" spans="1:9" ht="30" x14ac:dyDescent="0.25">
      <c r="A108" t="s">
        <v>9</v>
      </c>
      <c r="B108" t="str">
        <f>HYPERLINK("https://www.sydney.edu.au/scholarships/a/the-conry-brauer-scholarship-for-violin-tuition.html", "The Conry Brauer Scholarship for Violin Tuition")</f>
        <v>The Conry Brauer Scholarship for Violin Tuition</v>
      </c>
      <c r="C108" t="s">
        <v>227</v>
      </c>
      <c r="D108" s="6" t="s">
        <v>14</v>
      </c>
      <c r="E108" t="s">
        <v>60</v>
      </c>
      <c r="F108" t="s">
        <v>12</v>
      </c>
      <c r="G108" s="2" t="s">
        <v>221</v>
      </c>
      <c r="H108" t="s">
        <v>13</v>
      </c>
      <c r="I108" t="s">
        <v>13</v>
      </c>
    </row>
    <row r="109" spans="1:9" ht="60" x14ac:dyDescent="0.25">
      <c r="A109" t="s">
        <v>9</v>
      </c>
      <c r="B109" t="str">
        <f>HYPERLINK("https://www.sydney.edu.au/scholarships/a/the-elizabethan-theatre-trust-ladies-committee-scholarship.html", "Elizabethan Theatre Trust Ladies’ Committee Scholarship")</f>
        <v>Elizabethan Theatre Trust Ladies’ Committee Scholarship</v>
      </c>
      <c r="C109" t="s">
        <v>227</v>
      </c>
      <c r="D109" s="6" t="s">
        <v>14</v>
      </c>
      <c r="E109" t="s">
        <v>60</v>
      </c>
      <c r="F109" t="s">
        <v>12</v>
      </c>
      <c r="G109" s="2" t="s">
        <v>222</v>
      </c>
      <c r="H109" t="s">
        <v>13</v>
      </c>
      <c r="I109" t="s">
        <v>13</v>
      </c>
    </row>
    <row r="110" spans="1:9" ht="45" x14ac:dyDescent="0.25">
      <c r="A110" t="s">
        <v>9</v>
      </c>
      <c r="B110" t="str">
        <f>HYPERLINK("https://www.sydney.edu.au/scholarships/a/the-gerald-westheimer-quartet-program.html", "The Gerald Westheimer Quartet Program")</f>
        <v>The Gerald Westheimer Quartet Program</v>
      </c>
      <c r="C110" t="s">
        <v>227</v>
      </c>
      <c r="D110" s="6" t="s">
        <v>14</v>
      </c>
      <c r="E110" t="s">
        <v>60</v>
      </c>
      <c r="F110" t="s">
        <v>12</v>
      </c>
      <c r="G110" s="2" t="s">
        <v>223</v>
      </c>
      <c r="H110" t="s">
        <v>13</v>
      </c>
      <c r="I110" t="s">
        <v>13</v>
      </c>
    </row>
    <row r="111" spans="1:9" ht="60" x14ac:dyDescent="0.25">
      <c r="A111" t="s">
        <v>9</v>
      </c>
      <c r="B111" t="str">
        <f>HYPERLINK("https://www.sydney.edu.au/scholarships/a/the-grace-russell-henderson-scholarship.html", "The Grace Russell Henderson Scholarship")</f>
        <v>The Grace Russell Henderson Scholarship</v>
      </c>
      <c r="C111" t="s">
        <v>81</v>
      </c>
      <c r="D111" s="6" t="s">
        <v>11</v>
      </c>
      <c r="E111" t="s">
        <v>60</v>
      </c>
      <c r="F111" t="s">
        <v>18</v>
      </c>
      <c r="G111" s="2" t="s">
        <v>224</v>
      </c>
      <c r="H111" t="s">
        <v>13</v>
      </c>
      <c r="I111" t="s">
        <v>13</v>
      </c>
    </row>
    <row r="112" spans="1:9" ht="45" x14ac:dyDescent="0.25">
      <c r="A112" t="s">
        <v>9</v>
      </c>
      <c r="B112" t="str">
        <f>HYPERLINK("https://www.sydney.edu.au/scholarships/a/the-jj-kelly-memorial-scholarship.html", "The JJ Kelly Memorial Scholarship")</f>
        <v>The JJ Kelly Memorial Scholarship</v>
      </c>
      <c r="C112" t="s">
        <v>227</v>
      </c>
      <c r="D112" s="6" t="s">
        <v>11</v>
      </c>
      <c r="E112" t="s">
        <v>60</v>
      </c>
      <c r="F112" t="s">
        <v>12</v>
      </c>
      <c r="G112" s="2" t="s">
        <v>225</v>
      </c>
      <c r="H112" t="s">
        <v>13</v>
      </c>
      <c r="I112" t="s">
        <v>13</v>
      </c>
    </row>
    <row r="113" spans="1:9" ht="45" x14ac:dyDescent="0.25">
      <c r="A113" t="s">
        <v>9</v>
      </c>
      <c r="B113" t="str">
        <f>HYPERLINK("https://www.sydney.edu.au/scholarships/a/the-kevin-and-margaret-duffy-scholarship.html", "The Kevin and Margaret Duffy Scholarship")</f>
        <v>The Kevin and Margaret Duffy Scholarship</v>
      </c>
      <c r="C113" t="s">
        <v>227</v>
      </c>
      <c r="D113" s="6" t="s">
        <v>11</v>
      </c>
      <c r="E113" t="s">
        <v>60</v>
      </c>
      <c r="F113" t="s">
        <v>12</v>
      </c>
      <c r="G113" s="2" t="s">
        <v>226</v>
      </c>
      <c r="H113" t="s">
        <v>13</v>
      </c>
      <c r="I113" t="s">
        <v>13</v>
      </c>
    </row>
    <row r="114" spans="1:9" ht="90" x14ac:dyDescent="0.25">
      <c r="A114" t="s">
        <v>9</v>
      </c>
      <c r="B114" t="str">
        <f>HYPERLINK("https://www.sydney.edu.au/scholarships/a/the-molly-brown-memorial-scholarship.html", "The Molly Brown Memorial Scholarship")</f>
        <v>The Molly Brown Memorial Scholarship</v>
      </c>
      <c r="C114" t="s">
        <v>81</v>
      </c>
      <c r="D114" s="6" t="s">
        <v>30</v>
      </c>
      <c r="E114" t="s">
        <v>65</v>
      </c>
      <c r="F114" t="s">
        <v>12</v>
      </c>
      <c r="G114" s="2" t="s">
        <v>228</v>
      </c>
      <c r="H114" t="s">
        <v>13</v>
      </c>
      <c r="I114" t="s">
        <v>13</v>
      </c>
    </row>
    <row r="115" spans="1:9" ht="30" x14ac:dyDescent="0.25">
      <c r="A115" t="s">
        <v>9</v>
      </c>
      <c r="B115" t="str">
        <f>HYPERLINK("https://www.sydney.edu.au/scholarships/a/un-women-australia-mba-scholarship.html", "UN Women Australia MBA Scholarship")</f>
        <v>UN Women Australia MBA Scholarship</v>
      </c>
      <c r="C115" t="s">
        <v>61</v>
      </c>
      <c r="D115" s="6" t="s">
        <v>83</v>
      </c>
      <c r="E115" t="s">
        <v>90</v>
      </c>
      <c r="F115" t="s">
        <v>15</v>
      </c>
      <c r="G115" s="2" t="s">
        <v>89</v>
      </c>
      <c r="H115" t="s">
        <v>13</v>
      </c>
      <c r="I115" t="s">
        <v>13</v>
      </c>
    </row>
    <row r="116" spans="1:9" ht="120" x14ac:dyDescent="0.25">
      <c r="A116" t="s">
        <v>9</v>
      </c>
      <c r="B116" t="str">
        <f>HYPERLINK("https://www.sydney.edu.au/scholarships/a/un-women-national-committee-australia-global-executive-mba-scholarship.html", "UN Women Australia Global Executive MBA Scholarship")</f>
        <v>UN Women Australia Global Executive MBA Scholarship</v>
      </c>
      <c r="C116" t="s">
        <v>61</v>
      </c>
      <c r="D116" t="s">
        <v>134</v>
      </c>
      <c r="E116" t="s">
        <v>90</v>
      </c>
      <c r="F116" t="s">
        <v>15</v>
      </c>
      <c r="G116" s="2" t="s">
        <v>135</v>
      </c>
      <c r="H116" t="s">
        <v>13</v>
      </c>
      <c r="I116" t="s">
        <v>13</v>
      </c>
    </row>
    <row r="117" spans="1:9" ht="60" x14ac:dyDescent="0.25">
      <c r="A117" t="s">
        <v>9</v>
      </c>
      <c r="B117" t="str">
        <f>HYPERLINK("https://www.sydney.edu.au/scholarships/a/university-of-sydney-business-school-change-maker-scholarship.html", "University of Sydney Business School Change Maker Scholarship")</f>
        <v>University of Sydney Business School Change Maker Scholarship</v>
      </c>
      <c r="C117" t="s">
        <v>61</v>
      </c>
      <c r="D117" s="7">
        <v>7500</v>
      </c>
      <c r="E117" t="s">
        <v>65</v>
      </c>
      <c r="F117" t="s">
        <v>18</v>
      </c>
      <c r="G117" s="2" t="s">
        <v>217</v>
      </c>
      <c r="H117" t="s">
        <v>13</v>
      </c>
      <c r="I117" t="s">
        <v>13</v>
      </c>
    </row>
    <row r="118" spans="1:9" ht="60" x14ac:dyDescent="0.25">
      <c r="A118" t="s">
        <v>9</v>
      </c>
      <c r="B118" t="str">
        <f>HYPERLINK("https://www.sydney.edu.au/scholarships/a/university-of-sydney-business-school-scholarship-for-outstanding-academic-and-sporting-achievement.html", "University of Sydney Business School Scholarship for Outstanding Academic and Sporting Achievement.")</f>
        <v>University of Sydney Business School Scholarship for Outstanding Academic and Sporting Achievement.</v>
      </c>
      <c r="C118" t="s">
        <v>61</v>
      </c>
      <c r="D118" s="6" t="s">
        <v>19</v>
      </c>
      <c r="E118" t="s">
        <v>64</v>
      </c>
      <c r="F118" t="s">
        <v>18</v>
      </c>
      <c r="G118" s="2" t="s">
        <v>229</v>
      </c>
      <c r="H118" t="s">
        <v>13</v>
      </c>
      <c r="I118" t="s">
        <v>13</v>
      </c>
    </row>
    <row r="119" spans="1:9" ht="60" x14ac:dyDescent="0.25">
      <c r="A119" t="s">
        <v>9</v>
      </c>
      <c r="B119" t="str">
        <f>HYPERLINK("https://www.sydney.edu.au/scholarships/a/usa_industry_placement_program_scholarship.html", "USA Industry Placement Program Scholarship")</f>
        <v>USA Industry Placement Program Scholarship</v>
      </c>
      <c r="C119" t="s">
        <v>92</v>
      </c>
      <c r="D119" s="8" t="s">
        <v>91</v>
      </c>
      <c r="E119" t="s">
        <v>62</v>
      </c>
      <c r="F119" t="s">
        <v>12</v>
      </c>
      <c r="G119" s="2" t="s">
        <v>93</v>
      </c>
      <c r="H119" t="s">
        <v>13</v>
      </c>
      <c r="I119" t="s">
        <v>29</v>
      </c>
    </row>
    <row r="120" spans="1:9" ht="60" x14ac:dyDescent="0.25">
      <c r="A120" t="s">
        <v>9</v>
      </c>
      <c r="B120" t="str">
        <f>HYPERLINK("https://www.sydney.edu.au/scholarships/a/vasanta-scholarship.html", "The Vasanta Scholarship")</f>
        <v>The Vasanta Scholarship</v>
      </c>
      <c r="C120" t="s">
        <v>227</v>
      </c>
      <c r="D120" s="6" t="s">
        <v>14</v>
      </c>
      <c r="E120" t="s">
        <v>60</v>
      </c>
      <c r="F120" t="s">
        <v>12</v>
      </c>
      <c r="G120" s="2" t="s">
        <v>230</v>
      </c>
      <c r="H120" t="s">
        <v>13</v>
      </c>
      <c r="I120" t="s">
        <v>13</v>
      </c>
    </row>
    <row r="121" spans="1:9" ht="30" x14ac:dyDescent="0.25">
      <c r="A121" t="s">
        <v>9</v>
      </c>
      <c r="B121" t="str">
        <f>HYPERLINK("https://www.sydney.edu.au/scholarships/a/verna-florence-dinham-scholarship-piano.html", "The Verna Florence Dinham Scholarship for Piano")</f>
        <v>The Verna Florence Dinham Scholarship for Piano</v>
      </c>
      <c r="C121" t="s">
        <v>227</v>
      </c>
      <c r="D121" s="6" t="s">
        <v>14</v>
      </c>
      <c r="E121" t="s">
        <v>60</v>
      </c>
      <c r="F121" t="s">
        <v>12</v>
      </c>
      <c r="G121" s="2" t="s">
        <v>231</v>
      </c>
      <c r="H121" t="s">
        <v>13</v>
      </c>
      <c r="I121" t="s">
        <v>13</v>
      </c>
    </row>
    <row r="122" spans="1:9" ht="60" x14ac:dyDescent="0.25">
      <c r="A122" t="s">
        <v>9</v>
      </c>
      <c r="B122" t="str">
        <f>HYPERLINK("https://www.sydney.edu.au/scholarships/a/victoria-hope-geary-scholarship.html", "The Victoria Hope Geary Scholarship")</f>
        <v>The Victoria Hope Geary Scholarship</v>
      </c>
      <c r="C122" t="s">
        <v>81</v>
      </c>
      <c r="D122" s="6" t="s">
        <v>16</v>
      </c>
      <c r="E122" t="s">
        <v>64</v>
      </c>
      <c r="F122" t="s">
        <v>18</v>
      </c>
      <c r="G122" s="2" t="s">
        <v>232</v>
      </c>
      <c r="H122" t="s">
        <v>13</v>
      </c>
      <c r="I122" t="s">
        <v>13</v>
      </c>
    </row>
    <row r="123" spans="1:9" ht="90" x14ac:dyDescent="0.25">
      <c r="A123" t="s">
        <v>9</v>
      </c>
      <c r="B123" t="str">
        <f>HYPERLINK("https://www.sydney.edu.au/scholarships/a/wayne-lonergan-distinguished-scholarship.html", "Wayne Lonergan Distinguished Undergraduate Scholarship")</f>
        <v>Wayne Lonergan Distinguished Undergraduate Scholarship</v>
      </c>
      <c r="C123" t="s">
        <v>61</v>
      </c>
      <c r="D123" s="6" t="s">
        <v>21</v>
      </c>
      <c r="E123" t="s">
        <v>65</v>
      </c>
      <c r="F123" t="s">
        <v>18</v>
      </c>
      <c r="G123" s="2" t="s">
        <v>233</v>
      </c>
      <c r="H123" t="s">
        <v>13</v>
      </c>
      <c r="I123" t="s">
        <v>13</v>
      </c>
    </row>
    <row r="124" spans="1:9" ht="30" x14ac:dyDescent="0.25">
      <c r="A124" t="s">
        <v>9</v>
      </c>
      <c r="B124" t="str">
        <f>HYPERLINK("https://www.sydney.edu.au/scholarships/a/westbrook-and-jessie-anstice-honours-scholarship-in-business.html", "Westbrook and Jessie Anstice Honours Scholarship in Business")</f>
        <v>Westbrook and Jessie Anstice Honours Scholarship in Business</v>
      </c>
      <c r="C124" t="s">
        <v>61</v>
      </c>
      <c r="D124" s="6" t="s">
        <v>34</v>
      </c>
      <c r="E124" t="s">
        <v>64</v>
      </c>
      <c r="F124" t="s">
        <v>72</v>
      </c>
      <c r="G124" s="2" t="s">
        <v>94</v>
      </c>
      <c r="H124" t="s">
        <v>13</v>
      </c>
      <c r="I124" t="s">
        <v>13</v>
      </c>
    </row>
    <row r="125" spans="1:9" ht="75" x14ac:dyDescent="0.25">
      <c r="A125" t="s">
        <v>9</v>
      </c>
      <c r="B125" t="str">
        <f>HYPERLINK("https://www.sydney.edu.au/scholarships/a/william-marie-souter-encouragement-awards.html", "The William and Marie Souter Encouragement Awards")</f>
        <v>The William and Marie Souter Encouragement Awards</v>
      </c>
      <c r="C125" t="s">
        <v>81</v>
      </c>
      <c r="D125" s="6" t="s">
        <v>14</v>
      </c>
      <c r="E125" t="s">
        <v>60</v>
      </c>
      <c r="F125" t="s">
        <v>12</v>
      </c>
      <c r="G125" s="2" t="s">
        <v>234</v>
      </c>
      <c r="H125" t="s">
        <v>13</v>
      </c>
      <c r="I125" t="s">
        <v>13</v>
      </c>
    </row>
    <row r="126" spans="1:9" ht="90" x14ac:dyDescent="0.25">
      <c r="A126" t="s">
        <v>9</v>
      </c>
      <c r="B126" t="str">
        <f>HYPERLINK("https://www.sydney.edu.au/scholarships/a/william-mcilrath-memorial-scholarship-music-performance-research.html", "William McIlrath Memorial Scholarship in Music Performance and Research")</f>
        <v>William McIlrath Memorial Scholarship in Music Performance and Research</v>
      </c>
      <c r="C126" t="s">
        <v>227</v>
      </c>
      <c r="D126" s="6" t="s">
        <v>14</v>
      </c>
      <c r="E126" t="s">
        <v>60</v>
      </c>
      <c r="F126" t="s">
        <v>15</v>
      </c>
      <c r="G126" s="2" t="s">
        <v>235</v>
      </c>
      <c r="H126" t="s">
        <v>13</v>
      </c>
      <c r="I126" t="s">
        <v>13</v>
      </c>
    </row>
    <row r="127" spans="1:9" ht="75" x14ac:dyDescent="0.25">
      <c r="A127" t="s">
        <v>9</v>
      </c>
      <c r="B127" t="str">
        <f>HYPERLINK("https://www.sydney.edu.au/scholarships/b/The-Pinnacle-Women-in-Finance-Scholarship.html", "The Pinnacle Women in Finance Scholarship")</f>
        <v>The Pinnacle Women in Finance Scholarship</v>
      </c>
      <c r="C127" t="s">
        <v>61</v>
      </c>
      <c r="D127" s="7">
        <v>10000</v>
      </c>
      <c r="E127" t="s">
        <v>237</v>
      </c>
      <c r="F127" t="s">
        <v>18</v>
      </c>
      <c r="G127" s="2" t="s">
        <v>236</v>
      </c>
      <c r="H127" t="s">
        <v>13</v>
      </c>
      <c r="I127" t="s">
        <v>13</v>
      </c>
    </row>
    <row r="128" spans="1:9" ht="90" x14ac:dyDescent="0.25">
      <c r="A128" t="s">
        <v>9</v>
      </c>
      <c r="B128" t="str">
        <f>HYPERLINK("https://www.sydney.edu.au/scholarships/b/a-j-a-waldock-scholarship.html", "A J A Waldock Scholarship")</f>
        <v>A J A Waldock Scholarship</v>
      </c>
      <c r="C128" t="s">
        <v>81</v>
      </c>
      <c r="D128" s="6" t="s">
        <v>35</v>
      </c>
      <c r="E128" t="s">
        <v>62</v>
      </c>
      <c r="F128" t="s">
        <v>15</v>
      </c>
      <c r="G128" s="2" t="s">
        <v>238</v>
      </c>
      <c r="H128" t="s">
        <v>138</v>
      </c>
      <c r="I128" t="s">
        <v>13</v>
      </c>
    </row>
    <row r="129" spans="1:9" ht="60" x14ac:dyDescent="0.25">
      <c r="A129" t="s">
        <v>9</v>
      </c>
      <c r="B129" t="str">
        <f>HYPERLINK("https://www.sydney.edu.au/scholarships/b/alan-bishop-scholarship.html", "Alan Bishop Scholarship")</f>
        <v>Alan Bishop Scholarship</v>
      </c>
      <c r="C129" t="s">
        <v>61</v>
      </c>
      <c r="D129" s="7">
        <v>8000</v>
      </c>
      <c r="E129" t="s">
        <v>62</v>
      </c>
      <c r="F129" t="s">
        <v>18</v>
      </c>
      <c r="G129" s="2" t="s">
        <v>239</v>
      </c>
      <c r="H129" t="s">
        <v>13</v>
      </c>
      <c r="I129" t="s">
        <v>13</v>
      </c>
    </row>
    <row r="130" spans="1:9" ht="75" x14ac:dyDescent="0.25">
      <c r="A130" t="s">
        <v>9</v>
      </c>
      <c r="B130" t="str">
        <f>HYPERLINK("https://www.sydney.edu.au/scholarships/b/alexander-d-strang-scholarship.html", "Alexander D Strang Scholarship in Chemical and Biomolecular Engineering")</f>
        <v>Alexander D Strang Scholarship in Chemical and Biomolecular Engineering</v>
      </c>
      <c r="C130" t="s">
        <v>61</v>
      </c>
      <c r="D130" s="7">
        <v>6418</v>
      </c>
      <c r="E130" t="s">
        <v>64</v>
      </c>
      <c r="F130" t="s">
        <v>18</v>
      </c>
      <c r="G130" s="2" t="s">
        <v>240</v>
      </c>
      <c r="H130" t="s">
        <v>13</v>
      </c>
      <c r="I130" t="s">
        <v>13</v>
      </c>
    </row>
    <row r="131" spans="1:9" ht="75" x14ac:dyDescent="0.25">
      <c r="A131" t="s">
        <v>9</v>
      </c>
      <c r="B131" t="str">
        <f>HYPERLINK("https://www.sydney.edu.au/scholarships/b/american-studies-honours-scholarship.html", "American Studies Honours Scholarship")</f>
        <v>American Studies Honours Scholarship</v>
      </c>
      <c r="C131" t="s">
        <v>61</v>
      </c>
      <c r="D131" s="6" t="s">
        <v>36</v>
      </c>
      <c r="E131" t="s">
        <v>62</v>
      </c>
      <c r="F131" t="s">
        <v>72</v>
      </c>
      <c r="G131" s="2" t="s">
        <v>241</v>
      </c>
      <c r="H131" t="s">
        <v>13</v>
      </c>
      <c r="I131" t="s">
        <v>13</v>
      </c>
    </row>
    <row r="132" spans="1:9" ht="75" x14ac:dyDescent="0.25">
      <c r="A132" t="s">
        <v>9</v>
      </c>
      <c r="B132" t="str">
        <f>HYPERLINK("https://www.sydney.edu.au/scholarships/b/annie-beatrice-robinson-wilson-mysydney-scholarship.html", "Annie Beatrice Robinson Wilson MySydney Scholarship")</f>
        <v>Annie Beatrice Robinson Wilson MySydney Scholarship</v>
      </c>
      <c r="C132" t="s">
        <v>81</v>
      </c>
      <c r="D132" s="6" t="s">
        <v>33</v>
      </c>
      <c r="E132" t="s">
        <v>67</v>
      </c>
      <c r="F132" t="s">
        <v>18</v>
      </c>
      <c r="G132" s="2" t="s">
        <v>242</v>
      </c>
      <c r="H132" t="s">
        <v>13</v>
      </c>
      <c r="I132" t="s">
        <v>13</v>
      </c>
    </row>
    <row r="133" spans="1:9" ht="75" x14ac:dyDescent="0.25">
      <c r="A133" t="s">
        <v>9</v>
      </c>
      <c r="B133" t="str">
        <f>HYPERLINK("https://www.sydney.edu.au/scholarships/b/bill-melia-hutchinson-scholarship.html", "The Bill and Meila Hutchinson Scholarship")</f>
        <v>The Bill and Meila Hutchinson Scholarship</v>
      </c>
      <c r="C133" t="s">
        <v>81</v>
      </c>
      <c r="D133" s="6" t="s">
        <v>33</v>
      </c>
      <c r="E133" t="s">
        <v>67</v>
      </c>
      <c r="F133" t="s">
        <v>18</v>
      </c>
      <c r="G133" s="2" t="s">
        <v>243</v>
      </c>
      <c r="H133" t="s">
        <v>13</v>
      </c>
      <c r="I133" t="s">
        <v>13</v>
      </c>
    </row>
    <row r="134" spans="1:9" ht="60" x14ac:dyDescent="0.25">
      <c r="A134" t="s">
        <v>9</v>
      </c>
      <c r="B134" t="str">
        <f>HYPERLINK("https://www.sydney.edu.au/scholarships/b/bowman-cameron-scholarship.html", "Bowman Cameron Scholarship")</f>
        <v>Bowman Cameron Scholarship</v>
      </c>
      <c r="C134" t="s">
        <v>61</v>
      </c>
      <c r="D134" s="7">
        <v>5000</v>
      </c>
      <c r="E134" t="s">
        <v>66</v>
      </c>
      <c r="F134" t="s">
        <v>18</v>
      </c>
      <c r="G134" s="2" t="s">
        <v>244</v>
      </c>
      <c r="H134" t="s">
        <v>13</v>
      </c>
      <c r="I134" t="s">
        <v>13</v>
      </c>
    </row>
    <row r="135" spans="1:9" ht="30" x14ac:dyDescent="0.25">
      <c r="A135" t="s">
        <v>9</v>
      </c>
      <c r="B135" t="str">
        <f>HYPERLINK("https://www.sydney.edu.au/scholarships/b/ca-coghlan-an-littlejohn-scholarship-juris-doctor.html", "CA Coghlan and AN Littlejohn Scholarship for the Juris Doctor")</f>
        <v>CA Coghlan and AN Littlejohn Scholarship for the Juris Doctor</v>
      </c>
      <c r="C135" t="s">
        <v>61</v>
      </c>
      <c r="D135" s="7">
        <v>6000</v>
      </c>
      <c r="E135" t="s">
        <v>90</v>
      </c>
      <c r="F135" t="s">
        <v>15</v>
      </c>
      <c r="G135" s="2" t="s">
        <v>245</v>
      </c>
      <c r="H135" t="s">
        <v>13</v>
      </c>
      <c r="I135" t="s">
        <v>13</v>
      </c>
    </row>
    <row r="136" spans="1:9" ht="45" x14ac:dyDescent="0.25">
      <c r="A136" t="s">
        <v>9</v>
      </c>
      <c r="B136" t="str">
        <f>HYPERLINK("https://www.sydney.edu.au/scholarships/b/carlyle-greenwell-honours-scholarship.html", "Carlyle Greenwell Honours Scholarship")</f>
        <v>Carlyle Greenwell Honours Scholarship</v>
      </c>
      <c r="C136" t="s">
        <v>81</v>
      </c>
      <c r="D136" s="7">
        <v>8500</v>
      </c>
      <c r="E136" t="s">
        <v>64</v>
      </c>
      <c r="F136" t="s">
        <v>72</v>
      </c>
      <c r="G136" s="2" t="s">
        <v>246</v>
      </c>
      <c r="H136" t="s">
        <v>138</v>
      </c>
      <c r="I136" t="s">
        <v>13</v>
      </c>
    </row>
    <row r="137" spans="1:9" ht="75" x14ac:dyDescent="0.25">
      <c r="A137" t="s">
        <v>9</v>
      </c>
      <c r="B137" t="str">
        <f>HYPERLINK("https://www.sydney.edu.au/scholarships/b/carolyn-mcilvenny-scholarship.html", "Carolyn McIlvenny Scholarship")</f>
        <v>Carolyn McIlvenny Scholarship</v>
      </c>
      <c r="C137" t="s">
        <v>81</v>
      </c>
      <c r="D137" s="7">
        <v>10000</v>
      </c>
      <c r="E137" t="s">
        <v>64</v>
      </c>
      <c r="F137" t="s">
        <v>18</v>
      </c>
      <c r="G137" s="2" t="s">
        <v>247</v>
      </c>
      <c r="H137" t="s">
        <v>13</v>
      </c>
      <c r="I137" t="s">
        <v>13</v>
      </c>
    </row>
    <row r="138" spans="1:9" ht="60" x14ac:dyDescent="0.25">
      <c r="A138" t="s">
        <v>9</v>
      </c>
      <c r="B138" t="str">
        <f>HYPERLINK("https://www.sydney.edu.au/scholarships/b/charles-herbert-currey-memorial-scholarship-for-honours.html", "Charles Herbert Currey Memorial Scholarship for Honours")</f>
        <v>Charles Herbert Currey Memorial Scholarship for Honours</v>
      </c>
      <c r="C138" t="s">
        <v>61</v>
      </c>
      <c r="D138" s="6" t="s">
        <v>23</v>
      </c>
      <c r="E138" t="s">
        <v>62</v>
      </c>
      <c r="F138" t="s">
        <v>12</v>
      </c>
      <c r="G138" s="2" t="s">
        <v>248</v>
      </c>
      <c r="H138" t="s">
        <v>13</v>
      </c>
      <c r="I138" t="s">
        <v>13</v>
      </c>
    </row>
    <row r="139" spans="1:9" ht="135" x14ac:dyDescent="0.25">
      <c r="A139" t="s">
        <v>9</v>
      </c>
      <c r="B139" t="str">
        <f>HYPERLINK("https://www.sydney.edu.au/scholarships/b/charles-herbert-currey-memorial-scholarship-for-lawwithoutwalls-sprint-program.html", "Charles Herbert Currey Memorial Scholarship for LawWithoutWalls Sprint Program")</f>
        <v>Charles Herbert Currey Memorial Scholarship for LawWithoutWalls Sprint Program</v>
      </c>
      <c r="C139" t="s">
        <v>61</v>
      </c>
      <c r="D139" s="6" t="s">
        <v>37</v>
      </c>
      <c r="E139" t="s">
        <v>62</v>
      </c>
      <c r="F139" t="s">
        <v>12</v>
      </c>
      <c r="G139" s="2" t="s">
        <v>95</v>
      </c>
      <c r="H139" t="s">
        <v>13</v>
      </c>
      <c r="I139" t="s">
        <v>13</v>
      </c>
    </row>
    <row r="140" spans="1:9" ht="90" x14ac:dyDescent="0.25">
      <c r="A140" t="s">
        <v>9</v>
      </c>
      <c r="B140" t="str">
        <f>HYPERLINK("https://www.sydney.edu.au/scholarships/b/citadel-prize-in-computer-science.html", "Citadel Securities Prize for Excellence in Computer Science")</f>
        <v>Citadel Securities Prize for Excellence in Computer Science</v>
      </c>
      <c r="C140" t="s">
        <v>61</v>
      </c>
      <c r="D140" s="7">
        <v>1000</v>
      </c>
      <c r="E140" t="s">
        <v>64</v>
      </c>
      <c r="F140" t="s">
        <v>72</v>
      </c>
      <c r="G140" s="2" t="s">
        <v>249</v>
      </c>
      <c r="H140" t="s">
        <v>13</v>
      </c>
      <c r="I140" t="s">
        <v>13</v>
      </c>
    </row>
    <row r="141" spans="1:9" ht="60" x14ac:dyDescent="0.25">
      <c r="A141" t="s">
        <v>9</v>
      </c>
      <c r="B141" t="str">
        <f>HYPERLINK("https://www.sydney.edu.au/scholarships/b/clissold-scholarship.html", "The Clissold Scholarship")</f>
        <v>The Clissold Scholarship</v>
      </c>
      <c r="C141" t="s">
        <v>81</v>
      </c>
      <c r="D141" s="7">
        <v>7000</v>
      </c>
      <c r="E141" t="s">
        <v>90</v>
      </c>
      <c r="F141" t="s">
        <v>18</v>
      </c>
      <c r="G141" s="2" t="s">
        <v>250</v>
      </c>
      <c r="H141" t="s">
        <v>13</v>
      </c>
      <c r="I141" t="s">
        <v>13</v>
      </c>
    </row>
    <row r="142" spans="1:9" ht="90" x14ac:dyDescent="0.25">
      <c r="A142" t="s">
        <v>9</v>
      </c>
      <c r="B142" t="str">
        <f>HYPERLINK("https://www.sydney.edu.au/scholarships/b/colin-gladstone-harrison-family-scholarship.html", "Colin Gladstone Harrison Family Scholarship")</f>
        <v>Colin Gladstone Harrison Family Scholarship</v>
      </c>
      <c r="C142" t="s">
        <v>61</v>
      </c>
      <c r="D142" s="6" t="s">
        <v>26</v>
      </c>
      <c r="E142" t="s">
        <v>62</v>
      </c>
      <c r="F142" t="s">
        <v>12</v>
      </c>
      <c r="G142" s="2" t="s">
        <v>251</v>
      </c>
      <c r="H142" t="s">
        <v>13</v>
      </c>
      <c r="I142" t="s">
        <v>13</v>
      </c>
    </row>
    <row r="143" spans="1:9" ht="75" x14ac:dyDescent="0.25">
      <c r="A143" t="s">
        <v>9</v>
      </c>
      <c r="B143" t="str">
        <f>HYPERLINK("https://www.sydney.edu.au/scholarships/b/computational-linguistics.html", "Appen Inclusive AI Scholarship in Computational Linguistics")</f>
        <v>Appen Inclusive AI Scholarship in Computational Linguistics</v>
      </c>
      <c r="C143" t="s">
        <v>81</v>
      </c>
      <c r="D143" s="6" t="s">
        <v>39</v>
      </c>
      <c r="E143" t="s">
        <v>64</v>
      </c>
      <c r="F143" t="s">
        <v>18</v>
      </c>
      <c r="G143" s="2" t="s">
        <v>252</v>
      </c>
      <c r="H143" t="s">
        <v>138</v>
      </c>
      <c r="I143" t="s">
        <v>13</v>
      </c>
    </row>
    <row r="144" spans="1:9" ht="90" x14ac:dyDescent="0.25">
      <c r="A144" t="s">
        <v>9</v>
      </c>
      <c r="B144" t="str">
        <f>HYPERLINK("https://www.sydney.edu.au/scholarships/b/david-burnett-memorial-scholarship.html", "The David Burnett Memorial Scholarship in Social Justice")</f>
        <v>The David Burnett Memorial Scholarship in Social Justice</v>
      </c>
      <c r="C144" t="s">
        <v>61</v>
      </c>
      <c r="D144" s="7">
        <v>6000</v>
      </c>
      <c r="E144" t="s">
        <v>62</v>
      </c>
      <c r="F144" t="s">
        <v>12</v>
      </c>
      <c r="G144" s="2" t="s">
        <v>96</v>
      </c>
      <c r="H144" t="s">
        <v>13</v>
      </c>
      <c r="I144" t="s">
        <v>13</v>
      </c>
    </row>
    <row r="145" spans="1:9" ht="45" x14ac:dyDescent="0.25">
      <c r="A145" t="s">
        <v>9</v>
      </c>
      <c r="B145" t="str">
        <f>HYPERLINK("https://www.sydney.edu.au/scholarships/b/david-stuart-hicks-scholarship.html", "The David Stuart Hicks Scholarship")</f>
        <v>The David Stuart Hicks Scholarship</v>
      </c>
      <c r="C145" t="s">
        <v>81</v>
      </c>
      <c r="D145" s="7">
        <v>8000</v>
      </c>
      <c r="E145" t="s">
        <v>64</v>
      </c>
      <c r="F145" t="s">
        <v>18</v>
      </c>
      <c r="G145" s="2" t="s">
        <v>253</v>
      </c>
      <c r="H145" t="s">
        <v>13</v>
      </c>
      <c r="I145" t="s">
        <v>13</v>
      </c>
    </row>
    <row r="146" spans="1:9" ht="60" x14ac:dyDescent="0.25">
      <c r="A146" t="s">
        <v>9</v>
      </c>
      <c r="B146" t="str">
        <f>HYPERLINK("https://www.sydney.edu.au/scholarships/b/david-w-johnson-mysydney-scholarship.html", "David W Johnson MySydney Scholarship")</f>
        <v>David W Johnson MySydney Scholarship</v>
      </c>
      <c r="C146" t="s">
        <v>81</v>
      </c>
      <c r="D146" s="6" t="s">
        <v>33</v>
      </c>
      <c r="E146" t="s">
        <v>67</v>
      </c>
      <c r="F146" t="s">
        <v>18</v>
      </c>
      <c r="G146" s="2" t="s">
        <v>254</v>
      </c>
      <c r="H146" t="s">
        <v>13</v>
      </c>
      <c r="I146" t="s">
        <v>13</v>
      </c>
    </row>
    <row r="147" spans="1:9" ht="45" x14ac:dyDescent="0.25">
      <c r="A147" t="s">
        <v>9</v>
      </c>
      <c r="B147" t="str">
        <f>HYPERLINK("https://www.sydney.edu.au/scholarships/b/dr-mary-booth-scholarship.html", "Dr Mary Booth Scholarship")</f>
        <v>Dr Mary Booth Scholarship</v>
      </c>
      <c r="C147" t="s">
        <v>61</v>
      </c>
      <c r="D147" s="6" t="s">
        <v>33</v>
      </c>
      <c r="E147" t="s">
        <v>237</v>
      </c>
      <c r="F147" t="s">
        <v>18</v>
      </c>
      <c r="G147" s="2" t="s">
        <v>255</v>
      </c>
      <c r="H147" t="s">
        <v>13</v>
      </c>
      <c r="I147" t="s">
        <v>13</v>
      </c>
    </row>
    <row r="148" spans="1:9" ht="75" x14ac:dyDescent="0.25">
      <c r="A148" t="s">
        <v>9</v>
      </c>
      <c r="B148" t="str">
        <f>HYPERLINK("https://www.sydney.edu.au/scholarships/b/elizabeth-brennan-scholarship.html", "Elizabeth Brennan Scholarship")</f>
        <v>Elizabeth Brennan Scholarship</v>
      </c>
      <c r="C148" t="s">
        <v>61</v>
      </c>
      <c r="D148" s="6" t="s">
        <v>21</v>
      </c>
      <c r="E148" t="s">
        <v>237</v>
      </c>
      <c r="F148" t="s">
        <v>15</v>
      </c>
      <c r="G148" s="2" t="s">
        <v>256</v>
      </c>
      <c r="H148" t="s">
        <v>13</v>
      </c>
      <c r="I148" t="s">
        <v>13</v>
      </c>
    </row>
    <row r="149" spans="1:9" ht="60" x14ac:dyDescent="0.25">
      <c r="A149" t="s">
        <v>9</v>
      </c>
      <c r="B149" t="str">
        <f>HYPERLINK("https://www.sydney.edu.au/scholarships/b/engineering-academic-excellence-scholarship.html", "Engineering Academic Excellence Scholarship")</f>
        <v>Engineering Academic Excellence Scholarship</v>
      </c>
      <c r="C149" t="s">
        <v>61</v>
      </c>
      <c r="D149" s="6" t="s">
        <v>37</v>
      </c>
      <c r="E149" t="s">
        <v>62</v>
      </c>
      <c r="F149" t="s">
        <v>12</v>
      </c>
      <c r="G149" s="2" t="s">
        <v>257</v>
      </c>
      <c r="H149" t="s">
        <v>13</v>
      </c>
      <c r="I149" t="s">
        <v>13</v>
      </c>
    </row>
    <row r="150" spans="1:9" ht="90" x14ac:dyDescent="0.25">
      <c r="A150" t="s">
        <v>9</v>
      </c>
      <c r="B150" t="str">
        <f>HYPERLINK("https://www.sydney.edu.au/scholarships/b/engineering-access-scholarship.html", "Engineering Access Scholarship")</f>
        <v>Engineering Access Scholarship</v>
      </c>
      <c r="C150" t="s">
        <v>81</v>
      </c>
      <c r="D150" s="6" t="s">
        <v>37</v>
      </c>
      <c r="E150" t="s">
        <v>62</v>
      </c>
      <c r="F150" t="s">
        <v>12</v>
      </c>
      <c r="G150" s="2" t="s">
        <v>258</v>
      </c>
      <c r="H150" t="s">
        <v>13</v>
      </c>
      <c r="I150" t="s">
        <v>13</v>
      </c>
    </row>
    <row r="151" spans="1:9" ht="60" x14ac:dyDescent="0.25">
      <c r="A151" t="s">
        <v>9</v>
      </c>
      <c r="B151" t="str">
        <f>HYPERLINK("https://www.sydney.edu.au/scholarships/b/engineering-sydney-industry-placement-scholarship.html", "Engineering Sydney Industry Placement Scholarship")</f>
        <v>Engineering Sydney Industry Placement Scholarship</v>
      </c>
      <c r="C151" t="s">
        <v>61</v>
      </c>
      <c r="D151" s="6" t="s">
        <v>40</v>
      </c>
      <c r="E151" t="s">
        <v>63</v>
      </c>
      <c r="F151" t="s">
        <v>12</v>
      </c>
      <c r="G151" s="2" t="s">
        <v>97</v>
      </c>
      <c r="H151" t="s">
        <v>13</v>
      </c>
      <c r="I151" t="s">
        <v>29</v>
      </c>
    </row>
    <row r="152" spans="1:9" ht="75" x14ac:dyDescent="0.25">
      <c r="A152" t="s">
        <v>9</v>
      </c>
      <c r="B152" t="str">
        <f>HYPERLINK("https://www.sydney.edu.au/scholarships/b/engineering-undergraduate-merit-scholarships.html", "Engineering Undergraduate Merit Scholarships")</f>
        <v>Engineering Undergraduate Merit Scholarships</v>
      </c>
      <c r="C152" t="s">
        <v>61</v>
      </c>
      <c r="D152" s="6" t="s">
        <v>21</v>
      </c>
      <c r="E152" t="s">
        <v>65</v>
      </c>
      <c r="F152" t="s">
        <v>18</v>
      </c>
      <c r="G152" s="2" t="s">
        <v>259</v>
      </c>
      <c r="H152" t="s">
        <v>13</v>
      </c>
      <c r="I152" t="s">
        <v>13</v>
      </c>
    </row>
    <row r="153" spans="1:9" ht="75" x14ac:dyDescent="0.25">
      <c r="A153" t="s">
        <v>9</v>
      </c>
      <c r="B153" t="str">
        <f>HYPERLINK("https://www.sydney.edu.au/scholarships/b/equity-scholarships-history.html", "Undergraduate Equity Scholarships in History")</f>
        <v>Undergraduate Equity Scholarships in History</v>
      </c>
      <c r="C153" t="s">
        <v>81</v>
      </c>
      <c r="D153" s="6" t="s">
        <v>19</v>
      </c>
      <c r="E153" t="s">
        <v>65</v>
      </c>
      <c r="F153" t="s">
        <v>18</v>
      </c>
      <c r="G153" s="2" t="s">
        <v>98</v>
      </c>
      <c r="H153" t="s">
        <v>13</v>
      </c>
      <c r="I153" t="s">
        <v>13</v>
      </c>
    </row>
    <row r="154" spans="1:9" ht="90" x14ac:dyDescent="0.25">
      <c r="A154" t="s">
        <v>9</v>
      </c>
      <c r="B154" t="str">
        <f>HYPERLINK("https://www.sydney.edu.au/scholarships/b/eric-cunstance-shaw-scholarship.html", "Eric Cunstance Shaw Scholarship")</f>
        <v>Eric Cunstance Shaw Scholarship</v>
      </c>
      <c r="C154" t="s">
        <v>61</v>
      </c>
      <c r="D154" s="7">
        <v>7000</v>
      </c>
      <c r="E154" t="s">
        <v>62</v>
      </c>
      <c r="F154" t="s">
        <v>12</v>
      </c>
      <c r="G154" s="2" t="s">
        <v>99</v>
      </c>
      <c r="H154" t="s">
        <v>13</v>
      </c>
      <c r="I154" t="s">
        <v>13</v>
      </c>
    </row>
    <row r="155" spans="1:9" ht="60" x14ac:dyDescent="0.25">
      <c r="A155" t="s">
        <v>9</v>
      </c>
      <c r="B155" t="str">
        <f>HYPERLINK("https://www.sydney.edu.au/scholarships/b/faculty-of-engineering-postgraduate-merit-scholarship.html", "Faculty of Engineering Postgraduate Merit Scholarship")</f>
        <v>Faculty of Engineering Postgraduate Merit Scholarship</v>
      </c>
      <c r="C155" t="s">
        <v>61</v>
      </c>
      <c r="D155" s="6" t="s">
        <v>21</v>
      </c>
      <c r="E155" t="s">
        <v>64</v>
      </c>
      <c r="F155" t="s">
        <v>15</v>
      </c>
      <c r="G155" s="2" t="s">
        <v>260</v>
      </c>
      <c r="H155" t="s">
        <v>13</v>
      </c>
      <c r="I155" t="s">
        <v>13</v>
      </c>
    </row>
    <row r="156" spans="1:9" ht="90" x14ac:dyDescent="0.25">
      <c r="A156" t="s">
        <v>9</v>
      </c>
      <c r="B156" t="str">
        <f>HYPERLINK("https://www.sydney.edu.au/scholarships/b/faculty-of-engineering-women-in-engineering-excellence-scholarsh.html", "Faculty of Engineering Women in Engineering Excellence Scholarship")</f>
        <v>Faculty of Engineering Women in Engineering Excellence Scholarship</v>
      </c>
      <c r="C156" t="s">
        <v>61</v>
      </c>
      <c r="D156" s="6" t="s">
        <v>42</v>
      </c>
      <c r="E156" t="s">
        <v>65</v>
      </c>
      <c r="F156" t="s">
        <v>18</v>
      </c>
      <c r="G156" s="2" t="s">
        <v>262</v>
      </c>
      <c r="H156" t="s">
        <v>13</v>
      </c>
      <c r="I156" t="s">
        <v>13</v>
      </c>
    </row>
    <row r="157" spans="1:9" ht="90" x14ac:dyDescent="0.25">
      <c r="A157" t="s">
        <v>9</v>
      </c>
      <c r="B157" t="str">
        <f>HYPERLINK("https://www.sydney.edu.au/scholarships/b/faculty-of-engineering-women-in-engineering-scholarship.html", "Faculty of Engineering Women in Engineering Scholarship")</f>
        <v>Faculty of Engineering Women in Engineering Scholarship</v>
      </c>
      <c r="C157" t="s">
        <v>61</v>
      </c>
      <c r="D157" s="6" t="s">
        <v>21</v>
      </c>
      <c r="E157" t="s">
        <v>64</v>
      </c>
      <c r="F157" t="s">
        <v>18</v>
      </c>
      <c r="G157" s="2" t="s">
        <v>262</v>
      </c>
      <c r="H157" t="s">
        <v>13</v>
      </c>
      <c r="I157" t="s">
        <v>13</v>
      </c>
    </row>
    <row r="158" spans="1:9" ht="30" x14ac:dyDescent="0.25">
      <c r="A158" t="s">
        <v>9</v>
      </c>
      <c r="B158" t="str">
        <f>HYPERLINK("https://www.sydney.edu.au/scholarships/b/frances-marion-smith-scholarship.html", "Frances Marion Smith Scholarship in Civil Engineering")</f>
        <v>Frances Marion Smith Scholarship in Civil Engineering</v>
      </c>
      <c r="C158" t="s">
        <v>61</v>
      </c>
      <c r="D158" s="7">
        <v>6000</v>
      </c>
      <c r="E158" t="s">
        <v>64</v>
      </c>
      <c r="F158" t="s">
        <v>18</v>
      </c>
      <c r="G158" s="2" t="s">
        <v>263</v>
      </c>
      <c r="H158" t="s">
        <v>13</v>
      </c>
      <c r="I158" t="s">
        <v>13</v>
      </c>
    </row>
    <row r="159" spans="1:9" ht="45" x14ac:dyDescent="0.25">
      <c r="A159" t="s">
        <v>9</v>
      </c>
      <c r="B159" t="str">
        <f>HYPERLINK("https://www.sydney.edu.au/scholarships/b/garton-scholarship-2-french.html", "Garton Scholarship No II for French")</f>
        <v>Garton Scholarship No II for French</v>
      </c>
      <c r="C159" t="s">
        <v>61</v>
      </c>
      <c r="D159" s="6" t="s">
        <v>19</v>
      </c>
      <c r="E159" t="s">
        <v>64</v>
      </c>
      <c r="F159" t="s">
        <v>18</v>
      </c>
      <c r="G159" s="2" t="s">
        <v>264</v>
      </c>
      <c r="H159" t="s">
        <v>13</v>
      </c>
      <c r="I159" t="s">
        <v>13</v>
      </c>
    </row>
    <row r="160" spans="1:9" ht="45" x14ac:dyDescent="0.25">
      <c r="A160" t="s">
        <v>9</v>
      </c>
      <c r="B160" t="str">
        <f>HYPERLINK("https://www.sydney.edu.au/scholarships/b/garton-scholarship-no-I-for-french.html", "Garton Scholarship No I for French")</f>
        <v>Garton Scholarship No I for French</v>
      </c>
      <c r="C160" t="s">
        <v>61</v>
      </c>
      <c r="D160" s="6" t="s">
        <v>19</v>
      </c>
      <c r="E160" t="s">
        <v>64</v>
      </c>
      <c r="F160" t="s">
        <v>18</v>
      </c>
      <c r="G160" s="2" t="s">
        <v>264</v>
      </c>
      <c r="H160" t="s">
        <v>13</v>
      </c>
      <c r="I160" t="s">
        <v>13</v>
      </c>
    </row>
    <row r="161" spans="1:9" ht="45" x14ac:dyDescent="0.25">
      <c r="A161" t="s">
        <v>9</v>
      </c>
      <c r="B161" t="str">
        <f>HYPERLINK("https://www.sydney.edu.au/scholarships/b/garton-scholarship-no-iv-for-german.html", "Garton Scholarship No IV for German")</f>
        <v>Garton Scholarship No IV for German</v>
      </c>
      <c r="C161" t="s">
        <v>61</v>
      </c>
      <c r="D161" s="7">
        <v>5000</v>
      </c>
      <c r="E161" t="s">
        <v>64</v>
      </c>
      <c r="F161" t="s">
        <v>18</v>
      </c>
      <c r="G161" s="2" t="s">
        <v>264</v>
      </c>
      <c r="H161" t="s">
        <v>13</v>
      </c>
      <c r="I161" t="s">
        <v>13</v>
      </c>
    </row>
    <row r="162" spans="1:9" ht="45" x14ac:dyDescent="0.25">
      <c r="A162" t="s">
        <v>9</v>
      </c>
      <c r="B162" t="str">
        <f>HYPERLINK("https://www.sydney.edu.au/scholarships/b/garton-scholarship-no-v-for-german.html", "Garton Scholarship No V for German")</f>
        <v>Garton Scholarship No V for German</v>
      </c>
      <c r="C162" t="s">
        <v>61</v>
      </c>
      <c r="D162" s="7">
        <v>5000</v>
      </c>
      <c r="E162" t="s">
        <v>64</v>
      </c>
      <c r="F162" t="s">
        <v>18</v>
      </c>
      <c r="G162" s="2" t="s">
        <v>264</v>
      </c>
      <c r="H162" t="s">
        <v>13</v>
      </c>
      <c r="I162" t="s">
        <v>13</v>
      </c>
    </row>
    <row r="163" spans="1:9" ht="90" x14ac:dyDescent="0.25">
      <c r="A163" t="s">
        <v>9</v>
      </c>
      <c r="B163" t="str">
        <f>HYPERLINK("https://www.sydney.edu.au/scholarships/b/honours-scholarship-french-francophone-studies-germanic-studies.html", "Emilie M Schweitzer Scholarship in French and Germanic Studies")</f>
        <v>Emilie M Schweitzer Scholarship in French and Germanic Studies</v>
      </c>
      <c r="C163" t="s">
        <v>61</v>
      </c>
      <c r="D163" s="6" t="s">
        <v>39</v>
      </c>
      <c r="E163" t="s">
        <v>64</v>
      </c>
      <c r="F163" t="s">
        <v>18</v>
      </c>
      <c r="G163" s="2" t="s">
        <v>265</v>
      </c>
      <c r="H163" t="s">
        <v>13</v>
      </c>
      <c r="I163" t="s">
        <v>13</v>
      </c>
    </row>
    <row r="164" spans="1:9" ht="60" x14ac:dyDescent="0.25">
      <c r="A164" t="s">
        <v>9</v>
      </c>
      <c r="B164" t="str">
        <f>HYPERLINK("https://www.sydney.edu.au/scholarships/b/hume-meller-engineering-scholarship.html", "Hume Meller Engineering Scholarship")</f>
        <v>Hume Meller Engineering Scholarship</v>
      </c>
      <c r="C164" t="s">
        <v>81</v>
      </c>
      <c r="D164" s="8" t="s">
        <v>267</v>
      </c>
      <c r="E164" t="s">
        <v>10</v>
      </c>
      <c r="F164" t="s">
        <v>18</v>
      </c>
      <c r="G164" s="2" t="s">
        <v>266</v>
      </c>
      <c r="H164" t="s">
        <v>13</v>
      </c>
      <c r="I164" t="s">
        <v>13</v>
      </c>
    </row>
    <row r="165" spans="1:9" ht="90" x14ac:dyDescent="0.25">
      <c r="A165" t="s">
        <v>9</v>
      </c>
      <c r="B165" t="str">
        <f>HYPERLINK("https://www.sydney.edu.au/scholarships/b/international-grammar-school-scholarship.html", "International Grammar School Independent School Scholarship")</f>
        <v>International Grammar School Independent School Scholarship</v>
      </c>
      <c r="C165" t="s">
        <v>61</v>
      </c>
      <c r="D165" s="8" t="s">
        <v>268</v>
      </c>
      <c r="E165" t="s">
        <v>64</v>
      </c>
      <c r="F165" t="s">
        <v>12</v>
      </c>
      <c r="G165" s="2" t="s">
        <v>269</v>
      </c>
      <c r="H165" t="s">
        <v>13</v>
      </c>
      <c r="I165" t="s">
        <v>29</v>
      </c>
    </row>
    <row r="166" spans="1:9" ht="60" x14ac:dyDescent="0.25">
      <c r="A166" t="s">
        <v>9</v>
      </c>
      <c r="B166" t="str">
        <f>HYPERLINK("https://www.sydney.edu.au/scholarships/b/isabel-mary-tangie-mysydney-scholarship.html", "Isabel Mary Tangie MySydney Scholarship")</f>
        <v>Isabel Mary Tangie MySydney Scholarship</v>
      </c>
      <c r="C166" t="s">
        <v>81</v>
      </c>
      <c r="D166" s="7">
        <v>8500</v>
      </c>
      <c r="E166" t="s">
        <v>90</v>
      </c>
      <c r="F166" t="s">
        <v>18</v>
      </c>
      <c r="G166" s="2" t="s">
        <v>270</v>
      </c>
      <c r="H166" t="s">
        <v>13</v>
      </c>
      <c r="I166" t="s">
        <v>13</v>
      </c>
    </row>
    <row r="167" spans="1:9" ht="165" x14ac:dyDescent="0.25">
      <c r="A167" t="s">
        <v>9</v>
      </c>
      <c r="B167" t="str">
        <f>HYPERLINK("https://www.sydney.edu.au/scholarships/b/ivan-roberts-scholarship.html", "Ivan Roberts Scholarship")</f>
        <v>Ivan Roberts Scholarship</v>
      </c>
      <c r="C167" t="s">
        <v>61</v>
      </c>
      <c r="D167" s="6" t="s">
        <v>27</v>
      </c>
      <c r="E167" t="s">
        <v>64</v>
      </c>
      <c r="F167" t="s">
        <v>15</v>
      </c>
      <c r="G167" s="2" t="s">
        <v>271</v>
      </c>
      <c r="H167" t="s">
        <v>13</v>
      </c>
      <c r="I167" t="s">
        <v>13</v>
      </c>
    </row>
    <row r="168" spans="1:9" ht="75" x14ac:dyDescent="0.25">
      <c r="A168" t="s">
        <v>9</v>
      </c>
      <c r="B168" t="str">
        <f>HYPERLINK("https://www.sydney.edu.au/scholarships/b/james-moya-kilgannon-scholarship.html", "James and Moya Kilgannon Scholarship")</f>
        <v>James and Moya Kilgannon Scholarship</v>
      </c>
      <c r="C168" t="s">
        <v>61</v>
      </c>
      <c r="D168" s="6" t="s">
        <v>21</v>
      </c>
      <c r="E168" t="s">
        <v>64</v>
      </c>
      <c r="F168" t="s">
        <v>18</v>
      </c>
      <c r="G168" s="2" t="s">
        <v>272</v>
      </c>
      <c r="H168" t="s">
        <v>13</v>
      </c>
      <c r="I168" t="s">
        <v>13</v>
      </c>
    </row>
    <row r="169" spans="1:9" ht="60" x14ac:dyDescent="0.25">
      <c r="A169" t="s">
        <v>9</v>
      </c>
      <c r="B169" t="str">
        <f>HYPERLINK("https://www.sydney.edu.au/scholarships/b/james-strong-dymocks-scholarship.html", "James Strong-Dymocks Scholarship for Australian Literature")</f>
        <v>James Strong-Dymocks Scholarship for Australian Literature</v>
      </c>
      <c r="C169" t="s">
        <v>61</v>
      </c>
      <c r="D169" s="6" t="s">
        <v>42</v>
      </c>
      <c r="E169" t="s">
        <v>66</v>
      </c>
      <c r="F169" t="s">
        <v>18</v>
      </c>
      <c r="G169" s="2" t="s">
        <v>273</v>
      </c>
      <c r="H169" t="s">
        <v>13</v>
      </c>
      <c r="I169" t="s">
        <v>13</v>
      </c>
    </row>
    <row r="170" spans="1:9" ht="75" x14ac:dyDescent="0.25">
      <c r="A170" t="s">
        <v>9</v>
      </c>
      <c r="B170" t="str">
        <f>HYPERLINK("https://www.sydney.edu.au/scholarships/b/janet-oconnor-scholarship.html", "Janet O'Connor Postgraduate Scholarship")</f>
        <v>Janet O'Connor Postgraduate Scholarship</v>
      </c>
      <c r="C170" t="s">
        <v>61</v>
      </c>
      <c r="D170" s="6" t="s">
        <v>22</v>
      </c>
      <c r="E170" t="s">
        <v>274</v>
      </c>
      <c r="F170" t="s">
        <v>15</v>
      </c>
      <c r="G170" s="2" t="s">
        <v>275</v>
      </c>
      <c r="H170" t="s">
        <v>13</v>
      </c>
      <c r="I170" t="s">
        <v>13</v>
      </c>
    </row>
    <row r="171" spans="1:9" ht="105" x14ac:dyDescent="0.25">
      <c r="A171" t="s">
        <v>9</v>
      </c>
      <c r="B171" t="str">
        <f>HYPERLINK("https://www.sydney.edu.au/scholarships/b/jerome-de-costa-memorial-awards.html", "The Jerome De Costa Memorial Awards")</f>
        <v>The Jerome De Costa Memorial Awards</v>
      </c>
      <c r="C171" t="s">
        <v>81</v>
      </c>
      <c r="D171" s="6" t="s">
        <v>31</v>
      </c>
      <c r="E171" t="s">
        <v>62</v>
      </c>
      <c r="F171" t="s">
        <v>18</v>
      </c>
      <c r="G171" s="2" t="s">
        <v>276</v>
      </c>
      <c r="H171" t="s">
        <v>13</v>
      </c>
      <c r="I171" t="s">
        <v>13</v>
      </c>
    </row>
    <row r="172" spans="1:9" ht="105" x14ac:dyDescent="0.25">
      <c r="A172" t="s">
        <v>9</v>
      </c>
      <c r="B172" t="str">
        <f>HYPERLINK("https://www.sydney.edu.au/scholarships/b/jerome-de-costa-memorial-bursary.html", "The Jerome De Costa Memorial Bachelor of Visual Arts Degree Show Bursary")</f>
        <v>The Jerome De Costa Memorial Bachelor of Visual Arts Degree Show Bursary</v>
      </c>
      <c r="C172" t="s">
        <v>81</v>
      </c>
      <c r="D172" s="7">
        <v>5000</v>
      </c>
      <c r="E172" t="s">
        <v>64</v>
      </c>
      <c r="F172" t="s">
        <v>18</v>
      </c>
      <c r="G172" s="2" t="s">
        <v>277</v>
      </c>
      <c r="H172" t="s">
        <v>13</v>
      </c>
      <c r="I172" t="s">
        <v>13</v>
      </c>
    </row>
    <row r="173" spans="1:9" ht="60" x14ac:dyDescent="0.25">
      <c r="A173" t="s">
        <v>9</v>
      </c>
      <c r="B173" t="str">
        <f>HYPERLINK("https://www.sydney.edu.au/scholarships/b/john-frazer-scholarship.html", "John Frazer Scholarship")</f>
        <v>John Frazer Scholarship</v>
      </c>
      <c r="C173" t="s">
        <v>61</v>
      </c>
      <c r="D173" s="6" t="s">
        <v>19</v>
      </c>
      <c r="E173" t="s">
        <v>64</v>
      </c>
      <c r="F173" t="s">
        <v>72</v>
      </c>
      <c r="G173" s="2" t="s">
        <v>278</v>
      </c>
      <c r="H173" t="s">
        <v>13</v>
      </c>
      <c r="I173" t="s">
        <v>13</v>
      </c>
    </row>
    <row r="174" spans="1:9" ht="60" x14ac:dyDescent="0.25">
      <c r="A174" t="s">
        <v>9</v>
      </c>
      <c r="B174" t="str">
        <f>HYPERLINK("https://www.sydney.edu.au/scholarships/b/john-obrien-memorial-coursework-scholarships.html", "John O'Brien Memorial Coursework Scholarships")</f>
        <v>John O'Brien Memorial Coursework Scholarships</v>
      </c>
      <c r="C174" t="s">
        <v>61</v>
      </c>
      <c r="D174" s="6" t="s">
        <v>21</v>
      </c>
      <c r="E174" t="s">
        <v>64</v>
      </c>
      <c r="F174" t="s">
        <v>15</v>
      </c>
      <c r="G174" s="2" t="s">
        <v>279</v>
      </c>
      <c r="H174" t="s">
        <v>13</v>
      </c>
      <c r="I174" t="s">
        <v>13</v>
      </c>
    </row>
    <row r="175" spans="1:9" ht="90" x14ac:dyDescent="0.25">
      <c r="A175" t="s">
        <v>9</v>
      </c>
      <c r="B175" t="str">
        <f>HYPERLINK("https://www.sydney.edu.au/scholarships/b/jolanda-allen-indonesian-studies-scholarship.html", "Jolanda Allen Indonesian Studies Scholarship")</f>
        <v>Jolanda Allen Indonesian Studies Scholarship</v>
      </c>
      <c r="C175" t="s">
        <v>61</v>
      </c>
      <c r="D175" s="6" t="s">
        <v>41</v>
      </c>
      <c r="E175" t="s">
        <v>237</v>
      </c>
      <c r="F175" t="s">
        <v>18</v>
      </c>
      <c r="G175" s="2" t="s">
        <v>280</v>
      </c>
      <c r="H175" t="s">
        <v>13</v>
      </c>
      <c r="I175" t="s">
        <v>13</v>
      </c>
    </row>
    <row r="176" spans="1:9" ht="105" x14ac:dyDescent="0.25">
      <c r="A176" t="s">
        <v>9</v>
      </c>
      <c r="B176" t="str">
        <f>HYPERLINK("https://www.sydney.edu.au/scholarships/b/judge-j-ralph-j-perdriau-practical-legal-training-scholarship-fo.html", "Judge Ralph J Perdriau Practical Legal Training Scholarship for Marrickville Legal Centre")</f>
        <v>Judge Ralph J Perdriau Practical Legal Training Scholarship for Marrickville Legal Centre</v>
      </c>
      <c r="C176" t="s">
        <v>61</v>
      </c>
      <c r="D176" s="6" t="s">
        <v>24</v>
      </c>
      <c r="E176" t="s">
        <v>64</v>
      </c>
      <c r="F176" t="s">
        <v>12</v>
      </c>
      <c r="G176" s="2" t="s">
        <v>281</v>
      </c>
      <c r="H176" t="s">
        <v>13</v>
      </c>
      <c r="I176" t="s">
        <v>13</v>
      </c>
    </row>
    <row r="177" spans="1:9" ht="90" x14ac:dyDescent="0.25">
      <c r="A177" t="s">
        <v>9</v>
      </c>
      <c r="B177" t="str">
        <f>HYPERLINK("https://www.sydney.edu.au/scholarships/b/judge-j-ralph-j-perdriau-practical-legal-training-scholarship-fo0.html", "Judge Ralph J Perdriau Practical Legal Training Scholarship for Redfern Legal Centre")</f>
        <v>Judge Ralph J Perdriau Practical Legal Training Scholarship for Redfern Legal Centre</v>
      </c>
      <c r="C177" t="s">
        <v>61</v>
      </c>
      <c r="D177" s="6" t="s">
        <v>24</v>
      </c>
      <c r="E177" t="s">
        <v>62</v>
      </c>
      <c r="F177" t="s">
        <v>12</v>
      </c>
      <c r="G177" s="2" t="s">
        <v>282</v>
      </c>
      <c r="H177" t="s">
        <v>13</v>
      </c>
      <c r="I177" t="s">
        <v>13</v>
      </c>
    </row>
    <row r="178" spans="1:9" ht="90" x14ac:dyDescent="0.25">
      <c r="A178" t="s">
        <v>9</v>
      </c>
      <c r="B178" t="str">
        <f>HYPERLINK("https://www.sydney.edu.au/scholarships/b/judith-russell-ryan-scholarship.html", "Judith Russell Ryan Scholarships in Memory of Signora Tedeschi")</f>
        <v>Judith Russell Ryan Scholarships in Memory of Signora Tedeschi</v>
      </c>
      <c r="C178" t="s">
        <v>61</v>
      </c>
      <c r="D178" s="6" t="s">
        <v>19</v>
      </c>
      <c r="E178" t="s">
        <v>62</v>
      </c>
      <c r="F178" t="s">
        <v>18</v>
      </c>
      <c r="G178" s="2" t="s">
        <v>283</v>
      </c>
      <c r="H178" t="s">
        <v>13</v>
      </c>
      <c r="I178" t="s">
        <v>13</v>
      </c>
    </row>
    <row r="179" spans="1:9" ht="105" x14ac:dyDescent="0.25">
      <c r="A179" t="s">
        <v>9</v>
      </c>
      <c r="B179" t="str">
        <f>HYPERLINK("https://www.sydney.edu.au/scholarships/b/justice-peter-hely-scholarship.html", "The Justice Peter Hely Scholarship")</f>
        <v>The Justice Peter Hely Scholarship</v>
      </c>
      <c r="C179" t="s">
        <v>61</v>
      </c>
      <c r="D179" s="6" t="s">
        <v>38</v>
      </c>
      <c r="E179" t="s">
        <v>64</v>
      </c>
      <c r="F179" t="s">
        <v>15</v>
      </c>
      <c r="G179" s="2" t="s">
        <v>284</v>
      </c>
      <c r="H179" t="s">
        <v>13</v>
      </c>
      <c r="I179" t="s">
        <v>13</v>
      </c>
    </row>
    <row r="180" spans="1:9" ht="45" x14ac:dyDescent="0.25">
      <c r="A180" t="s">
        <v>9</v>
      </c>
      <c r="B180" t="str">
        <f>HYPERLINK("https://www.sydney.edu.au/scholarships/b/karnaghan-elgar-english-equity-scholarship.html", "Kathleen M Karnaghan and Frederick E English Equity Scholarship")</f>
        <v>Kathleen M Karnaghan and Frederick E English Equity Scholarship</v>
      </c>
      <c r="C180" t="s">
        <v>81</v>
      </c>
      <c r="D180" s="6" t="s">
        <v>19</v>
      </c>
      <c r="E180" t="s">
        <v>64</v>
      </c>
      <c r="F180" t="s">
        <v>18</v>
      </c>
      <c r="G180" s="2" t="s">
        <v>285</v>
      </c>
      <c r="H180" t="s">
        <v>13</v>
      </c>
      <c r="I180" t="s">
        <v>13</v>
      </c>
    </row>
    <row r="181" spans="1:9" ht="120" x14ac:dyDescent="0.25">
      <c r="A181" t="s">
        <v>9</v>
      </c>
      <c r="B181" t="str">
        <f>HYPERLINK("https://www.sydney.edu.au/scholarships/b/kerr-scholarship-in-history.html", "Kerr Scholarship in History")</f>
        <v>Kerr Scholarship in History</v>
      </c>
      <c r="C181" t="s">
        <v>81</v>
      </c>
      <c r="D181" s="6" t="s">
        <v>43</v>
      </c>
      <c r="E181" t="s">
        <v>90</v>
      </c>
      <c r="F181" t="s">
        <v>18</v>
      </c>
      <c r="G181" s="2" t="s">
        <v>286</v>
      </c>
      <c r="H181" t="s">
        <v>13</v>
      </c>
      <c r="I181" t="s">
        <v>13</v>
      </c>
    </row>
    <row r="182" spans="1:9" ht="75" x14ac:dyDescent="0.25">
      <c r="A182" t="s">
        <v>9</v>
      </c>
      <c r="B182" t="str">
        <f>HYPERLINK("https://www.sydney.edu.au/scholarships/b/lebanese-ladies-association-scholarship-in-arabic-language-and-cultures.html", "Lebanese Ladies Association Scholarship in Arabic Language and Cultures")</f>
        <v>Lebanese Ladies Association Scholarship in Arabic Language and Cultures</v>
      </c>
      <c r="C182" t="s">
        <v>61</v>
      </c>
      <c r="D182" s="6" t="s">
        <v>44</v>
      </c>
      <c r="E182" t="s">
        <v>64</v>
      </c>
      <c r="F182" t="s">
        <v>12</v>
      </c>
      <c r="G182" s="2" t="s">
        <v>287</v>
      </c>
      <c r="H182" t="s">
        <v>13</v>
      </c>
      <c r="I182" t="s">
        <v>13</v>
      </c>
    </row>
    <row r="183" spans="1:9" ht="30" x14ac:dyDescent="0.25">
      <c r="A183" t="s">
        <v>9</v>
      </c>
      <c r="B183" t="str">
        <f>HYPERLINK("https://www.sydney.edu.au/scholarships/b/liu-shiming-scholarship-in-visual-arts.html", "Liu Shiming Scholarship in Visual Arts")</f>
        <v>Liu Shiming Scholarship in Visual Arts</v>
      </c>
      <c r="C183" t="s">
        <v>61</v>
      </c>
      <c r="D183" s="6" t="s">
        <v>45</v>
      </c>
      <c r="E183" t="s">
        <v>62</v>
      </c>
      <c r="F183" t="s">
        <v>18</v>
      </c>
      <c r="G183" s="2" t="s">
        <v>288</v>
      </c>
      <c r="H183" t="s">
        <v>13</v>
      </c>
      <c r="I183" t="s">
        <v>13</v>
      </c>
    </row>
    <row r="184" spans="1:9" ht="30" x14ac:dyDescent="0.25">
      <c r="A184" t="s">
        <v>9</v>
      </c>
      <c r="B184" t="str">
        <f>HYPERLINK("https://www.sydney.edu.au/scholarships/b/longworth-scholarship-juris-doctor.html", "Longworth Scholarship for the Juris Doctor")</f>
        <v>Longworth Scholarship for the Juris Doctor</v>
      </c>
      <c r="C184" t="s">
        <v>81</v>
      </c>
      <c r="D184" s="6" t="s">
        <v>24</v>
      </c>
      <c r="E184" t="s">
        <v>66</v>
      </c>
      <c r="F184" t="s">
        <v>15</v>
      </c>
      <c r="G184" s="2" t="s">
        <v>289</v>
      </c>
      <c r="H184" t="s">
        <v>13</v>
      </c>
      <c r="I184" t="s">
        <v>13</v>
      </c>
    </row>
    <row r="185" spans="1:9" ht="90" x14ac:dyDescent="0.25">
      <c r="A185" t="s">
        <v>9</v>
      </c>
      <c r="B185" t="str">
        <f>HYPERLINK("https://www.sydney.edu.au/scholarships/b/loxton-chemical-and-biomolecular-engineering-undergraduate.html", "F H Loxton Undergraduate Scholarship in Chemical and Biomolecular Engineering")</f>
        <v>F H Loxton Undergraduate Scholarship in Chemical and Biomolecular Engineering</v>
      </c>
      <c r="C185" t="s">
        <v>61</v>
      </c>
      <c r="D185" s="6" t="s">
        <v>24</v>
      </c>
      <c r="E185" t="s">
        <v>65</v>
      </c>
      <c r="F185" t="s">
        <v>18</v>
      </c>
      <c r="G185" s="2" t="s">
        <v>290</v>
      </c>
      <c r="H185" t="s">
        <v>13</v>
      </c>
      <c r="I185" t="s">
        <v>13</v>
      </c>
    </row>
    <row r="186" spans="1:9" ht="45" x14ac:dyDescent="0.25">
      <c r="A186" t="s">
        <v>9</v>
      </c>
      <c r="B186" t="str">
        <f>HYPERLINK("https://www.sydney.edu.au/scholarships/b/lr-ba-browne-undergraduate-scholarship-civil-engineering.html", "LR and BA Browne Scholarships in Civil Engineering")</f>
        <v>LR and BA Browne Scholarships in Civil Engineering</v>
      </c>
      <c r="C186" t="s">
        <v>81</v>
      </c>
      <c r="D186" s="6" t="s">
        <v>21</v>
      </c>
      <c r="E186" t="s">
        <v>64</v>
      </c>
      <c r="F186" t="s">
        <v>18</v>
      </c>
      <c r="G186" s="2" t="s">
        <v>291</v>
      </c>
      <c r="H186" t="s">
        <v>13</v>
      </c>
      <c r="I186" t="s">
        <v>13</v>
      </c>
    </row>
    <row r="187" spans="1:9" ht="60" x14ac:dyDescent="0.25">
      <c r="A187" t="s">
        <v>9</v>
      </c>
      <c r="B187" t="str">
        <f>HYPERLINK("https://www.sydney.edu.au/scholarships/b/lucy-firth-equity-honours-scholarship.html", "Lucy Firth Equity Honours Scholarship")</f>
        <v>Lucy Firth Equity Honours Scholarship</v>
      </c>
      <c r="C187" t="s">
        <v>81</v>
      </c>
      <c r="D187" s="6" t="s">
        <v>19</v>
      </c>
      <c r="E187" t="s">
        <v>64</v>
      </c>
      <c r="F187" t="s">
        <v>18</v>
      </c>
      <c r="G187" s="2" t="s">
        <v>292</v>
      </c>
      <c r="H187" t="s">
        <v>13</v>
      </c>
      <c r="I187" t="s">
        <v>13</v>
      </c>
    </row>
    <row r="188" spans="1:9" ht="90" x14ac:dyDescent="0.25">
      <c r="A188" t="s">
        <v>9</v>
      </c>
      <c r="B188" t="str">
        <f>HYPERLINK("https://www.sydney.edu.au/scholarships/b/major-industrial-project-placement-scheme--mipps--scholarship.html", "Major Industrial Project Placement Scheme Scholarship")</f>
        <v>Major Industrial Project Placement Scheme Scholarship</v>
      </c>
      <c r="C188" t="s">
        <v>61</v>
      </c>
      <c r="D188" s="6" t="s">
        <v>40</v>
      </c>
      <c r="E188" t="s">
        <v>63</v>
      </c>
      <c r="F188" t="s">
        <v>12</v>
      </c>
      <c r="G188" s="2" t="s">
        <v>100</v>
      </c>
      <c r="H188" t="s">
        <v>13</v>
      </c>
      <c r="I188" t="s">
        <v>29</v>
      </c>
    </row>
    <row r="189" spans="1:9" ht="60" x14ac:dyDescent="0.25">
      <c r="A189" t="s">
        <v>9</v>
      </c>
      <c r="B189" t="str">
        <f>HYPERLINK("https://www.sydney.edu.au/scholarships/b/margaret-hamer-scholarship-for-women-in-engineering.html", "Margaret Hamer Scholarship for Women in Engineering")</f>
        <v>Margaret Hamer Scholarship for Women in Engineering</v>
      </c>
      <c r="C189" t="s">
        <v>61</v>
      </c>
      <c r="D189" s="7">
        <v>6000</v>
      </c>
      <c r="E189" t="s">
        <v>64</v>
      </c>
      <c r="F189" t="s">
        <v>18</v>
      </c>
      <c r="G189" s="2" t="s">
        <v>261</v>
      </c>
      <c r="H189" t="s">
        <v>13</v>
      </c>
      <c r="I189" t="s">
        <v>13</v>
      </c>
    </row>
    <row r="190" spans="1:9" ht="90" x14ac:dyDescent="0.25">
      <c r="A190" t="s">
        <v>9</v>
      </c>
      <c r="B190" t="str">
        <f>HYPERLINK("https://www.sydney.edu.au/scholarships/b/marion-macaulay-bequest-teaching-scholarship.html", "Marion Macaulay Internship Scholarship in Education")</f>
        <v>Marion Macaulay Internship Scholarship in Education</v>
      </c>
      <c r="C190" t="s">
        <v>61</v>
      </c>
      <c r="D190" s="7">
        <v>6000</v>
      </c>
      <c r="E190" t="s">
        <v>62</v>
      </c>
      <c r="F190" t="s">
        <v>12</v>
      </c>
      <c r="G190" s="2" t="s">
        <v>293</v>
      </c>
      <c r="H190" t="s">
        <v>13</v>
      </c>
      <c r="I190" t="s">
        <v>29</v>
      </c>
    </row>
    <row r="191" spans="1:9" ht="105" x14ac:dyDescent="0.25">
      <c r="A191" t="s">
        <v>9</v>
      </c>
      <c r="B191" t="str">
        <f>HYPERLINK("https://www.sydney.edu.au/scholarships/b/mary-henderson-gerstle-scholarship-economic-history.html", "The Mary Henderson (Gerstle) Undergraduate Scholarship in Economic History")</f>
        <v>The Mary Henderson (Gerstle) Undergraduate Scholarship in Economic History</v>
      </c>
      <c r="C191" t="s">
        <v>61</v>
      </c>
      <c r="D191" s="6" t="s">
        <v>39</v>
      </c>
      <c r="E191" t="s">
        <v>64</v>
      </c>
      <c r="F191" t="s">
        <v>18</v>
      </c>
      <c r="G191" s="2" t="s">
        <v>294</v>
      </c>
      <c r="H191" t="s">
        <v>13</v>
      </c>
      <c r="I191" t="s">
        <v>13</v>
      </c>
    </row>
    <row r="192" spans="1:9" ht="60" x14ac:dyDescent="0.25">
      <c r="A192" t="s">
        <v>9</v>
      </c>
      <c r="B192" t="str">
        <f>HYPERLINK("https://www.sydney.edu.au/scholarships/b/mary-henderson-gerstle-scholarship-political-economy.html", "The Mary Henderson (Gerstle) Undergraduate Scholarship in Political Economy")</f>
        <v>The Mary Henderson (Gerstle) Undergraduate Scholarship in Political Economy</v>
      </c>
      <c r="C192" t="s">
        <v>81</v>
      </c>
      <c r="D192" s="6" t="s">
        <v>39</v>
      </c>
      <c r="E192" t="s">
        <v>90</v>
      </c>
      <c r="F192" t="s">
        <v>18</v>
      </c>
      <c r="G192" s="2" t="s">
        <v>295</v>
      </c>
      <c r="H192" t="s">
        <v>13</v>
      </c>
      <c r="I192" t="s">
        <v>13</v>
      </c>
    </row>
    <row r="193" spans="1:9" ht="90" x14ac:dyDescent="0.25">
      <c r="A193" t="s">
        <v>9</v>
      </c>
      <c r="B193" t="str">
        <f>HYPERLINK("https://www.sydney.edu.au/scholarships/b/master-of-social-justice-commencing-scholarship.html", "Master of Social Justice Commencing Scholarship")</f>
        <v>Master of Social Justice Commencing Scholarship</v>
      </c>
      <c r="C193" t="s">
        <v>81</v>
      </c>
      <c r="D193" s="6" t="s">
        <v>21</v>
      </c>
      <c r="E193" t="s">
        <v>64</v>
      </c>
      <c r="F193" t="s">
        <v>15</v>
      </c>
      <c r="G193" s="2" t="s">
        <v>296</v>
      </c>
      <c r="H193" t="s">
        <v>13</v>
      </c>
      <c r="I193" t="s">
        <v>13</v>
      </c>
    </row>
    <row r="194" spans="1:9" ht="150" x14ac:dyDescent="0.25">
      <c r="A194" t="s">
        <v>9</v>
      </c>
      <c r="B194" t="str">
        <f>HYPERLINK("https://www.sydney.edu.au/scholarships/b/one-sydney-many-people.html", "Faculty of Engineering One Sydney, Many People Scholarship")</f>
        <v>Faculty of Engineering One Sydney, Many People Scholarship</v>
      </c>
      <c r="C194" t="s">
        <v>81</v>
      </c>
      <c r="D194" s="8" t="s">
        <v>298</v>
      </c>
      <c r="E194" t="s">
        <v>10</v>
      </c>
      <c r="F194" t="s">
        <v>18</v>
      </c>
      <c r="G194" s="2" t="s">
        <v>297</v>
      </c>
      <c r="H194" t="s">
        <v>138</v>
      </c>
      <c r="I194" t="s">
        <v>13</v>
      </c>
    </row>
    <row r="195" spans="1:9" ht="75" x14ac:dyDescent="0.25">
      <c r="A195" t="s">
        <v>9</v>
      </c>
      <c r="B195" t="str">
        <f>HYPERLINK("https://www.sydney.edu.au/scholarships/b/pd-jack-prize.html", "PD Jack Prize")</f>
        <v>PD Jack Prize</v>
      </c>
      <c r="C195" t="s">
        <v>61</v>
      </c>
      <c r="D195" s="8" t="s">
        <v>300</v>
      </c>
      <c r="E195" t="s">
        <v>10</v>
      </c>
      <c r="F195" t="s">
        <v>18</v>
      </c>
      <c r="G195" s="2" t="s">
        <v>299</v>
      </c>
      <c r="H195" t="s">
        <v>13</v>
      </c>
      <c r="I195" t="s">
        <v>13</v>
      </c>
    </row>
    <row r="196" spans="1:9" ht="75" x14ac:dyDescent="0.25">
      <c r="A196" t="s">
        <v>9</v>
      </c>
      <c r="B196" t="str">
        <f>HYPERLINK("https://www.sydney.edu.au/scholarships/b/peace-and-social-justice-scholarship.html", "Peace and Social Justice Scholarship")</f>
        <v>Peace and Social Justice Scholarship</v>
      </c>
      <c r="C196" t="s">
        <v>61</v>
      </c>
      <c r="D196" s="6" t="s">
        <v>39</v>
      </c>
      <c r="E196" t="s">
        <v>64</v>
      </c>
      <c r="F196" t="s">
        <v>15</v>
      </c>
      <c r="G196" s="2" t="s">
        <v>301</v>
      </c>
      <c r="H196" t="s">
        <v>13</v>
      </c>
      <c r="I196" t="s">
        <v>13</v>
      </c>
    </row>
    <row r="197" spans="1:9" ht="120" x14ac:dyDescent="0.25">
      <c r="A197" t="s">
        <v>9</v>
      </c>
      <c r="B197" t="str">
        <f>HYPERLINK("https://www.sydney.edu.au/scholarships/b/peter-cameron-sydney-oxford-scholarship.html", "Peter Cameron Sydney Oxford Scholarship")</f>
        <v>Peter Cameron Sydney Oxford Scholarship</v>
      </c>
      <c r="C197" t="s">
        <v>61</v>
      </c>
      <c r="D197" s="6" t="s">
        <v>46</v>
      </c>
      <c r="E197" t="s">
        <v>62</v>
      </c>
      <c r="F197" t="s">
        <v>12</v>
      </c>
      <c r="G197" s="2" t="s">
        <v>302</v>
      </c>
      <c r="H197" t="s">
        <v>13</v>
      </c>
      <c r="I197" t="s">
        <v>13</v>
      </c>
    </row>
    <row r="198" spans="1:9" ht="120" x14ac:dyDescent="0.25">
      <c r="A198" t="s">
        <v>9</v>
      </c>
      <c r="B198" t="str">
        <f>HYPERLINK("https://www.sydney.edu.au/scholarships/b/peter-nicol-russell-undergraduate-scholarship.html", "The Peter Nicol Russell Undergraduate Scholarship")</f>
        <v>The Peter Nicol Russell Undergraduate Scholarship</v>
      </c>
      <c r="C198" t="s">
        <v>61</v>
      </c>
      <c r="D198" s="7">
        <v>6000</v>
      </c>
      <c r="E198" t="s">
        <v>65</v>
      </c>
      <c r="F198" t="s">
        <v>18</v>
      </c>
      <c r="G198" s="2" t="s">
        <v>303</v>
      </c>
      <c r="H198" t="s">
        <v>13</v>
      </c>
      <c r="I198" t="s">
        <v>13</v>
      </c>
    </row>
    <row r="199" spans="1:9" ht="90" x14ac:dyDescent="0.25">
      <c r="A199" t="s">
        <v>9</v>
      </c>
      <c r="B199" t="str">
        <f>HYPERLINK("https://www.sydney.edu.au/scholarships/b/philosophy-honours-scholarship-on-the-ethics-of-artificial-wombs.html", "Philosophy Honours Scholarship on the Ethics of Artificial Wombs")</f>
        <v>Philosophy Honours Scholarship on the Ethics of Artificial Wombs</v>
      </c>
      <c r="C199" t="s">
        <v>61</v>
      </c>
      <c r="D199" s="6" t="s">
        <v>16</v>
      </c>
      <c r="E199" t="s">
        <v>64</v>
      </c>
      <c r="F199" t="s">
        <v>18</v>
      </c>
      <c r="G199" s="2" t="s">
        <v>304</v>
      </c>
      <c r="H199" t="s">
        <v>13</v>
      </c>
      <c r="I199" t="s">
        <v>13</v>
      </c>
    </row>
    <row r="200" spans="1:9" ht="45" x14ac:dyDescent="0.25">
      <c r="A200" t="s">
        <v>9</v>
      </c>
      <c r="B200" t="str">
        <f>HYPERLINK("https://www.sydney.edu.au/scholarships/b/pitt-cobbett-scholarship.html", "Pitt Cobbett Scholarship")</f>
        <v>Pitt Cobbett Scholarship</v>
      </c>
      <c r="C200" t="s">
        <v>81</v>
      </c>
      <c r="D200" s="6" t="s">
        <v>19</v>
      </c>
      <c r="E200" t="s">
        <v>62</v>
      </c>
      <c r="F200" t="s">
        <v>12</v>
      </c>
      <c r="G200" s="2" t="s">
        <v>305</v>
      </c>
      <c r="H200" t="s">
        <v>13</v>
      </c>
      <c r="I200" t="s">
        <v>13</v>
      </c>
    </row>
    <row r="201" spans="1:9" ht="75" x14ac:dyDescent="0.25">
      <c r="A201" t="s">
        <v>9</v>
      </c>
      <c r="B201" t="str">
        <f>HYPERLINK("https://www.sydney.edu.au/scholarships/b/politis-family-scholarship.html", "The Politis Family Scholarship in Modern Greek and/or Byzantine Studies")</f>
        <v>The Politis Family Scholarship in Modern Greek and/or Byzantine Studies</v>
      </c>
      <c r="C201" t="s">
        <v>61</v>
      </c>
      <c r="D201" s="7">
        <v>3000</v>
      </c>
      <c r="E201" t="s">
        <v>62</v>
      </c>
      <c r="F201" t="s">
        <v>12</v>
      </c>
      <c r="G201" s="2" t="s">
        <v>306</v>
      </c>
      <c r="H201" t="s">
        <v>13</v>
      </c>
      <c r="I201" t="s">
        <v>13</v>
      </c>
    </row>
    <row r="202" spans="1:9" ht="60" x14ac:dyDescent="0.25">
      <c r="A202" t="s">
        <v>9</v>
      </c>
      <c r="B202" t="str">
        <f>HYPERLINK("https://www.sydney.edu.au/scholarships/b/postgraduate-equity-scholarship-gender-cultural-studies.html", "Postgraduate Equity Scholarship in Gender and Cultural Studies")</f>
        <v>Postgraduate Equity Scholarship in Gender and Cultural Studies</v>
      </c>
      <c r="C202" t="s">
        <v>81</v>
      </c>
      <c r="D202" s="7">
        <v>6000</v>
      </c>
      <c r="E202" t="s">
        <v>62</v>
      </c>
      <c r="F202" t="s">
        <v>15</v>
      </c>
      <c r="G202" s="2" t="s">
        <v>307</v>
      </c>
      <c r="H202" t="s">
        <v>13</v>
      </c>
      <c r="I202" t="s">
        <v>13</v>
      </c>
    </row>
    <row r="203" spans="1:9" ht="150" x14ac:dyDescent="0.25">
      <c r="A203" t="s">
        <v>9</v>
      </c>
      <c r="B203" t="str">
        <f>HYPERLINK("https://www.sydney.edu.au/scholarships/b/ravenswood-independent-schools-scholarship.html", "The Ravenswood Independent Schools Scholarship")</f>
        <v>The Ravenswood Independent Schools Scholarship</v>
      </c>
      <c r="C203" t="s">
        <v>61</v>
      </c>
      <c r="D203" s="6" t="s">
        <v>47</v>
      </c>
      <c r="E203" t="s">
        <v>64</v>
      </c>
      <c r="F203" t="s">
        <v>12</v>
      </c>
      <c r="G203" s="2" t="s">
        <v>308</v>
      </c>
      <c r="H203" t="s">
        <v>13</v>
      </c>
      <c r="I203" t="s">
        <v>29</v>
      </c>
    </row>
    <row r="204" spans="1:9" ht="105" x14ac:dyDescent="0.25">
      <c r="A204" t="s">
        <v>9</v>
      </c>
      <c r="B204" t="str">
        <f>HYPERLINK("https://www.sydney.edu.au/scholarships/b/rolf-prince-scholarship.html", "The Rolf Prince Scholarship")</f>
        <v>The Rolf Prince Scholarship</v>
      </c>
      <c r="C204" t="s">
        <v>61</v>
      </c>
      <c r="D204" s="6" t="s">
        <v>21</v>
      </c>
      <c r="E204" t="s">
        <v>64</v>
      </c>
      <c r="F204" t="s">
        <v>18</v>
      </c>
      <c r="G204" s="2" t="s">
        <v>309</v>
      </c>
      <c r="H204" t="s">
        <v>13</v>
      </c>
      <c r="I204" t="s">
        <v>13</v>
      </c>
    </row>
    <row r="205" spans="1:9" ht="165" x14ac:dyDescent="0.25">
      <c r="A205" t="s">
        <v>9</v>
      </c>
      <c r="B205" t="str">
        <f>HYPERLINK("https://www.sydney.edu.au/scholarships/b/romy-waterlow-fellowship-trust.html", "Romy Waterlow Fellowship Trust")</f>
        <v>Romy Waterlow Fellowship Trust</v>
      </c>
      <c r="C205" t="s">
        <v>61</v>
      </c>
      <c r="D205" s="7">
        <v>10000</v>
      </c>
      <c r="E205" t="s">
        <v>62</v>
      </c>
      <c r="F205" t="s">
        <v>15</v>
      </c>
      <c r="G205" s="2" t="s">
        <v>310</v>
      </c>
      <c r="H205" t="s">
        <v>13</v>
      </c>
      <c r="I205" t="s">
        <v>13</v>
      </c>
    </row>
    <row r="206" spans="1:9" ht="30" x14ac:dyDescent="0.25">
      <c r="A206" t="s">
        <v>9</v>
      </c>
      <c r="B206" t="str">
        <f>HYPERLINK("https://www.sydney.edu.au/scholarships/b/ross-waite-parsons-scholarship.html", "Ross Waite Parsons Postgraduate Coursework Law Scholarship")</f>
        <v>Ross Waite Parsons Postgraduate Coursework Law Scholarship</v>
      </c>
      <c r="C206" t="s">
        <v>61</v>
      </c>
      <c r="D206" s="6" t="s">
        <v>21</v>
      </c>
      <c r="E206" t="s">
        <v>64</v>
      </c>
      <c r="F206" t="s">
        <v>15</v>
      </c>
      <c r="G206" s="2" t="s">
        <v>311</v>
      </c>
      <c r="H206" t="s">
        <v>13</v>
      </c>
      <c r="I206" t="s">
        <v>13</v>
      </c>
    </row>
    <row r="207" spans="1:9" ht="60" x14ac:dyDescent="0.25">
      <c r="A207" t="s">
        <v>9</v>
      </c>
      <c r="B207" t="str">
        <f>HYPERLINK("https://www.sydney.edu.au/scholarships/b/roy-frederick-turner-am-scholarship.html", "Roy Frederick Turner AM Scholarship - Law")</f>
        <v>Roy Frederick Turner AM Scholarship - Law</v>
      </c>
      <c r="C207" t="s">
        <v>81</v>
      </c>
      <c r="D207" s="7">
        <v>7000</v>
      </c>
      <c r="E207" t="s">
        <v>64</v>
      </c>
      <c r="F207" t="s">
        <v>18</v>
      </c>
      <c r="G207" s="2" t="s">
        <v>312</v>
      </c>
      <c r="H207" t="s">
        <v>13</v>
      </c>
      <c r="I207" t="s">
        <v>13</v>
      </c>
    </row>
    <row r="208" spans="1:9" ht="60" x14ac:dyDescent="0.25">
      <c r="A208" t="s">
        <v>9</v>
      </c>
      <c r="B208" t="str">
        <f>HYPERLINK("https://www.sydney.edu.au/scholarships/b/roy-frederick-turner-scholarship.html", "Roy Frederick Turner Scholarship - Law")</f>
        <v>Roy Frederick Turner Scholarship - Law</v>
      </c>
      <c r="C208" t="s">
        <v>81</v>
      </c>
      <c r="D208" s="7">
        <v>7000</v>
      </c>
      <c r="E208" t="s">
        <v>64</v>
      </c>
      <c r="F208" t="s">
        <v>18</v>
      </c>
      <c r="G208" s="2" t="s">
        <v>313</v>
      </c>
      <c r="H208" t="s">
        <v>13</v>
      </c>
      <c r="I208" t="s">
        <v>13</v>
      </c>
    </row>
    <row r="209" spans="1:9" ht="75" x14ac:dyDescent="0.25">
      <c r="A209" t="s">
        <v>9</v>
      </c>
      <c r="B209" t="str">
        <f>HYPERLINK("https://www.sydney.edu.au/scholarships/b/saint-ignatius-college-riverview-independent-school-scholarship.html", "Saint Ignatius College Riverview Independent School Scholarship")</f>
        <v>Saint Ignatius College Riverview Independent School Scholarship</v>
      </c>
      <c r="C209" t="s">
        <v>61</v>
      </c>
      <c r="D209" s="8" t="s">
        <v>268</v>
      </c>
      <c r="E209" t="s">
        <v>64</v>
      </c>
      <c r="F209" t="s">
        <v>12</v>
      </c>
      <c r="G209" s="2" t="s">
        <v>314</v>
      </c>
      <c r="H209" t="s">
        <v>13</v>
      </c>
      <c r="I209" t="s">
        <v>29</v>
      </c>
    </row>
    <row r="210" spans="1:9" ht="60" x14ac:dyDescent="0.25">
      <c r="A210" t="s">
        <v>9</v>
      </c>
      <c r="B210" t="str">
        <f>HYPERLINK("https://www.sydney.edu.au/scholarships/b/scholarship-aeronautical-aerospace-engineering.html", "Undergraduate Scholarship in Aeronautical / Aerospace Engineering")</f>
        <v>Undergraduate Scholarship in Aeronautical / Aerospace Engineering</v>
      </c>
      <c r="C210" t="s">
        <v>81</v>
      </c>
      <c r="D210" s="7">
        <v>6000</v>
      </c>
      <c r="E210" t="s">
        <v>65</v>
      </c>
      <c r="F210" t="s">
        <v>18</v>
      </c>
      <c r="G210" s="2" t="s">
        <v>315</v>
      </c>
      <c r="H210" t="s">
        <v>138</v>
      </c>
      <c r="I210" t="s">
        <v>13</v>
      </c>
    </row>
    <row r="211" spans="1:9" ht="120" x14ac:dyDescent="0.25">
      <c r="A211" t="s">
        <v>9</v>
      </c>
      <c r="B211" t="str">
        <f>HYPERLINK("https://www.sydney.edu.au/scholarships/b/scholarship-in-engineering.html", "Scholarship in Engineering")</f>
        <v>Scholarship in Engineering</v>
      </c>
      <c r="C211" t="s">
        <v>81</v>
      </c>
      <c r="D211" s="7">
        <v>12000</v>
      </c>
      <c r="E211" t="s">
        <v>90</v>
      </c>
      <c r="F211" t="s">
        <v>18</v>
      </c>
      <c r="G211" s="2" t="s">
        <v>316</v>
      </c>
      <c r="H211" t="s">
        <v>13</v>
      </c>
      <c r="I211" t="s">
        <v>13</v>
      </c>
    </row>
    <row r="212" spans="1:9" ht="75" x14ac:dyDescent="0.25">
      <c r="A212" t="s">
        <v>9</v>
      </c>
      <c r="B212" t="str">
        <f>HYPERLINK("https://www.sydney.edu.au/scholarships/b/school-of-computer-science-honours-scholarships.html", "School of Computer Science Honours Scholarships")</f>
        <v>School of Computer Science Honours Scholarships</v>
      </c>
      <c r="C212" t="s">
        <v>61</v>
      </c>
      <c r="D212" s="6" t="s">
        <v>16</v>
      </c>
      <c r="E212" t="s">
        <v>64</v>
      </c>
      <c r="F212" t="s">
        <v>72</v>
      </c>
      <c r="G212" s="2" t="s">
        <v>317</v>
      </c>
      <c r="H212" t="s">
        <v>13</v>
      </c>
      <c r="I212" t="s">
        <v>13</v>
      </c>
    </row>
    <row r="213" spans="1:9" ht="120" x14ac:dyDescent="0.25">
      <c r="A213" t="s">
        <v>9</v>
      </c>
      <c r="B213" t="str">
        <f>HYPERLINK("https://www.sydney.edu.au/scholarships/b/sciences-po-dual-degree-scholarship.html", "Sciences Po Dual Degree Scholarship")</f>
        <v>Sciences Po Dual Degree Scholarship</v>
      </c>
      <c r="C213" t="s">
        <v>61</v>
      </c>
      <c r="D213" s="6" t="s">
        <v>22</v>
      </c>
      <c r="E213" t="s">
        <v>237</v>
      </c>
      <c r="F213" t="s">
        <v>18</v>
      </c>
      <c r="G213" s="2" t="s">
        <v>318</v>
      </c>
      <c r="H213" t="s">
        <v>13</v>
      </c>
      <c r="I213" t="s">
        <v>13</v>
      </c>
    </row>
    <row r="214" spans="1:9" ht="135" x14ac:dyDescent="0.25">
      <c r="A214" t="s">
        <v>9</v>
      </c>
      <c r="B214" t="str">
        <f>HYPERLINK("https://www.sydney.edu.au/scholarships/b/stanley-sinclair-bequest-scholarship.html", "Stanley Sinclair Bequest Scholarship")</f>
        <v>Stanley Sinclair Bequest Scholarship</v>
      </c>
      <c r="C214" t="s">
        <v>61</v>
      </c>
      <c r="D214" s="7">
        <v>5000</v>
      </c>
      <c r="E214" t="s">
        <v>64</v>
      </c>
      <c r="F214" t="s">
        <v>15</v>
      </c>
      <c r="G214" s="2" t="s">
        <v>319</v>
      </c>
      <c r="H214" t="s">
        <v>13</v>
      </c>
      <c r="I214" t="s">
        <v>13</v>
      </c>
    </row>
    <row r="215" spans="1:9" ht="75" x14ac:dyDescent="0.25">
      <c r="A215" t="s">
        <v>9</v>
      </c>
      <c r="B215" t="str">
        <f>HYPERLINK("https://www.sydney.edu.au/scholarships/b/start-up-scholarship.html", "Postgraduate Coursework Start Up Scholarship")</f>
        <v>Postgraduate Coursework Start Up Scholarship</v>
      </c>
      <c r="C215" t="s">
        <v>61</v>
      </c>
      <c r="D215" s="6" t="s">
        <v>21</v>
      </c>
      <c r="E215" t="s">
        <v>64</v>
      </c>
      <c r="F215" t="s">
        <v>15</v>
      </c>
      <c r="G215" s="2" t="s">
        <v>101</v>
      </c>
      <c r="H215" t="s">
        <v>13</v>
      </c>
      <c r="I215" t="s">
        <v>13</v>
      </c>
    </row>
    <row r="216" spans="1:9" ht="90" x14ac:dyDescent="0.25">
      <c r="A216" t="s">
        <v>9</v>
      </c>
      <c r="B216" t="str">
        <f>HYPERLINK("https://www.sydney.edu.au/scholarships/b/sydney-policy-reform-project-scholarship.html", "Sydney Policy Reform Project Scholarship")</f>
        <v>Sydney Policy Reform Project Scholarship</v>
      </c>
      <c r="C216" t="s">
        <v>81</v>
      </c>
      <c r="D216" s="6" t="s">
        <v>48</v>
      </c>
      <c r="E216" t="s">
        <v>64</v>
      </c>
      <c r="F216" t="s">
        <v>15</v>
      </c>
      <c r="G216" s="2" t="s">
        <v>320</v>
      </c>
      <c r="H216" t="s">
        <v>13</v>
      </c>
      <c r="I216" t="s">
        <v>13</v>
      </c>
    </row>
    <row r="217" spans="1:9" ht="135" x14ac:dyDescent="0.25">
      <c r="A217" t="s">
        <v>9</v>
      </c>
      <c r="B217" t="str">
        <f>HYPERLINK("https://www.sydney.edu.au/scholarships/b/sydney-symposium-choral-foundation-conducting-scholarship.html", "Sydney Symposium Choral Foundation Conducting Scholarship")</f>
        <v>Sydney Symposium Choral Foundation Conducting Scholarship</v>
      </c>
      <c r="C217" t="s">
        <v>227</v>
      </c>
      <c r="D217" t="s">
        <v>14</v>
      </c>
      <c r="E217" t="s">
        <v>60</v>
      </c>
      <c r="F217" t="s">
        <v>12</v>
      </c>
      <c r="G217" s="2" t="s">
        <v>436</v>
      </c>
      <c r="H217" t="s">
        <v>13</v>
      </c>
      <c r="I217" t="s">
        <v>13</v>
      </c>
    </row>
    <row r="218" spans="1:9" ht="60" x14ac:dyDescent="0.25">
      <c r="A218" t="s">
        <v>9</v>
      </c>
      <c r="B218" t="str">
        <f>HYPERLINK("https://www.sydney.edu.au/scholarships/b/t-m-hsiao-scholarship.html", "The T M Hsiao Scholarship")</f>
        <v>The T M Hsiao Scholarship</v>
      </c>
      <c r="C218" t="s">
        <v>61</v>
      </c>
      <c r="D218" s="6" t="s">
        <v>19</v>
      </c>
      <c r="E218" t="s">
        <v>62</v>
      </c>
      <c r="F218" t="s">
        <v>102</v>
      </c>
      <c r="G218" s="2" t="s">
        <v>103</v>
      </c>
      <c r="H218" t="s">
        <v>13</v>
      </c>
      <c r="I218" t="s">
        <v>13</v>
      </c>
    </row>
    <row r="219" spans="1:9" ht="90" x14ac:dyDescent="0.25">
      <c r="A219" t="s">
        <v>9</v>
      </c>
      <c r="B219" t="str">
        <f>HYPERLINK("https://www.sydney.edu.au/scholarships/b/teachers-education-scholarship-wenona.html", "The Teacher Education Scholarship (Wenona)")</f>
        <v>The Teacher Education Scholarship (Wenona)</v>
      </c>
      <c r="C219" t="s">
        <v>61</v>
      </c>
      <c r="D219" s="6" t="s">
        <v>42</v>
      </c>
      <c r="E219" t="s">
        <v>64</v>
      </c>
      <c r="F219" t="s">
        <v>12</v>
      </c>
      <c r="G219" s="2" t="s">
        <v>322</v>
      </c>
      <c r="H219" t="s">
        <v>13</v>
      </c>
      <c r="I219" t="s">
        <v>29</v>
      </c>
    </row>
    <row r="220" spans="1:9" ht="75" x14ac:dyDescent="0.25">
      <c r="A220" t="s">
        <v>9</v>
      </c>
      <c r="B220" t="str">
        <f>HYPERLINK("https://www.sydney.edu.au/scholarships/b/the-abbotsleigh-teacher-education-scholarship.html", "The Abbotsleigh Teacher Education Scholarship")</f>
        <v>The Abbotsleigh Teacher Education Scholarship</v>
      </c>
      <c r="C220" t="s">
        <v>61</v>
      </c>
      <c r="D220" s="6" t="s">
        <v>42</v>
      </c>
      <c r="E220" t="s">
        <v>64</v>
      </c>
      <c r="F220" t="s">
        <v>12</v>
      </c>
      <c r="G220" s="2" t="s">
        <v>321</v>
      </c>
      <c r="H220" t="s">
        <v>13</v>
      </c>
      <c r="I220" t="s">
        <v>29</v>
      </c>
    </row>
    <row r="221" spans="1:9" ht="75" x14ac:dyDescent="0.25">
      <c r="A221" t="s">
        <v>9</v>
      </c>
      <c r="B221" t="str">
        <f>HYPERLINK("https://www.sydney.edu.au/scholarships/b/the-ascham-teacher-education-scholarship.html", "The Ascham Teacher Education Scholarship")</f>
        <v>The Ascham Teacher Education Scholarship</v>
      </c>
      <c r="C221" t="s">
        <v>61</v>
      </c>
      <c r="D221" s="6" t="s">
        <v>42</v>
      </c>
      <c r="E221" t="s">
        <v>64</v>
      </c>
      <c r="F221" t="s">
        <v>12</v>
      </c>
      <c r="G221" s="2" t="s">
        <v>321</v>
      </c>
      <c r="H221" t="s">
        <v>13</v>
      </c>
      <c r="I221" t="s">
        <v>13</v>
      </c>
    </row>
    <row r="222" spans="1:9" ht="90" x14ac:dyDescent="0.25">
      <c r="A222" t="s">
        <v>9</v>
      </c>
      <c r="B222" t="str">
        <f>HYPERLINK("https://www.sydney.edu.au/scholarships/b/the-benjafield-and-mccallum-ao-scholarship.html", "The Benjafield and McCallum AO Scholarship")</f>
        <v>The Benjafield and McCallum AO Scholarship</v>
      </c>
      <c r="C222" t="s">
        <v>81</v>
      </c>
      <c r="D222" s="6" t="s">
        <v>19</v>
      </c>
      <c r="E222" t="s">
        <v>64</v>
      </c>
      <c r="F222" t="s">
        <v>18</v>
      </c>
      <c r="G222" s="2" t="s">
        <v>323</v>
      </c>
      <c r="H222" t="s">
        <v>13</v>
      </c>
      <c r="I222" t="s">
        <v>29</v>
      </c>
    </row>
    <row r="223" spans="1:9" ht="60" x14ac:dyDescent="0.25">
      <c r="A223" t="s">
        <v>9</v>
      </c>
      <c r="B223" t="str">
        <f>HYPERLINK("https://www.sydney.edu.au/scholarships/b/the-dr-lena-cansdale-scholarship.html", "The Dr Lena Cansdale Scholarship")</f>
        <v>The Dr Lena Cansdale Scholarship</v>
      </c>
      <c r="C223" t="s">
        <v>61</v>
      </c>
      <c r="D223" s="7">
        <v>3000</v>
      </c>
      <c r="E223" t="s">
        <v>62</v>
      </c>
      <c r="F223" t="s">
        <v>18</v>
      </c>
      <c r="G223" s="2" t="s">
        <v>324</v>
      </c>
      <c r="H223" t="s">
        <v>13</v>
      </c>
      <c r="I223" t="s">
        <v>13</v>
      </c>
    </row>
    <row r="224" spans="1:9" ht="60" x14ac:dyDescent="0.25">
      <c r="A224" t="s">
        <v>9</v>
      </c>
      <c r="B224" t="str">
        <f>HYPERLINK("https://www.sydney.edu.au/scholarships/b/the-gabrielle-ewington-equity-scholarship-in-southeast-asian-studies.html", "The Gabrielle Ewington Equity Scholarship in Southeast Asian Studies")</f>
        <v>The Gabrielle Ewington Equity Scholarship in Southeast Asian Studies</v>
      </c>
      <c r="C224" t="s">
        <v>61</v>
      </c>
      <c r="D224" s="6" t="s">
        <v>33</v>
      </c>
      <c r="E224" t="s">
        <v>65</v>
      </c>
      <c r="F224" t="s">
        <v>18</v>
      </c>
      <c r="G224" s="2" t="s">
        <v>325</v>
      </c>
      <c r="H224" t="s">
        <v>13</v>
      </c>
      <c r="I224" t="s">
        <v>13</v>
      </c>
    </row>
    <row r="225" spans="1:9" ht="60" x14ac:dyDescent="0.25">
      <c r="A225" t="s">
        <v>9</v>
      </c>
      <c r="B225" t="str">
        <f>HYPERLINK("https://www.sydney.edu.au/scholarships/b/the-james-coutts-scholarship.html", "The James Coutts Scholarship")</f>
        <v>The James Coutts Scholarship</v>
      </c>
      <c r="C225" t="s">
        <v>61</v>
      </c>
      <c r="D225" s="6" t="s">
        <v>32</v>
      </c>
      <c r="E225" t="s">
        <v>64</v>
      </c>
      <c r="F225" t="s">
        <v>72</v>
      </c>
      <c r="G225" s="2" t="s">
        <v>326</v>
      </c>
      <c r="H225" t="s">
        <v>13</v>
      </c>
      <c r="I225" t="s">
        <v>13</v>
      </c>
    </row>
    <row r="226" spans="1:9" ht="105" x14ac:dyDescent="0.25">
      <c r="A226" t="s">
        <v>9</v>
      </c>
      <c r="B226" t="str">
        <f>HYPERLINK("https://www.sydney.edu.au/scholarships/b/the-jerome-de-costa-memorial-undergraduate-degree-show-bursary.html", "The Jerome De Costa Memorial Award - Graduate Exhibition")</f>
        <v>The Jerome De Costa Memorial Award - Graduate Exhibition</v>
      </c>
      <c r="C226" t="s">
        <v>81</v>
      </c>
      <c r="D226" s="6" t="s">
        <v>19</v>
      </c>
      <c r="E226" t="s">
        <v>62</v>
      </c>
      <c r="F226" t="s">
        <v>18</v>
      </c>
      <c r="G226" s="2" t="s">
        <v>327</v>
      </c>
      <c r="H226" t="s">
        <v>13</v>
      </c>
      <c r="I226" t="s">
        <v>13</v>
      </c>
    </row>
    <row r="227" spans="1:9" ht="90" x14ac:dyDescent="0.25">
      <c r="A227" t="s">
        <v>9</v>
      </c>
      <c r="B227" t="str">
        <f>HYPERLINK("https://www.sydney.edu.au/scholarships/b/the-kambala-teacher-education-scholarship.html", "The Kambala Teacher Education Scholarship")</f>
        <v>The Kambala Teacher Education Scholarship</v>
      </c>
      <c r="C227" t="s">
        <v>61</v>
      </c>
      <c r="D227" s="6" t="s">
        <v>42</v>
      </c>
      <c r="E227" t="s">
        <v>64</v>
      </c>
      <c r="F227" t="s">
        <v>12</v>
      </c>
      <c r="G227" s="2" t="s">
        <v>328</v>
      </c>
      <c r="H227" t="s">
        <v>13</v>
      </c>
      <c r="I227" t="s">
        <v>29</v>
      </c>
    </row>
    <row r="228" spans="1:9" ht="90" x14ac:dyDescent="0.25">
      <c r="A228" t="s">
        <v>9</v>
      </c>
      <c r="B228" t="str">
        <f>HYPERLINK("https://www.sydney.edu.au/scholarships/b/the-knox-grammar-school-teacher-education-scholarship.html", "The Knox Grammar School Teacher Education Scholarship")</f>
        <v>The Knox Grammar School Teacher Education Scholarship</v>
      </c>
      <c r="C228" t="s">
        <v>61</v>
      </c>
      <c r="D228" s="6" t="s">
        <v>42</v>
      </c>
      <c r="E228" t="s">
        <v>64</v>
      </c>
      <c r="F228" t="s">
        <v>12</v>
      </c>
      <c r="G228" s="2" t="s">
        <v>329</v>
      </c>
      <c r="H228" t="s">
        <v>13</v>
      </c>
      <c r="I228" t="s">
        <v>29</v>
      </c>
    </row>
    <row r="229" spans="1:9" ht="60" x14ac:dyDescent="0.25">
      <c r="A229" t="s">
        <v>9</v>
      </c>
      <c r="B229" t="str">
        <f>HYPERLINK("https://www.sydney.edu.au/scholarships/b/the-lisa-mcneice-mile-award.html", "The Lisa McNeice MILE Award")</f>
        <v>The Lisa McNeice MILE Award</v>
      </c>
      <c r="C229" t="s">
        <v>61</v>
      </c>
      <c r="D229" s="6" t="s">
        <v>49</v>
      </c>
      <c r="E229" t="s">
        <v>62</v>
      </c>
      <c r="F229" t="s">
        <v>15</v>
      </c>
      <c r="G229" s="2" t="s">
        <v>330</v>
      </c>
      <c r="H229" t="s">
        <v>13</v>
      </c>
      <c r="I229" t="s">
        <v>13</v>
      </c>
    </row>
    <row r="230" spans="1:9" ht="90" x14ac:dyDescent="0.25">
      <c r="A230" t="s">
        <v>9</v>
      </c>
      <c r="B230" t="str">
        <f>HYPERLINK("https://www.sydney.edu.au/scholarships/b/the-mlc-school-teacher-education-scholarship.html", "MLC School Teacher Education Scholarship")</f>
        <v>MLC School Teacher Education Scholarship</v>
      </c>
      <c r="C230" t="s">
        <v>61</v>
      </c>
      <c r="D230" s="6" t="s">
        <v>28</v>
      </c>
      <c r="E230" t="s">
        <v>332</v>
      </c>
      <c r="F230" t="s">
        <v>15</v>
      </c>
      <c r="G230" s="2" t="s">
        <v>331</v>
      </c>
      <c r="H230" t="s">
        <v>13</v>
      </c>
      <c r="I230" t="s">
        <v>29</v>
      </c>
    </row>
    <row r="231" spans="1:9" ht="45" x14ac:dyDescent="0.25">
      <c r="A231" t="s">
        <v>9</v>
      </c>
      <c r="B231" t="str">
        <f>HYPERLINK("https://www.sydney.edu.au/scholarships/b/the-mungo-william-maccullum-scholarship-in-literature.html", "The Mungo William MacCullum Scholarship in Literature")</f>
        <v>The Mungo William MacCullum Scholarship in Literature</v>
      </c>
      <c r="C231" t="s">
        <v>81</v>
      </c>
      <c r="D231" s="6" t="s">
        <v>39</v>
      </c>
      <c r="E231" t="s">
        <v>90</v>
      </c>
      <c r="F231" t="s">
        <v>18</v>
      </c>
      <c r="G231" s="2" t="s">
        <v>333</v>
      </c>
      <c r="H231" t="s">
        <v>13</v>
      </c>
      <c r="I231" t="s">
        <v>13</v>
      </c>
    </row>
    <row r="232" spans="1:9" ht="90" x14ac:dyDescent="0.25">
      <c r="A232" t="s">
        <v>9</v>
      </c>
      <c r="B232" t="str">
        <f>HYPERLINK("https://www.sydney.edu.au/scholarships/b/the-order-of-australia-association-foundation-scholarship-business.html", "The Order of Australia Association Foundation Scholarship")</f>
        <v>The Order of Australia Association Foundation Scholarship</v>
      </c>
      <c r="C232" t="s">
        <v>61</v>
      </c>
      <c r="D232" s="7">
        <v>20000</v>
      </c>
      <c r="E232" t="s">
        <v>237</v>
      </c>
      <c r="F232" t="s">
        <v>18</v>
      </c>
      <c r="G232" s="2" t="s">
        <v>334</v>
      </c>
      <c r="H232" t="s">
        <v>13</v>
      </c>
      <c r="I232" t="s">
        <v>13</v>
      </c>
    </row>
    <row r="233" spans="1:9" ht="60" x14ac:dyDescent="0.25">
      <c r="A233" t="s">
        <v>9</v>
      </c>
      <c r="B233" t="str">
        <f>HYPERLINK("https://www.sydney.edu.au/scholarships/b/the-romy-waterlow-scholarship.html", "The Romy Waterlow Scholarship")</f>
        <v>The Romy Waterlow Scholarship</v>
      </c>
      <c r="C233" t="s">
        <v>81</v>
      </c>
      <c r="D233" s="6" t="s">
        <v>21</v>
      </c>
      <c r="E233" t="s">
        <v>64</v>
      </c>
      <c r="F233" t="s">
        <v>12</v>
      </c>
      <c r="G233" s="2" t="s">
        <v>335</v>
      </c>
      <c r="H233" t="s">
        <v>13</v>
      </c>
      <c r="I233" t="s">
        <v>13</v>
      </c>
    </row>
    <row r="234" spans="1:9" ht="120" x14ac:dyDescent="0.25">
      <c r="A234" t="s">
        <v>9</v>
      </c>
      <c r="B234" t="str">
        <f>HYPERLINK("https://www.sydney.edu.au/scholarships/b/the-shore-teacher-education-scholarship.html", "The Shore Teacher Education Scholarship")</f>
        <v>The Shore Teacher Education Scholarship</v>
      </c>
      <c r="C234" t="s">
        <v>61</v>
      </c>
      <c r="D234" s="6" t="s">
        <v>42</v>
      </c>
      <c r="E234" t="s">
        <v>64</v>
      </c>
      <c r="F234" t="s">
        <v>12</v>
      </c>
      <c r="G234" s="2" t="s">
        <v>336</v>
      </c>
      <c r="H234" t="s">
        <v>13</v>
      </c>
      <c r="I234" t="s">
        <v>29</v>
      </c>
    </row>
    <row r="235" spans="1:9" ht="90" x14ac:dyDescent="0.25">
      <c r="A235" t="s">
        <v>9</v>
      </c>
      <c r="B235" t="str">
        <f>HYPERLINK("https://www.sydney.edu.au/scholarships/b/the-sir-william-tyree-engineering-scholarship.html", "The Sir William Tyree Engineering Scholarship")</f>
        <v>The Sir William Tyree Engineering Scholarship</v>
      </c>
      <c r="C235" t="s">
        <v>81</v>
      </c>
      <c r="D235" s="6" t="s">
        <v>50</v>
      </c>
      <c r="E235" t="s">
        <v>66</v>
      </c>
      <c r="F235" t="s">
        <v>18</v>
      </c>
      <c r="G235" s="2" t="s">
        <v>337</v>
      </c>
      <c r="H235" t="s">
        <v>13</v>
      </c>
      <c r="I235" t="s">
        <v>13</v>
      </c>
    </row>
    <row r="236" spans="1:9" ht="60" x14ac:dyDescent="0.25">
      <c r="A236" t="s">
        <v>9</v>
      </c>
      <c r="B236" t="str">
        <f>HYPERLINK("https://www.sydney.edu.au/scholarships/b/the-stanley-chisholm-ash-scholarship-in-engineering.html", "The Stanley Chisholm Ash Scholarship in Engineering")</f>
        <v>The Stanley Chisholm Ash Scholarship in Engineering</v>
      </c>
      <c r="C236" t="s">
        <v>61</v>
      </c>
      <c r="D236" s="12">
        <v>45000</v>
      </c>
      <c r="E236" s="11" t="s">
        <v>65</v>
      </c>
      <c r="F236" t="s">
        <v>10</v>
      </c>
      <c r="G236" s="2" t="s">
        <v>439</v>
      </c>
      <c r="H236" t="s">
        <v>13</v>
      </c>
      <c r="I236" t="s">
        <v>13</v>
      </c>
    </row>
    <row r="237" spans="1:9" ht="45" x14ac:dyDescent="0.25">
      <c r="A237" t="s">
        <v>9</v>
      </c>
      <c r="B237" t="str">
        <f>HYPERLINK("https://www.sydney.edu.au/scholarships/b/the-thomas-henry-coulson-scholarship.html", "The Thomas Henry Coulson Scholarship")</f>
        <v>The Thomas Henry Coulson Scholarship</v>
      </c>
      <c r="C237" t="s">
        <v>81</v>
      </c>
      <c r="D237" s="6" t="s">
        <v>51</v>
      </c>
      <c r="E237" t="s">
        <v>64</v>
      </c>
      <c r="F237" t="s">
        <v>18</v>
      </c>
      <c r="G237" s="2" t="s">
        <v>338</v>
      </c>
      <c r="H237" t="s">
        <v>13</v>
      </c>
      <c r="I237" t="s">
        <v>13</v>
      </c>
    </row>
    <row r="238" spans="1:9" ht="90" x14ac:dyDescent="0.25">
      <c r="A238" t="s">
        <v>9</v>
      </c>
      <c r="B238" t="str">
        <f>HYPERLINK("https://www.sydney.edu.au/scholarships/b/the-waverley-college-teacher-education-scholarship.html", "The Waverley College Teacher Education Scholarship")</f>
        <v>The Waverley College Teacher Education Scholarship</v>
      </c>
      <c r="C238" t="s">
        <v>61</v>
      </c>
      <c r="D238" s="6" t="s">
        <v>42</v>
      </c>
      <c r="E238" t="s">
        <v>64</v>
      </c>
      <c r="F238" t="s">
        <v>18</v>
      </c>
      <c r="G238" s="2" t="s">
        <v>339</v>
      </c>
      <c r="H238" t="s">
        <v>13</v>
      </c>
      <c r="I238" t="s">
        <v>29</v>
      </c>
    </row>
    <row r="239" spans="1:9" ht="135" x14ac:dyDescent="0.25">
      <c r="A239" t="s">
        <v>9</v>
      </c>
      <c r="B239" t="str">
        <f>HYPERLINK("https://www.sydney.edu.au/scholarships/b/the-winifred-margaret-neirous-memorial-scholarship.html", "The Winifred Margaret Neirous Memorial Scholarship")</f>
        <v>The Winifred Margaret Neirous Memorial Scholarship</v>
      </c>
      <c r="C239" t="s">
        <v>81</v>
      </c>
      <c r="D239" s="7">
        <v>6000</v>
      </c>
      <c r="E239" t="s">
        <v>65</v>
      </c>
      <c r="F239" t="s">
        <v>18</v>
      </c>
      <c r="G239" s="2" t="s">
        <v>340</v>
      </c>
      <c r="H239" t="s">
        <v>13</v>
      </c>
      <c r="I239" t="s">
        <v>13</v>
      </c>
    </row>
    <row r="240" spans="1:9" ht="45" x14ac:dyDescent="0.25">
      <c r="A240" t="s">
        <v>9</v>
      </c>
      <c r="B240" t="str">
        <f>HYPERLINK("https://www.sydney.edu.au/scholarships/b/the-zelda-stedman-artist-scholarship.html", "The Zelda Stedman Artist Scholarship")</f>
        <v>The Zelda Stedman Artist Scholarship</v>
      </c>
      <c r="C240" t="s">
        <v>81</v>
      </c>
      <c r="D240" s="6" t="s">
        <v>31</v>
      </c>
      <c r="E240" t="s">
        <v>62</v>
      </c>
      <c r="F240" t="s">
        <v>12</v>
      </c>
      <c r="G240" s="2" t="s">
        <v>104</v>
      </c>
      <c r="H240" t="s">
        <v>13</v>
      </c>
      <c r="I240" t="s">
        <v>13</v>
      </c>
    </row>
    <row r="241" spans="1:9" ht="45" x14ac:dyDescent="0.25">
      <c r="A241" t="s">
        <v>9</v>
      </c>
      <c r="B241" t="str">
        <f>HYPERLINK("https://www.sydney.edu.au/scholarships/b/ussc-undergraduate-equity-scholarship-in-american-studies.html", "USSC Undergraduate Equity Scholarship in American Studies")</f>
        <v>USSC Undergraduate Equity Scholarship in American Studies</v>
      </c>
      <c r="C241" t="s">
        <v>81</v>
      </c>
      <c r="D241" s="7">
        <v>10000</v>
      </c>
      <c r="E241" t="s">
        <v>64</v>
      </c>
      <c r="F241" t="s">
        <v>18</v>
      </c>
      <c r="G241" s="2" t="s">
        <v>341</v>
      </c>
      <c r="H241" t="s">
        <v>13</v>
      </c>
      <c r="I241" t="s">
        <v>13</v>
      </c>
    </row>
    <row r="242" spans="1:9" ht="60" x14ac:dyDescent="0.25">
      <c r="A242" t="s">
        <v>9</v>
      </c>
      <c r="B242" t="str">
        <f>HYPERLINK("https://www.sydney.edu.au/scholarships/b/walter-eliza-hall-trust-opportunity-scholarship-education.html", "The Walter and Eliza Hall Trust Opportunity Scholarship in Education")</f>
        <v>The Walter and Eliza Hall Trust Opportunity Scholarship in Education</v>
      </c>
      <c r="C242" t="s">
        <v>81</v>
      </c>
      <c r="D242" s="6" t="s">
        <v>21</v>
      </c>
      <c r="E242" t="s">
        <v>66</v>
      </c>
      <c r="F242" t="s">
        <v>18</v>
      </c>
      <c r="G242" s="2" t="s">
        <v>342</v>
      </c>
      <c r="H242" t="s">
        <v>13</v>
      </c>
      <c r="I242" t="s">
        <v>13</v>
      </c>
    </row>
    <row r="243" spans="1:9" ht="90" x14ac:dyDescent="0.25">
      <c r="A243" t="s">
        <v>9</v>
      </c>
      <c r="B243" t="str">
        <f>HYPERLINK("https://www.sydney.edu.au/scholarships/b/wh-and-elizabeth-m-deane-archaeology-research-grant.html", "WH and Elizabeth M Deane Archaeology Research Grant")</f>
        <v>WH and Elizabeth M Deane Archaeology Research Grant</v>
      </c>
      <c r="C243" t="s">
        <v>61</v>
      </c>
      <c r="D243" s="6" t="s">
        <v>23</v>
      </c>
      <c r="E243" t="s">
        <v>62</v>
      </c>
      <c r="F243" t="s">
        <v>18</v>
      </c>
      <c r="G243" s="2" t="s">
        <v>105</v>
      </c>
      <c r="H243" t="s">
        <v>13</v>
      </c>
      <c r="I243" t="s">
        <v>13</v>
      </c>
    </row>
    <row r="244" spans="1:9" ht="30" x14ac:dyDescent="0.25">
      <c r="A244" t="s">
        <v>9</v>
      </c>
      <c r="B244" t="str">
        <f>HYPERLINK("https://www.sydney.edu.au/scholarships/b/wigram-allen-scholarship-juris-doctor-award.html", "Wigram Allen Scholarship for the Juris Doctor Award")</f>
        <v>Wigram Allen Scholarship for the Juris Doctor Award</v>
      </c>
      <c r="C244" t="s">
        <v>61</v>
      </c>
      <c r="D244" s="6" t="s">
        <v>39</v>
      </c>
      <c r="E244" t="s">
        <v>64</v>
      </c>
      <c r="F244" t="s">
        <v>15</v>
      </c>
      <c r="G244" s="2" t="s">
        <v>245</v>
      </c>
      <c r="H244" t="s">
        <v>13</v>
      </c>
      <c r="I244" t="s">
        <v>13</v>
      </c>
    </row>
    <row r="245" spans="1:9" ht="75" x14ac:dyDescent="0.25">
      <c r="A245" t="s">
        <v>9</v>
      </c>
      <c r="B245" t="str">
        <f>HYPERLINK("https://www.sydney.edu.au/scholarships/b/william-john-lizzie-may-sinclair-scholarship.html", "The William John and Lizzie May Sinclair Scholarship")</f>
        <v>The William John and Lizzie May Sinclair Scholarship</v>
      </c>
      <c r="C245" t="s">
        <v>81</v>
      </c>
      <c r="D245" s="6" t="s">
        <v>30</v>
      </c>
      <c r="E245" t="s">
        <v>90</v>
      </c>
      <c r="F245" t="s">
        <v>18</v>
      </c>
      <c r="G245" s="2" t="s">
        <v>343</v>
      </c>
      <c r="H245" t="s">
        <v>138</v>
      </c>
      <c r="I245" t="s">
        <v>13</v>
      </c>
    </row>
    <row r="246" spans="1:9" ht="60" x14ac:dyDescent="0.25">
      <c r="A246" t="s">
        <v>9</v>
      </c>
      <c r="B246" t="str">
        <f>HYPERLINK("https://www.sydney.edu.au/scholarships/b/zoe-hall-memorial-scholarship.html", "Zoe Hall Memorial Scholarship")</f>
        <v>Zoe Hall Memorial Scholarship</v>
      </c>
      <c r="C246" t="s">
        <v>61</v>
      </c>
      <c r="D246" s="6" t="s">
        <v>16</v>
      </c>
      <c r="E246" t="s">
        <v>62</v>
      </c>
      <c r="F246" t="s">
        <v>12</v>
      </c>
      <c r="G246" s="2" t="s">
        <v>344</v>
      </c>
      <c r="H246" t="s">
        <v>13</v>
      </c>
      <c r="I246" t="s">
        <v>13</v>
      </c>
    </row>
    <row r="247" spans="1:9" ht="105" x14ac:dyDescent="0.25">
      <c r="A247" t="s">
        <v>9</v>
      </c>
      <c r="B247" t="str">
        <f>HYPERLINK("https://www.sydney.edu.au/scholarships/c/am-taylor-scholarship-orthopaedic-and-traumatic-surgery.html", "A M Taylor Scholarship in Orthopaedic and Traumatic Surgery")</f>
        <v>A M Taylor Scholarship in Orthopaedic and Traumatic Surgery</v>
      </c>
      <c r="C247" t="s">
        <v>61</v>
      </c>
      <c r="D247" s="6" t="s">
        <v>21</v>
      </c>
      <c r="E247" s="2" t="s">
        <v>107</v>
      </c>
      <c r="F247" t="s">
        <v>10</v>
      </c>
      <c r="G247" s="2" t="s">
        <v>106</v>
      </c>
      <c r="H247" t="s">
        <v>13</v>
      </c>
      <c r="I247" t="s">
        <v>13</v>
      </c>
    </row>
    <row r="248" spans="1:9" ht="60" x14ac:dyDescent="0.25">
      <c r="A248" t="s">
        <v>9</v>
      </c>
      <c r="B248" t="str">
        <f>HYPERLINK("https://www.sydney.edu.au/scholarships/c/andrew-tu-scholarship.html", "Andrew Tu Scholarship in Pharmacy")</f>
        <v>Andrew Tu Scholarship in Pharmacy</v>
      </c>
      <c r="C248" t="s">
        <v>61</v>
      </c>
      <c r="D248" s="6" t="s">
        <v>16</v>
      </c>
      <c r="E248" t="s">
        <v>64</v>
      </c>
      <c r="F248" t="s">
        <v>72</v>
      </c>
      <c r="G248" s="2" t="s">
        <v>108</v>
      </c>
      <c r="H248" t="s">
        <v>13</v>
      </c>
      <c r="I248" t="s">
        <v>13</v>
      </c>
    </row>
    <row r="249" spans="1:9" ht="75" x14ac:dyDescent="0.25">
      <c r="A249" t="s">
        <v>9</v>
      </c>
      <c r="B249" t="str">
        <f>HYPERLINK("https://www.sydney.edu.au/scholarships/c/cerebral-palsy-alliance-professor-henry-j-cowan-memorial-scholarship.html", "Cerebral Palsy Alliance Professor Henry J Cowan Memorial Scholarship")</f>
        <v>Cerebral Palsy Alliance Professor Henry J Cowan Memorial Scholarship</v>
      </c>
      <c r="C249" t="s">
        <v>61</v>
      </c>
      <c r="D249" s="7">
        <v>1500</v>
      </c>
      <c r="E249" t="s">
        <v>62</v>
      </c>
      <c r="F249" t="s">
        <v>12</v>
      </c>
      <c r="G249" s="2" t="s">
        <v>345</v>
      </c>
      <c r="H249" t="s">
        <v>13</v>
      </c>
      <c r="I249" t="s">
        <v>13</v>
      </c>
    </row>
    <row r="250" spans="1:9" ht="75" x14ac:dyDescent="0.25">
      <c r="A250" t="s">
        <v>9</v>
      </c>
      <c r="B250" t="str">
        <f>HYPERLINK("https://www.sydney.edu.au/scholarships/c/clinical-epidemiology-scholarship.html", "Sydney School of Public Health Clinical Epidemiology Scholarship")</f>
        <v>Sydney School of Public Health Clinical Epidemiology Scholarship</v>
      </c>
      <c r="C250" t="s">
        <v>61</v>
      </c>
      <c r="D250" s="8" t="s">
        <v>346</v>
      </c>
      <c r="E250" t="s">
        <v>10</v>
      </c>
      <c r="F250" t="s">
        <v>15</v>
      </c>
      <c r="G250" s="2" t="s">
        <v>347</v>
      </c>
      <c r="H250" t="s">
        <v>13</v>
      </c>
      <c r="I250" t="s">
        <v>13</v>
      </c>
    </row>
    <row r="251" spans="1:9" ht="60" x14ac:dyDescent="0.25">
      <c r="A251" t="s">
        <v>9</v>
      </c>
      <c r="B251" t="str">
        <f>HYPERLINK("https://www.sydney.edu.au/scholarships/c/deans-scholarship-fund-conference-grant.html", "Dean's Scholarship Fund Conference Grant")</f>
        <v>Dean's Scholarship Fund Conference Grant</v>
      </c>
      <c r="C251" t="s">
        <v>61</v>
      </c>
      <c r="D251" s="6" t="s">
        <v>49</v>
      </c>
      <c r="E251" t="s">
        <v>62</v>
      </c>
      <c r="F251" t="s">
        <v>18</v>
      </c>
      <c r="G251" s="2" t="s">
        <v>109</v>
      </c>
      <c r="H251" t="s">
        <v>13</v>
      </c>
      <c r="I251" t="s">
        <v>13</v>
      </c>
    </row>
    <row r="252" spans="1:9" ht="60" x14ac:dyDescent="0.25">
      <c r="A252" t="s">
        <v>9</v>
      </c>
      <c r="B252" t="str">
        <f>HYPERLINK("https://www.sydney.edu.au/scholarships/c/dialysis_australia_nursing_scholarship.html", "Dialysis Australia Nursing Scholarship")</f>
        <v>Dialysis Australia Nursing Scholarship</v>
      </c>
      <c r="C252" t="s">
        <v>81</v>
      </c>
      <c r="D252" s="9">
        <v>32500</v>
      </c>
      <c r="E252" t="s">
        <v>66</v>
      </c>
      <c r="F252" t="s">
        <v>10</v>
      </c>
      <c r="G252" s="2" t="s">
        <v>437</v>
      </c>
      <c r="H252" t="s">
        <v>13</v>
      </c>
      <c r="I252" t="s">
        <v>13</v>
      </c>
    </row>
    <row r="253" spans="1:9" ht="135" x14ac:dyDescent="0.25">
      <c r="A253" t="s">
        <v>9</v>
      </c>
      <c r="B253" t="str">
        <f>HYPERLINK("https://www.sydney.edu.au/scholarships/c/faculty-of-medicine-and-health-course-material-scholarship-for-d.html", "Faculty of Medicine and Health Course Material Scholarship for Dentistry")</f>
        <v>Faculty of Medicine and Health Course Material Scholarship for Dentistry</v>
      </c>
      <c r="C253" t="s">
        <v>61</v>
      </c>
      <c r="D253" s="7">
        <v>1500</v>
      </c>
      <c r="E253" t="s">
        <v>62</v>
      </c>
      <c r="F253" t="s">
        <v>12</v>
      </c>
      <c r="G253" s="2" t="s">
        <v>348</v>
      </c>
      <c r="H253" t="s">
        <v>13</v>
      </c>
      <c r="I253" t="s">
        <v>13</v>
      </c>
    </row>
    <row r="254" spans="1:9" ht="120" x14ac:dyDescent="0.25">
      <c r="A254" t="s">
        <v>9</v>
      </c>
      <c r="B254" t="str">
        <f>HYPERLINK("https://www.sydney.edu.au/scholarships/c/faculty-of-medicine-and-health-course-material-scholarship.html", "Faculty of Medicine and Health Course Material Scholarship")</f>
        <v>Faculty of Medicine and Health Course Material Scholarship</v>
      </c>
      <c r="C254" t="s">
        <v>61</v>
      </c>
      <c r="D254" s="6" t="s">
        <v>23</v>
      </c>
      <c r="E254" t="s">
        <v>62</v>
      </c>
      <c r="F254" t="s">
        <v>12</v>
      </c>
      <c r="G254" s="2" t="s">
        <v>349</v>
      </c>
      <c r="H254" t="s">
        <v>13</v>
      </c>
      <c r="I254" t="s">
        <v>13</v>
      </c>
    </row>
    <row r="255" spans="1:9" ht="105" x14ac:dyDescent="0.25">
      <c r="A255" t="s">
        <v>9</v>
      </c>
      <c r="B255" t="str">
        <f>HYPERLINK("https://www.sydney.edu.au/scholarships/c/faculty-of-medicine-and-health-support-for-carers-on-placement-s.html", "Faculty of Medicine and Health Support for Carers on Placement Scholarship")</f>
        <v>Faculty of Medicine and Health Support for Carers on Placement Scholarship</v>
      </c>
      <c r="C255" t="s">
        <v>81</v>
      </c>
      <c r="D255" s="7">
        <v>3000</v>
      </c>
      <c r="E255" t="s">
        <v>62</v>
      </c>
      <c r="F255" t="s">
        <v>12</v>
      </c>
      <c r="G255" s="2" t="s">
        <v>350</v>
      </c>
      <c r="H255" t="s">
        <v>13</v>
      </c>
      <c r="I255" t="s">
        <v>29</v>
      </c>
    </row>
    <row r="256" spans="1:9" ht="75" x14ac:dyDescent="0.25">
      <c r="A256" t="s">
        <v>9</v>
      </c>
      <c r="B256" t="str">
        <f>HYPERLINK("https://www.sydney.edu.au/scholarships/c/global-health-equity-scholarship0.html", "The University of Sydney Global Health Equity Scholarship")</f>
        <v>The University of Sydney Global Health Equity Scholarship</v>
      </c>
      <c r="C256" t="s">
        <v>81</v>
      </c>
      <c r="D256" s="6" t="s">
        <v>22</v>
      </c>
      <c r="E256" t="s">
        <v>352</v>
      </c>
      <c r="F256" t="s">
        <v>15</v>
      </c>
      <c r="G256" s="2" t="s">
        <v>351</v>
      </c>
      <c r="H256" t="s">
        <v>13</v>
      </c>
      <c r="I256" t="s">
        <v>13</v>
      </c>
    </row>
    <row r="257" spans="1:9" ht="90" x14ac:dyDescent="0.25">
      <c r="A257" t="s">
        <v>9</v>
      </c>
      <c r="B257" t="str">
        <f>HYPERLINK("https://www.sydney.edu.au/scholarships/c/harvey-sutton-global-health-scholarship.html", "The Harvey Sutton Global Health Scholarship")</f>
        <v>The Harvey Sutton Global Health Scholarship</v>
      </c>
      <c r="C257" t="s">
        <v>61</v>
      </c>
      <c r="D257" s="6" t="s">
        <v>22</v>
      </c>
      <c r="E257" t="s">
        <v>352</v>
      </c>
      <c r="F257" t="s">
        <v>15</v>
      </c>
      <c r="G257" s="2" t="s">
        <v>353</v>
      </c>
      <c r="H257" t="s">
        <v>13</v>
      </c>
      <c r="I257" t="s">
        <v>13</v>
      </c>
    </row>
    <row r="258" spans="1:9" ht="75" x14ac:dyDescent="0.25">
      <c r="A258" t="s">
        <v>9</v>
      </c>
      <c r="B258" t="str">
        <f>HYPERLINK("https://www.sydney.edu.au/scholarships/c/harvey-sutton-public-health-scholarship.html", "The Harvey Sutton Public Health Scholarship")</f>
        <v>The Harvey Sutton Public Health Scholarship</v>
      </c>
      <c r="C258" t="s">
        <v>61</v>
      </c>
      <c r="D258" s="6" t="s">
        <v>22</v>
      </c>
      <c r="E258" t="s">
        <v>352</v>
      </c>
      <c r="F258" t="s">
        <v>15</v>
      </c>
      <c r="G258" s="2" t="s">
        <v>354</v>
      </c>
      <c r="H258" t="s">
        <v>13</v>
      </c>
      <c r="I258" t="s">
        <v>13</v>
      </c>
    </row>
    <row r="259" spans="1:9" ht="105" x14ac:dyDescent="0.25">
      <c r="A259" t="s">
        <v>9</v>
      </c>
      <c r="B259" t="str">
        <f>HYPERLINK("https://www.sydney.edu.au/scholarships/c/john-andrew-loveridge-scholarship-in-pharmacy-and-management.html", "John Andrew Loveridge Scholarship in Pharmacy and Management")</f>
        <v>John Andrew Loveridge Scholarship in Pharmacy and Management</v>
      </c>
      <c r="C259" t="s">
        <v>61</v>
      </c>
      <c r="D259" s="10" t="s">
        <v>24</v>
      </c>
      <c r="E259" s="11" t="s">
        <v>67</v>
      </c>
      <c r="F259" t="s">
        <v>10</v>
      </c>
      <c r="G259" s="2" t="s">
        <v>440</v>
      </c>
      <c r="H259" t="s">
        <v>13</v>
      </c>
      <c r="I259" t="s">
        <v>13</v>
      </c>
    </row>
    <row r="260" spans="1:9" ht="45" x14ac:dyDescent="0.25">
      <c r="A260" t="s">
        <v>9</v>
      </c>
      <c r="B260" t="str">
        <f>HYPERLINK("https://www.sydney.edu.au/scholarships/c/johnson-nursing-scholarship.html", "The Johnson Nursing Scholarship")</f>
        <v>The Johnson Nursing Scholarship</v>
      </c>
      <c r="C260" t="s">
        <v>81</v>
      </c>
      <c r="D260" s="6" t="s">
        <v>19</v>
      </c>
      <c r="E260" t="s">
        <v>64</v>
      </c>
      <c r="F260" t="s">
        <v>12</v>
      </c>
      <c r="G260" s="2" t="s">
        <v>355</v>
      </c>
      <c r="H260" t="s">
        <v>138</v>
      </c>
      <c r="I260" t="s">
        <v>13</v>
      </c>
    </row>
    <row r="261" spans="1:9" ht="60" x14ac:dyDescent="0.25">
      <c r="A261" t="s">
        <v>9</v>
      </c>
      <c r="B261" t="str">
        <f>HYPERLINK("https://www.sydney.edu.au/scholarships/c/peter-giles-memorial-scholarship.html", "Peter Giles Memorial Scholarship in Pharmacy")</f>
        <v>Peter Giles Memorial Scholarship in Pharmacy</v>
      </c>
      <c r="C261" t="s">
        <v>81</v>
      </c>
      <c r="D261" s="7">
        <v>6000</v>
      </c>
      <c r="E261" t="s">
        <v>90</v>
      </c>
      <c r="F261" t="s">
        <v>18</v>
      </c>
      <c r="G261" s="2" t="s">
        <v>356</v>
      </c>
      <c r="H261" t="s">
        <v>13</v>
      </c>
      <c r="I261" t="s">
        <v>13</v>
      </c>
    </row>
    <row r="262" spans="1:9" ht="90" x14ac:dyDescent="0.25">
      <c r="A262" t="s">
        <v>9</v>
      </c>
      <c r="B262" t="str">
        <f>HYPERLINK("https://www.sydney.edu.au/scholarships/c/peter-suzanne-davidson-scholarship.html", "Peter and Suzanne Davidson Scholarship")</f>
        <v>Peter and Suzanne Davidson Scholarship</v>
      </c>
      <c r="C262" t="s">
        <v>61</v>
      </c>
      <c r="D262" s="7">
        <v>7000</v>
      </c>
      <c r="E262" t="s">
        <v>64</v>
      </c>
      <c r="F262" t="s">
        <v>10</v>
      </c>
      <c r="G262" s="2" t="s">
        <v>357</v>
      </c>
      <c r="H262" t="s">
        <v>13</v>
      </c>
      <c r="I262" t="s">
        <v>13</v>
      </c>
    </row>
    <row r="263" spans="1:9" ht="45" x14ac:dyDescent="0.25">
      <c r="A263" t="s">
        <v>9</v>
      </c>
      <c r="B263" t="str">
        <f>HYPERLINK("https://www.sydney.edu.au/scholarships/c/public-health-equity-scholarship.html", "The University of Sydney Public Health Equity Scholarship")</f>
        <v>The University of Sydney Public Health Equity Scholarship</v>
      </c>
      <c r="C263" t="s">
        <v>81</v>
      </c>
      <c r="D263" s="6" t="s">
        <v>22</v>
      </c>
      <c r="E263" t="s">
        <v>352</v>
      </c>
      <c r="F263" t="s">
        <v>15</v>
      </c>
      <c r="G263" s="2" t="s">
        <v>358</v>
      </c>
      <c r="H263" t="s">
        <v>13</v>
      </c>
      <c r="I263" t="s">
        <v>13</v>
      </c>
    </row>
    <row r="264" spans="1:9" ht="45" x14ac:dyDescent="0.25">
      <c r="A264" t="s">
        <v>9</v>
      </c>
      <c r="B264" t="str">
        <f>HYPERLINK("https://www.sydney.edu.au/scholarships/c/ruth-colagiuri-scholarship.html", "Ruth Colagiuri Health Policy Scholarship")</f>
        <v>Ruth Colagiuri Health Policy Scholarship</v>
      </c>
      <c r="C264" t="s">
        <v>61</v>
      </c>
      <c r="D264" s="6" t="s">
        <v>22</v>
      </c>
      <c r="E264" t="s">
        <v>352</v>
      </c>
      <c r="F264" t="s">
        <v>15</v>
      </c>
      <c r="G264" s="2" t="s">
        <v>359</v>
      </c>
      <c r="H264" t="s">
        <v>13</v>
      </c>
      <c r="I264" t="s">
        <v>13</v>
      </c>
    </row>
    <row r="265" spans="1:9" ht="45" x14ac:dyDescent="0.25">
      <c r="A265" t="s">
        <v>9</v>
      </c>
      <c r="B265" t="str">
        <f>HYPERLINK("https://www.sydney.edu.au/scholarships/c/stephen-leeder-scholarship.html", "Stephen Leeder Health Policy Scholarship")</f>
        <v>Stephen Leeder Health Policy Scholarship</v>
      </c>
      <c r="C265" t="s">
        <v>61</v>
      </c>
      <c r="D265" s="6" t="s">
        <v>22</v>
      </c>
      <c r="E265" t="s">
        <v>352</v>
      </c>
      <c r="F265" t="s">
        <v>15</v>
      </c>
      <c r="G265" s="2" t="s">
        <v>360</v>
      </c>
      <c r="H265" t="s">
        <v>13</v>
      </c>
      <c r="I265" t="s">
        <v>13</v>
      </c>
    </row>
    <row r="266" spans="1:9" ht="105" x14ac:dyDescent="0.25">
      <c r="A266" t="s">
        <v>9</v>
      </c>
      <c r="B266" t="str">
        <f>HYPERLINK("https://www.sydney.edu.au/scholarships/c/sue-muller-placement-scholarship.html", "Sue Muller Placement Scholarship")</f>
        <v>Sue Muller Placement Scholarship</v>
      </c>
      <c r="C266" t="s">
        <v>61</v>
      </c>
      <c r="D266" s="8" t="s">
        <v>111</v>
      </c>
      <c r="E266" t="s">
        <v>62</v>
      </c>
      <c r="F266" t="s">
        <v>12</v>
      </c>
      <c r="G266" s="2" t="s">
        <v>110</v>
      </c>
      <c r="H266" t="s">
        <v>13</v>
      </c>
      <c r="I266" t="s">
        <v>29</v>
      </c>
    </row>
    <row r="267" spans="1:9" ht="60" x14ac:dyDescent="0.25">
      <c r="A267" t="s">
        <v>9</v>
      </c>
      <c r="B267" t="str">
        <f>HYPERLINK("https://www.sydney.edu.au/scholarships/c/susan-wakil-greater-sydney-postgraduate-scholarship.html", "Susan Wakil Scholarships - Postgraduate Greater Sydney")</f>
        <v>Susan Wakil Scholarships - Postgraduate Greater Sydney</v>
      </c>
      <c r="C267" t="s">
        <v>61</v>
      </c>
      <c r="D267" s="7">
        <v>8625</v>
      </c>
      <c r="E267" t="s">
        <v>352</v>
      </c>
      <c r="F267" t="s">
        <v>15</v>
      </c>
      <c r="G267" s="2" t="s">
        <v>361</v>
      </c>
      <c r="H267" t="s">
        <v>13</v>
      </c>
      <c r="I267" t="s">
        <v>13</v>
      </c>
    </row>
    <row r="268" spans="1:9" ht="60" x14ac:dyDescent="0.25">
      <c r="A268" t="s">
        <v>9</v>
      </c>
      <c r="B268" t="str">
        <f>HYPERLINK("https://www.sydney.edu.au/scholarships/c/susan-wakil-greater-sydney-undergraduate-scholarship.html", "Susan Wakil Scholarship - Undergraduate Greater Sydney")</f>
        <v>Susan Wakil Scholarship - Undergraduate Greater Sydney</v>
      </c>
      <c r="C268" t="s">
        <v>61</v>
      </c>
      <c r="D268" s="6" t="s">
        <v>24</v>
      </c>
      <c r="E268" s="2" t="s">
        <v>362</v>
      </c>
      <c r="F268" t="s">
        <v>18</v>
      </c>
      <c r="G268" s="2" t="s">
        <v>363</v>
      </c>
      <c r="H268" t="s">
        <v>13</v>
      </c>
      <c r="I268" t="s">
        <v>13</v>
      </c>
    </row>
    <row r="269" spans="1:9" ht="60" x14ac:dyDescent="0.25">
      <c r="A269" t="s">
        <v>9</v>
      </c>
      <c r="B269" t="str">
        <f>HYPERLINK("https://www.sydney.edu.au/scholarships/c/susan-wakil-rural-regional-postgraduate-scholarship.html", "Susan Wakil Scholarships - Postgraduate Rural and Regional Australia")</f>
        <v>Susan Wakil Scholarships - Postgraduate Rural and Regional Australia</v>
      </c>
      <c r="C269" t="s">
        <v>61</v>
      </c>
      <c r="D269" s="6" t="s">
        <v>52</v>
      </c>
      <c r="E269" s="2" t="s">
        <v>362</v>
      </c>
      <c r="F269" t="s">
        <v>15</v>
      </c>
      <c r="G269" s="2" t="s">
        <v>364</v>
      </c>
      <c r="H269" t="s">
        <v>13</v>
      </c>
      <c r="I269" t="s">
        <v>13</v>
      </c>
    </row>
    <row r="270" spans="1:9" ht="75" x14ac:dyDescent="0.25">
      <c r="A270" t="s">
        <v>9</v>
      </c>
      <c r="B270" t="str">
        <f>HYPERLINK("https://www.sydney.edu.au/scholarships/c/susan-wakil-rural-regional-undergraduate-scholarship.html", "Susan Wakil Scholarship - Undergraduate Rural and Regional")</f>
        <v>Susan Wakil Scholarship - Undergraduate Rural and Regional</v>
      </c>
      <c r="C270" t="s">
        <v>61</v>
      </c>
      <c r="D270" s="8" t="s">
        <v>113</v>
      </c>
      <c r="E270" s="2" t="s">
        <v>112</v>
      </c>
      <c r="F270" t="s">
        <v>18</v>
      </c>
      <c r="G270" s="2" t="s">
        <v>438</v>
      </c>
      <c r="H270" t="s">
        <v>13</v>
      </c>
      <c r="I270" t="s">
        <v>13</v>
      </c>
    </row>
    <row r="271" spans="1:9" ht="60" x14ac:dyDescent="0.25">
      <c r="A271" t="s">
        <v>9</v>
      </c>
      <c r="B271" t="str">
        <f>HYPERLINK("https://www.sydney.edu.au/scholarships/c/the-alek-safarian-masters-scholarship.html", "The Alek Safarian Masters Scholarship")</f>
        <v>The Alek Safarian Masters Scholarship</v>
      </c>
      <c r="C271" t="s">
        <v>61</v>
      </c>
      <c r="D271" s="6" t="s">
        <v>53</v>
      </c>
      <c r="E271" t="s">
        <v>64</v>
      </c>
      <c r="F271" t="s">
        <v>15</v>
      </c>
      <c r="G271" s="2" t="s">
        <v>365</v>
      </c>
      <c r="H271" t="s">
        <v>13</v>
      </c>
      <c r="I271" t="s">
        <v>13</v>
      </c>
    </row>
    <row r="272" spans="1:9" ht="45" x14ac:dyDescent="0.25">
      <c r="A272" t="s">
        <v>9</v>
      </c>
      <c r="B272" t="str">
        <f>HYPERLINK("https://www.sydney.edu.au/scholarships/c/the-rabbi-brasch-bursary.html", "The Rabbi Brasch Bursary")</f>
        <v>The Rabbi Brasch Bursary</v>
      </c>
      <c r="C272" t="s">
        <v>61</v>
      </c>
      <c r="D272" s="7">
        <v>25500</v>
      </c>
      <c r="E272" t="s">
        <v>65</v>
      </c>
      <c r="F272" t="s">
        <v>15</v>
      </c>
      <c r="G272" s="2" t="s">
        <v>366</v>
      </c>
      <c r="H272" t="s">
        <v>13</v>
      </c>
      <c r="I272" t="s">
        <v>13</v>
      </c>
    </row>
    <row r="273" spans="1:9" ht="30" x14ac:dyDescent="0.25">
      <c r="A273" t="s">
        <v>9</v>
      </c>
      <c r="B273" t="str">
        <f>HYPERLINK("https://www.sydney.edu.au/scholarships/c/trace-richey-scholarship.html", "Trace Richey Nursing Scholarship")</f>
        <v>Trace Richey Nursing Scholarship</v>
      </c>
      <c r="C273" t="s">
        <v>61</v>
      </c>
      <c r="D273" s="6" t="s">
        <v>367</v>
      </c>
      <c r="E273" t="s">
        <v>368</v>
      </c>
      <c r="F273" t="s">
        <v>15</v>
      </c>
      <c r="G273" s="2" t="s">
        <v>369</v>
      </c>
      <c r="H273" t="s">
        <v>13</v>
      </c>
      <c r="I273" t="s">
        <v>13</v>
      </c>
    </row>
    <row r="274" spans="1:9" ht="45" x14ac:dyDescent="0.25">
      <c r="A274" t="s">
        <v>9</v>
      </c>
      <c r="B274" t="str">
        <f>HYPERLINK("https://www.sydney.edu.au/scholarships/c/umberto-cincotta-scholarship.html", "Umberto Cincotta Scholarship in Pharmacy")</f>
        <v>Umberto Cincotta Scholarship in Pharmacy</v>
      </c>
      <c r="C274" t="s">
        <v>61</v>
      </c>
      <c r="D274" s="7">
        <v>6000</v>
      </c>
      <c r="E274" t="s">
        <v>65</v>
      </c>
      <c r="F274" t="s">
        <v>18</v>
      </c>
      <c r="G274" s="2" t="s">
        <v>370</v>
      </c>
      <c r="H274" t="s">
        <v>13</v>
      </c>
      <c r="I274" t="s">
        <v>13</v>
      </c>
    </row>
    <row r="275" spans="1:9" ht="45" x14ac:dyDescent="0.25">
      <c r="A275" t="s">
        <v>9</v>
      </c>
      <c r="B275" t="str">
        <f>HYPERLINK("https://www.sydney.edu.au/scholarships/c/walter-eliza-hall-trust-opportunity-scholarship-nursing.html", "Walter and Eliza Hall Scholarship Trust Opportunity Scholarship for Nursing")</f>
        <v>Walter and Eliza Hall Scholarship Trust Opportunity Scholarship for Nursing</v>
      </c>
      <c r="C275" t="s">
        <v>81</v>
      </c>
      <c r="D275" s="6" t="s">
        <v>21</v>
      </c>
      <c r="E275" t="s">
        <v>62</v>
      </c>
      <c r="F275" t="s">
        <v>18</v>
      </c>
      <c r="G275" s="2" t="s">
        <v>355</v>
      </c>
      <c r="H275" t="s">
        <v>13</v>
      </c>
      <c r="I275" t="s">
        <v>13</v>
      </c>
    </row>
    <row r="276" spans="1:9" ht="60" x14ac:dyDescent="0.25">
      <c r="A276" t="s">
        <v>9</v>
      </c>
      <c r="B276" t="str">
        <f>HYPERLINK("https://www.sydney.edu.au/scholarships/c/walter-john-douglas-partridge-memorial-scholarship.html", "Walter John Douglas Partridge Memorial Scholarship")</f>
        <v>Walter John Douglas Partridge Memorial Scholarship</v>
      </c>
      <c r="C276" t="s">
        <v>61</v>
      </c>
      <c r="D276" s="6" t="s">
        <v>17</v>
      </c>
      <c r="E276" t="s">
        <v>62</v>
      </c>
      <c r="F276" t="s">
        <v>15</v>
      </c>
      <c r="G276" s="2" t="s">
        <v>371</v>
      </c>
      <c r="H276" t="s">
        <v>13</v>
      </c>
      <c r="I276" t="s">
        <v>13</v>
      </c>
    </row>
    <row r="277" spans="1:9" ht="120" x14ac:dyDescent="0.25">
      <c r="A277" t="s">
        <v>9</v>
      </c>
      <c r="B277" t="str">
        <f>HYPERLINK("https://www.sydney.edu.au/scholarships/c/womens-plans-foundation-award.html", "Women's Plans Foundation Award")</f>
        <v>Women's Plans Foundation Award</v>
      </c>
      <c r="C277" t="s">
        <v>61</v>
      </c>
      <c r="D277" s="7">
        <v>1000</v>
      </c>
      <c r="E277" t="s">
        <v>62</v>
      </c>
      <c r="F277" t="s">
        <v>114</v>
      </c>
      <c r="G277" s="2" t="s">
        <v>115</v>
      </c>
      <c r="H277" t="s">
        <v>13</v>
      </c>
      <c r="I277" t="s">
        <v>13</v>
      </c>
    </row>
    <row r="278" spans="1:9" ht="45" x14ac:dyDescent="0.25">
      <c r="A278" t="s">
        <v>9</v>
      </c>
      <c r="B278" t="str">
        <f>HYPERLINK("https://www.sydney.edu.au/scholarships/d/-eric-horatio-maclean-scholarship.html", "Eric Horatio Maclean Scholarship")</f>
        <v>Eric Horatio Maclean Scholarship</v>
      </c>
      <c r="C278" t="s">
        <v>81</v>
      </c>
      <c r="D278" s="7">
        <v>8500</v>
      </c>
      <c r="E278" t="s">
        <v>65</v>
      </c>
      <c r="F278" t="s">
        <v>15</v>
      </c>
      <c r="G278" s="2" t="s">
        <v>372</v>
      </c>
      <c r="H278" t="s">
        <v>13</v>
      </c>
      <c r="I278" t="s">
        <v>13</v>
      </c>
    </row>
    <row r="279" spans="1:9" ht="60" x14ac:dyDescent="0.25">
      <c r="A279" t="s">
        <v>9</v>
      </c>
      <c r="B279" t="str">
        <f>HYPERLINK("https://www.sydney.edu.au/scholarships/d/Trowbridge-Scholarship-in-Master-of-Mathematical-Sciences.html", "Trowbridge Scholarship in Master of Mathematical Sciences")</f>
        <v>Trowbridge Scholarship in Master of Mathematical Sciences</v>
      </c>
      <c r="C279" t="s">
        <v>61</v>
      </c>
      <c r="D279" s="7">
        <v>5000</v>
      </c>
      <c r="E279" t="s">
        <v>237</v>
      </c>
      <c r="F279" t="s">
        <v>15</v>
      </c>
      <c r="G279" s="2" t="s">
        <v>373</v>
      </c>
      <c r="H279" t="s">
        <v>13</v>
      </c>
      <c r="I279" t="s">
        <v>13</v>
      </c>
    </row>
    <row r="280" spans="1:9" ht="75" x14ac:dyDescent="0.25">
      <c r="A280" t="s">
        <v>9</v>
      </c>
      <c r="B280" t="str">
        <f>HYPERLINK("https://www.sydney.edu.au/scholarships/d/barker-scholarships.html", "Barker Scholarships")</f>
        <v>Barker Scholarships</v>
      </c>
      <c r="C280" t="s">
        <v>61</v>
      </c>
      <c r="D280" s="6" t="s">
        <v>17</v>
      </c>
      <c r="E280" t="s">
        <v>64</v>
      </c>
      <c r="F280" t="s">
        <v>18</v>
      </c>
      <c r="G280" s="2" t="s">
        <v>374</v>
      </c>
      <c r="H280" t="s">
        <v>13</v>
      </c>
      <c r="I280" t="s">
        <v>13</v>
      </c>
    </row>
    <row r="281" spans="1:9" ht="90" x14ac:dyDescent="0.25">
      <c r="A281" t="s">
        <v>9</v>
      </c>
      <c r="B281" t="str">
        <f>HYPERLINK("https://www.sydney.edu.au/scholarships/d/betty-rosalie-richards-scholarship.html", "Betty Rosalie Richards Clinical Residency Scholarship")</f>
        <v>Betty Rosalie Richards Clinical Residency Scholarship</v>
      </c>
      <c r="C281" t="s">
        <v>61</v>
      </c>
      <c r="D281" s="6" t="s">
        <v>54</v>
      </c>
      <c r="E281" t="s">
        <v>66</v>
      </c>
      <c r="F281" t="s">
        <v>15</v>
      </c>
      <c r="G281" s="2" t="s">
        <v>375</v>
      </c>
      <c r="H281" t="s">
        <v>13</v>
      </c>
      <c r="I281" t="s">
        <v>13</v>
      </c>
    </row>
    <row r="282" spans="1:9" ht="90" x14ac:dyDescent="0.25">
      <c r="A282" t="s">
        <v>9</v>
      </c>
      <c r="B282" t="str">
        <f>HYPERLINK("https://www.sydney.edu.au/scholarships/d/brian-davey-memorial-scholarship.html", "Brian Davey Memorial Soil Science Scholarship")</f>
        <v>Brian Davey Memorial Soil Science Scholarship</v>
      </c>
      <c r="C282" t="s">
        <v>61</v>
      </c>
      <c r="D282" s="7">
        <v>6000</v>
      </c>
      <c r="E282" t="s">
        <v>64</v>
      </c>
      <c r="F282" t="s">
        <v>18</v>
      </c>
      <c r="G282" s="2" t="s">
        <v>376</v>
      </c>
      <c r="H282" t="s">
        <v>13</v>
      </c>
      <c r="I282" t="s">
        <v>13</v>
      </c>
    </row>
    <row r="283" spans="1:9" ht="120" x14ac:dyDescent="0.25">
      <c r="A283" t="s">
        <v>9</v>
      </c>
      <c r="B283" t="str">
        <f>HYPERLINK("https://www.sydney.edu.au/scholarships/d/deas-thomson-scholarships--geology-and-mineralogy-.html", "Deas Thomson Scholarships (Geology and Mineralogy)")</f>
        <v>Deas Thomson Scholarships (Geology and Mineralogy)</v>
      </c>
      <c r="C283" t="s">
        <v>61</v>
      </c>
      <c r="D283" s="6" t="s">
        <v>16</v>
      </c>
      <c r="E283" t="s">
        <v>64</v>
      </c>
      <c r="F283" t="s">
        <v>72</v>
      </c>
      <c r="G283" s="2" t="s">
        <v>116</v>
      </c>
      <c r="H283" t="s">
        <v>13</v>
      </c>
      <c r="I283" t="s">
        <v>13</v>
      </c>
    </row>
    <row r="284" spans="1:9" ht="45" x14ac:dyDescent="0.25">
      <c r="A284" t="s">
        <v>9</v>
      </c>
      <c r="B284" t="str">
        <f>HYPERLINK("https://www.sydney.edu.au/scholarships/d/doctor-of-veterinary-medicine-diversity-scholarship.html", "Doctor of Veterinary Medicine Diversity Scholarship")</f>
        <v>Doctor of Veterinary Medicine Diversity Scholarship</v>
      </c>
      <c r="C284" t="s">
        <v>61</v>
      </c>
      <c r="D284" s="7">
        <v>6500</v>
      </c>
      <c r="E284" t="s">
        <v>65</v>
      </c>
      <c r="F284" t="s">
        <v>15</v>
      </c>
      <c r="G284" s="2" t="s">
        <v>377</v>
      </c>
      <c r="H284" t="s">
        <v>138</v>
      </c>
      <c r="I284" t="s">
        <v>13</v>
      </c>
    </row>
    <row r="285" spans="1:9" ht="90" x14ac:dyDescent="0.25">
      <c r="A285" t="s">
        <v>9</v>
      </c>
      <c r="B285" t="str">
        <f>HYPERLINK("https://www.sydney.edu.au/scholarships/d/dr-john-and-mrs-adriana-nell-scholarship-in-agriculture.html", "Dr John and Mrs Adriana Nell Scholarship in Agriculture")</f>
        <v>Dr John and Mrs Adriana Nell Scholarship in Agriculture</v>
      </c>
      <c r="C285" t="s">
        <v>61</v>
      </c>
      <c r="D285" s="7">
        <v>5000</v>
      </c>
      <c r="E285" t="s">
        <v>64</v>
      </c>
      <c r="F285" t="s">
        <v>18</v>
      </c>
      <c r="G285" s="2" t="s">
        <v>378</v>
      </c>
      <c r="H285" t="s">
        <v>13</v>
      </c>
      <c r="I285" t="s">
        <v>13</v>
      </c>
    </row>
    <row r="286" spans="1:9" ht="90" x14ac:dyDescent="0.25">
      <c r="A286" t="s">
        <v>9</v>
      </c>
      <c r="B286" t="str">
        <f>HYPERLINK("https://www.sydney.edu.au/scholarships/d/dr-perry-manusu-scholarship.html", "Dr Perry Manusu Scholarship")</f>
        <v>Dr Perry Manusu Scholarship</v>
      </c>
      <c r="C286" t="s">
        <v>61</v>
      </c>
      <c r="D286" s="7">
        <v>25000</v>
      </c>
      <c r="E286" t="s">
        <v>379</v>
      </c>
      <c r="F286" t="s">
        <v>18</v>
      </c>
      <c r="G286" s="2" t="s">
        <v>380</v>
      </c>
      <c r="H286" t="s">
        <v>13</v>
      </c>
      <c r="I286" t="s">
        <v>13</v>
      </c>
    </row>
    <row r="287" spans="1:9" ht="75" x14ac:dyDescent="0.25">
      <c r="A287" t="s">
        <v>9</v>
      </c>
      <c r="B287" t="str">
        <f>HYPERLINK("https://www.sydney.edu.au/scholarships/d/edna-briggs-scholarship-in-physics.html", "Edna Briggs Scholarship in Physics")</f>
        <v>Edna Briggs Scholarship in Physics</v>
      </c>
      <c r="C287" t="s">
        <v>61</v>
      </c>
      <c r="D287" s="6" t="s">
        <v>55</v>
      </c>
      <c r="E287" t="s">
        <v>64</v>
      </c>
      <c r="F287" t="s">
        <v>18</v>
      </c>
      <c r="G287" s="2" t="s">
        <v>381</v>
      </c>
      <c r="H287" t="s">
        <v>13</v>
      </c>
      <c r="I287" t="s">
        <v>13</v>
      </c>
    </row>
    <row r="288" spans="1:9" ht="45" x14ac:dyDescent="0.25">
      <c r="A288" t="s">
        <v>9</v>
      </c>
      <c r="B288" t="str">
        <f>HYPERLINK("https://www.sydney.edu.au/scholarships/d/farrand-scholarship---mysydney.html", "Farrand Scholarship - MySydney")</f>
        <v>Farrand Scholarship - MySydney</v>
      </c>
      <c r="C288" t="s">
        <v>81</v>
      </c>
      <c r="D288" s="6" t="s">
        <v>33</v>
      </c>
      <c r="E288" t="s">
        <v>65</v>
      </c>
      <c r="F288" t="s">
        <v>18</v>
      </c>
      <c r="G288" s="2" t="s">
        <v>382</v>
      </c>
      <c r="H288" t="s">
        <v>13</v>
      </c>
      <c r="I288" t="s">
        <v>13</v>
      </c>
    </row>
    <row r="289" spans="1:9" ht="45" x14ac:dyDescent="0.25">
      <c r="A289" t="s">
        <v>9</v>
      </c>
      <c r="B289" t="str">
        <f>HYPERLINK("https://www.sydney.edu.au/scholarships/d/francis-henry-loxton-equity-scholarship.html", "Francis Henry Loxton Equity Scholarship")</f>
        <v>Francis Henry Loxton Equity Scholarship</v>
      </c>
      <c r="C289" t="s">
        <v>81</v>
      </c>
      <c r="D289" s="6" t="s">
        <v>21</v>
      </c>
      <c r="E289" t="s">
        <v>64</v>
      </c>
      <c r="F289" t="s">
        <v>15</v>
      </c>
      <c r="G289" s="2" t="s">
        <v>383</v>
      </c>
      <c r="H289" t="s">
        <v>13</v>
      </c>
      <c r="I289" t="s">
        <v>13</v>
      </c>
    </row>
    <row r="290" spans="1:9" ht="60" x14ac:dyDescent="0.25">
      <c r="A290" t="s">
        <v>9</v>
      </c>
      <c r="B290" t="str">
        <f>HYPERLINK("https://www.sydney.edu.au/scholarships/d/frazer-allan-scholarship.html", "Frazer Allan Scholarship")</f>
        <v>Frazer Allan Scholarship</v>
      </c>
      <c r="C290" t="s">
        <v>81</v>
      </c>
      <c r="D290" s="6" t="s">
        <v>32</v>
      </c>
      <c r="E290" t="s">
        <v>64</v>
      </c>
      <c r="F290" t="s">
        <v>15</v>
      </c>
      <c r="G290" s="2" t="s">
        <v>384</v>
      </c>
      <c r="H290" t="s">
        <v>13</v>
      </c>
      <c r="I290" t="s">
        <v>13</v>
      </c>
    </row>
    <row r="291" spans="1:9" ht="45" x14ac:dyDescent="0.25">
      <c r="A291" t="s">
        <v>9</v>
      </c>
      <c r="B291" t="str">
        <f>HYPERLINK("https://www.sydney.edu.au/scholarships/d/g-s-caird-scholarship-in-chemistry.html", "G S Caird Scholarship in Chemistry")</f>
        <v>G S Caird Scholarship in Chemistry</v>
      </c>
      <c r="C291" t="s">
        <v>81</v>
      </c>
      <c r="D291" s="6" t="s">
        <v>19</v>
      </c>
      <c r="E291" t="s">
        <v>237</v>
      </c>
      <c r="F291" t="s">
        <v>18</v>
      </c>
      <c r="G291" s="2" t="s">
        <v>385</v>
      </c>
      <c r="H291" t="s">
        <v>13</v>
      </c>
      <c r="I291" t="s">
        <v>13</v>
      </c>
    </row>
    <row r="292" spans="1:9" ht="105" x14ac:dyDescent="0.25">
      <c r="A292" t="s">
        <v>9</v>
      </c>
      <c r="B292" t="str">
        <f>HYPERLINK("https://www.sydney.edu.au/scholarships/d/george-allen-scholarships.html", "George Allen Scholarships")</f>
        <v>George Allen Scholarships</v>
      </c>
      <c r="C292" t="s">
        <v>61</v>
      </c>
      <c r="D292" s="6" t="s">
        <v>49</v>
      </c>
      <c r="E292" t="s">
        <v>64</v>
      </c>
      <c r="F292" t="s">
        <v>72</v>
      </c>
      <c r="G292" s="2" t="s">
        <v>117</v>
      </c>
      <c r="H292" t="s">
        <v>13</v>
      </c>
      <c r="I292" t="s">
        <v>13</v>
      </c>
    </row>
    <row r="293" spans="1:9" ht="60" x14ac:dyDescent="0.25">
      <c r="A293" t="s">
        <v>9</v>
      </c>
      <c r="B293" t="str">
        <f>HYPERLINK("https://www.sydney.edu.au/scholarships/d/george-harris-scholarship-in-chemistry-honours.html", "George Harris Scholarship in Chemistry Honours")</f>
        <v>George Harris Scholarship in Chemistry Honours</v>
      </c>
      <c r="C293" t="s">
        <v>81</v>
      </c>
      <c r="D293" s="6" t="s">
        <v>33</v>
      </c>
      <c r="E293" t="s">
        <v>64</v>
      </c>
      <c r="F293" t="s">
        <v>18</v>
      </c>
      <c r="G293" s="2" t="s">
        <v>386</v>
      </c>
      <c r="H293" t="s">
        <v>13</v>
      </c>
      <c r="I293" t="s">
        <v>13</v>
      </c>
    </row>
    <row r="294" spans="1:9" ht="120" x14ac:dyDescent="0.25">
      <c r="A294" t="s">
        <v>9</v>
      </c>
      <c r="B294" t="str">
        <f>HYPERLINK("https://www.sydney.edu.au/scholarships/d/honours-relocation-scholarships.html", "Faculty of Science Honours Relocation Scholarships")</f>
        <v>Faculty of Science Honours Relocation Scholarships</v>
      </c>
      <c r="C294" t="s">
        <v>61</v>
      </c>
      <c r="D294" s="7">
        <v>6000</v>
      </c>
      <c r="E294" t="s">
        <v>64</v>
      </c>
      <c r="F294" t="s">
        <v>18</v>
      </c>
      <c r="G294" s="2" t="s">
        <v>387</v>
      </c>
      <c r="H294" t="s">
        <v>13</v>
      </c>
      <c r="I294" t="s">
        <v>13</v>
      </c>
    </row>
    <row r="295" spans="1:9" ht="90" x14ac:dyDescent="0.25">
      <c r="A295" t="s">
        <v>9</v>
      </c>
      <c r="B295" t="str">
        <f>HYPERLINK("https://www.sydney.edu.au/scholarships/d/hugh-hughes-scholarship-for-combined-masters-degree-in-veterinar.html", "Hugh Hughes Scholarship for Combined Masters Degree in Veterinary Studies and Veterinary Clinical Studies")</f>
        <v>Hugh Hughes Scholarship for Combined Masters Degree in Veterinary Studies and Veterinary Clinical Studies</v>
      </c>
      <c r="C295" t="s">
        <v>61</v>
      </c>
      <c r="D295" s="6" t="s">
        <v>56</v>
      </c>
      <c r="E295" t="s">
        <v>66</v>
      </c>
      <c r="F295" t="s">
        <v>15</v>
      </c>
      <c r="G295" s="2" t="s">
        <v>388</v>
      </c>
      <c r="H295" t="s">
        <v>13</v>
      </c>
      <c r="I295" t="s">
        <v>13</v>
      </c>
    </row>
    <row r="296" spans="1:9" ht="105" x14ac:dyDescent="0.25">
      <c r="A296" t="s">
        <v>9</v>
      </c>
      <c r="B296" t="str">
        <f>HYPERLINK("https://www.sydney.edu.au/scholarships/d/james-murphy-scholarship--supplementary-.html", "James Murphy Scholarship (Supplementary)")</f>
        <v>James Murphy Scholarship (Supplementary)</v>
      </c>
      <c r="C296" t="s">
        <v>61</v>
      </c>
      <c r="D296" s="6" t="s">
        <v>32</v>
      </c>
      <c r="E296" t="s">
        <v>237</v>
      </c>
      <c r="F296" t="s">
        <v>18</v>
      </c>
      <c r="G296" s="2" t="s">
        <v>389</v>
      </c>
      <c r="H296" t="s">
        <v>13</v>
      </c>
      <c r="I296" t="s">
        <v>13</v>
      </c>
    </row>
    <row r="297" spans="1:9" ht="30" x14ac:dyDescent="0.25">
      <c r="A297" t="s">
        <v>9</v>
      </c>
      <c r="B297" t="str">
        <f>HYPERLINK("https://www.sydney.edu.au/scholarships/d/james-s-ashton-memorial-scholarship.html", "James S Ashton Memorial Scholarship")</f>
        <v>James S Ashton Memorial Scholarship</v>
      </c>
      <c r="C297" t="s">
        <v>61</v>
      </c>
      <c r="D297" s="7">
        <v>5000</v>
      </c>
      <c r="E297" t="s">
        <v>64</v>
      </c>
      <c r="F297" t="s">
        <v>18</v>
      </c>
      <c r="G297" s="2" t="s">
        <v>390</v>
      </c>
      <c r="H297" t="s">
        <v>13</v>
      </c>
      <c r="I297" t="s">
        <v>13</v>
      </c>
    </row>
    <row r="298" spans="1:9" ht="45" x14ac:dyDescent="0.25">
      <c r="A298" t="s">
        <v>9</v>
      </c>
      <c r="B298" t="str">
        <f>HYPERLINK("https://www.sydney.edu.au/scholarships/d/james-strong-rip-curl-scholarship.html", "James Strong – Rip Curl Undergraduate Scholarship")</f>
        <v>James Strong – Rip Curl Undergraduate Scholarship</v>
      </c>
      <c r="C298" t="s">
        <v>61</v>
      </c>
      <c r="D298" s="7">
        <v>7500</v>
      </c>
      <c r="E298" t="s">
        <v>64</v>
      </c>
      <c r="F298" t="s">
        <v>18</v>
      </c>
      <c r="G298" s="2" t="s">
        <v>391</v>
      </c>
      <c r="H298" t="s">
        <v>13</v>
      </c>
      <c r="I298" t="s">
        <v>13</v>
      </c>
    </row>
    <row r="299" spans="1:9" ht="90" x14ac:dyDescent="0.25">
      <c r="A299" t="s">
        <v>9</v>
      </c>
      <c r="B299" t="str">
        <f>HYPERLINK("https://www.sydney.edu.au/scholarships/d/jean-ray-blencowe-scholarship.html", "The Jean and Ray Blencowe Scholarship")</f>
        <v>The Jean and Ray Blencowe Scholarship</v>
      </c>
      <c r="C299" t="s">
        <v>61</v>
      </c>
      <c r="D299" s="7">
        <v>1700</v>
      </c>
      <c r="E299" t="s">
        <v>64</v>
      </c>
      <c r="F299" t="s">
        <v>18</v>
      </c>
      <c r="G299" s="2" t="s">
        <v>392</v>
      </c>
      <c r="H299" t="s">
        <v>13</v>
      </c>
      <c r="I299" t="s">
        <v>13</v>
      </c>
    </row>
    <row r="300" spans="1:9" ht="150" x14ac:dyDescent="0.25">
      <c r="A300" t="s">
        <v>9</v>
      </c>
      <c r="B300" t="str">
        <f>HYPERLINK("https://www.sydney.edu.au/scholarships/d/john-coutts-scholarship.html", "John Coutts Scholarship")</f>
        <v>John Coutts Scholarship</v>
      </c>
      <c r="C300" t="s">
        <v>61</v>
      </c>
      <c r="D300" s="7">
        <v>7500</v>
      </c>
      <c r="E300" t="s">
        <v>64</v>
      </c>
      <c r="F300" t="s">
        <v>18</v>
      </c>
      <c r="G300" s="2" t="s">
        <v>393</v>
      </c>
      <c r="H300" t="s">
        <v>13</v>
      </c>
      <c r="I300" t="s">
        <v>13</v>
      </c>
    </row>
    <row r="301" spans="1:9" ht="45" x14ac:dyDescent="0.25">
      <c r="A301" t="s">
        <v>9</v>
      </c>
      <c r="B301" t="str">
        <f>HYPERLINK("https://www.sydney.edu.au/scholarships/d/josiah-and-myra-roberts-scholarship.html", "Josiah and Myra Roberts Scholarship")</f>
        <v>Josiah and Myra Roberts Scholarship</v>
      </c>
      <c r="C301" t="s">
        <v>81</v>
      </c>
      <c r="D301" s="7">
        <v>10000</v>
      </c>
      <c r="E301" t="s">
        <v>66</v>
      </c>
      <c r="F301" t="s">
        <v>18</v>
      </c>
      <c r="G301" s="2" t="s">
        <v>394</v>
      </c>
      <c r="H301" t="s">
        <v>13</v>
      </c>
      <c r="I301" t="s">
        <v>13</v>
      </c>
    </row>
    <row r="302" spans="1:9" ht="75" x14ac:dyDescent="0.25">
      <c r="A302" t="s">
        <v>9</v>
      </c>
      <c r="B302" t="str">
        <f>HYPERLINK("https://www.sydney.edu.au/scholarships/d/k-e-bullen-scholarships.html", "K E Bullen Scholarships")</f>
        <v>K E Bullen Scholarships</v>
      </c>
      <c r="C302" t="s">
        <v>61</v>
      </c>
      <c r="D302" s="6" t="s">
        <v>31</v>
      </c>
      <c r="E302" t="s">
        <v>64</v>
      </c>
      <c r="F302" t="s">
        <v>72</v>
      </c>
      <c r="G302" s="2" t="s">
        <v>395</v>
      </c>
      <c r="H302" t="s">
        <v>13</v>
      </c>
      <c r="I302" t="s">
        <v>13</v>
      </c>
    </row>
    <row r="303" spans="1:9" ht="60" x14ac:dyDescent="0.25">
      <c r="A303" t="s">
        <v>9</v>
      </c>
      <c r="B303" t="str">
        <f>HYPERLINK("https://www.sydney.edu.au/scholarships/d/lithgow-scholarship-for-graduate-diploma-in-psychology.html", "Lithgow Scholarship for Graduate Diploma in Psychology")</f>
        <v>Lithgow Scholarship for Graduate Diploma in Psychology</v>
      </c>
      <c r="C303" t="s">
        <v>61</v>
      </c>
      <c r="D303" s="6" t="s">
        <v>34</v>
      </c>
      <c r="E303" t="s">
        <v>64</v>
      </c>
      <c r="F303" t="s">
        <v>15</v>
      </c>
      <c r="G303" s="2" t="s">
        <v>396</v>
      </c>
      <c r="H303" t="s">
        <v>13</v>
      </c>
      <c r="I303" t="s">
        <v>13</v>
      </c>
    </row>
    <row r="304" spans="1:9" ht="45" x14ac:dyDescent="0.25">
      <c r="A304" t="s">
        <v>9</v>
      </c>
      <c r="B304" t="str">
        <f>HYPERLINK("https://www.sydney.edu.au/scholarships/d/malcolm-turki-memorial-scholarship.html", "The Malcolm Turki Memorial Scholarship")</f>
        <v>The Malcolm Turki Memorial Scholarship</v>
      </c>
      <c r="C304" t="s">
        <v>81</v>
      </c>
      <c r="D304" s="7">
        <v>6000</v>
      </c>
      <c r="E304" t="s">
        <v>64</v>
      </c>
      <c r="F304" t="s">
        <v>18</v>
      </c>
      <c r="G304" s="2" t="s">
        <v>397</v>
      </c>
      <c r="H304" t="s">
        <v>13</v>
      </c>
      <c r="I304" t="s">
        <v>13</v>
      </c>
    </row>
    <row r="305" spans="1:9" ht="60" x14ac:dyDescent="0.25">
      <c r="A305" t="s">
        <v>9</v>
      </c>
      <c r="B305" t="str">
        <f>HYPERLINK("https://www.sydney.edu.au/scholarships/d/mccaughey-memorial-institute-scholarship-in-agriculture.html", "McCaughey Memorial Institute Scholarship in Agriculture")</f>
        <v>McCaughey Memorial Institute Scholarship in Agriculture</v>
      </c>
      <c r="C305" t="s">
        <v>81</v>
      </c>
      <c r="D305" s="6" t="s">
        <v>39</v>
      </c>
      <c r="E305" t="s">
        <v>64</v>
      </c>
      <c r="F305" t="s">
        <v>72</v>
      </c>
      <c r="G305" s="2" t="s">
        <v>118</v>
      </c>
      <c r="H305" t="s">
        <v>13</v>
      </c>
      <c r="I305" t="s">
        <v>13</v>
      </c>
    </row>
    <row r="306" spans="1:9" ht="90" x14ac:dyDescent="0.25">
      <c r="A306" t="s">
        <v>9</v>
      </c>
      <c r="B306" t="str">
        <f>HYPERLINK("https://www.sydney.edu.au/scholarships/d/mrs-elva-rae-talented-mathematics-scholarship.html", "Mrs Elva Rae Talented Mathematics Scholarship")</f>
        <v>Mrs Elva Rae Talented Mathematics Scholarship</v>
      </c>
      <c r="C306" t="s">
        <v>61</v>
      </c>
      <c r="D306" s="6" t="s">
        <v>19</v>
      </c>
      <c r="E306" t="s">
        <v>64</v>
      </c>
      <c r="F306" t="s">
        <v>12</v>
      </c>
      <c r="G306" s="2" t="s">
        <v>398</v>
      </c>
      <c r="H306" t="s">
        <v>13</v>
      </c>
      <c r="I306" t="s">
        <v>13</v>
      </c>
    </row>
    <row r="307" spans="1:9" ht="90" x14ac:dyDescent="0.25">
      <c r="A307" t="s">
        <v>9</v>
      </c>
      <c r="B307" t="str">
        <f>HYPERLINK("https://www.sydney.edu.au/scholarships/d/mrs-elva-rae-talented-mathematics-undergraduate-scholarship.html", "Mrs Elva Rae Talented Mathematics Undergraduate Scholarship")</f>
        <v>Mrs Elva Rae Talented Mathematics Undergraduate Scholarship</v>
      </c>
      <c r="C307" t="s">
        <v>61</v>
      </c>
      <c r="D307" s="6" t="s">
        <v>26</v>
      </c>
      <c r="E307" t="s">
        <v>237</v>
      </c>
      <c r="F307" t="s">
        <v>18</v>
      </c>
      <c r="G307" s="2" t="s">
        <v>399</v>
      </c>
      <c r="H307" t="s">
        <v>13</v>
      </c>
      <c r="I307" t="s">
        <v>13</v>
      </c>
    </row>
    <row r="308" spans="1:9" ht="45" x14ac:dyDescent="0.25">
      <c r="A308" t="s">
        <v>9</v>
      </c>
      <c r="B308" t="str">
        <f>HYPERLINK("https://www.sydney.edu.au/scholarships/d/nancy-paton-women-in-science-scholarship.html", "Nancy Paton Women in Science Scholarship")</f>
        <v>Nancy Paton Women in Science Scholarship</v>
      </c>
      <c r="C308" t="s">
        <v>61</v>
      </c>
      <c r="D308" s="6" t="s">
        <v>33</v>
      </c>
      <c r="E308" t="s">
        <v>66</v>
      </c>
      <c r="F308" t="s">
        <v>18</v>
      </c>
      <c r="G308" s="2" t="s">
        <v>400</v>
      </c>
      <c r="H308" t="s">
        <v>13</v>
      </c>
      <c r="I308" t="s">
        <v>13</v>
      </c>
    </row>
    <row r="309" spans="1:9" ht="90" x14ac:dyDescent="0.25">
      <c r="A309" t="s">
        <v>9</v>
      </c>
      <c r="B309" t="str">
        <f>HYPERLINK("https://www.sydney.edu.au/scholarships/d/norman-scott-noble-scholarship.html", "Norman Scott Noble Honours Scholarship")</f>
        <v>Norman Scott Noble Honours Scholarship</v>
      </c>
      <c r="C309" t="s">
        <v>61</v>
      </c>
      <c r="D309" s="7">
        <v>5000</v>
      </c>
      <c r="E309" t="s">
        <v>64</v>
      </c>
      <c r="F309" t="s">
        <v>72</v>
      </c>
      <c r="G309" s="2" t="s">
        <v>401</v>
      </c>
      <c r="H309" t="s">
        <v>13</v>
      </c>
      <c r="I309" t="s">
        <v>13</v>
      </c>
    </row>
    <row r="310" spans="1:9" x14ac:dyDescent="0.25">
      <c r="A310" t="s">
        <v>9</v>
      </c>
      <c r="B310" t="str">
        <f>HYPERLINK("https://www.sydney.edu.au/scholarships/d/philip-thomas-collins-scholarship.html", "Philip Thomas Collins Scholarship")</f>
        <v>Philip Thomas Collins Scholarship</v>
      </c>
      <c r="C310" t="s">
        <v>81</v>
      </c>
      <c r="D310" s="6" t="s">
        <v>30</v>
      </c>
      <c r="E310" t="s">
        <v>64</v>
      </c>
      <c r="F310" t="s">
        <v>72</v>
      </c>
      <c r="G310" s="2" t="s">
        <v>402</v>
      </c>
      <c r="H310" t="s">
        <v>13</v>
      </c>
      <c r="I310" t="s">
        <v>13</v>
      </c>
    </row>
    <row r="311" spans="1:9" ht="45" x14ac:dyDescent="0.25">
      <c r="A311" t="s">
        <v>9</v>
      </c>
      <c r="B311" t="str">
        <f>HYPERLINK("https://www.sydney.edu.au/scholarships/d/placement-scholarships-for-the-doctor-of-veterinary-medicine.html", "Placement Scholarships for the Doctor of Veterinary Medicine")</f>
        <v>Placement Scholarships for the Doctor of Veterinary Medicine</v>
      </c>
      <c r="C311" t="s">
        <v>61</v>
      </c>
      <c r="D311" s="6" t="s">
        <v>49</v>
      </c>
      <c r="E311" t="s">
        <v>62</v>
      </c>
      <c r="F311" t="s">
        <v>15</v>
      </c>
      <c r="G311" s="2" t="s">
        <v>403</v>
      </c>
      <c r="H311" t="s">
        <v>13</v>
      </c>
      <c r="I311" t="s">
        <v>29</v>
      </c>
    </row>
    <row r="312" spans="1:9" ht="60" x14ac:dyDescent="0.25">
      <c r="A312" t="s">
        <v>9</v>
      </c>
      <c r="B312" t="str">
        <f>HYPERLINK("https://www.sydney.edu.au/scholarships/d/professor-marsh-edwards-ao.html", "Professor Marsh Edwards AO Scholarship")</f>
        <v>Professor Marsh Edwards AO Scholarship</v>
      </c>
      <c r="C312" t="s">
        <v>61</v>
      </c>
      <c r="D312" s="7">
        <v>6750</v>
      </c>
      <c r="E312" t="s">
        <v>65</v>
      </c>
      <c r="F312" t="s">
        <v>15</v>
      </c>
      <c r="G312" s="2" t="s">
        <v>404</v>
      </c>
      <c r="H312" t="s">
        <v>13</v>
      </c>
      <c r="I312" t="s">
        <v>13</v>
      </c>
    </row>
    <row r="313" spans="1:9" ht="90" x14ac:dyDescent="0.25">
      <c r="A313" t="s">
        <v>9</v>
      </c>
      <c r="B313" t="str">
        <f>HYPERLINK("https://www.sydney.edu.au/scholarships/d/roy-frederick-turner-scholarship-agriculture.html", "Roy Frederick Turner Scholarship (Agriculture)")</f>
        <v>Roy Frederick Turner Scholarship (Agriculture)</v>
      </c>
      <c r="C313" t="s">
        <v>81</v>
      </c>
      <c r="D313" s="7">
        <v>7500</v>
      </c>
      <c r="E313" t="s">
        <v>64</v>
      </c>
      <c r="F313" t="s">
        <v>18</v>
      </c>
      <c r="G313" s="2" t="s">
        <v>405</v>
      </c>
      <c r="H313" t="s">
        <v>13</v>
      </c>
      <c r="I313" t="s">
        <v>13</v>
      </c>
    </row>
    <row r="314" spans="1:9" ht="60" x14ac:dyDescent="0.25">
      <c r="A314" t="s">
        <v>9</v>
      </c>
      <c r="B314" t="str">
        <f>HYPERLINK("https://www.sydney.edu.au/scholarships/d/ruggles-scholarship.html", "Ruggles Scholarship")</f>
        <v>Ruggles Scholarship</v>
      </c>
      <c r="C314" t="s">
        <v>61</v>
      </c>
      <c r="D314" s="7">
        <v>6750</v>
      </c>
      <c r="E314" t="s">
        <v>62</v>
      </c>
      <c r="F314" t="s">
        <v>15</v>
      </c>
      <c r="G314" s="2" t="s">
        <v>404</v>
      </c>
      <c r="H314" t="s">
        <v>13</v>
      </c>
      <c r="I314" t="s">
        <v>13</v>
      </c>
    </row>
    <row r="315" spans="1:9" ht="195" x14ac:dyDescent="0.25">
      <c r="A315" t="s">
        <v>9</v>
      </c>
      <c r="B315" t="str">
        <f>HYPERLINK("https://www.sydney.edu.au/scholarships/d/rural-sustainability-scholarship-supplementary.html", "Rural Sustainability Scholarship (Supplementary)")</f>
        <v>Rural Sustainability Scholarship (Supplementary)</v>
      </c>
      <c r="C315" t="s">
        <v>61</v>
      </c>
      <c r="D315" s="7">
        <v>4300</v>
      </c>
      <c r="E315" t="s">
        <v>64</v>
      </c>
      <c r="F315" t="s">
        <v>18</v>
      </c>
      <c r="G315" s="2" t="s">
        <v>406</v>
      </c>
      <c r="H315" t="s">
        <v>13</v>
      </c>
      <c r="I315" t="s">
        <v>13</v>
      </c>
    </row>
    <row r="316" spans="1:9" ht="105" x14ac:dyDescent="0.25">
      <c r="A316" t="s">
        <v>9</v>
      </c>
      <c r="B316" t="str">
        <f>HYPERLINK("https://www.sydney.edu.au/scholarships/d/rural-sustainability-scholarship.html", "Rural Sustainability Scholarship")</f>
        <v>Rural Sustainability Scholarship</v>
      </c>
      <c r="C316" t="s">
        <v>61</v>
      </c>
      <c r="D316" s="7">
        <v>6000</v>
      </c>
      <c r="E316" t="s">
        <v>66</v>
      </c>
      <c r="F316" t="s">
        <v>18</v>
      </c>
      <c r="G316" s="2" t="s">
        <v>407</v>
      </c>
      <c r="H316" t="s">
        <v>13</v>
      </c>
      <c r="I316" t="s">
        <v>13</v>
      </c>
    </row>
    <row r="317" spans="1:9" ht="45" x14ac:dyDescent="0.25">
      <c r="A317" t="s">
        <v>9</v>
      </c>
      <c r="B317" t="str">
        <f>HYPERLINK("https://www.sydney.edu.au/scholarships/d/sally-andrews-honours-scholarship-in-psychology.html", "Sally Andrews Honours Scholarship in Psychology")</f>
        <v>Sally Andrews Honours Scholarship in Psychology</v>
      </c>
      <c r="C317" t="s">
        <v>81</v>
      </c>
      <c r="D317" s="6" t="s">
        <v>34</v>
      </c>
      <c r="E317" t="s">
        <v>64</v>
      </c>
      <c r="F317" t="s">
        <v>72</v>
      </c>
      <c r="G317" s="2" t="s">
        <v>119</v>
      </c>
      <c r="H317" t="s">
        <v>13</v>
      </c>
      <c r="I317" t="s">
        <v>13</v>
      </c>
    </row>
    <row r="318" spans="1:9" ht="60" x14ac:dyDescent="0.25">
      <c r="A318" t="s">
        <v>9</v>
      </c>
      <c r="B318" t="str">
        <f>HYPERLINK("https://www.sydney.edu.au/scholarships/d/sir-lionel-hooke-scholarship.html", "Sir Lionel Hooke Scholarship")</f>
        <v>Sir Lionel Hooke Scholarship</v>
      </c>
      <c r="C318" t="s">
        <v>61</v>
      </c>
      <c r="D318" s="7">
        <v>5000</v>
      </c>
      <c r="E318" t="s">
        <v>64</v>
      </c>
      <c r="F318" t="s">
        <v>18</v>
      </c>
      <c r="G318" s="2" t="s">
        <v>408</v>
      </c>
      <c r="H318" t="s">
        <v>13</v>
      </c>
      <c r="I318" t="s">
        <v>13</v>
      </c>
    </row>
    <row r="319" spans="1:9" ht="60" x14ac:dyDescent="0.25">
      <c r="A319" t="s">
        <v>9</v>
      </c>
      <c r="B319" t="str">
        <f>HYPERLINK("https://www.sydney.edu.au/scholarships/d/swan-family-scholarship.html", "The Swan Family Scholarship")</f>
        <v>The Swan Family Scholarship</v>
      </c>
      <c r="C319" t="s">
        <v>61</v>
      </c>
      <c r="D319" s="7">
        <v>6000</v>
      </c>
      <c r="E319" t="s">
        <v>90</v>
      </c>
      <c r="F319" t="s">
        <v>15</v>
      </c>
      <c r="G319" s="2" t="s">
        <v>409</v>
      </c>
      <c r="H319" t="s">
        <v>13</v>
      </c>
      <c r="I319" t="s">
        <v>13</v>
      </c>
    </row>
    <row r="320" spans="1:9" ht="60" x14ac:dyDescent="0.25">
      <c r="A320" t="s">
        <v>9</v>
      </c>
      <c r="B320" t="str">
        <f>HYPERLINK("https://www.sydney.edu.au/scholarships/d/sydney-school-of-veterinary-sciences-postgraduate-diversity-scho.html", "Sydney School of Veterinary Sciences Postgraduate Diversity Scholarship")</f>
        <v>Sydney School of Veterinary Sciences Postgraduate Diversity Scholarship</v>
      </c>
      <c r="C320" t="s">
        <v>81</v>
      </c>
      <c r="D320" s="2" t="s">
        <v>136</v>
      </c>
      <c r="E320" t="s">
        <v>90</v>
      </c>
      <c r="F320" t="s">
        <v>15</v>
      </c>
      <c r="G320" s="2" t="s">
        <v>137</v>
      </c>
      <c r="H320" t="s">
        <v>13</v>
      </c>
      <c r="I320" t="s">
        <v>13</v>
      </c>
    </row>
    <row r="321" spans="1:9" ht="120" x14ac:dyDescent="0.25">
      <c r="A321" t="s">
        <v>9</v>
      </c>
      <c r="B321" t="str">
        <f>HYPERLINK("https://www.sydney.edu.au/scholarships/d/sydney-school-of-veterinary-sciences-undergraduate-equity-scholarship.html", "Sydney School of Veterinary Sciences Undergraduate Equity Scholarship")</f>
        <v>Sydney School of Veterinary Sciences Undergraduate Equity Scholarship</v>
      </c>
      <c r="C321" t="s">
        <v>81</v>
      </c>
      <c r="D321" s="2" t="s">
        <v>136</v>
      </c>
      <c r="E321" t="s">
        <v>90</v>
      </c>
      <c r="F321" t="s">
        <v>12</v>
      </c>
      <c r="G321" s="2" t="s">
        <v>139</v>
      </c>
      <c r="H321" t="s">
        <v>138</v>
      </c>
      <c r="I321" t="s">
        <v>13</v>
      </c>
    </row>
    <row r="322" spans="1:9" ht="105" x14ac:dyDescent="0.25">
      <c r="A322" t="s">
        <v>9</v>
      </c>
      <c r="B322" t="str">
        <f>HYPERLINK("https://www.sydney.edu.au/scholarships/d/the-kristina-hacket-memorial-scholarship.html", "The Kristina Hacket Memorial Scholarship")</f>
        <v>The Kristina Hacket Memorial Scholarship</v>
      </c>
      <c r="C322" t="s">
        <v>61</v>
      </c>
      <c r="D322" s="6" t="s">
        <v>16</v>
      </c>
      <c r="E322" t="s">
        <v>64</v>
      </c>
      <c r="F322" t="s">
        <v>18</v>
      </c>
      <c r="G322" s="2" t="s">
        <v>410</v>
      </c>
      <c r="H322" t="s">
        <v>13</v>
      </c>
      <c r="I322" t="s">
        <v>13</v>
      </c>
    </row>
    <row r="323" spans="1:9" ht="45" x14ac:dyDescent="0.25">
      <c r="A323" t="s">
        <v>9</v>
      </c>
      <c r="B323" t="str">
        <f>HYPERLINK("https://www.sydney.edu.au/scholarships/d/the-ross-scholarship.html", "The Ross Scholarship")</f>
        <v>The Ross Scholarship</v>
      </c>
      <c r="C323" t="s">
        <v>61</v>
      </c>
      <c r="D323" s="6" t="s">
        <v>57</v>
      </c>
      <c r="E323" t="s">
        <v>65</v>
      </c>
      <c r="F323" t="s">
        <v>18</v>
      </c>
      <c r="G323" s="2" t="s">
        <v>411</v>
      </c>
      <c r="H323" t="s">
        <v>13</v>
      </c>
      <c r="I323" t="s">
        <v>13</v>
      </c>
    </row>
    <row r="324" spans="1:9" ht="90" x14ac:dyDescent="0.25">
      <c r="A324" t="s">
        <v>9</v>
      </c>
      <c r="B324" t="str">
        <f>HYPERLINK("https://www.sydney.edu.au/scholarships/d/the-veterinary-society-scholarship.html", "The Veterinary Society Scholarship")</f>
        <v>The Veterinary Society Scholarship</v>
      </c>
      <c r="C324" t="s">
        <v>81</v>
      </c>
      <c r="D324" s="7">
        <v>2500</v>
      </c>
      <c r="E324" t="s">
        <v>64</v>
      </c>
      <c r="F324" t="s">
        <v>15</v>
      </c>
      <c r="G324" s="2" t="s">
        <v>412</v>
      </c>
      <c r="H324" t="s">
        <v>13</v>
      </c>
      <c r="I324" t="s">
        <v>13</v>
      </c>
    </row>
    <row r="325" spans="1:9" ht="90" x14ac:dyDescent="0.25">
      <c r="A325" t="s">
        <v>9</v>
      </c>
      <c r="B325" t="str">
        <f>HYPERLINK("https://www.sydney.edu.au/scholarships/d/the-william-cooper-and-nephews--scholarship.html", "The William Cooper and Nephews' Scholarship")</f>
        <v>The William Cooper and Nephews' Scholarship</v>
      </c>
      <c r="C325" t="s">
        <v>61</v>
      </c>
      <c r="D325" s="7">
        <v>5000</v>
      </c>
      <c r="E325" t="s">
        <v>64</v>
      </c>
      <c r="F325" t="s">
        <v>18</v>
      </c>
      <c r="G325" s="2" t="s">
        <v>413</v>
      </c>
      <c r="H325" t="s">
        <v>13</v>
      </c>
      <c r="I325" t="s">
        <v>13</v>
      </c>
    </row>
    <row r="326" spans="1:9" ht="45" x14ac:dyDescent="0.25">
      <c r="A326" t="s">
        <v>9</v>
      </c>
      <c r="B326" t="str">
        <f>HYPERLINK("https://www.sydney.edu.au/scholarships/d/tomoko-maruno-equity-scholarship.html", "Tomoko Maruno Equity Scholarship")</f>
        <v>Tomoko Maruno Equity Scholarship</v>
      </c>
      <c r="C326" t="s">
        <v>81</v>
      </c>
      <c r="D326" s="6" t="s">
        <v>21</v>
      </c>
      <c r="E326" t="s">
        <v>64</v>
      </c>
      <c r="F326" t="s">
        <v>15</v>
      </c>
      <c r="G326" s="2" t="s">
        <v>383</v>
      </c>
      <c r="H326" t="s">
        <v>13</v>
      </c>
      <c r="I326" t="s">
        <v>13</v>
      </c>
    </row>
    <row r="327" spans="1:9" ht="30" x14ac:dyDescent="0.25">
      <c r="A327" t="s">
        <v>9</v>
      </c>
      <c r="B327" t="str">
        <f>HYPERLINK("https://www.sydney.edu.au/scholarships/d/walter-moore-scholarship.html", "Walter Moore Honours Scholarships")</f>
        <v>Walter Moore Honours Scholarships</v>
      </c>
      <c r="C327" t="s">
        <v>81</v>
      </c>
      <c r="D327" s="7">
        <v>5000</v>
      </c>
      <c r="E327" t="s">
        <v>64</v>
      </c>
      <c r="F327" t="s">
        <v>72</v>
      </c>
      <c r="G327" s="2" t="s">
        <v>414</v>
      </c>
      <c r="H327" t="s">
        <v>13</v>
      </c>
      <c r="I327" t="s">
        <v>13</v>
      </c>
    </row>
    <row r="328" spans="1:9" ht="90" x14ac:dyDescent="0.25">
      <c r="A328" t="s">
        <v>9</v>
      </c>
      <c r="B328" t="str">
        <f>HYPERLINK("https://www.sydney.edu.au/scholarships/d/yim-family-foundation-scholarship.html", "Yim Family Foundation Scholarship")</f>
        <v>Yim Family Foundation Scholarship</v>
      </c>
      <c r="C328" t="s">
        <v>81</v>
      </c>
      <c r="D328" s="6" t="s">
        <v>58</v>
      </c>
      <c r="E328" t="s">
        <v>64</v>
      </c>
      <c r="F328" t="s">
        <v>18</v>
      </c>
      <c r="G328" s="2" t="s">
        <v>415</v>
      </c>
      <c r="H328" t="s">
        <v>13</v>
      </c>
      <c r="I328" t="s">
        <v>13</v>
      </c>
    </row>
    <row r="329" spans="1:9" ht="105" x14ac:dyDescent="0.25">
      <c r="A329" t="s">
        <v>9</v>
      </c>
      <c r="B329" t="str">
        <f>HYPERLINK("https://www.sydney.edu.au/scholarships/e/adam-scott-foundation-scholarship.html", "Adam Scott Foundation Scholarship")</f>
        <v>Adam Scott Foundation Scholarship</v>
      </c>
      <c r="C329" t="s">
        <v>61</v>
      </c>
      <c r="D329" s="6" t="s">
        <v>24</v>
      </c>
      <c r="E329" s="2" t="s">
        <v>416</v>
      </c>
      <c r="F329" t="s">
        <v>18</v>
      </c>
      <c r="G329" s="2" t="s">
        <v>417</v>
      </c>
      <c r="H329" t="s">
        <v>13</v>
      </c>
      <c r="I329" t="s">
        <v>13</v>
      </c>
    </row>
    <row r="330" spans="1:9" x14ac:dyDescent="0.25">
      <c r="A330" t="s">
        <v>9</v>
      </c>
      <c r="B330" t="str">
        <f>HYPERLINK("https://www.sydney.edu.au/scholarships/e/adamo-and-francesca-boncardo-mysydney-scholarship.html", "Adamo and Francesca Boncardo MySydney Scholarship")</f>
        <v>Adamo and Francesca Boncardo MySydney Scholarship</v>
      </c>
      <c r="C330" t="s">
        <v>81</v>
      </c>
      <c r="D330" s="7">
        <v>8500</v>
      </c>
      <c r="E330" t="s">
        <v>67</v>
      </c>
      <c r="F330" t="s">
        <v>18</v>
      </c>
      <c r="G330" s="2" t="s">
        <v>418</v>
      </c>
      <c r="H330" t="s">
        <v>13</v>
      </c>
      <c r="I330" t="s">
        <v>13</v>
      </c>
    </row>
    <row r="331" spans="1:9" ht="30" x14ac:dyDescent="0.25">
      <c r="A331" t="s">
        <v>9</v>
      </c>
      <c r="B331" t="str">
        <f>HYPERLINK("https://www.sydney.edu.au/scholarships/e/bruton-educational-trust-scholarship.html", "The Bruton Educational Trust Scholarship")</f>
        <v>The Bruton Educational Trust Scholarship</v>
      </c>
      <c r="C331" t="s">
        <v>81</v>
      </c>
      <c r="D331" s="6" t="s">
        <v>21</v>
      </c>
      <c r="E331" t="s">
        <v>419</v>
      </c>
      <c r="F331" t="s">
        <v>18</v>
      </c>
      <c r="G331" s="2" t="s">
        <v>420</v>
      </c>
      <c r="H331" t="s">
        <v>13</v>
      </c>
      <c r="I331" t="s">
        <v>13</v>
      </c>
    </row>
    <row r="332" spans="1:9" ht="45" x14ac:dyDescent="0.25">
      <c r="A332" t="s">
        <v>9</v>
      </c>
      <c r="B332" t="str">
        <f>HYPERLINK("https://www.sydney.edu.au/scholarships/e/chancellors-award.html", "Chancellor's Award")</f>
        <v>Chancellor's Award</v>
      </c>
      <c r="C332" t="s">
        <v>61</v>
      </c>
      <c r="D332" s="6" t="s">
        <v>21</v>
      </c>
      <c r="E332" t="s">
        <v>59</v>
      </c>
      <c r="F332" t="s">
        <v>18</v>
      </c>
      <c r="G332" s="2" t="s">
        <v>421</v>
      </c>
      <c r="H332" t="s">
        <v>13</v>
      </c>
      <c r="I332" t="s">
        <v>13</v>
      </c>
    </row>
    <row r="333" spans="1:9" ht="75" x14ac:dyDescent="0.25">
      <c r="A333" t="s">
        <v>9</v>
      </c>
      <c r="B333" t="str">
        <f>HYPERLINK("https://www.sydney.edu.au/scholarships/e/david-clarke-memorial-scholarship.html", "David Clarke Memorial Scholarship")</f>
        <v>David Clarke Memorial Scholarship</v>
      </c>
      <c r="C333" t="s">
        <v>61</v>
      </c>
      <c r="D333" s="6" t="s">
        <v>22</v>
      </c>
      <c r="E333" t="s">
        <v>64</v>
      </c>
      <c r="F333" t="s">
        <v>12</v>
      </c>
      <c r="G333" s="2" t="s">
        <v>120</v>
      </c>
      <c r="H333" t="s">
        <v>13</v>
      </c>
      <c r="I333" t="s">
        <v>13</v>
      </c>
    </row>
    <row r="334" spans="1:9" ht="45" x14ac:dyDescent="0.25">
      <c r="A334" t="s">
        <v>9</v>
      </c>
      <c r="B334" t="str">
        <f>HYPERLINK("https://www.sydney.edu.au/scholarships/e/digital-health-internship.html", "Digital Health Internship")</f>
        <v>Digital Health Internship</v>
      </c>
      <c r="C334" t="s">
        <v>61</v>
      </c>
      <c r="D334" s="6" t="s">
        <v>28</v>
      </c>
      <c r="E334" t="s">
        <v>68</v>
      </c>
      <c r="F334" t="s">
        <v>12</v>
      </c>
      <c r="G334" s="2" t="s">
        <v>121</v>
      </c>
      <c r="H334" t="s">
        <v>13</v>
      </c>
      <c r="I334" t="s">
        <v>29</v>
      </c>
    </row>
    <row r="335" spans="1:9" ht="135" x14ac:dyDescent="0.25">
      <c r="A335" t="s">
        <v>9</v>
      </c>
      <c r="B335" t="str">
        <f>HYPERLINK("https://www.sydney.edu.au/scholarships/e/diversity-of-leaders-in-major-projects-scholarship.html", "Diversity of Leaders in Major Projects Scholarship")</f>
        <v>Diversity of Leaders in Major Projects Scholarship</v>
      </c>
      <c r="C335" t="s">
        <v>61</v>
      </c>
      <c r="D335" s="7">
        <v>25000</v>
      </c>
      <c r="E335" t="s">
        <v>64</v>
      </c>
      <c r="F335" t="s">
        <v>423</v>
      </c>
      <c r="G335" s="2" t="s">
        <v>422</v>
      </c>
      <c r="H335" t="s">
        <v>13</v>
      </c>
      <c r="I335" t="s">
        <v>13</v>
      </c>
    </row>
    <row r="336" spans="1:9" ht="60" x14ac:dyDescent="0.25">
      <c r="A336" t="s">
        <v>9</v>
      </c>
      <c r="B336" t="str">
        <f>HYPERLINK("https://www.sydney.edu.au/scholarships/e/eureka-benevolent-foundation-scholarship.html", "Eureka Benevolent Foundation Scholarship")</f>
        <v>Eureka Benevolent Foundation Scholarship</v>
      </c>
      <c r="C336" t="s">
        <v>81</v>
      </c>
      <c r="D336" s="6" t="s">
        <v>39</v>
      </c>
      <c r="E336" t="s">
        <v>67</v>
      </c>
      <c r="F336" t="s">
        <v>18</v>
      </c>
      <c r="G336" s="2" t="s">
        <v>424</v>
      </c>
      <c r="H336" t="s">
        <v>13</v>
      </c>
      <c r="I336" t="s">
        <v>13</v>
      </c>
    </row>
    <row r="337" spans="1:9" ht="75" x14ac:dyDescent="0.25">
      <c r="A337" t="s">
        <v>9</v>
      </c>
      <c r="B337" t="str">
        <f>HYPERLINK("https://www.sydney.edu.au/scholarships/e/jim-wolfensohn-scholarship.html", "Jim Wolfensohn Scholarship")</f>
        <v>Jim Wolfensohn Scholarship</v>
      </c>
      <c r="C337" t="s">
        <v>61</v>
      </c>
      <c r="D337" s="6" t="s">
        <v>39</v>
      </c>
      <c r="E337" t="s">
        <v>90</v>
      </c>
      <c r="F337" t="s">
        <v>18</v>
      </c>
      <c r="G337" s="2" t="s">
        <v>425</v>
      </c>
      <c r="H337" t="s">
        <v>13</v>
      </c>
      <c r="I337" t="s">
        <v>13</v>
      </c>
    </row>
    <row r="338" spans="1:9" ht="75" x14ac:dyDescent="0.25">
      <c r="A338" t="s">
        <v>9</v>
      </c>
      <c r="B338" t="str">
        <f>HYPERLINK("https://www.sydney.edu.au/scholarships/e/lendlease-bradfield-urbanisation-scholarship.html", "Lendlease Bradfield Urbanisation Scholarship")</f>
        <v>Lendlease Bradfield Urbanisation Scholarship</v>
      </c>
      <c r="C338" t="s">
        <v>61</v>
      </c>
      <c r="D338" s="6" t="s">
        <v>21</v>
      </c>
      <c r="E338" t="s">
        <v>90</v>
      </c>
      <c r="F338" t="s">
        <v>18</v>
      </c>
      <c r="G338" s="2" t="s">
        <v>426</v>
      </c>
      <c r="H338" t="s">
        <v>13</v>
      </c>
      <c r="I338" t="s">
        <v>13</v>
      </c>
    </row>
    <row r="339" spans="1:9" ht="105" x14ac:dyDescent="0.25">
      <c r="A339" t="s">
        <v>9</v>
      </c>
      <c r="B339" t="str">
        <f>HYPERLINK("https://www.sydney.edu.au/scholarships/e/mysydney-equity-accommodation-scholarship.html", "MySydney Equity Accommodation Scholarship")</f>
        <v>MySydney Equity Accommodation Scholarship</v>
      </c>
      <c r="C339" t="s">
        <v>81</v>
      </c>
      <c r="D339" t="s">
        <v>141</v>
      </c>
      <c r="E339" t="s">
        <v>65</v>
      </c>
      <c r="F339" t="s">
        <v>18</v>
      </c>
      <c r="G339" s="2" t="s">
        <v>140</v>
      </c>
      <c r="H339" t="s">
        <v>13</v>
      </c>
      <c r="I339" t="s">
        <v>13</v>
      </c>
    </row>
    <row r="340" spans="1:9" ht="30" x14ac:dyDescent="0.25">
      <c r="A340" t="s">
        <v>9</v>
      </c>
      <c r="B340" t="str">
        <f>HYPERLINK("https://www.sydney.edu.au/scholarships/e/mysydney-scholarship.html", "MySydney Scholarship")</f>
        <v>MySydney Scholarship</v>
      </c>
      <c r="C340" t="s">
        <v>81</v>
      </c>
      <c r="D340" s="6" t="s">
        <v>33</v>
      </c>
      <c r="E340" t="s">
        <v>90</v>
      </c>
      <c r="F340" t="s">
        <v>18</v>
      </c>
      <c r="G340" s="2" t="s">
        <v>427</v>
      </c>
      <c r="H340" t="s">
        <v>13</v>
      </c>
      <c r="I340" t="s">
        <v>13</v>
      </c>
    </row>
    <row r="341" spans="1:9" ht="75" x14ac:dyDescent="0.25">
      <c r="A341" t="s">
        <v>9</v>
      </c>
      <c r="B341" t="str">
        <f>HYPERLINK("https://www.sydney.edu.au/scholarships/e/pamela-joy-equity-scholarship.html", "Pamela Joy Equity Scholarship")</f>
        <v>Pamela Joy Equity Scholarship</v>
      </c>
      <c r="C341" t="s">
        <v>81</v>
      </c>
      <c r="D341" s="6" t="s">
        <v>21</v>
      </c>
      <c r="E341" t="s">
        <v>65</v>
      </c>
      <c r="F341" t="s">
        <v>18</v>
      </c>
      <c r="G341" s="2" t="s">
        <v>428</v>
      </c>
      <c r="H341" t="s">
        <v>13</v>
      </c>
      <c r="I341" t="s">
        <v>13</v>
      </c>
    </row>
    <row r="342" spans="1:9" ht="45" x14ac:dyDescent="0.25">
      <c r="A342" t="s">
        <v>9</v>
      </c>
      <c r="B342" t="str">
        <f>HYPERLINK("https://www.sydney.edu.au/scholarships/e/postgraduate-online-scholarship.html", "Postgraduate Online Scholarship")</f>
        <v>Postgraduate Online Scholarship</v>
      </c>
      <c r="C342" t="s">
        <v>61</v>
      </c>
      <c r="D342" s="6" t="s">
        <v>31</v>
      </c>
      <c r="E342" t="s">
        <v>430</v>
      </c>
      <c r="F342" t="s">
        <v>15</v>
      </c>
      <c r="G342" s="2" t="s">
        <v>429</v>
      </c>
      <c r="H342" t="s">
        <v>13</v>
      </c>
      <c r="I342" t="s">
        <v>13</v>
      </c>
    </row>
    <row r="343" spans="1:9" ht="60" x14ac:dyDescent="0.25">
      <c r="A343" t="s">
        <v>9</v>
      </c>
      <c r="B343" t="str">
        <f>HYPERLINK("https://www.sydney.edu.au/scholarships/e/sydney-access-scholarship.html", "Sydney Access Scholarship")</f>
        <v>Sydney Access Scholarship</v>
      </c>
      <c r="C343" t="s">
        <v>81</v>
      </c>
      <c r="D343" s="6" t="s">
        <v>33</v>
      </c>
      <c r="E343" t="s">
        <v>67</v>
      </c>
      <c r="F343" t="s">
        <v>18</v>
      </c>
      <c r="G343" s="2" t="s">
        <v>431</v>
      </c>
      <c r="H343" t="s">
        <v>13</v>
      </c>
      <c r="I343" t="s">
        <v>13</v>
      </c>
    </row>
    <row r="344" spans="1:9" ht="45" x14ac:dyDescent="0.25">
      <c r="A344" t="s">
        <v>9</v>
      </c>
      <c r="B344" t="str">
        <f>HYPERLINK("https://www.sydney.edu.au/scholarships/e/sydney-scholars-awards-equity-hardship-grounds.html", "Sydney Scholars Awards on Equity and Hardship Grounds")</f>
        <v>Sydney Scholars Awards on Equity and Hardship Grounds</v>
      </c>
      <c r="C344" t="s">
        <v>81</v>
      </c>
      <c r="D344" s="7">
        <v>6000</v>
      </c>
      <c r="E344" t="s">
        <v>90</v>
      </c>
      <c r="F344" t="s">
        <v>18</v>
      </c>
      <c r="G344" s="2" t="s">
        <v>432</v>
      </c>
      <c r="H344" t="s">
        <v>13</v>
      </c>
      <c r="I344" t="s">
        <v>13</v>
      </c>
    </row>
    <row r="345" spans="1:9" ht="45" x14ac:dyDescent="0.25">
      <c r="A345" t="s">
        <v>9</v>
      </c>
      <c r="B345" t="str">
        <f>HYPERLINK("https://www.sydney.edu.au/scholarships/e/walter-eliza-hall-trust-opportunity-scholarship-student-physical.html", "Walter and Eliza Hall Trust Opportunity Scholarship")</f>
        <v>Walter and Eliza Hall Trust Opportunity Scholarship</v>
      </c>
      <c r="C345" t="s">
        <v>81</v>
      </c>
      <c r="D345" s="7">
        <v>10000</v>
      </c>
      <c r="E345" t="s">
        <v>67</v>
      </c>
      <c r="F345" t="s">
        <v>12</v>
      </c>
      <c r="G345" s="2" t="s">
        <v>433</v>
      </c>
      <c r="H345" t="s">
        <v>13</v>
      </c>
      <c r="I345" t="s">
        <v>13</v>
      </c>
    </row>
  </sheetData>
  <autoFilter ref="A1:I345" xr:uid="{00000000-0001-0000-0000-000000000000}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B59F058DD61F4CBF5D961017DC0A45" ma:contentTypeVersion="17" ma:contentTypeDescription="Create a new document." ma:contentTypeScope="" ma:versionID="3843482ad259dd7cf47d53181de3a479">
  <xsd:schema xmlns:xsd="http://www.w3.org/2001/XMLSchema" xmlns:xs="http://www.w3.org/2001/XMLSchema" xmlns:p="http://schemas.microsoft.com/office/2006/metadata/properties" xmlns:ns2="514dc54e-a510-4ebc-96a4-7a373c84d576" xmlns:ns3="91d47d42-378c-4240-adf1-50612b639f36" targetNamespace="http://schemas.microsoft.com/office/2006/metadata/properties" ma:root="true" ma:fieldsID="c2a99e4d2b0f67119e90f9a433f5d6db" ns2:_="" ns3:_="">
    <xsd:import namespace="514dc54e-a510-4ebc-96a4-7a373c84d576"/>
    <xsd:import namespace="91d47d42-378c-4240-adf1-50612b639f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dc54e-a510-4ebc-96a4-7a373c84d5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aae0d8a-8891-48d9-ad2b-bad3da6b59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d47d42-378c-4240-adf1-50612b639f3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9bbaf84-1f02-4ee0-be3f-e164b36b151e}" ma:internalName="TaxCatchAll" ma:showField="CatchAllData" ma:web="91d47d42-378c-4240-adf1-50612b639f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14dc54e-a510-4ebc-96a4-7a373c84d576">
      <Terms xmlns="http://schemas.microsoft.com/office/infopath/2007/PartnerControls"/>
    </lcf76f155ced4ddcb4097134ff3c332f>
    <TaxCatchAll xmlns="91d47d42-378c-4240-adf1-50612b639f3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CA4502-B782-48B7-9C63-396C70029E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4dc54e-a510-4ebc-96a4-7a373c84d576"/>
    <ds:schemaRef ds:uri="91d47d42-378c-4240-adf1-50612b639f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96ED53-76B1-4E3A-A1A0-FAA4CB69303D}">
  <ds:schemaRefs>
    <ds:schemaRef ds:uri="http://schemas.microsoft.com/office/2006/metadata/properties"/>
    <ds:schemaRef ds:uri="http://schemas.microsoft.com/office/infopath/2007/PartnerControls"/>
    <ds:schemaRef ds:uri="514dc54e-a510-4ebc-96a4-7a373c84d576"/>
    <ds:schemaRef ds:uri="91d47d42-378c-4240-adf1-50612b639f36"/>
  </ds:schemaRefs>
</ds:datastoreItem>
</file>

<file path=customXml/itemProps3.xml><?xml version="1.0" encoding="utf-8"?>
<ds:datastoreItem xmlns:ds="http://schemas.openxmlformats.org/officeDocument/2006/customXml" ds:itemID="{985306DE-D9ED-4910-9266-5518F73180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 Pierce</cp:lastModifiedBy>
  <dcterms:created xsi:type="dcterms:W3CDTF">2024-11-05T05:21:35Z</dcterms:created>
  <dcterms:modified xsi:type="dcterms:W3CDTF">2024-12-05T05:13:32Z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0x010100A1B59F058DD61F4CBF5D961017DC0A45</vt:lpwstr>
  </property>
</Properties>
</file>