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653" documentId="11_02A169CE2EF2BE07F727D8CF02F0AE323586B34E" xr6:coauthVersionLast="47" xr6:coauthVersionMax="47" xr10:uidLastSave="{C6C25C58-0229-41DA-85D6-C030958536F4}"/>
  <bookViews>
    <workbookView xWindow="-120" yWindow="-120" windowWidth="29040" windowHeight="15840" xr2:uid="{00000000-000D-0000-FFFF-FFFF00000000}"/>
  </bookViews>
  <sheets>
    <sheet name="Sheet1" sheetId="1" r:id="rId1"/>
  </sheets>
  <definedNames>
    <definedName name="_xlnm._FilterDatabase" localSheetId="0" hidden="1">Sheet1!$A$1:$I$405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9" i="1"/>
  <c r="B8" i="1"/>
  <c r="B7" i="1"/>
  <c r="B6" i="1"/>
  <c r="B5" i="1"/>
  <c r="B4" i="1"/>
  <c r="B3" i="1"/>
  <c r="B2" i="1"/>
</calcChain>
</file>

<file path=xl/sharedStrings.xml><?xml version="1.0" encoding="utf-8"?>
<sst xmlns="http://schemas.openxmlformats.org/spreadsheetml/2006/main" count="3228" uniqueCount="385">
  <si>
    <t>University</t>
  </si>
  <si>
    <t>Name</t>
  </si>
  <si>
    <t>Type</t>
  </si>
  <si>
    <t>Value</t>
  </si>
  <si>
    <t>Duration</t>
  </si>
  <si>
    <t>Level</t>
  </si>
  <si>
    <t>Criteria</t>
  </si>
  <si>
    <t>Indigenous</t>
  </si>
  <si>
    <t>Placement</t>
  </si>
  <si>
    <t>USYD</t>
  </si>
  <si>
    <t>NA</t>
  </si>
  <si>
    <t>Dean's Discrection</t>
  </si>
  <si>
    <t>blank</t>
  </si>
  <si>
    <t>UG/PG</t>
  </si>
  <si>
    <t>No</t>
  </si>
  <si>
    <t>TBC</t>
  </si>
  <si>
    <t>&lt;p&gt;a. The Scholarship value and duration will be determined by the Dean of the Sydney Conservatorium of Music and will be stipulated in the Scholarship Offer Letter to the successful recipient(s).&lt;/p&gt;</t>
  </si>
  <si>
    <t>PG</t>
  </si>
  <si>
    <t>&lt;p&gt;a. The Scholarship is valued at $10,000 per annum and is tenable for one year only.&lt;/p&gt;</t>
  </si>
  <si>
    <t>$6,000</t>
  </si>
  <si>
    <t>$750</t>
  </si>
  <si>
    <t>UG</t>
  </si>
  <si>
    <t>$5,000</t>
  </si>
  <si>
    <t>$800</t>
  </si>
  <si>
    <t>$8,550</t>
  </si>
  <si>
    <t>$10,000</t>
  </si>
  <si>
    <t>$100</t>
  </si>
  <si>
    <t>$15,000</t>
  </si>
  <si>
    <t>$500</t>
  </si>
  <si>
    <t>$20,000</t>
  </si>
  <si>
    <t>$38,000</t>
  </si>
  <si>
    <t>$2,500</t>
  </si>
  <si>
    <t>$50,000</t>
  </si>
  <si>
    <t>$600</t>
  </si>
  <si>
    <t>$9,000</t>
  </si>
  <si>
    <t>$150</t>
  </si>
  <si>
    <t>&lt;p&gt;a. The Scholarship is valued at $10,000 and will be paid as a one-off payment. &lt;/p&gt;</t>
  </si>
  <si>
    <t>$250</t>
  </si>
  <si>
    <t>Yes</t>
  </si>
  <si>
    <t>$25,000</t>
  </si>
  <si>
    <t>&lt;p&gt;a. The Scholarship is valued at $6,000 per annum and is tenable for up to three years, plus an additional year for completion of the Bachelor of Advanced Studies (where applicable). &lt;/p&gt;</t>
  </si>
  <si>
    <t>$2,000</t>
  </si>
  <si>
    <t>$7,500</t>
  </si>
  <si>
    <t>&lt;p&gt;a. The Scholarship is valued at $7,500 per annum and is tenable for one year. &lt;/p&gt;</t>
  </si>
  <si>
    <t>&lt;p&gt;a. The Scholarship is valued at up to $5,000 and it will be paid as a one-off payment upon proof of approved overseas travel.&lt;/p&gt;</t>
  </si>
  <si>
    <t>&lt;p&gt;
&lt;/p&gt;</t>
  </si>
  <si>
    <t>&lt;p&gt;a. The Scholarship value and duration will be determined by the Head of School and Dean, Sydney Conservatorium of Music and will be stipulated in the Scholarship Offer Letter to the successful recipient(s).&lt;br/&gt;
&lt;/p&gt;</t>
  </si>
  <si>
    <t>&lt;p&gt; &lt;/p&gt;</t>
  </si>
  <si>
    <t>&lt;p&gt;a. The Scholarship is valued at $25,000 per annum for up to four years. The value will be split into the following components:&lt;/p&gt;</t>
  </si>
  <si>
    <t>$8,500</t>
  </si>
  <si>
    <t>&lt;p&gt;a. The scholarship provides a cash payment of AUD$8,500 per year and is tenable for the published full-time duration of the recipient’s undergraduate (single or combined) degree up to a maximum total duration of 5 years full-time study or part time equivalent.&lt;/p&gt;</t>
  </si>
  <si>
    <t>&lt;p&gt;a. The Scholarship is valued at $7,500 per annum and is tenable for up to three years, plus an additional year for completion of the Bachelor of Advanced Studies (where applicable). &lt;/p&gt;</t>
  </si>
  <si>
    <t>&lt;p&gt;a. The Scholarship is valued at $5000 per annum and is tenable for one year only. &lt;/p&gt;</t>
  </si>
  <si>
    <t>&lt;p&gt;a. The Scholarship is valued at $10,000 per annum and is tenable for up to three years, plus an additional year for completion of the Bachelor of Advanced Studies (where applicable).&lt;/p&gt;</t>
  </si>
  <si>
    <t>$7,000</t>
  </si>
  <si>
    <t>$4,000</t>
  </si>
  <si>
    <t>&lt;p&gt;a. The Scholarship is valued up to $8,000 and the value will be confirmed on the Scholarship Offer Letter.&lt;/p&gt;</t>
  </si>
  <si>
    <t>$641</t>
  </si>
  <si>
    <t>&lt;p&gt;a. The Scholarship is valued at $6,418 per annum and is tenable for one year only. &lt;/p&gt;</t>
  </si>
  <si>
    <t>$1,666</t>
  </si>
  <si>
    <t>&lt;p&gt;a. The Scholarship is valued at $1,666.66.&lt;/p&gt;</t>
  </si>
  <si>
    <t>&lt;p&gt;a. The scholarship provides a cash payment of AUD$8,500 per year and is tenable for the published full-time duration of the recipient’s undergraduate (single or combined) degree up to a maximum total duration of 5 years full-time study or part-time equivalent.&lt;/p&gt;</t>
  </si>
  <si>
    <t>&lt;p&gt;a. The Scholarship is valued at $5,000.&lt;/p&gt;</t>
  </si>
  <si>
    <t>&lt;p&gt;a. The Scholarship is valued at $5000. &lt;/p&gt;</t>
  </si>
  <si>
    <t>&lt;p&gt;a. The Scholarship is valued at $6,000 per annum, tenable for the normal full-time duration of the degree.&lt;/p&gt;</t>
  </si>
  <si>
    <t>&lt;p&gt;a. The Scholarship is valued at $8,500 and is tenable for one year only. &lt;/p&gt;</t>
  </si>
  <si>
    <t>&lt;p&gt;a. The value of each Scholarship will be determined by the selection committee. The Scholarship will have a maximum value for any one project of:&lt;/p&gt;</t>
  </si>
  <si>
    <t>&lt;p&gt;a. The Scholarship is valued at $500.&lt;/p&gt;</t>
  </si>
  <si>
    <t>$3,000</t>
  </si>
  <si>
    <t>&lt;p&gt;a. The Scholarship is valued at $7,000 for a semester long exchange and $3,500 for a short-term mobility program.&lt;/p&gt;</t>
  </si>
  <si>
    <t>$40,000</t>
  </si>
  <si>
    <t>&lt;p&gt;a. The Scholarship is valued up to $40,000.&lt;/p&gt;</t>
  </si>
  <si>
    <t>&lt;p&gt;a. The Scholarship is valued at $2,500.&lt;/p&gt;</t>
  </si>
  <si>
    <t>&lt;p&gt;a. The Scholarship is valued at $1,000 and is tenable for one year. &lt;/p&gt;</t>
  </si>
  <si>
    <t>$700</t>
  </si>
  <si>
    <t>&lt;p&gt;a. The Scholarship is valued at $7,000 and is tenable for the duration of the agreed undergraduate program.&lt;/p&gt;</t>
  </si>
  <si>
    <t>&lt;p&gt;a. The Scholarship will be valued at $2,500.&lt;/p&gt;</t>
  </si>
  <si>
    <t>$8,000</t>
  </si>
  <si>
    <t>&lt;p&gt;a. The Scholarship is valued at $8,000 per annum and is tenable for 1 year.&lt;/p&gt;</t>
  </si>
  <si>
    <t>&lt;p&gt;a. A recipient enrolled full time will receive $8,500 per annum for up to two years.&lt;/p&gt;</t>
  </si>
  <si>
    <t>&lt;p&gt;a. A recipient enrolled full-time will receive $10,000 per annum for up to two years.&lt;/p&gt;</t>
  </si>
  <si>
    <t>$22,000</t>
  </si>
  <si>
    <t>&lt;p&gt;a. The Scholarship is valued at $10,000 per year and tenable for up to 4 years.&lt;/p&gt;</t>
  </si>
  <si>
    <t>$1,500</t>
  </si>
  <si>
    <t>&lt;p&gt;a. The Scholarship is valued at $500 per week and is tenable for up to 8 weeks. The Scholarship value and the duration will be stipulated in the Scholarship Offer Letter.&lt;/p&gt;</t>
  </si>
  <si>
    <t>&lt;p&gt;a. The Scholarship is valued at $10,000 and is tenable for one year only.&lt;/p&gt;</t>
  </si>
  <si>
    <t>$12,000</t>
  </si>
  <si>
    <t>&lt;p&gt;a. The Scholarship is valued at $12,000 per annum and tenable for up to 4 years.&lt;/p&gt;</t>
  </si>
  <si>
    <t>&lt;p&gt;a. The Scholarship is valued at $10,000 per year and is tenable for one year. &lt;/p&gt;</t>
  </si>
  <si>
    <t>&lt;p&gt;a. The Scholarship is valued at $6,000 and is tenable for one year only. &lt;/p&gt;</t>
  </si>
  <si>
    <t>&lt;p&gt;a. The Scholarship will have a maximum value of $2,000. &lt;/p&gt;</t>
  </si>
  <si>
    <t>&lt;p&gt;a. The Scholarship is valued at $5,000 per annum and is tenable for 1 year.&lt;/p&gt;</t>
  </si>
  <si>
    <t>&lt;p&gt;a. The Scholarship is valued at $5,000 per annum and is tenable for 1 year. &lt;/p&gt;</t>
  </si>
  <si>
    <t>&lt;p&gt;a. A recipient enrolled full-time will receive $8,000 per annum for up to one year, subject to satisfactory academic performance.&lt;/p&gt;</t>
  </si>
  <si>
    <t>$177</t>
  </si>
  <si>
    <t>&lt;p&gt;a. The Scholarship is valued at $177.08 per credit point, up to a maximum of 192 credit points and with a maximum value of $34,000. &lt;/p&gt;</t>
  </si>
  <si>
    <t>&lt;p&gt;a. For Bachelor’s degree recipients the Scholarship is valued at $12,000 per annum for up to one year.&lt;/p&gt;</t>
  </si>
  <si>
    <t>&lt;p&gt;a. The Scholarship is valued at $50,000 for one year only and will become tenable once the applicant has either:&lt;/p&gt;</t>
  </si>
  <si>
    <t>&lt;p&gt;a. A recipient enrolled full-time will receive the scholarship valued at $10,000 per annum for up to one year.&lt;/p&gt;</t>
  </si>
  <si>
    <t>&lt;p&gt;a. A recipient enrolled full-time will receive the scholarship valued at $12,000 per annum for up to 3 years. &lt;/p&gt;</t>
  </si>
  <si>
    <t>&lt;p&gt;a. A full-time recipient will receive $10,000 per annum for up to three semesters.&lt;/p&gt;</t>
  </si>
  <si>
    <t>&lt;p&gt;a. The Scholarship is valued at $2,000.&lt;/p&gt;</t>
  </si>
  <si>
    <t>&lt;p&gt;a. A recipient enrolled full-time will receive the Scholarship for up to one year and the Scholarship will be valued at:&lt;/p&gt;</t>
  </si>
  <si>
    <t>&lt;p&gt;a. The Scholarship is valued at $10,000.&lt;/p&gt;</t>
  </si>
  <si>
    <t>&lt;p&gt;a. A recipient enrolled full-time will receive a Scholarship valued at $5,000. A recipient enrolled part-time will receive a Scholarship valued at $2,500.&lt;/p&gt;</t>
  </si>
  <si>
    <t>&lt;p&gt;a. Recipients enrolled full-time, will receive the Scholarship valued at $1,500 per annum and is tenable for up to 2 years.&lt;/p&gt;</t>
  </si>
  <si>
    <t>&lt;p&gt;a. The Scholarship is valued at $20,000 and tenable for one year.&lt;/p&gt;</t>
  </si>
  <si>
    <t>&lt;p&gt;a. The Scholarship is valued at $20,000 and as one-off payment. &lt;/p&gt;</t>
  </si>
  <si>
    <t>&lt;p&gt;a. The Scholarship is valued at $5,000 per annum for up to one year.&lt;/p&gt;</t>
  </si>
  <si>
    <t>&lt;p&gt;a. The Scholarship value will be determined by the selection committee and will be stipulated in the Scholarship Offer Letter to recipient(s). &lt;/p&gt;</t>
  </si>
  <si>
    <t>$8,300</t>
  </si>
  <si>
    <t>$8,200</t>
  </si>
  <si>
    <t>&lt;p&gt;a. The Scholarship is valued at $8,200 per annum and is tenable for up to one year.&lt;/p&gt;</t>
  </si>
  <si>
    <t>$4,500</t>
  </si>
  <si>
    <t>&lt;p&gt;a. The Scholarship is valued at $4,500. &lt;br/&gt;
&lt;/p&gt;</t>
  </si>
  <si>
    <t>&lt;p&gt;a. The Scholarship is valued at $20,000 per annum and is tenable for four years. &lt;/p&gt;</t>
  </si>
  <si>
    <t>&lt;p&gt;a. The Scholarship is valued at $10,000 per annum and is tenable for one year.&lt;/p&gt;</t>
  </si>
  <si>
    <t>&lt;p&gt;a. A full-time enrolled recipient will receive $5,000 per annum for up to one year.&lt;/p&gt;</t>
  </si>
  <si>
    <t>&lt;p&gt;a. The Scholarship is valued at $6,000 per annum and is tenable for one year.&lt;/p&gt;</t>
  </si>
  <si>
    <t>&lt;p&gt;a. The Scholarship is valued at $6,000 for up to one semester and will be paid as a one-off payment on receipt of the Scholarship Acceptance Form.&lt;/p&gt;</t>
  </si>
  <si>
    <t>&lt;p&gt;a. The Scholarship is tenable for the duration of the recipient’s three- year undergraduate degree course. &lt;/p&gt;</t>
  </si>
  <si>
    <t>&lt;p&gt;a. A recipient enrolled full-time will receive $10,000 per annum for up to one year. &lt;/p&gt;</t>
  </si>
  <si>
    <t>$312</t>
  </si>
  <si>
    <t>&lt;p&gt;a. The Scholarship is valued at $312.5 per credit point, up to a maximum of 192 credit points and a maximum value of $60,000.&lt;/p&gt;</t>
  </si>
  <si>
    <t>&lt;p&gt;a. The Scholarship is tenable for up to one year and will provide the following:&lt;/p&gt;</t>
  </si>
  <si>
    <t>$6,400</t>
  </si>
  <si>
    <t>&lt;p&gt;a. A recipient enrolled full-time will receive $8,000 in the year of receipt of the scholarship&lt;br/&gt;
&lt;/p&gt;</t>
  </si>
  <si>
    <t>$60,000</t>
  </si>
  <si>
    <t>&lt;p&gt;a. The Scholarship is valued up to $60,000 and is tenable for one year only. The value will be stipulated in the Offer Letter.&lt;/p&gt;</t>
  </si>
  <si>
    <t>&lt;p&gt;a. The exact value of the Scholarship will be determined each year by the Selection Committee based on the available spending allocation from the trust and outlined in the successful recipient’s Scholarship Offer Letter. &lt;/p&gt;</t>
  </si>
  <si>
    <t>&lt;p&gt;a. The Scholarship is valued at $6,000 per annum and is tenable for up to 4 years. &lt;/p&gt;</t>
  </si>
  <si>
    <t>&lt;p&gt;a. The Scholarship is valued at $6,000 per annum for up to one year. &lt;/p&gt;</t>
  </si>
  <si>
    <t>&lt;p&gt;a. The Scholarship is valued at up to $5,000 and is paid as a one-off payment. The final value awarded is determined by the selection committee and is based on the level of financial hardship demonstrated. The value will be stipulated in the Offer Letter.&lt;br/&gt;
b. Deferral of the Scholarship is not permitted without the prior permission of the Associate Dean for Professional Law Programs, or their nominee and it is not transferable for another purpose. &lt;br/&gt;
c. The Scholarship will be offered subject to the availability of funds.&lt;br/&gt;
d. No other amount is payable.&lt;/p&gt;</t>
  </si>
  <si>
    <t>$300</t>
  </si>
  <si>
    <t>&lt;p&gt;a. The Scholarship has a value of $3,000.&lt;/p&gt;</t>
  </si>
  <si>
    <t>&lt;p&gt;a. Both full-time and part-time enrolled recipients will receive $6,000.&lt;/p&gt;</t>
  </si>
  <si>
    <t>$11,750</t>
  </si>
  <si>
    <t>&lt;p&gt;a. For Bachelor’s degree recipients the Scholarship is valued at $11,750 per annum for up to one year.&lt;/p&gt;</t>
  </si>
  <si>
    <t>&lt;p&gt;a. Both full-time and part-time enrolled recipients will receive $10,000. &lt;/p&gt;</t>
  </si>
  <si>
    <t>&lt;p&gt;a. The Scholarship is valued at $6,000 per annum and is tenable for up to 4 years.&lt;/p&gt;</t>
  </si>
  <si>
    <t>&lt;p&gt;The Scholarship is valued at $12,000 per annum and is tenable for the full duration of the student’s candidature including combined degrees and an honours year if required.&lt;/p&gt;</t>
  </si>
  <si>
    <t>&lt;p&gt;a. The Scholarship is valued at $6,000 per annum and is tenable for one year. &lt;/p&gt;</t>
  </si>
  <si>
    <t>&lt;p&gt;a. The Scholarship will have a maximum value of $300. The exact value of the scholarship will be determined by the Head of School, School of Humanities and outlined in the recipient(s) scholarship offer letter.&lt;/p&gt;</t>
  </si>
  <si>
    <t>&lt;p&gt;a. The scholarship is valued at $15,000 per annum for the first two years of the degree. &lt;/p&gt;</t>
  </si>
  <si>
    <t>&lt;p&gt;a. A recipient enrolled full-time will receive $5,000 per annum for up to one year.&lt;/p&gt;</t>
  </si>
  <si>
    <t>&lt;p&gt;a. The Scholarship is valued at $3,000 and as one-off payment upon evidence of formal acceptance at the relevant host institution. &lt;/p&gt;</t>
  </si>
  <si>
    <t>$4,350</t>
  </si>
  <si>
    <t>&lt;p&gt;a. The Scholarship is valued at $4,350 per annum and is tenable for one year.&lt;/p&gt;</t>
  </si>
  <si>
    <t>&lt;p&gt;a. For Bachelor’s degree recipients the scholarship is valued at $12,000 per annum for up to one year.&lt;/p&gt;</t>
  </si>
  <si>
    <t>&lt;p&gt;a. For Bachelor's degree recipients the Scholarship is valued at $12,000 per annum for up to one year.&lt;/p&gt;</t>
  </si>
  <si>
    <t>&lt;p&gt;a. The Scholarship is valued at $5,000 per annum and is tenable for one year.&lt;/p&gt;</t>
  </si>
  <si>
    <t>&lt;p&gt;a. The Scholarship is valued at $3000 for recipients enrolled full-time. &lt;/p&gt;</t>
  </si>
  <si>
    <t>&lt;p&gt;a. A recipient enrolled full-time will receive the scholarship valued at $8,500 per annum for up to a maximum of four years. &lt;/p&gt;</t>
  </si>
  <si>
    <t>&lt;p&gt;a. A recipient enrolled full-time will receive the following benefits in the first year of their eligible degree:&lt;/p&gt;</t>
  </si>
  <si>
    <t>&lt;p&gt;a. The Scholarship is valued at $7,500 per annum and is tenable for up to one year.&lt;/p&gt;</t>
  </si>
  <si>
    <t>&lt;p&gt;a. The Scholarship is valued at $5,000. &lt;br/&gt;
&lt;/p&gt;</t>
  </si>
  <si>
    <t>$1,000</t>
  </si>
  <si>
    <t>&lt;p&gt;a. The Scholarship is valued at $1,000. &lt;/p&gt;</t>
  </si>
  <si>
    <t>&lt;p&gt;a. Master’s degree recipients the scholarship is valued at $9,000 and is tenable for up to nine months.&lt;br/&gt;
&lt;/p&gt;</t>
  </si>
  <si>
    <t>&lt;p&gt;a. A full-time enrolled recipient will receive the scholarship valued at $8,000 per annum for the full-time duration of the recipient’s eligible undergraduate degree.&lt;/p&gt;</t>
  </si>
  <si>
    <t>&lt;p&gt;a. The Scholarship is valued at $20,000 per annum and is tenable for two years. &lt;/p&gt;</t>
  </si>
  <si>
    <t>$16,000</t>
  </si>
  <si>
    <t>&lt;p&gt;a. The Scholarship is valued at $16,000 per annum and is tenable for up to 3 years.&lt;/p&gt;</t>
  </si>
  <si>
    <t>$5,500</t>
  </si>
  <si>
    <t>&lt;p&gt;a. A recipient enrolled full-time will receive $5,500 per annum for up to one year, subject to satisfactory academic performance.&lt;/p&gt;</t>
  </si>
  <si>
    <t>&lt;p&gt;a. The Scholarship is valued at $12,000 per annum for up to one year.&lt;br/&gt;
&lt;/p&gt;</t>
  </si>
  <si>
    <t>&lt;p&gt;a. The Scholarship is valued at $6,000 per annum and is tenable for up to 4 years. If awarded to a currently enrolled student, the Scholarship is tenable for the remaining candidature of the eligible degree.&lt;/p&gt;</t>
  </si>
  <si>
    <t>&lt;p&gt;a. The Scholarship is valued at $22,000 per annum for up to one year.&lt;/p&gt;</t>
  </si>
  <si>
    <t>&lt;p&gt;a. The Scholarship is valued at $22,000 per annum for both a full-time and part-time enrolled recipient.&lt;/p&gt;</t>
  </si>
  <si>
    <t>&lt;p&gt;a. The Scholarship is valued at $10,000 per annum and is tenable for up to one year. &lt;/p&gt;</t>
  </si>
  <si>
    <t>&lt;p&gt;a. The Scholarship is valued at $10,000. &lt;br/&gt;
&lt;/p&gt;</t>
  </si>
  <si>
    <t>&lt;p&gt;a. The Scholarship is valued at $8,000 per annum, tenable for the normal full-time duration of the degree.&lt;/p&gt;</t>
  </si>
  <si>
    <t>&lt;p&gt;a. The Scholarship is valued at $25,000 per annum and is tenable for the normal full-time duration of the degree including combined degrees, plus one additional honours year, if required.&lt;/p&gt;</t>
  </si>
  <si>
    <t>&lt;p&gt;a. The Scholarship is valued up to $6,000 and is paid as a one-off payment. The value of the scholarship will be stipulated in the Offer Letter.&lt;/p&gt;</t>
  </si>
  <si>
    <t>&lt;p&gt;a. The Scholarship is valued at up to $2,500.&lt;/p&gt;</t>
  </si>
  <si>
    <t>$3,500</t>
  </si>
  <si>
    <t>&lt;p&gt;a. The Scholarship is valued at $4,000 and will be paid as a one-off payment.&lt;/p&gt;</t>
  </si>
  <si>
    <t>&lt;p&gt;a. The Scholarship is valued at $1,500 and will be paid as a one-off payment.&lt;/p&gt;</t>
  </si>
  <si>
    <t>&lt;p&gt;a. The Scholarship is valued at $500 and will be paid as a one-off payment.&lt;/p&gt;</t>
  </si>
  <si>
    <t>&lt;p&gt;a. The Scholarship is valued at $3,000 and will be paid as a one-off payment on receipt of the Scholarship Acceptance form.&lt;/p&gt;</t>
  </si>
  <si>
    <t>$8,301</t>
  </si>
  <si>
    <t>&lt;p&gt;a. The total value and duration of the Scholarship for full-time enrolled students is detailed below.&lt;/p&gt;</t>
  </si>
  <si>
    <t>&lt;p&gt;a. The Scholarship is valued at $15,000 and is tenable for one full-time semester. &lt;/p&gt;</t>
  </si>
  <si>
    <t>&lt;p&gt;a. The Scholarship is valued at $5,000 per annum and is tenable for one year. &lt;/p&gt;</t>
  </si>
  <si>
    <t>&lt;p&gt;a. The Scholarship is valued at $6,000 per annum and is tenable for the duration of the degree. &lt;/p&gt;</t>
  </si>
  <si>
    <t>$862</t>
  </si>
  <si>
    <t>&lt;p&gt;a. The total value of the scholarship for a recipients enrolled full-time in the Master of Nursing (graduate degree) will be $8,625. This will be split into the following benefits:&lt;/p&gt;</t>
  </si>
  <si>
    <t>&lt;p&gt;a. The total value of the scholarship for a recipients enrolled full-time will be $20,000. This will be split into the following benefits:&lt;/p&gt;</t>
  </si>
  <si>
    <t>$21,625</t>
  </si>
  <si>
    <t>$36,000</t>
  </si>
  <si>
    <t>&lt;p&gt;a. The scholarship is valued $36,000 per annum for a recipient enrolled full-time for up to 1 year. &lt;/p&gt;</t>
  </si>
  <si>
    <t>&lt;p&gt;a. The recipient will receive the scholarship valued at $25,500 per annum for up to four years.&lt;/p&gt;</t>
  </si>
  <si>
    <t>&lt;p&gt;a. The Scholarship is valued at $7,000 per annum for up to 1.5 years for a full-time recipient.&lt;/p&gt;</t>
  </si>
  <si>
    <t>&lt;p&gt;a. A recipient enrolled full-time will receive $6,000 per annum for up to four years. &lt;/p&gt;</t>
  </si>
  <si>
    <t>&lt;p&gt;a. The Scholarship is valued at $10,000,&lt;/p&gt;</t>
  </si>
  <si>
    <t>&lt;p&gt;a. The Scholarship is valued at $20,000 per annum and is tenable for one year.&lt;/p&gt;</t>
  </si>
  <si>
    <t>$850</t>
  </si>
  <si>
    <t>&lt;p&gt;a. The Scholarship is valued at $8,500 per annum and is tenable for up to four years. &lt;/p&gt;</t>
  </si>
  <si>
    <t>&lt;p&gt;a. The Scholarship is valued at $5,000 per annum and is tenable for two years.&lt;/p&gt;</t>
  </si>
  <si>
    <t>&lt;p&gt;a. The Scholarship is valued up to $3,500. The exact value will be stipulated in the Offer Letter. &lt;/p&gt;</t>
  </si>
  <si>
    <t>$350</t>
  </si>
  <si>
    <t>&lt;p&gt;a. The Scholarship is valued at $3,500 per annum and is tenable for one year. &lt;/p&gt;</t>
  </si>
  <si>
    <t>$42,000</t>
  </si>
  <si>
    <t>&lt;p&gt;a. The Scholarship will provide an annual stipend allowance of $42,000 (fixed rate) for up to three years, subject to satisfactory academic performance. No extension is allowed.&lt;/p&gt;</t>
  </si>
  <si>
    <t>&lt;p&gt;&lt;strong&gt; &lt;/strong&gt;&lt;/p&gt;</t>
  </si>
  <si>
    <t>&lt;p&gt;a. The Scholarship is valued at $6,500 per annum and is tenable for four years.&lt;/p&gt;</t>
  </si>
  <si>
    <t>&lt;p&gt;a. The Scholarship is valued at up to $5,000 per annum and is tenable for one year only. The value of the scholarship will be stipulated in the Offer Letter.&lt;/p&gt;</t>
  </si>
  <si>
    <t>&lt;p&gt;a. The Scholarship is valued at $25,000 per annum and is tenable up to six years only.&lt;/p&gt;</t>
  </si>
  <si>
    <t>$5,250</t>
  </si>
  <si>
    <t>&lt;p&gt;a. The Scholarship is valued at $7,500 per annum and is tenable for one year.&lt;/p&gt;</t>
  </si>
  <si>
    <t>&lt;p&gt;a. The Scholarship is valued at $7500 per annum and is tenable for up to two years.&lt;/p&gt;</t>
  </si>
  <si>
    <t>&lt;p&gt;a. The Scholarship is valued at $8500 per annum, and is tenable for one year only, for students enrolled in fulltime study, or pro-rata over the duration of Honours study if enrolled part time.&lt;/p&gt;</t>
  </si>
  <si>
    <t>&lt;p&gt;a. The Scholarship is valued at $6,000 and is tenable for one year only.&lt;/p&gt;</t>
  </si>
  <si>
    <t>$54,000</t>
  </si>
  <si>
    <t>&lt;p&gt;a. The Scholarship will provide a stipend allowance of $54,000 pa, paid every 2 weeks. The Scholarship is indexed at $500 per annum on 1 January. The Scholarship will be awarded for the duration of the student’s residency for up to three years, subject to satisfactory academic performance. No extension is possible.&lt;/p&gt;</t>
  </si>
  <si>
    <t>&lt;p&gt;a. The Scholarship is valued at $5,000 and is tenable for one year only.&lt;/p&gt;</t>
  </si>
  <si>
    <t>$170</t>
  </si>
  <si>
    <t>&lt;p&gt;a. The Scholarship is valued at $7,500 and is tenable for one year only.&lt;/p&gt;</t>
  </si>
  <si>
    <t>&lt;p&gt;a. The Scholarship is valued up to $2,000 per annum tenable for one year only. The value will be stipulated in the Offer Letter.&lt;/p&gt;</t>
  </si>
  <si>
    <t>&lt;p&gt;a. The Scholarship is valued at $7,000 per annum and is tenable for one year. &lt;/p&gt;</t>
  </si>
  <si>
    <t>&lt;p&gt;a. The Scholarship is valued at $2,500 per annum and is tenable for two years.&lt;/p&gt;</t>
  </si>
  <si>
    <t>&lt;p&gt;a. The Scholarship is valued at $8,500 per annum and is tenable for up to 3 years.&lt;/p&gt;</t>
  </si>
  <si>
    <t>&lt;p&gt;a. The Scholarship is valued approx. $1,000 per annum and as one-off payment. The exact value of the scholarship will be determined by the Head of School of the School of Veterinary Science and stipulated in the scholarship offer letter.&lt;/p&gt;</t>
  </si>
  <si>
    <t>$675</t>
  </si>
  <si>
    <t>&lt;p&gt;a. The Scholarship is valued at $6,750 per annum and is tenable for the full-time duration of Doctor of Veterinary Medicine program.&lt;/p&gt;</t>
  </si>
  <si>
    <t>&lt;p&gt;a. The Scholarship is valued at $6,750 and paid as a one-off payment for the year in which the scholarship is awarded.&lt;/p&gt;</t>
  </si>
  <si>
    <t>$4,400</t>
  </si>
  <si>
    <t>&lt;p&gt;a. The Scholarship is valued at approx. $4,400 and is tenable for one year only. The exact value of the scholarship will be stipulated in the Offer Letter.&lt;/p&gt;</t>
  </si>
  <si>
    <t>&lt;p&gt;a. The Scholarship is valued at $6,000 per annum and is tenable for the full-time duration of Doctor of Veterinary Medicine program.&lt;/p&gt;</t>
  </si>
  <si>
    <t>$3,333</t>
  </si>
  <si>
    <t>&lt;p&gt;a. The Scholarship is valued at $3,333 (fixed amount) and is tenable for the duration of the research project.&lt;/p&gt;</t>
  </si>
  <si>
    <t>&lt;p&gt;a. The Scholarship is valued at $8,500 per annum and is tenable for one year.&lt;/p&gt;</t>
  </si>
  <si>
    <t>&lt;p&gt;a. The Scholarship will cover the Student Services and Amenities Fee (SSAF) and academic tuition fees, up to a maximum of $60,000.&lt;/p&gt;</t>
  </si>
  <si>
    <t>$7,200</t>
  </si>
  <si>
    <t>&lt;p&gt;a. The Scholarship is valued at $2,500 per annum and is tenable for one year.&lt;/p&gt;</t>
  </si>
  <si>
    <t>&lt;p&gt;a. The Scholarship is valued at $5,000 per annum and is tenable for one year only.&lt;/p&gt;</t>
  </si>
  <si>
    <t>$29,000</t>
  </si>
  <si>
    <t>&lt;p&gt;a. The scholarship provides AUD$20,000 per year towards the costs of accommodation at a University of Sydney owned residence for the published full-time duration of the recipient’s undergraduate (single or combined) degree up to a maximum total duration of 4 years full-time study.&lt;/p&gt;</t>
  </si>
  <si>
    <t>&lt;p&gt;a. The scholarship provides a cash payment of AUD$10,000 per year and is tenable for the published full-time duration of the recipient’s undergraduate (single or combined) degree up to a maximum total duration of 5 years full-time study or part-time equivalent.&lt;/p&gt;</t>
  </si>
  <si>
    <t>&lt;p&gt;a. The Scholarship is valued at $10,000 and is tenable for the normal full-time duration of the recipient’s undergraduate degree or combined undergraduate degree (agreed program).&lt;/p&gt;</t>
  </si>
  <si>
    <t>&lt;p&gt;a. The Scholarship is valued at $8,000 per annum for the duration of the degree, up to a maximum of five years.&lt;/p&gt;</t>
  </si>
  <si>
    <t>&lt;p&gt;a. The Scholarship is valued at $8,000 per annum and is tenable for the normal duration of the recipient’s degree (including combined degrees), for up to five years.&lt;/p&gt;</t>
  </si>
  <si>
    <t>&lt;p&gt;a. The scholarship provides a cash payment of AUD$8,500 per year and is tenable for the published full-time duration of the recipient’s undergraduate (single or combined) degree or diploma up to a maximum total duration of 5 years full-time study or part-time equivalent. Recipients undertaking a diploma who progress directly onto an undergraduate degree of the University of Sydney will retain their scholarship for the published full-time duration of both the diploma and the undergraduate degree up to a maximum total duration of 5 years full-time study or part-time equivalent. &lt;/p&gt;</t>
  </si>
  <si>
    <t>&lt;p&gt;a. The Scholarship is valued at $10,000 per annum and is tenable for the published full-time duration of the recipient’s undergraduate (single or combined) degree up to a maximum total duration of 4 years full-time study or part-time equivalent.&lt;/p&gt;</t>
  </si>
  <si>
    <t>&lt;p&gt;a. Two scholarship amounts are offered based on ranking against selection criteria:&lt;/p&gt;</t>
  </si>
  <si>
    <t>&lt;p&gt;a. The scholarship provides a cash payment of AUD$15,000 per year and is tenable for up to a maximum total duration of 3 years full-time study or part-time equivalent.&lt;/p&gt;</t>
  </si>
  <si>
    <t>&lt;p&gt;a. The Scholarship is valued at up to $3,000 for the duration of the project.&lt;/p&gt;</t>
  </si>
  <si>
    <t>&lt;p&gt;a. The Scholarship provides a cash payment of $5,000 for one year&lt;/p&gt;</t>
  </si>
  <si>
    <t>Determined by Dean</t>
  </si>
  <si>
    <t>High Potential</t>
  </si>
  <si>
    <t>• 
• 
•</t>
  </si>
  <si>
    <t>One-off</t>
  </si>
  <si>
    <t>6 months</t>
  </si>
  <si>
    <t>1 years</t>
  </si>
  <si>
    <t>4 years</t>
  </si>
  <si>
    <t>3 years</t>
  </si>
  <si>
    <t>5 years</t>
  </si>
  <si>
    <t>12 weeks</t>
  </si>
  <si>
    <t>$6,000
$25,000</t>
  </si>
  <si>
    <t>4 years
1.5 years</t>
  </si>
  <si>
    <t>• Jazz student
• Financial hardship
• Sydney Conservatorium of Music student</t>
  </si>
  <si>
    <t>Honours</t>
  </si>
  <si>
    <t>• Business honours (Marketing)
• Academic merit</t>
  </si>
  <si>
    <t>• Finance Honours Program
• Academic merit</t>
  </si>
  <si>
    <t>$2,500 - $5,000</t>
  </si>
  <si>
    <t xml:space="preserve">$4,000 - $8,000 </t>
  </si>
  <si>
    <t>• International Business
• Academic Merit</t>
  </si>
  <si>
    <t>• Recent piano graduate from the Conservatorium</t>
  </si>
  <si>
    <t>• 1st year MBA
• Applicant of the UN Women MBA Scholarship</t>
  </si>
  <si>
    <t>• Academic Merit
• Financial hardship</t>
  </si>
  <si>
    <t>Equity</t>
  </si>
  <si>
    <t>$10,000-$40,000</t>
  </si>
  <si>
    <t>Tuition fees</t>
  </si>
  <si>
    <t>• MBA (Leadership and Enterprise)</t>
  </si>
  <si>
    <t>$5,000-$10,000</t>
  </si>
  <si>
    <t>2 subjects</t>
  </si>
  <si>
    <t>• Accounting honours
• Academic Merit</t>
  </si>
  <si>
    <t>• Accounting Honours
• Academic Merit</t>
  </si>
  <si>
    <t>• 1st year MBA
• Academic Merit</t>
  </si>
  <si>
    <t>Duration of Degree</t>
  </si>
  <si>
    <t>$5,000: Academic Merit
$7,000: Financial Need</t>
  </si>
  <si>
    <t>High Potential/Equity</t>
  </si>
  <si>
    <t>• Academic Merit 
• Financial Hardship
• School of Business</t>
  </si>
  <si>
    <t>• Business Honours
• Academic Merit</t>
  </si>
  <si>
    <t>• Selected Laws programs
• Willing to attend the LawWithoutWalls (LWOW) Sprint program
• Avaliable to both international and domestic</t>
  </si>
  <si>
    <t>• Bachelor of Laws or Juris Doctor
• In Social Justice Program (run by the school)
•</t>
  </si>
  <si>
    <t xml:space="preserve">• Selected Engineering programs
• Continuing 
• Academic Merit </t>
  </si>
  <si>
    <t>• HCA programs
• Major in History
• Provide statement
• Financial Hardship
• Academic Merit</t>
  </si>
  <si>
    <t>• Rural or Regional
• 1st year Bachelor of Laws or Juris Doctor
• Written statement - community work/leadership skills</t>
  </si>
  <si>
    <t>• Academic Merit
• School of Chemical and Biomolecular Engineering - Selected programs
• Continuing</t>
  </si>
  <si>
    <t>• Faculty of Arts and Social Sciences programs
• No CSP
• 1st year</t>
  </si>
  <si>
    <t>UG/Honours</t>
  </si>
  <si>
    <t>• Major in Chinese Studies (introductory) 
• Honours in Chinese studies</t>
  </si>
  <si>
    <t>• Equity Criteria
• Sydney College of the Arts programs</t>
  </si>
  <si>
    <t>• Selected subject in Archaeology 
• Field work at Zagora
• Avaliable to both international and domestic</t>
  </si>
  <si>
    <t>• 3rd year Medicine
• Accepted into an elective term in orthopaedic and traumatic surgery
• Academic Merit
• Provide statement</t>
  </si>
  <si>
    <t xml:space="preserve">1 term, 2 $5,000 
payments. </t>
  </si>
  <si>
    <t>• Selected subjects in Pharmacy
• Must be completing mental health research</t>
  </si>
  <si>
    <t>• Medicine students
• Present their own work at the conference
• 3rd or 4th year</t>
  </si>
  <si>
    <t>• Final year Bachelor of Pharmacy and Management or Master of Pharmacy Practice.
• Placement site over 100km from home.
• Provide statement</t>
  </si>
  <si>
    <t xml:space="preserve">$300-$800
Depends on 
distance. </t>
  </si>
  <si>
    <t>$14,500 for 6 
semesters
$500 One-off</t>
  </si>
  <si>
    <t>$87,500 (MAX)
Meant for
tuition</t>
  </si>
  <si>
    <t>Honours/PG</t>
  </si>
  <si>
    <t>• Nursing programs
• Demonstrate interest in reproductive health and family planning as a component of women’s health in developing countries.
• Academic Merit</t>
  </si>
  <si>
    <t>• Studying Geology and/or Mineralogy within the School of Geosciences
• 1st year
• Avaliable to both international and domestic</t>
  </si>
  <si>
    <t>• CDMS Honours
• Completed specified mathematics/statistics units of study
• Avaliable to both international and domestic</t>
  </si>
  <si>
    <t>• Equity Criteria
• Selected Science programs
• Academic Merit</t>
  </si>
  <si>
    <t>• Psychology Honours
• 1 year
• Equity Criteria</t>
  </si>
  <si>
    <t>• Sydney University rugby players
• Continuing
• Academic Merit
• Provide statement</t>
  </si>
  <si>
    <t>• Internship in digital health
• Cover letter</t>
  </si>
  <si>
    <t>• Master of Business Administration
• 1st year
• Academic Merit
• Provide statement</t>
  </si>
  <si>
    <t>• Master of Business Administration
• 1st year
• Academic Merit
• Provide statement
• Preference will be given to applicants working in the not-for-profit sector, especially charities</t>
  </si>
  <si>
    <t>50% tuition fees</t>
  </si>
  <si>
    <t>• Master of Business Administration
• 1st year
• Academic Merit
• Identify as someone from a minority group</t>
  </si>
  <si>
    <t>20% of tuition fees</t>
  </si>
  <si>
    <t>• Master of Business Administration (Executive)
• 1st year
• Academic Merit
• Provide statement</t>
  </si>
  <si>
    <t>• Executive Master of Business Administration
• 1st year
• Academic Merit
• Ideally be working in a social enterprise or as a social entrepreneur</t>
  </si>
  <si>
    <t>50%-100% tuition fees</t>
  </si>
  <si>
    <t>• Minimum 10 years of professional experience
• University staff who plan to study the Executive MBA</t>
  </si>
  <si>
    <t>• University staff member eligible to study the MBA
• Provide statement
• Academic Merit</t>
  </si>
  <si>
    <t>2 units of study</t>
  </si>
  <si>
    <t>• Master of Business Administration
• Demonstrate outstanding leadership potential in the business domain
• Academic Merit</t>
  </si>
  <si>
    <t>66% of tuition fees</t>
  </si>
  <si>
    <t>• Executive MBA
• Not be an employee of the University of Sydney or UN Women National Committee Australia
• Provide Statement
• Academic Merit</t>
  </si>
  <si>
    <t>CSP instead of 
full-paying</t>
  </si>
  <si>
    <t>• Doctor of Veterinary Medicine
• Equity Criteria
• Commencing</t>
  </si>
  <si>
    <t>Preference</t>
  </si>
  <si>
    <t>• Bachelor of Veterinary Biology and Doctor of Veterinary Medicine
• Be able to demonstrate low socio-economic status
• Commencing</t>
  </si>
  <si>
    <t>• Received a MySydney Scholarship
• Over 18
• Submitted an Educational Access Scheme (EAS) application</t>
  </si>
  <si>
    <t>60% accommodation costs</t>
  </si>
  <si>
    <t>N/A</t>
  </si>
  <si>
    <t>• Full-time student at the Conservatorium of Music
• Studying instrumental studies</t>
  </si>
  <si>
    <t>• Master of Interaction Design and Electronic Arts
• 1st year
• Academic merit</t>
  </si>
  <si>
    <t>• Studying to become a composer. 
• Student at Sydney Conservatorium of Music
• Academic merit</t>
  </si>
  <si>
    <t>• Female or gender diverse
• Financial hardship
• Studying jazz</t>
  </si>
  <si>
    <t>• Studying piano
• Academic merit</t>
  </si>
  <si>
    <t>• Studying violin
• Academic merit</t>
  </si>
  <si>
    <t>• Studying piano
• Resided in Australia for the past five years
• Low socio-economic background</t>
  </si>
  <si>
    <t>• 20 years old or youger
• Studying piano or organ
• Academic merit</t>
  </si>
  <si>
    <t>• School of Business programs
• Academic merit (ATAR)
• Has not done any university studies</t>
  </si>
  <si>
    <t>$2,250
$4,500
$9,000</t>
  </si>
  <si>
    <t>6 cps
12cps
18cps</t>
  </si>
  <si>
    <t>• Any PG coursework program except MBA
• Academic merit</t>
  </si>
  <si>
    <t>• Bachelor of Advanced Studies
• Specific subject
• Academic merit</t>
  </si>
  <si>
    <t xml:space="preserve">• Studying 'back of orchestra' instruments
• Academic merit </t>
  </si>
  <si>
    <t>• Singing and/or piano student
• Academic merit</t>
  </si>
  <si>
    <t>• Classical piano student
• Financial hardship
• Provide statement</t>
  </si>
  <si>
    <t>• Student at Sydney Conservatorium of Music.
• Academic merit</t>
  </si>
  <si>
    <t>• String student
• Born in Australia</t>
  </si>
  <si>
    <t>• Studying classical music
• Financial hardship
• Provide statement</t>
  </si>
  <si>
    <t>• Low-socioeconomic background
• Piano student
• Provide statement</t>
  </si>
  <si>
    <t>• School of Business programs
• Academic merit (ATAR)
• Provide statement</t>
  </si>
  <si>
    <t>• Recent school leaver
• Selected programs in Design in Architecture,
• Academic merit(ATAR)
• Has not done any university studies</t>
  </si>
  <si>
    <t>• School of Business programs and double degrees with Law
• Academic merit (ATAR)
• Provide statement</t>
  </si>
  <si>
    <t>• Financial hardship
• Provide statement
• Studying the flute</t>
  </si>
  <si>
    <t>• 1st year
• Bachelor of Design in Architecture (Honours) 
• Academic merit</t>
  </si>
  <si>
    <t>• Student at the Conservatorium 
• Preference given to students studying bassoon, oboe and saxophone.
• Academic merit</t>
  </si>
  <si>
    <t>• Male
• Opera student
• Academic merit</t>
  </si>
  <si>
    <t>• Aged between 20 and 40
• Musical composition student
• Studying musical composition</t>
  </si>
  <si>
    <t>• Student at the Conservatorium
• Low-socioeconomic background
• Financial hardship</t>
  </si>
  <si>
    <t>• Student at the Conservatorium
• Academic merit</t>
  </si>
  <si>
    <t>• Rural or Regional
• Selected Business progrmas
• Recent school leaver</t>
  </si>
  <si>
    <t>• Study in the Digital Music and Media Program
• Australian Citizen 
• Provide statement</t>
  </si>
  <si>
    <t>• Australian Citizen
• Student at the Conservatorium 
• Rural or Regional</t>
  </si>
  <si>
    <t>• Studying conducting
• Already be a proven young orchestral conductor in the professional musical world
• Provide statement</t>
  </si>
  <si>
    <t>• Financial hardship
• Selected WIL subjects</t>
  </si>
  <si>
    <t>• String student
• Academic merit</t>
  </si>
  <si>
    <t>• Student undertaking further studies as a piano accompanist or opera répétiteur 
• Academic merit</t>
  </si>
  <si>
    <t>• Singing student
• Female preference
• Academic merit</t>
  </si>
  <si>
    <t>• Student at  Sydney Conservatorium of Music
• Provide statement
• Academic merit</t>
  </si>
  <si>
    <t>• Studying classical music, including early music and opera studies
• Academic merit
• Provide statement</t>
  </si>
  <si>
    <t>• Classical music (including early music and opera) student
• Academic merit
• Provide statement</t>
  </si>
  <si>
    <t>• Singing student
• Female</t>
  </si>
  <si>
    <t>• Student studying conducting
• Academic merit
• Provide statement</t>
  </si>
  <si>
    <t>• Opera student
• Low socio-economic background</t>
  </si>
  <si>
    <t>• Student at the Conservatorium
• Academic merit
• Provide statement</t>
  </si>
  <si>
    <t>• School of Business programs
• Academic merit (ATAR)
• Recent School Leaver</t>
  </si>
  <si>
    <t>• Student at the Conservatorium
• Academic merit
• Studying violin.</t>
  </si>
  <si>
    <t>• Pianoforte student
• Academic merit
• Provide statement</t>
  </si>
  <si>
    <t>• Between 20 and 45 years old
• Studying vocal teaching and repertoire</t>
  </si>
  <si>
    <t>• Studying vocal studies
• Academic merit
• Provide statement</t>
  </si>
  <si>
    <t>• Completed the Bachelor of Design in Architecture
• Academic merit</t>
  </si>
  <si>
    <t>• Piano, violin, viola or cello student
• Financial hardship</t>
  </si>
  <si>
    <t>• Student at the Conservatorium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</si>
</sst>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3" x14ac:knownFonts="1">
    <font>
      <sz val="11"/>
      <color theme="1"/>
      <name val="Calibri"/>
      <family val="2"/>
      <scheme val="minor"/>
    </font>
    <font>
      <b/>
      <sz val="11"/>
      <name val="Calibri"/>
    </font>
    <font>
      <u/>
      <sz val="11"/>
      <color theme="1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top" wrapText="1"/>
    </xf>
    <xf numFmtId="0" fontId="0" fillId="2" borderId="0" xfId="0" applyFill="1"/>
    <xf numFmtId="0" fontId="2" fillId="0" borderId="0" xfId="1"/>
    <xf numFmtId="0" fontId="1" fillId="0" borderId="1" xfId="0" applyFont="1" applyBorder="1" applyAlignment="1">
      <alignment horizontal="left" vertical="top"/>
    </xf>
    <xf numFmtId="0" fontId="0" fillId="0" borderId="0" xfId="0" applyAlignment="1">
      <alignment horizontal="left"/>
    </xf>
    <xf numFmtId="6" fontId="0" fillId="0" borderId="0" xfId="0" applyNumberFormat="1" applyAlignment="1">
      <alignment horizontal="left"/>
    </xf>
    <xf numFmtId="6" fontId="0" fillId="2" borderId="0" xfId="0" applyNumberFormat="1" applyFill="1" applyAlignment="1">
      <alignment horizontal="left"/>
    </xf>
    <xf numFmtId="0" fontId="0" fillId="2" borderId="0" xfId="0" applyFill="1" applyAlignment="1">
      <alignment horizontal="left"/>
    </xf>
    <xf numFmtId="0" fontId="0" fillId="0" borderId="0" xfId="0" applyAlignment="1">
      <alignment horizontal="left" wrapText="1"/>
    </xf>
    <xf numFmtId="6"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I405"/>
  <sheetViews>
    <sheetView tabSelected="1" topLeftCell="A66" workbookViewId="0">
      <selection activeCell="G70" sqref="G70"/>
    </sheetView>
  </sheetViews>
  <sheetFormatPr defaultRowHeight="15" x14ac:dyDescent="0.25"/>
  <cols>
    <col min="1" max="1" width="10" customWidth="1"/>
    <col min="2" max="2" width="40.42578125" customWidth="1"/>
    <col min="3" max="3" width="37.28515625" customWidth="1"/>
    <col min="4" max="4" width="20.85546875" style="7" customWidth="1"/>
    <col min="5" max="5" width="15.28515625" customWidth="1"/>
    <col min="7" max="7" width="22.28515625" style="2" customWidth="1"/>
    <col min="8" max="8" width="13" customWidth="1"/>
    <col min="9" max="9" width="15.7109375" customWidth="1"/>
  </cols>
  <sheetData>
    <row r="1" spans="1:9" x14ac:dyDescent="0.25">
      <c r="A1" s="1" t="s">
        <v>0</v>
      </c>
      <c r="B1" s="1" t="s">
        <v>1</v>
      </c>
      <c r="C1" s="1" t="s">
        <v>2</v>
      </c>
      <c r="D1" s="6" t="s">
        <v>3</v>
      </c>
      <c r="E1" s="1" t="s">
        <v>4</v>
      </c>
      <c r="F1" s="1" t="s">
        <v>5</v>
      </c>
      <c r="G1" s="3" t="s">
        <v>6</v>
      </c>
      <c r="H1" s="1" t="s">
        <v>7</v>
      </c>
      <c r="I1" s="1" t="s">
        <v>8</v>
      </c>
    </row>
    <row r="2" spans="1:9" ht="75" x14ac:dyDescent="0.25">
      <c r="A2" t="s">
        <v>9</v>
      </c>
      <c r="B2" t="str">
        <f>HYPERLINK("https://www.sydney.edu.au/scholarships/a/alan-hyland-scholarship-for-instrumental-studies.html", "Alan Hyland Scholarship for Instrumental Studies")</f>
        <v>Alan Hyland Scholarship for Instrumental Studies</v>
      </c>
      <c r="C2" t="s">
        <v>249</v>
      </c>
      <c r="D2" t="s">
        <v>11</v>
      </c>
      <c r="E2" t="s">
        <v>331</v>
      </c>
      <c r="F2" t="s">
        <v>13</v>
      </c>
      <c r="G2" s="2" t="s">
        <v>332</v>
      </c>
      <c r="H2" t="s">
        <v>14</v>
      </c>
      <c r="I2" t="s">
        <v>14</v>
      </c>
    </row>
    <row r="3" spans="1:9" ht="45" hidden="1" x14ac:dyDescent="0.25">
      <c r="A3" t="s">
        <v>9</v>
      </c>
      <c r="B3" t="str">
        <f>HYPERLINK("https://www.sydney.edu.au/scholarships/a/albert-scholarship.html", "Albert Scholarship")</f>
        <v>Albert Scholarship</v>
      </c>
      <c r="C3" t="s">
        <v>249</v>
      </c>
      <c r="D3" t="s">
        <v>15</v>
      </c>
      <c r="E3" t="s">
        <v>248</v>
      </c>
      <c r="F3" t="s">
        <v>17</v>
      </c>
      <c r="G3" s="2" t="s">
        <v>250</v>
      </c>
      <c r="H3" t="s">
        <v>14</v>
      </c>
      <c r="I3" t="s">
        <v>14</v>
      </c>
    </row>
    <row r="4" spans="1:9" ht="75" hidden="1" x14ac:dyDescent="0.25">
      <c r="A4" t="s">
        <v>9</v>
      </c>
      <c r="B4" t="str">
        <f>HYPERLINK("https://www.sydney.edu.au/scholarships/a/alek-safarian-mba-scholarship.html", "Alek Safarian MBA Scholarship")</f>
        <v>Alek Safarian MBA Scholarship</v>
      </c>
      <c r="C4" t="s">
        <v>249</v>
      </c>
      <c r="D4" t="s">
        <v>272</v>
      </c>
      <c r="E4" t="s">
        <v>279</v>
      </c>
      <c r="F4" t="s">
        <v>17</v>
      </c>
      <c r="G4" s="2" t="s">
        <v>311</v>
      </c>
      <c r="H4" t="s">
        <v>14</v>
      </c>
      <c r="I4" t="s">
        <v>14</v>
      </c>
    </row>
    <row r="5" spans="1:9" ht="75" x14ac:dyDescent="0.25">
      <c r="A5" t="s">
        <v>9</v>
      </c>
      <c r="B5" t="str">
        <f>HYPERLINK("https://www.sydney.edu.au/scholarships/a/alexandria-harbin-atlassian-scholarship.html", "The Alexandria Harbin Atlassian Coursework Scholarship")</f>
        <v>The Alexandria Harbin Atlassian Coursework Scholarship</v>
      </c>
      <c r="C5" t="s">
        <v>249</v>
      </c>
      <c r="D5" s="12">
        <v>10000</v>
      </c>
      <c r="E5" t="s">
        <v>253</v>
      </c>
      <c r="F5" t="s">
        <v>17</v>
      </c>
      <c r="G5" s="2" t="s">
        <v>333</v>
      </c>
      <c r="H5" t="s">
        <v>14</v>
      </c>
      <c r="I5" t="s">
        <v>14</v>
      </c>
    </row>
    <row r="6" spans="1:9" ht="90" x14ac:dyDescent="0.25">
      <c r="A6" t="s">
        <v>9</v>
      </c>
      <c r="B6" t="str">
        <f>HYPERLINK("https://www.sydney.edu.au/scholarships/a/alison-burrell-bequest.html", "Alison Burrell Bequest")</f>
        <v>Alison Burrell Bequest</v>
      </c>
      <c r="C6" t="s">
        <v>249</v>
      </c>
      <c r="D6" t="s">
        <v>15</v>
      </c>
      <c r="E6" t="s">
        <v>253</v>
      </c>
      <c r="F6" t="s">
        <v>13</v>
      </c>
      <c r="G6" s="2" t="s">
        <v>334</v>
      </c>
      <c r="H6" t="s">
        <v>14</v>
      </c>
      <c r="I6" t="s">
        <v>14</v>
      </c>
    </row>
    <row r="7" spans="1:9" ht="150" hidden="1" x14ac:dyDescent="0.25">
      <c r="A7" t="s">
        <v>9</v>
      </c>
      <c r="B7" t="str">
        <f>HYPERLINK("https://www.sydney.edu.au/scholarships/a/anstice-mba-scholarship-community-leadership.html", "Anstice MBA Scholarship for Community Leadership")</f>
        <v>Anstice MBA Scholarship for Community Leadership</v>
      </c>
      <c r="C7" t="s">
        <v>249</v>
      </c>
      <c r="D7" t="s">
        <v>272</v>
      </c>
      <c r="E7" t="s">
        <v>279</v>
      </c>
      <c r="F7" t="s">
        <v>17</v>
      </c>
      <c r="G7" s="2" t="s">
        <v>312</v>
      </c>
      <c r="H7" t="s">
        <v>14</v>
      </c>
      <c r="I7" t="s">
        <v>14</v>
      </c>
    </row>
    <row r="8" spans="1:9" ht="60" x14ac:dyDescent="0.25">
      <c r="A8" t="s">
        <v>9</v>
      </c>
      <c r="B8" t="str">
        <f>HYPERLINK("https://www.sydney.edu.au/scholarships/a/anthony---sharon-lee-foundation-jazz-scholarship-for-female-and-.html", "Anthony &amp; Sharon Lee Foundation Jazz Scholarship for Female and/or Gender Diverse")</f>
        <v>Anthony &amp; Sharon Lee Foundation Jazz Scholarship for Female and/or Gender Diverse</v>
      </c>
      <c r="C8" t="s">
        <v>270</v>
      </c>
      <c r="D8" s="12">
        <v>10000</v>
      </c>
      <c r="E8" t="s">
        <v>253</v>
      </c>
      <c r="F8" t="s">
        <v>13</v>
      </c>
      <c r="G8" s="2" t="s">
        <v>335</v>
      </c>
      <c r="H8" t="s">
        <v>14</v>
      </c>
      <c r="I8" t="s">
        <v>14</v>
      </c>
    </row>
    <row r="9" spans="1:9" ht="75" hidden="1" x14ac:dyDescent="0.25">
      <c r="A9" t="s">
        <v>9</v>
      </c>
      <c r="B9" t="str">
        <f>HYPERLINK("https://www.sydney.edu.au/scholarships/a/anthony-sharon-lee-foundation-jazz-scholarship.html", "Anthony and Sharon Lee Foundation Jazz Scholarship")</f>
        <v>Anthony and Sharon Lee Foundation Jazz Scholarship</v>
      </c>
      <c r="C9" t="s">
        <v>10</v>
      </c>
      <c r="D9" s="2" t="s">
        <v>258</v>
      </c>
      <c r="E9" s="2" t="s">
        <v>259</v>
      </c>
      <c r="F9" t="s">
        <v>17</v>
      </c>
      <c r="G9" s="2" t="s">
        <v>260</v>
      </c>
      <c r="H9" t="s">
        <v>14</v>
      </c>
      <c r="I9" t="s">
        <v>14</v>
      </c>
    </row>
    <row r="10" spans="1:9" ht="45" hidden="1" x14ac:dyDescent="0.25">
      <c r="A10" t="s">
        <v>9</v>
      </c>
      <c r="B10" s="5" t="str">
        <f>HYPERLINK("https://www.sydney.edu.au/scholarships/a/anthony-strachan-scholarship.html", "Anthony Strachan Scholarship")</f>
        <v>Anthony Strachan Scholarship</v>
      </c>
      <c r="C10" t="s">
        <v>10</v>
      </c>
      <c r="D10" t="s">
        <v>11</v>
      </c>
      <c r="E10" t="s">
        <v>11</v>
      </c>
      <c r="F10" t="s">
        <v>10</v>
      </c>
      <c r="G10" s="2" t="s">
        <v>250</v>
      </c>
      <c r="H10" t="s">
        <v>14</v>
      </c>
      <c r="I10" t="s">
        <v>14</v>
      </c>
    </row>
    <row r="11" spans="1:9" ht="30" x14ac:dyDescent="0.25">
      <c r="A11" t="s">
        <v>9</v>
      </c>
      <c r="B11" t="str">
        <f>HYPERLINK("https://www.sydney.edu.au/scholarships/a/belinda-frances-hughes-piano-scholarship.html", "Belinda Frances Hughes Piano Scholarship")</f>
        <v>Belinda Frances Hughes Piano Scholarship</v>
      </c>
      <c r="C11" t="s">
        <v>249</v>
      </c>
      <c r="D11" t="s">
        <v>11</v>
      </c>
      <c r="E11" t="s">
        <v>331</v>
      </c>
      <c r="F11" t="s">
        <v>13</v>
      </c>
      <c r="G11" s="2" t="s">
        <v>336</v>
      </c>
      <c r="H11" t="s">
        <v>14</v>
      </c>
      <c r="I11" t="s">
        <v>14</v>
      </c>
    </row>
    <row r="12" spans="1:9" ht="30" x14ac:dyDescent="0.25">
      <c r="A12" t="s">
        <v>9</v>
      </c>
      <c r="B12" t="str">
        <f>HYPERLINK("https://www.sydney.edu.au/scholarships/a/belinda-frances-hughes-violin-scholarship.html", "Belinda Frances Hughes Violin Scholarship")</f>
        <v>Belinda Frances Hughes Violin Scholarship</v>
      </c>
      <c r="C12" t="s">
        <v>249</v>
      </c>
      <c r="D12" t="s">
        <v>11</v>
      </c>
      <c r="E12" t="s">
        <v>331</v>
      </c>
      <c r="F12" t="s">
        <v>13</v>
      </c>
      <c r="G12" s="2" t="s">
        <v>337</v>
      </c>
      <c r="H12" t="s">
        <v>14</v>
      </c>
      <c r="I12" t="s">
        <v>14</v>
      </c>
    </row>
    <row r="13" spans="1:9" ht="30" x14ac:dyDescent="0.25">
      <c r="A13" t="s">
        <v>9</v>
      </c>
      <c r="B13" t="str">
        <f>HYPERLINK("https://www.sydney.edu.au/scholarships/a/bessie-cook-piano-award.html", "The Bessie Cook Piano Award")</f>
        <v>The Bessie Cook Piano Award</v>
      </c>
      <c r="C13" t="s">
        <v>249</v>
      </c>
      <c r="D13" t="s">
        <v>15</v>
      </c>
      <c r="E13" t="s">
        <v>331</v>
      </c>
      <c r="F13" t="s">
        <v>10</v>
      </c>
      <c r="G13" s="2" t="s">
        <v>336</v>
      </c>
      <c r="H13" t="s">
        <v>14</v>
      </c>
      <c r="I13" t="s">
        <v>14</v>
      </c>
    </row>
    <row r="14" spans="1:9" ht="45" hidden="1" x14ac:dyDescent="0.25">
      <c r="A14" t="s">
        <v>9</v>
      </c>
      <c r="B14" t="str">
        <f>HYPERLINK("https://www.sydney.edu.au/scholarships/a/board-of-governors-scholarship.html", "Board of Governors' Scholarship")</f>
        <v>Board of Governors' Scholarship</v>
      </c>
      <c r="C14" t="s">
        <v>10</v>
      </c>
      <c r="D14" t="s">
        <v>11</v>
      </c>
      <c r="E14" t="s">
        <v>248</v>
      </c>
      <c r="F14" t="s">
        <v>10</v>
      </c>
      <c r="G14" s="2" t="s">
        <v>250</v>
      </c>
      <c r="H14" t="s">
        <v>14</v>
      </c>
      <c r="I14" t="s">
        <v>14</v>
      </c>
    </row>
    <row r="15" spans="1:9" ht="75" x14ac:dyDescent="0.25">
      <c r="A15" t="s">
        <v>9</v>
      </c>
      <c r="B15" t="str">
        <f>HYPERLINK("https://www.sydney.edu.au/scholarships/a/brian-abel-piano-scholarship.html", "Brian Abel Piano Scholarship")</f>
        <v>Brian Abel Piano Scholarship</v>
      </c>
      <c r="C15" t="s">
        <v>270</v>
      </c>
      <c r="D15" t="s">
        <v>11</v>
      </c>
      <c r="E15" t="s">
        <v>331</v>
      </c>
      <c r="F15" t="s">
        <v>10</v>
      </c>
      <c r="G15" s="2" t="s">
        <v>338</v>
      </c>
      <c r="H15" t="s">
        <v>14</v>
      </c>
      <c r="I15" t="s">
        <v>14</v>
      </c>
    </row>
    <row r="16" spans="1:9" ht="60" x14ac:dyDescent="0.25">
      <c r="A16" t="s">
        <v>9</v>
      </c>
      <c r="B16" t="str">
        <f>HYPERLINK("https://www.sydney.edu.au/scholarships/a/bruce-a-pontin-memorial-scholarship.html", "Bruce A Pontin Memorial Scholarship")</f>
        <v>Bruce A Pontin Memorial Scholarship</v>
      </c>
      <c r="C16" t="s">
        <v>249</v>
      </c>
      <c r="D16" t="s">
        <v>11</v>
      </c>
      <c r="E16" t="s">
        <v>331</v>
      </c>
      <c r="F16" t="s">
        <v>13</v>
      </c>
      <c r="G16" s="2" t="s">
        <v>339</v>
      </c>
      <c r="H16" t="s">
        <v>14</v>
      </c>
      <c r="I16" t="s">
        <v>14</v>
      </c>
    </row>
    <row r="17" spans="1:9" ht="90" x14ac:dyDescent="0.25">
      <c r="A17" t="s">
        <v>9</v>
      </c>
      <c r="B17" t="str">
        <f>HYPERLINK("https://www.sydney.edu.au/scholarships/a/business-school-all-round-excellence.html", "University of Sydney Business School All-Round Excellence Scholarship")</f>
        <v>University of Sydney Business School All-Round Excellence Scholarship</v>
      </c>
      <c r="C17" t="s">
        <v>249</v>
      </c>
      <c r="D17" s="12">
        <v>7500</v>
      </c>
      <c r="E17" t="s">
        <v>254</v>
      </c>
      <c r="F17" t="s">
        <v>21</v>
      </c>
      <c r="G17" s="2" t="s">
        <v>340</v>
      </c>
      <c r="H17" t="s">
        <v>14</v>
      </c>
      <c r="I17" t="s">
        <v>14</v>
      </c>
    </row>
    <row r="18" spans="1:9" ht="45" x14ac:dyDescent="0.25">
      <c r="A18" t="s">
        <v>9</v>
      </c>
      <c r="B18" t="str">
        <f>HYPERLINK("https://www.sydney.edu.au/scholarships/a/business_school_postgraduate_kick_starter_scholarship.html", "Business School Postgraduate Kick Starter Scholarship")</f>
        <v>Business School Postgraduate Kick Starter Scholarship</v>
      </c>
      <c r="C18" t="s">
        <v>249</v>
      </c>
      <c r="D18" s="2" t="s">
        <v>341</v>
      </c>
      <c r="E18" s="2" t="s">
        <v>342</v>
      </c>
      <c r="F18" t="s">
        <v>17</v>
      </c>
      <c r="G18" s="2" t="s">
        <v>343</v>
      </c>
      <c r="H18" t="s">
        <v>14</v>
      </c>
      <c r="I18" t="s">
        <v>14</v>
      </c>
    </row>
    <row r="19" spans="1:9" ht="60" x14ac:dyDescent="0.25">
      <c r="A19" t="s">
        <v>9</v>
      </c>
      <c r="B19" t="str">
        <f>HYPERLINK("https://www.sydney.edu.au/scholarships/a/buss4909-startup-project-scholarship.html", "BUSS4909 Startup Project Scholarship")</f>
        <v>BUSS4909 Startup Project Scholarship</v>
      </c>
      <c r="C19" t="s">
        <v>249</v>
      </c>
      <c r="D19" t="s">
        <v>22</v>
      </c>
      <c r="E19" t="s">
        <v>251</v>
      </c>
      <c r="F19" t="s">
        <v>21</v>
      </c>
      <c r="G19" s="2" t="s">
        <v>344</v>
      </c>
      <c r="H19" t="s">
        <v>14</v>
      </c>
      <c r="I19" t="s">
        <v>14</v>
      </c>
    </row>
    <row r="20" spans="1:9" ht="45" hidden="1" x14ac:dyDescent="0.25">
      <c r="A20" t="s">
        <v>9</v>
      </c>
      <c r="B20" t="str">
        <f>HYPERLINK("https://www.sydney.edu.au/scholarships/a/canon-honours-scholarship.html", "Canon Honours Scholarship")</f>
        <v>Canon Honours Scholarship</v>
      </c>
      <c r="C20" t="s">
        <v>249</v>
      </c>
      <c r="D20" s="7" t="s">
        <v>265</v>
      </c>
      <c r="E20" t="s">
        <v>253</v>
      </c>
      <c r="F20" t="s">
        <v>261</v>
      </c>
      <c r="G20" s="2" t="s">
        <v>262</v>
      </c>
      <c r="H20" t="s">
        <v>14</v>
      </c>
      <c r="I20" t="s">
        <v>14</v>
      </c>
    </row>
    <row r="21" spans="1:9" ht="45" x14ac:dyDescent="0.25">
      <c r="A21" t="s">
        <v>9</v>
      </c>
      <c r="B21" t="str">
        <f>HYPERLINK("https://www.sydney.edu.au/scholarships/a/cary-james-and-anne-witheford-back-of-orchestra-scholarship.html", "Cary James and Anne Witheford Back of Orchestra Scholarship")</f>
        <v>Cary James and Anne Witheford Back of Orchestra Scholarship</v>
      </c>
      <c r="C21" t="s">
        <v>249</v>
      </c>
      <c r="D21" t="s">
        <v>24</v>
      </c>
      <c r="E21" t="s">
        <v>255</v>
      </c>
      <c r="F21" t="s">
        <v>21</v>
      </c>
      <c r="G21" s="2" t="s">
        <v>345</v>
      </c>
      <c r="H21" t="s">
        <v>14</v>
      </c>
      <c r="I21" t="s">
        <v>14</v>
      </c>
    </row>
    <row r="22" spans="1:9" ht="45" x14ac:dyDescent="0.25">
      <c r="A22" t="s">
        <v>9</v>
      </c>
      <c r="B22" t="str">
        <f>HYPERLINK("https://www.sydney.edu.au/scholarships/a/chapple-bremner-scholarship.html", "Chapple/Bremner Scholarship")</f>
        <v>Chapple/Bremner Scholarship</v>
      </c>
      <c r="C22" t="s">
        <v>249</v>
      </c>
      <c r="D22" t="s">
        <v>11</v>
      </c>
      <c r="E22" t="s">
        <v>331</v>
      </c>
      <c r="F22" t="s">
        <v>13</v>
      </c>
      <c r="G22" s="2" t="s">
        <v>346</v>
      </c>
      <c r="H22" t="s">
        <v>14</v>
      </c>
      <c r="I22" t="s">
        <v>14</v>
      </c>
    </row>
    <row r="23" spans="1:9" ht="60" x14ac:dyDescent="0.25">
      <c r="A23" t="s">
        <v>9</v>
      </c>
      <c r="B23" t="str">
        <f>HYPERLINK("https://www.sydney.edu.au/scholarships/a/clarence-addison-turrill-scholarship.html", "Clarence Addison Turrill Scholarship")</f>
        <v>Clarence Addison Turrill Scholarship</v>
      </c>
      <c r="C23" t="s">
        <v>270</v>
      </c>
      <c r="D23" t="s">
        <v>15</v>
      </c>
      <c r="E23" t="s">
        <v>331</v>
      </c>
      <c r="F23" t="s">
        <v>17</v>
      </c>
      <c r="G23" s="2" t="s">
        <v>347</v>
      </c>
      <c r="H23" t="s">
        <v>14</v>
      </c>
      <c r="I23" t="s">
        <v>14</v>
      </c>
    </row>
    <row r="24" spans="1:9" ht="60" x14ac:dyDescent="0.25">
      <c r="A24" t="s">
        <v>9</v>
      </c>
      <c r="B24" t="str">
        <f>HYPERLINK("https://www.sydney.edu.au/scholarships/a/conservatorium-of-music-scholarship.html", "Conservatorium of Music Scholarship")</f>
        <v>Conservatorium of Music Scholarship</v>
      </c>
      <c r="C24" t="s">
        <v>249</v>
      </c>
      <c r="D24" t="s">
        <v>11</v>
      </c>
      <c r="E24" t="s">
        <v>331</v>
      </c>
      <c r="F24" t="s">
        <v>13</v>
      </c>
      <c r="G24" s="2" t="s">
        <v>348</v>
      </c>
      <c r="H24" t="s">
        <v>14</v>
      </c>
      <c r="I24" t="s">
        <v>14</v>
      </c>
    </row>
    <row r="25" spans="1:9" ht="30" x14ac:dyDescent="0.25">
      <c r="A25" t="s">
        <v>9</v>
      </c>
      <c r="B25" t="str">
        <f>HYPERLINK("https://www.sydney.edu.au/scholarships/a/corinna-dhage-mayer-string-scholarship.html", "Corinna D'Hage Mayer String Scholarship")</f>
        <v>Corinna D'Hage Mayer String Scholarship</v>
      </c>
      <c r="C25" t="s">
        <v>249</v>
      </c>
      <c r="D25" t="s">
        <v>11</v>
      </c>
      <c r="E25" t="s">
        <v>331</v>
      </c>
      <c r="F25" t="s">
        <v>13</v>
      </c>
      <c r="G25" s="2" t="s">
        <v>349</v>
      </c>
      <c r="H25" t="s">
        <v>14</v>
      </c>
      <c r="I25" t="s">
        <v>14</v>
      </c>
    </row>
    <row r="26" spans="1:9" ht="60" x14ac:dyDescent="0.25">
      <c r="A26" t="s">
        <v>9</v>
      </c>
      <c r="B26" t="str">
        <f>HYPERLINK("https://www.sydney.edu.au/scholarships/a/costa-rosa-harsas-award.html", "Costa Rosa Harsas Award")</f>
        <v>Costa Rosa Harsas Award</v>
      </c>
      <c r="C26" t="s">
        <v>270</v>
      </c>
      <c r="D26" t="s">
        <v>11</v>
      </c>
      <c r="E26" t="s">
        <v>331</v>
      </c>
      <c r="F26" t="s">
        <v>13</v>
      </c>
      <c r="G26" s="2" t="s">
        <v>350</v>
      </c>
      <c r="H26" t="s">
        <v>14</v>
      </c>
      <c r="I26" t="s">
        <v>14</v>
      </c>
    </row>
    <row r="27" spans="1:9" ht="90" hidden="1" x14ac:dyDescent="0.25">
      <c r="A27" t="s">
        <v>9</v>
      </c>
      <c r="B27" t="str">
        <f>HYPERLINK("https://www.sydney.edu.au/scholarships/a/cultural-diversity-business-executive-mba-scholarship.html", "Cultural Diversity in Business Executive MBA Scholarship")</f>
        <v>Cultural Diversity in Business Executive MBA Scholarship</v>
      </c>
      <c r="C27" t="s">
        <v>249</v>
      </c>
      <c r="D27" t="s">
        <v>313</v>
      </c>
      <c r="E27" t="s">
        <v>279</v>
      </c>
      <c r="F27" t="s">
        <v>17</v>
      </c>
      <c r="G27" s="2" t="s">
        <v>314</v>
      </c>
      <c r="H27" t="s">
        <v>14</v>
      </c>
      <c r="I27" t="s">
        <v>14</v>
      </c>
    </row>
    <row r="28" spans="1:9" ht="60" x14ac:dyDescent="0.25">
      <c r="A28" t="s">
        <v>9</v>
      </c>
      <c r="B28" t="str">
        <f>HYPERLINK("https://www.sydney.edu.au/scholarships/a/david-nhilla-dumbrell-scholarship.html", "The David and Nhilla Dumbrell Scholarship")</f>
        <v>The David and Nhilla Dumbrell Scholarship</v>
      </c>
      <c r="C28" t="s">
        <v>270</v>
      </c>
      <c r="D28" t="s">
        <v>15</v>
      </c>
      <c r="E28" t="s">
        <v>331</v>
      </c>
      <c r="F28" t="s">
        <v>13</v>
      </c>
      <c r="G28" s="2" t="s">
        <v>351</v>
      </c>
      <c r="H28" t="s">
        <v>14</v>
      </c>
      <c r="I28" t="s">
        <v>14</v>
      </c>
    </row>
    <row r="29" spans="1:9" ht="75" x14ac:dyDescent="0.25">
      <c r="A29" t="s">
        <v>9</v>
      </c>
      <c r="B29" t="str">
        <f>HYPERLINK("https://www.sydney.edu.au/scholarships/a/david-w-johnson-scholarship.html", "David W Johnson Scholarship")</f>
        <v>David W Johnson Scholarship</v>
      </c>
      <c r="C29" t="s">
        <v>249</v>
      </c>
      <c r="D29" t="s">
        <v>25</v>
      </c>
      <c r="E29" t="s">
        <v>254</v>
      </c>
      <c r="F29" t="s">
        <v>21</v>
      </c>
      <c r="G29" s="2" t="s">
        <v>352</v>
      </c>
      <c r="H29" t="s">
        <v>14</v>
      </c>
      <c r="I29" t="s">
        <v>14</v>
      </c>
    </row>
    <row r="30" spans="1:9" ht="90" hidden="1" x14ac:dyDescent="0.25">
      <c r="A30" t="s">
        <v>9</v>
      </c>
      <c r="B30" t="str">
        <f>HYPERLINK("https://www.sydney.edu.au/scholarships/a/deans-excellence-scholarship-emba.html", "The Dean's Excellence Scholarship (Executive MBA)")</f>
        <v>The Dean's Excellence Scholarship (Executive MBA)</v>
      </c>
      <c r="C30" t="s">
        <v>249</v>
      </c>
      <c r="D30" t="s">
        <v>315</v>
      </c>
      <c r="E30" t="s">
        <v>279</v>
      </c>
      <c r="F30" t="s">
        <v>17</v>
      </c>
      <c r="G30" s="2" t="s">
        <v>316</v>
      </c>
      <c r="H30" t="s">
        <v>14</v>
      </c>
      <c r="I30" t="s">
        <v>14</v>
      </c>
    </row>
    <row r="31" spans="1:9" ht="105" x14ac:dyDescent="0.25">
      <c r="A31" t="s">
        <v>9</v>
      </c>
      <c r="B31" t="str">
        <f>HYPERLINK("https://www.sydney.edu.au/scholarships/a/deans-merit-scholarship.html", "Architecture, Design and Planning Dean's Merit Scholarship")</f>
        <v>Architecture, Design and Planning Dean's Merit Scholarship</v>
      </c>
      <c r="C31" t="s">
        <v>249</v>
      </c>
      <c r="D31" s="12">
        <v>1000</v>
      </c>
      <c r="E31" t="s">
        <v>253</v>
      </c>
      <c r="F31" t="s">
        <v>21</v>
      </c>
      <c r="G31" s="2" t="s">
        <v>353</v>
      </c>
      <c r="H31" t="s">
        <v>14</v>
      </c>
      <c r="I31" t="s">
        <v>14</v>
      </c>
    </row>
    <row r="32" spans="1:9" ht="105" x14ac:dyDescent="0.25">
      <c r="A32" t="s">
        <v>9</v>
      </c>
      <c r="B32" t="str">
        <f>HYPERLINK("https://www.sydney.edu.au/scholarships/a/deans-outstanding-merit-scholarship.html", "Architecture, Design and Planning Dean's Outstanding Merit Scholarship")</f>
        <v>Architecture, Design and Planning Dean's Outstanding Merit Scholarship</v>
      </c>
      <c r="C32" t="s">
        <v>249</v>
      </c>
      <c r="D32" s="12">
        <v>1000</v>
      </c>
      <c r="E32" t="s">
        <v>279</v>
      </c>
      <c r="F32" t="s">
        <v>21</v>
      </c>
      <c r="G32" s="2" t="s">
        <v>353</v>
      </c>
      <c r="H32" t="s">
        <v>14</v>
      </c>
      <c r="I32" t="s">
        <v>14</v>
      </c>
    </row>
    <row r="33" spans="1:9" ht="90" x14ac:dyDescent="0.25">
      <c r="A33" t="s">
        <v>9</v>
      </c>
      <c r="B33" t="str">
        <f>HYPERLINK("https://www.sydney.edu.au/scholarships/a/deans-scholarship-business.html", "Dean's Undergraduate Scholarship in Business")</f>
        <v>Dean's Undergraduate Scholarship in Business</v>
      </c>
      <c r="C33" t="s">
        <v>249</v>
      </c>
      <c r="D33" t="s">
        <v>27</v>
      </c>
      <c r="E33" t="s">
        <v>254</v>
      </c>
      <c r="F33" t="s">
        <v>21</v>
      </c>
      <c r="G33" s="2" t="s">
        <v>354</v>
      </c>
      <c r="H33" t="s">
        <v>14</v>
      </c>
      <c r="I33" t="s">
        <v>14</v>
      </c>
    </row>
    <row r="34" spans="1:9" ht="45" x14ac:dyDescent="0.25">
      <c r="A34" t="s">
        <v>9</v>
      </c>
      <c r="B34" t="str">
        <f>HYPERLINK("https://www.sydney.edu.au/scholarships/a/deirdre-hall-scholarship-for-musically-talented-flute-students.html", "Deirdre Hall Scholarship for Musically Talented Flute Students")</f>
        <v>Deirdre Hall Scholarship for Musically Talented Flute Students</v>
      </c>
      <c r="C34" t="s">
        <v>270</v>
      </c>
      <c r="D34" t="s">
        <v>22</v>
      </c>
      <c r="E34" t="s">
        <v>248</v>
      </c>
      <c r="F34" t="s">
        <v>21</v>
      </c>
      <c r="G34" s="2" t="s">
        <v>355</v>
      </c>
      <c r="H34" t="s">
        <v>14</v>
      </c>
      <c r="I34" t="s">
        <v>14</v>
      </c>
    </row>
    <row r="35" spans="1:9" ht="60" x14ac:dyDescent="0.25">
      <c r="A35" t="s">
        <v>9</v>
      </c>
      <c r="B35" t="str">
        <f>HYPERLINK("https://www.sydney.edu.au/scholarships/a/diana-inglis-carment-scholarship.html", "Diana Inglis Carment Scholarship")</f>
        <v>Diana Inglis Carment Scholarship</v>
      </c>
      <c r="C35" t="s">
        <v>249</v>
      </c>
      <c r="D35" t="s">
        <v>22</v>
      </c>
      <c r="E35" t="s">
        <v>253</v>
      </c>
      <c r="F35" t="s">
        <v>21</v>
      </c>
      <c r="G35" s="2" t="s">
        <v>356</v>
      </c>
      <c r="H35" t="s">
        <v>14</v>
      </c>
      <c r="I35" t="s">
        <v>14</v>
      </c>
    </row>
    <row r="36" spans="1:9" ht="105" x14ac:dyDescent="0.25">
      <c r="A36" t="s">
        <v>9</v>
      </c>
      <c r="B36" t="str">
        <f>HYPERLINK("https://www.sydney.edu.au/scholarships/a/dilys-milton-renham-scholarship.html", "Dylis and Milton Renham Scholarship")</f>
        <v>Dylis and Milton Renham Scholarship</v>
      </c>
      <c r="C36" t="s">
        <v>249</v>
      </c>
      <c r="D36" t="s">
        <v>11</v>
      </c>
      <c r="E36" t="s">
        <v>248</v>
      </c>
      <c r="F36" t="s">
        <v>13</v>
      </c>
      <c r="G36" s="2" t="s">
        <v>357</v>
      </c>
      <c r="H36" t="s">
        <v>14</v>
      </c>
      <c r="I36" t="s">
        <v>14</v>
      </c>
    </row>
    <row r="37" spans="1:9" ht="45" x14ac:dyDescent="0.25">
      <c r="A37" t="s">
        <v>9</v>
      </c>
      <c r="B37" t="str">
        <f>HYPERLINK("https://www.sydney.edu.au/scholarships/a/donald-lionel-edgerton-scholarship.html", "The Donald Lionel Edgerton Scholarship")</f>
        <v>The Donald Lionel Edgerton Scholarship</v>
      </c>
      <c r="C37" t="s">
        <v>249</v>
      </c>
      <c r="D37" t="s">
        <v>15</v>
      </c>
      <c r="E37" t="s">
        <v>248</v>
      </c>
      <c r="F37" t="s">
        <v>13</v>
      </c>
      <c r="G37" s="2" t="s">
        <v>358</v>
      </c>
      <c r="H37" t="s">
        <v>14</v>
      </c>
      <c r="I37" t="s">
        <v>14</v>
      </c>
    </row>
    <row r="38" spans="1:9" ht="90" x14ac:dyDescent="0.25">
      <c r="A38" t="s">
        <v>9</v>
      </c>
      <c r="B38" t="str">
        <f>HYPERLINK("https://www.sydney.edu.au/scholarships/a/doris-burnett-ford-scholarship.html", "Doris Burnett Ford Scholarship")</f>
        <v>Doris Burnett Ford Scholarship</v>
      </c>
      <c r="C38" t="s">
        <v>249</v>
      </c>
      <c r="D38" t="s">
        <v>11</v>
      </c>
      <c r="E38" t="s">
        <v>248</v>
      </c>
      <c r="F38" t="s">
        <v>13</v>
      </c>
      <c r="G38" s="2" t="s">
        <v>359</v>
      </c>
      <c r="H38" t="s">
        <v>14</v>
      </c>
      <c r="I38" t="s">
        <v>14</v>
      </c>
    </row>
    <row r="39" spans="1:9" ht="75" x14ac:dyDescent="0.25">
      <c r="A39" t="s">
        <v>9</v>
      </c>
      <c r="B39" t="str">
        <f>HYPERLINK("https://www.sydney.edu.au/scholarships/a/elaine-mccaghern-musical-scholarship.html", "The Elaine McCaghern Musical Scholarship")</f>
        <v>The Elaine McCaghern Musical Scholarship</v>
      </c>
      <c r="C39" t="s">
        <v>270</v>
      </c>
      <c r="D39" t="s">
        <v>11</v>
      </c>
      <c r="E39" t="s">
        <v>248</v>
      </c>
      <c r="F39" t="s">
        <v>13</v>
      </c>
      <c r="G39" s="2" t="s">
        <v>360</v>
      </c>
      <c r="H39" t="s">
        <v>14</v>
      </c>
      <c r="I39" t="s">
        <v>14</v>
      </c>
    </row>
    <row r="40" spans="1:9" ht="45" x14ac:dyDescent="0.25">
      <c r="A40" t="s">
        <v>9</v>
      </c>
      <c r="B40" t="str">
        <f>HYPERLINK("https://www.sydney.edu.au/scholarships/a/elise-herrman-scholarship.html", "The Elise Herrman Scholarship")</f>
        <v>The Elise Herrman Scholarship</v>
      </c>
      <c r="C40" t="s">
        <v>249</v>
      </c>
      <c r="D40" t="s">
        <v>15</v>
      </c>
      <c r="E40" t="s">
        <v>248</v>
      </c>
      <c r="F40" t="s">
        <v>13</v>
      </c>
      <c r="G40" s="2" t="s">
        <v>361</v>
      </c>
      <c r="H40" t="s">
        <v>14</v>
      </c>
      <c r="I40" t="s">
        <v>14</v>
      </c>
    </row>
    <row r="41" spans="1:9" ht="60" x14ac:dyDescent="0.25">
      <c r="A41" t="s">
        <v>9</v>
      </c>
      <c r="B41" t="str">
        <f>HYPERLINK("https://www.sydney.edu.au/scholarships/a/eric-campbell-scott--rural---regional--scholarship.html", "Eric Campbell Scott (Rural / Regional) Scholarship")</f>
        <v>Eric Campbell Scott (Rural / Regional) Scholarship</v>
      </c>
      <c r="C41" t="s">
        <v>270</v>
      </c>
      <c r="D41" t="s">
        <v>25</v>
      </c>
      <c r="E41" t="s">
        <v>254</v>
      </c>
      <c r="F41" t="s">
        <v>21</v>
      </c>
      <c r="G41" s="2" t="s">
        <v>362</v>
      </c>
      <c r="H41" t="s">
        <v>14</v>
      </c>
      <c r="I41" t="s">
        <v>14</v>
      </c>
    </row>
    <row r="42" spans="1:9" ht="75" x14ac:dyDescent="0.25">
      <c r="A42" t="s">
        <v>9</v>
      </c>
      <c r="B42" t="str">
        <f>HYPERLINK("https://www.sydney.edu.au/scholarships/a/ernest-heine-family-foundation-digital-music-scholarship.html", "Ernest Heine Family Foundation Digital Music Scholarship")</f>
        <v>Ernest Heine Family Foundation Digital Music Scholarship</v>
      </c>
      <c r="C42" t="s">
        <v>249</v>
      </c>
      <c r="D42" t="s">
        <v>29</v>
      </c>
      <c r="E42" t="s">
        <v>254</v>
      </c>
      <c r="F42" t="s">
        <v>21</v>
      </c>
      <c r="G42" s="2" t="s">
        <v>363</v>
      </c>
      <c r="H42" t="s">
        <v>14</v>
      </c>
      <c r="I42" t="s">
        <v>14</v>
      </c>
    </row>
    <row r="43" spans="1:9" ht="60" x14ac:dyDescent="0.25">
      <c r="A43" t="s">
        <v>9</v>
      </c>
      <c r="B43" t="str">
        <f>HYPERLINK("https://www.sydney.edu.au/scholarships/a/ernest-heine-family-foundation-undergraduate-scholarship.html", "Ernest Heine Family Foundation Undergraduate Scholarship")</f>
        <v>Ernest Heine Family Foundation Undergraduate Scholarship</v>
      </c>
      <c r="C43" t="s">
        <v>249</v>
      </c>
      <c r="D43" t="s">
        <v>30</v>
      </c>
      <c r="E43" t="s">
        <v>254</v>
      </c>
      <c r="F43" t="s">
        <v>21</v>
      </c>
      <c r="G43" s="2" t="s">
        <v>364</v>
      </c>
      <c r="H43" t="s">
        <v>14</v>
      </c>
      <c r="I43" t="s">
        <v>14</v>
      </c>
    </row>
    <row r="44" spans="1:9" ht="105" x14ac:dyDescent="0.25">
      <c r="A44" t="s">
        <v>9</v>
      </c>
      <c r="B44" t="str">
        <f>HYPERLINK("https://www.sydney.edu.au/scholarships/a/eugene-goossens-conducting-fellowship.html", "Eugene Goossens Conducting Fellowship")</f>
        <v>Eugene Goossens Conducting Fellowship</v>
      </c>
      <c r="C44" t="s">
        <v>249</v>
      </c>
      <c r="D44" t="s">
        <v>11</v>
      </c>
      <c r="E44" t="s">
        <v>248</v>
      </c>
      <c r="F44" t="s">
        <v>13</v>
      </c>
      <c r="G44" s="2" t="s">
        <v>365</v>
      </c>
      <c r="H44" t="s">
        <v>14</v>
      </c>
      <c r="I44" t="s">
        <v>14</v>
      </c>
    </row>
    <row r="45" spans="1:9" ht="30" x14ac:dyDescent="0.25">
      <c r="A45" t="s">
        <v>9</v>
      </c>
      <c r="B45" t="str">
        <f>HYPERLINK("https://www.sydney.edu.au/scholarships/a/experience-in-industry-scholarship.html", "Experience in Industry Scholarship")</f>
        <v>Experience in Industry Scholarship</v>
      </c>
      <c r="C45" t="s">
        <v>270</v>
      </c>
      <c r="D45" t="s">
        <v>31</v>
      </c>
      <c r="E45" t="s">
        <v>251</v>
      </c>
      <c r="F45" t="s">
        <v>13</v>
      </c>
      <c r="G45" s="2" t="s">
        <v>366</v>
      </c>
      <c r="H45" t="s">
        <v>14</v>
      </c>
      <c r="I45" t="s">
        <v>38</v>
      </c>
    </row>
    <row r="46" spans="1:9" ht="45" hidden="1" x14ac:dyDescent="0.25">
      <c r="A46" t="s">
        <v>9</v>
      </c>
      <c r="B46" t="str">
        <f>HYPERLINK("https://www.sydney.edu.au/scholarships/a/finance-honours-scholarship.html", "Finance Honours Scholarship")</f>
        <v>Finance Honours Scholarship</v>
      </c>
      <c r="C46" t="s">
        <v>249</v>
      </c>
      <c r="D46" s="7" t="s">
        <v>264</v>
      </c>
      <c r="E46" t="s">
        <v>253</v>
      </c>
      <c r="F46" t="s">
        <v>261</v>
      </c>
      <c r="G46" s="2" t="s">
        <v>263</v>
      </c>
      <c r="H46" t="s">
        <v>14</v>
      </c>
      <c r="I46" t="s">
        <v>14</v>
      </c>
    </row>
    <row r="47" spans="1:9" ht="30" x14ac:dyDescent="0.25">
      <c r="A47" t="s">
        <v>9</v>
      </c>
      <c r="B47" t="str">
        <f>HYPERLINK("https://www.sydney.edu.au/scholarships/a/flora-jean-ferriss-scholarship.html", "Flora Jean Ferriss Scholarship")</f>
        <v>Flora Jean Ferriss Scholarship</v>
      </c>
      <c r="C47" t="s">
        <v>249</v>
      </c>
      <c r="D47" t="s">
        <v>15</v>
      </c>
      <c r="E47" t="s">
        <v>331</v>
      </c>
      <c r="F47" t="s">
        <v>13</v>
      </c>
      <c r="G47" s="2" t="s">
        <v>367</v>
      </c>
      <c r="H47" t="s">
        <v>14</v>
      </c>
      <c r="I47" t="s">
        <v>14</v>
      </c>
    </row>
    <row r="48" spans="1:9" ht="75" hidden="1" x14ac:dyDescent="0.25">
      <c r="A48" t="s">
        <v>9</v>
      </c>
      <c r="B48" t="str">
        <f>HYPERLINK("https://www.sydney.edu.au/scholarships/a/future-leaders-mba-scholarship.html", "Future Leaders MBA Scholarship")</f>
        <v>Future Leaders MBA Scholarship</v>
      </c>
      <c r="C48" t="s">
        <v>249</v>
      </c>
      <c r="D48" t="s">
        <v>272</v>
      </c>
      <c r="E48" t="s">
        <v>279</v>
      </c>
      <c r="F48" t="s">
        <v>17</v>
      </c>
      <c r="G48" s="2" t="s">
        <v>311</v>
      </c>
      <c r="H48" t="s">
        <v>14</v>
      </c>
      <c r="I48" t="s">
        <v>14</v>
      </c>
    </row>
    <row r="49" spans="1:9" ht="75" x14ac:dyDescent="0.25">
      <c r="A49" t="s">
        <v>9</v>
      </c>
      <c r="B49" t="str">
        <f>HYPERLINK("https://www.sydney.edu.au/scholarships/a/geoffrey-parsons-australian-scholarship.html", "Geoffrey Parsons Australian Scholarship")</f>
        <v>Geoffrey Parsons Australian Scholarship</v>
      </c>
      <c r="C49" t="s">
        <v>249</v>
      </c>
      <c r="D49" t="s">
        <v>15</v>
      </c>
      <c r="E49" t="s">
        <v>331</v>
      </c>
      <c r="F49" t="s">
        <v>13</v>
      </c>
      <c r="G49" s="2" t="s">
        <v>368</v>
      </c>
      <c r="H49" t="s">
        <v>14</v>
      </c>
      <c r="I49" t="s">
        <v>14</v>
      </c>
    </row>
    <row r="50" spans="1:9" ht="45" x14ac:dyDescent="0.25">
      <c r="A50" t="s">
        <v>9</v>
      </c>
      <c r="B50" t="str">
        <f>HYPERLINK("https://www.sydney.edu.au/scholarships/a/geoffrey-rothwell-scholarship.html", "The Geoffrey Rothwell Scholarship")</f>
        <v>The Geoffrey Rothwell Scholarship</v>
      </c>
      <c r="C50" t="s">
        <v>249</v>
      </c>
      <c r="D50" t="s">
        <v>15</v>
      </c>
      <c r="E50" t="s">
        <v>331</v>
      </c>
      <c r="F50" t="s">
        <v>13</v>
      </c>
      <c r="G50" s="2" t="s">
        <v>369</v>
      </c>
      <c r="H50" t="s">
        <v>14</v>
      </c>
      <c r="I50" t="s">
        <v>14</v>
      </c>
    </row>
    <row r="51" spans="1:9" ht="75" x14ac:dyDescent="0.25">
      <c r="A51" t="s">
        <v>9</v>
      </c>
      <c r="B51" t="str">
        <f>HYPERLINK("https://www.sydney.edu.au/scholarships/a/george-wallace-henderson-scholarship.html", "George Wallace Henderson Scholarship")</f>
        <v>George Wallace Henderson Scholarship</v>
      </c>
      <c r="C51" t="s">
        <v>249</v>
      </c>
      <c r="D51" t="s">
        <v>11</v>
      </c>
      <c r="E51" t="s">
        <v>248</v>
      </c>
      <c r="F51" t="s">
        <v>13</v>
      </c>
      <c r="G51" s="2" t="s">
        <v>370</v>
      </c>
      <c r="H51" t="s">
        <v>14</v>
      </c>
      <c r="I51" t="s">
        <v>14</v>
      </c>
    </row>
    <row r="52" spans="1:9" ht="90" x14ac:dyDescent="0.25">
      <c r="A52" t="s">
        <v>9</v>
      </c>
      <c r="B52" t="str">
        <f>HYPERLINK("https://www.sydney.edu.au/scholarships/a/greenberg-gurney-jensen-fund-2.html", "Greenberg-Gurney-Jensen Fund 2")</f>
        <v>Greenberg-Gurney-Jensen Fund 2</v>
      </c>
      <c r="C52" t="s">
        <v>249</v>
      </c>
      <c r="D52" t="s">
        <v>11</v>
      </c>
      <c r="E52" t="s">
        <v>248</v>
      </c>
      <c r="F52" t="s">
        <v>13</v>
      </c>
      <c r="G52" s="2" t="s">
        <v>371</v>
      </c>
      <c r="H52" t="s">
        <v>14</v>
      </c>
      <c r="I52" t="s">
        <v>14</v>
      </c>
    </row>
    <row r="53" spans="1:9" ht="75" x14ac:dyDescent="0.25">
      <c r="A53" t="s">
        <v>9</v>
      </c>
      <c r="B53" t="str">
        <f>HYPERLINK("https://www.sydney.edu.au/scholarships/a/greenberg-gurney-jensen-fund.html", "Greenberg-Gurney-Jensen Fund")</f>
        <v>Greenberg-Gurney-Jensen Fund</v>
      </c>
      <c r="C53" t="s">
        <v>249</v>
      </c>
      <c r="D53" t="s">
        <v>15</v>
      </c>
      <c r="E53" t="s">
        <v>248</v>
      </c>
      <c r="F53" t="s">
        <v>13</v>
      </c>
      <c r="G53" s="2" t="s">
        <v>372</v>
      </c>
      <c r="H53" t="s">
        <v>14</v>
      </c>
      <c r="I53" t="s">
        <v>14</v>
      </c>
    </row>
    <row r="54" spans="1:9" ht="30" x14ac:dyDescent="0.25">
      <c r="A54" t="s">
        <v>9</v>
      </c>
      <c r="B54" t="str">
        <f>HYPERLINK("https://www.sydney.edu.au/scholarships/a/helen-myers-scholarship.html", "Helen Myers Scholarship")</f>
        <v>Helen Myers Scholarship</v>
      </c>
      <c r="C54" t="s">
        <v>249</v>
      </c>
      <c r="D54" t="s">
        <v>15</v>
      </c>
      <c r="E54" t="s">
        <v>248</v>
      </c>
      <c r="F54" t="s">
        <v>13</v>
      </c>
      <c r="G54" s="2" t="s">
        <v>373</v>
      </c>
      <c r="H54" t="s">
        <v>14</v>
      </c>
      <c r="I54" t="s">
        <v>14</v>
      </c>
    </row>
    <row r="55" spans="1:9" ht="60" x14ac:dyDescent="0.25">
      <c r="A55" t="s">
        <v>9</v>
      </c>
      <c r="B55" t="str">
        <f>HYPERLINK("https://www.sydney.edu.au/scholarships/a/helen-quach-scholarship.html", "Helen Quach Scholarship")</f>
        <v>Helen Quach Scholarship</v>
      </c>
      <c r="C55" t="s">
        <v>249</v>
      </c>
      <c r="D55" t="s">
        <v>15</v>
      </c>
      <c r="E55" t="s">
        <v>248</v>
      </c>
      <c r="F55" t="s">
        <v>13</v>
      </c>
      <c r="G55" s="2" t="s">
        <v>374</v>
      </c>
      <c r="H55" t="s">
        <v>14</v>
      </c>
      <c r="I55" t="s">
        <v>14</v>
      </c>
    </row>
    <row r="56" spans="1:9" ht="45" x14ac:dyDescent="0.25">
      <c r="A56" t="s">
        <v>9</v>
      </c>
      <c r="B56" t="str">
        <f>HYPERLINK("https://www.sydney.edu.au/scholarships/a/helpmann-family-fellowship.html", "The Helpmann Family Fellowship")</f>
        <v>The Helpmann Family Fellowship</v>
      </c>
      <c r="C56" t="s">
        <v>270</v>
      </c>
      <c r="D56" t="s">
        <v>15</v>
      </c>
      <c r="E56" t="s">
        <v>248</v>
      </c>
      <c r="F56" t="s">
        <v>13</v>
      </c>
      <c r="G56" s="2" t="s">
        <v>375</v>
      </c>
      <c r="H56" t="s">
        <v>14</v>
      </c>
      <c r="I56" t="s">
        <v>14</v>
      </c>
    </row>
    <row r="57" spans="1:9" ht="60" x14ac:dyDescent="0.25">
      <c r="A57" t="s">
        <v>9</v>
      </c>
      <c r="B57" t="str">
        <f>HYPERLINK("https://www.sydney.edu.au/scholarships/a/henderson-postgraduate-scholarship.html", "Henderson Postgraduate Scholarship")</f>
        <v>Henderson Postgraduate Scholarship</v>
      </c>
      <c r="C57" t="s">
        <v>249</v>
      </c>
      <c r="D57" t="s">
        <v>15</v>
      </c>
      <c r="E57" t="s">
        <v>248</v>
      </c>
      <c r="F57" t="s">
        <v>17</v>
      </c>
      <c r="G57" s="2" t="s">
        <v>376</v>
      </c>
      <c r="H57" t="s">
        <v>14</v>
      </c>
      <c r="I57" t="s">
        <v>14</v>
      </c>
    </row>
    <row r="58" spans="1:9" ht="45" hidden="1" x14ac:dyDescent="0.25">
      <c r="A58" t="s">
        <v>9</v>
      </c>
      <c r="B58" t="str">
        <f>HYPERLINK("https://www.sydney.edu.au/scholarships/a/international-business-scholarship-honours.html", "International Business Scholarship in Honours")</f>
        <v>International Business Scholarship in Honours</v>
      </c>
      <c r="C58" t="s">
        <v>249</v>
      </c>
      <c r="D58" s="8">
        <v>6000</v>
      </c>
      <c r="E58" t="s">
        <v>253</v>
      </c>
      <c r="F58" t="s">
        <v>261</v>
      </c>
      <c r="G58" s="2" t="s">
        <v>266</v>
      </c>
      <c r="H58" t="s">
        <v>14</v>
      </c>
      <c r="I58" t="s">
        <v>14</v>
      </c>
    </row>
    <row r="59" spans="1:9" ht="60" x14ac:dyDescent="0.25">
      <c r="A59" t="s">
        <v>9</v>
      </c>
      <c r="B59" t="str">
        <f>HYPERLINK("https://www.sydney.edu.au/scholarships/a/iremonger-marceau-family-scholarship.html", "Iremonger Marceau Family Scholarship")</f>
        <v>Iremonger Marceau Family Scholarship</v>
      </c>
      <c r="C59" t="s">
        <v>249</v>
      </c>
      <c r="D59" t="s">
        <v>11</v>
      </c>
      <c r="E59" t="s">
        <v>248</v>
      </c>
      <c r="F59" t="s">
        <v>13</v>
      </c>
      <c r="G59" s="2" t="s">
        <v>376</v>
      </c>
      <c r="H59" t="s">
        <v>14</v>
      </c>
      <c r="I59" t="s">
        <v>14</v>
      </c>
    </row>
    <row r="60" spans="1:9" ht="75" x14ac:dyDescent="0.25">
      <c r="A60" t="s">
        <v>9</v>
      </c>
      <c r="B60" t="str">
        <f>HYPERLINK("https://www.sydney.edu.au/scholarships/a/james-strong-iag-scholarship-business.html", "James Strong - IAG Scholarship for Business")</f>
        <v>James Strong - IAG Scholarship for Business</v>
      </c>
      <c r="C60" t="s">
        <v>249</v>
      </c>
      <c r="D60" s="12">
        <v>9000</v>
      </c>
      <c r="E60" t="s">
        <v>255</v>
      </c>
      <c r="F60" t="s">
        <v>21</v>
      </c>
      <c r="G60" s="2" t="s">
        <v>377</v>
      </c>
      <c r="H60" t="s">
        <v>14</v>
      </c>
      <c r="I60" t="s">
        <v>14</v>
      </c>
    </row>
    <row r="61" spans="1:9" ht="75" x14ac:dyDescent="0.25">
      <c r="A61" t="s">
        <v>9</v>
      </c>
      <c r="B61" t="str">
        <f>HYPERLINK("https://www.sydney.edu.au/scholarships/a/james-strong-nomura-scholarship-business.html", "James Strong - Nomura Scholarship for Business")</f>
        <v>James Strong - Nomura Scholarship for Business</v>
      </c>
      <c r="C61" t="s">
        <v>249</v>
      </c>
      <c r="D61" t="s">
        <v>34</v>
      </c>
      <c r="E61" t="s">
        <v>255</v>
      </c>
      <c r="F61" t="s">
        <v>21</v>
      </c>
      <c r="G61" s="2" t="s">
        <v>377</v>
      </c>
      <c r="H61" t="s">
        <v>14</v>
      </c>
      <c r="I61" t="s">
        <v>14</v>
      </c>
    </row>
    <row r="62" spans="1:9" ht="75" x14ac:dyDescent="0.25">
      <c r="A62" t="s">
        <v>9</v>
      </c>
      <c r="B62" t="str">
        <f>HYPERLINK("https://www.sydney.edu.au/scholarships/a/james-strong-qantas-scholarship-business.html", "James Strong - Qantas Scholarship for Business")</f>
        <v>James Strong - Qantas Scholarship for Business</v>
      </c>
      <c r="C62" t="s">
        <v>249</v>
      </c>
      <c r="D62" t="s">
        <v>34</v>
      </c>
      <c r="E62" t="s">
        <v>255</v>
      </c>
      <c r="F62" t="s">
        <v>21</v>
      </c>
      <c r="G62" s="2" t="s">
        <v>377</v>
      </c>
      <c r="H62" t="s">
        <v>14</v>
      </c>
      <c r="I62" t="s">
        <v>14</v>
      </c>
    </row>
    <row r="63" spans="1:9" ht="60" x14ac:dyDescent="0.25">
      <c r="A63" t="s">
        <v>9</v>
      </c>
      <c r="B63" t="str">
        <f>HYPERLINK("https://www.sydney.edu.au/scholarships/a/jean-giles-and-thomas-louis-pidcock-violin-scholarship.html", "Jean Giles and Thomas Louis Pidcock Violin Scholarship")</f>
        <v>Jean Giles and Thomas Louis Pidcock Violin Scholarship</v>
      </c>
      <c r="C63" t="s">
        <v>249</v>
      </c>
      <c r="D63" t="s">
        <v>15</v>
      </c>
      <c r="E63" t="s">
        <v>248</v>
      </c>
      <c r="F63" t="s">
        <v>13</v>
      </c>
      <c r="G63" s="2" t="s">
        <v>378</v>
      </c>
      <c r="H63" t="s">
        <v>14</v>
      </c>
      <c r="I63" t="s">
        <v>14</v>
      </c>
    </row>
    <row r="64" spans="1:9" ht="60" x14ac:dyDescent="0.25">
      <c r="A64" t="s">
        <v>9</v>
      </c>
      <c r="B64" t="str">
        <f>HYPERLINK("https://www.sydney.edu.au/scholarships/a/joan-james-armstrong-award.html", "The Joan and James Armstrong Award")</f>
        <v>The Joan and James Armstrong Award</v>
      </c>
      <c r="C64" t="s">
        <v>249</v>
      </c>
      <c r="D64" t="s">
        <v>11</v>
      </c>
      <c r="E64" t="s">
        <v>248</v>
      </c>
      <c r="F64" t="s">
        <v>13</v>
      </c>
      <c r="G64" s="2" t="s">
        <v>376</v>
      </c>
      <c r="H64" t="s">
        <v>14</v>
      </c>
      <c r="I64" t="s">
        <v>14</v>
      </c>
    </row>
    <row r="65" spans="1:9" ht="45" x14ac:dyDescent="0.25">
      <c r="A65" t="s">
        <v>9</v>
      </c>
      <c r="B65" t="str">
        <f>HYPERLINK("https://www.sydney.edu.au/scholarships/a/john-dorothy-vimpani-pianoforte-fund.html", "John and Dorothy Vimpani Pianoforte Fund")</f>
        <v>John and Dorothy Vimpani Pianoforte Fund</v>
      </c>
      <c r="C65" t="s">
        <v>249</v>
      </c>
      <c r="D65" t="s">
        <v>15</v>
      </c>
      <c r="E65" t="s">
        <v>248</v>
      </c>
      <c r="F65" t="s">
        <v>13</v>
      </c>
      <c r="G65" s="2" t="s">
        <v>379</v>
      </c>
      <c r="H65" t="s">
        <v>14</v>
      </c>
      <c r="I65" t="s">
        <v>14</v>
      </c>
    </row>
    <row r="66" spans="1:9" ht="60" x14ac:dyDescent="0.25">
      <c r="A66" t="s">
        <v>9</v>
      </c>
      <c r="B66" t="str">
        <f>HYPERLINK("https://www.sydney.edu.au/scholarships/a/john-holt-todd-and-florence-todd-scholarship.html", "The John Holt Todd and Florence Todd Scholarship")</f>
        <v>The John Holt Todd and Florence Todd Scholarship</v>
      </c>
      <c r="C66" t="s">
        <v>249</v>
      </c>
      <c r="D66" t="s">
        <v>15</v>
      </c>
      <c r="E66" t="s">
        <v>248</v>
      </c>
      <c r="F66" t="s">
        <v>13</v>
      </c>
      <c r="G66" s="2" t="s">
        <v>380</v>
      </c>
      <c r="H66" t="s">
        <v>14</v>
      </c>
      <c r="I66" t="s">
        <v>14</v>
      </c>
    </row>
    <row r="67" spans="1:9" ht="60" x14ac:dyDescent="0.25">
      <c r="A67" t="s">
        <v>9</v>
      </c>
      <c r="B67" t="str">
        <f>HYPERLINK("https://www.sydney.edu.au/scholarships/a/john-luscombe-scholarship-for-vocal-studies.html", "John Luscombe Scholarship for Vocal Studies")</f>
        <v>John Luscombe Scholarship for Vocal Studies</v>
      </c>
      <c r="C67" t="s">
        <v>249</v>
      </c>
      <c r="D67" t="s">
        <v>11</v>
      </c>
      <c r="E67" t="s">
        <v>248</v>
      </c>
      <c r="F67" t="s">
        <v>13</v>
      </c>
      <c r="G67" s="2" t="s">
        <v>381</v>
      </c>
      <c r="H67" t="s">
        <v>14</v>
      </c>
      <c r="I67" t="s">
        <v>14</v>
      </c>
    </row>
    <row r="68" spans="1:9" ht="60" x14ac:dyDescent="0.25">
      <c r="A68" t="s">
        <v>9</v>
      </c>
      <c r="B68" t="str">
        <f>HYPERLINK("https://www.sydney.edu.au/scholarships/a/jw-bk-elkins-architectural-scholarship.html", "JW and BK Elkins Architectural Award")</f>
        <v>JW and BK Elkins Architectural Award</v>
      </c>
      <c r="C68" t="s">
        <v>249</v>
      </c>
      <c r="D68" s="12">
        <v>1500</v>
      </c>
      <c r="E68" t="s">
        <v>253</v>
      </c>
      <c r="F68" t="s">
        <v>261</v>
      </c>
      <c r="G68" s="2" t="s">
        <v>382</v>
      </c>
      <c r="H68" t="s">
        <v>14</v>
      </c>
      <c r="I68" t="s">
        <v>14</v>
      </c>
    </row>
    <row r="69" spans="1:9" ht="45" x14ac:dyDescent="0.25">
      <c r="A69" t="s">
        <v>9</v>
      </c>
      <c r="B69" t="str">
        <f>HYPERLINK("https://www.sydney.edu.au/scholarships/a/kathleen-allison-short-scholarship.html", "The Kathleen and Allison Short Scholarship")</f>
        <v>The Kathleen and Allison Short Scholarship</v>
      </c>
      <c r="C69" t="s">
        <v>270</v>
      </c>
      <c r="D69" t="s">
        <v>15</v>
      </c>
      <c r="E69" t="s">
        <v>248</v>
      </c>
      <c r="F69" t="s">
        <v>13</v>
      </c>
      <c r="G69" s="2" t="s">
        <v>383</v>
      </c>
      <c r="H69" t="s">
        <v>14</v>
      </c>
      <c r="I69" t="s">
        <v>14</v>
      </c>
    </row>
    <row r="70" spans="1:9" ht="60" x14ac:dyDescent="0.25">
      <c r="A70" t="s">
        <v>9</v>
      </c>
      <c r="B70" t="str">
        <f>HYPERLINK("https://www.sydney.edu.au/scholarships/a/kathleen-e-armstrong-bequest.html", "The Kathleen E Armstrong Bequest")</f>
        <v>The Kathleen E Armstrong Bequest</v>
      </c>
      <c r="C70" t="s">
        <v>10</v>
      </c>
      <c r="D70" t="s">
        <v>15</v>
      </c>
      <c r="E70" t="s">
        <v>12</v>
      </c>
      <c r="F70" t="s">
        <v>10</v>
      </c>
      <c r="G70" s="2" t="s">
        <v>384</v>
      </c>
      <c r="H70" t="s">
        <v>14</v>
      </c>
      <c r="I70" t="s">
        <v>14</v>
      </c>
    </row>
    <row r="71" spans="1:9" ht="45" x14ac:dyDescent="0.25">
      <c r="A71" t="s">
        <v>9</v>
      </c>
      <c r="B71" t="str">
        <f>HYPERLINK("https://www.sydney.edu.au/scholarships/a/keith-and-eileen-ong-prize-for-violin.html", "Keith and Eileen Ong Prize for Violin")</f>
        <v>Keith and Eileen Ong Prize for Violin</v>
      </c>
      <c r="C71" t="s">
        <v>10</v>
      </c>
      <c r="D71" t="s">
        <v>25</v>
      </c>
      <c r="E71" t="s">
        <v>36</v>
      </c>
      <c r="F71" t="s">
        <v>21</v>
      </c>
      <c r="G71" s="2" t="s">
        <v>250</v>
      </c>
      <c r="H71" t="s">
        <v>14</v>
      </c>
      <c r="I71" t="s">
        <v>14</v>
      </c>
    </row>
    <row r="72" spans="1:9" ht="45" hidden="1" x14ac:dyDescent="0.25">
      <c r="A72" t="s">
        <v>9</v>
      </c>
      <c r="B72" t="str">
        <f>HYPERLINK("https://www.sydney.edu.au/scholarships/a/keith-eileen-ong-prize-piano.html", "Keith and Eileen Ong Prize for Piano")</f>
        <v>Keith and Eileen Ong Prize for Piano</v>
      </c>
      <c r="C72" t="s">
        <v>249</v>
      </c>
      <c r="D72" s="7" t="s">
        <v>25</v>
      </c>
      <c r="E72" t="s">
        <v>251</v>
      </c>
      <c r="F72" t="s">
        <v>17</v>
      </c>
      <c r="G72" s="2" t="s">
        <v>267</v>
      </c>
      <c r="H72" t="s">
        <v>14</v>
      </c>
      <c r="I72" t="s">
        <v>14</v>
      </c>
    </row>
    <row r="73" spans="1:9" ht="45" x14ac:dyDescent="0.25">
      <c r="A73" t="s">
        <v>9</v>
      </c>
      <c r="B73" t="str">
        <f>HYPERLINK("https://www.sydney.edu.au/scholarships/a/kim-walker-scholarship-endowment-fund.html", "The Kim Walker Scholarship Endowment Fund")</f>
        <v>The Kim Walker Scholarship Endowment Fund</v>
      </c>
      <c r="C73" t="s">
        <v>10</v>
      </c>
      <c r="D73" t="s">
        <v>15</v>
      </c>
      <c r="E73" t="s">
        <v>12</v>
      </c>
      <c r="F73" t="s">
        <v>10</v>
      </c>
      <c r="G73" s="2" t="s">
        <v>250</v>
      </c>
      <c r="H73" t="s">
        <v>14</v>
      </c>
      <c r="I73" t="s">
        <v>14</v>
      </c>
    </row>
    <row r="74" spans="1:9" ht="45" x14ac:dyDescent="0.25">
      <c r="A74" t="s">
        <v>9</v>
      </c>
      <c r="B74" t="str">
        <f>HYPERLINK("https://www.sydney.edu.au/scholarships/a/kirkpix-trust-scholarship.html", "The Kirkpix Trust Scholarship")</f>
        <v>The Kirkpix Trust Scholarship</v>
      </c>
      <c r="C74" t="s">
        <v>10</v>
      </c>
      <c r="D74" t="s">
        <v>15</v>
      </c>
      <c r="E74" t="s">
        <v>12</v>
      </c>
      <c r="F74" t="s">
        <v>10</v>
      </c>
      <c r="G74" s="2" t="s">
        <v>250</v>
      </c>
      <c r="H74" t="s">
        <v>14</v>
      </c>
      <c r="I74" t="s">
        <v>14</v>
      </c>
    </row>
    <row r="75" spans="1:9" ht="60" hidden="1" x14ac:dyDescent="0.25">
      <c r="A75" t="s">
        <v>9</v>
      </c>
      <c r="B75" t="str">
        <f>HYPERLINK("https://www.sydney.edu.au/scholarships/a/leadership-scholarship-mba.html", "Leadership Scholarship (MBA)")</f>
        <v>Leadership Scholarship (MBA)</v>
      </c>
      <c r="C75" t="s">
        <v>249</v>
      </c>
      <c r="D75" s="7" t="s">
        <v>272</v>
      </c>
      <c r="E75" t="s">
        <v>275</v>
      </c>
      <c r="F75" t="s">
        <v>17</v>
      </c>
      <c r="G75" s="2" t="s">
        <v>268</v>
      </c>
      <c r="H75" t="s">
        <v>14</v>
      </c>
      <c r="I75" t="s">
        <v>14</v>
      </c>
    </row>
    <row r="76" spans="1:9" ht="120" hidden="1" x14ac:dyDescent="0.25">
      <c r="A76" t="s">
        <v>9</v>
      </c>
      <c r="B76" t="str">
        <f>HYPERLINK("https://www.sydney.edu.au/scholarships/a/leadership-social-impact-global-executive-mba-scholarship.html", "Leadership for Social Impact Global Executive MBA Scholarship")</f>
        <v>Leadership for Social Impact Global Executive MBA Scholarship</v>
      </c>
      <c r="C76" t="s">
        <v>249</v>
      </c>
      <c r="D76" t="s">
        <v>313</v>
      </c>
      <c r="E76" t="s">
        <v>279</v>
      </c>
      <c r="F76" t="s">
        <v>17</v>
      </c>
      <c r="G76" s="2" t="s">
        <v>317</v>
      </c>
      <c r="H76" t="s">
        <v>14</v>
      </c>
      <c r="I76" t="s">
        <v>14</v>
      </c>
    </row>
    <row r="77" spans="1:9" ht="45" x14ac:dyDescent="0.25">
      <c r="A77" t="s">
        <v>9</v>
      </c>
      <c r="B77" t="str">
        <f>HYPERLINK("https://www.sydney.edu.au/scholarships/a/linda-kingsbury-jeffery-scholarship-singing.html", "The Linda Kingsbury Jeffery Scholarship for Singing")</f>
        <v>The Linda Kingsbury Jeffery Scholarship for Singing</v>
      </c>
      <c r="C77" t="s">
        <v>10</v>
      </c>
      <c r="D77" t="s">
        <v>15</v>
      </c>
      <c r="E77" t="s">
        <v>12</v>
      </c>
      <c r="F77" t="s">
        <v>10</v>
      </c>
      <c r="G77" s="2" t="s">
        <v>250</v>
      </c>
      <c r="H77" t="s">
        <v>14</v>
      </c>
      <c r="I77" t="s">
        <v>14</v>
      </c>
    </row>
    <row r="78" spans="1:9" ht="30" hidden="1" x14ac:dyDescent="0.25">
      <c r="A78" t="s">
        <v>9</v>
      </c>
      <c r="B78" t="str">
        <f>HYPERLINK("https://www.sydney.edu.au/scholarships/a/local-industry-placement-program-scholarship.html", "Local Industry Placement Program Scholarship")</f>
        <v>Local Industry Placement Program Scholarship</v>
      </c>
      <c r="C78" t="s">
        <v>270</v>
      </c>
      <c r="D78" s="8">
        <v>2500</v>
      </c>
      <c r="E78" t="s">
        <v>251</v>
      </c>
      <c r="F78" t="s">
        <v>13</v>
      </c>
      <c r="G78" s="2" t="s">
        <v>269</v>
      </c>
      <c r="H78" t="s">
        <v>14</v>
      </c>
      <c r="I78" t="s">
        <v>38</v>
      </c>
    </row>
    <row r="79" spans="1:9" ht="45" x14ac:dyDescent="0.25">
      <c r="A79" t="s">
        <v>9</v>
      </c>
      <c r="B79" t="str">
        <f>HYPERLINK("https://www.sydney.edu.au/scholarships/a/margaret-henderson-scholarship.html", "Margaret Henderson Scholarship")</f>
        <v>Margaret Henderson Scholarship</v>
      </c>
      <c r="C79" t="s">
        <v>10</v>
      </c>
      <c r="D79" t="s">
        <v>15</v>
      </c>
      <c r="E79" t="s">
        <v>12</v>
      </c>
      <c r="F79" t="s">
        <v>10</v>
      </c>
      <c r="G79" s="2" t="s">
        <v>250</v>
      </c>
      <c r="H79" t="s">
        <v>14</v>
      </c>
      <c r="I79" t="s">
        <v>14</v>
      </c>
    </row>
    <row r="80" spans="1:9" ht="45" x14ac:dyDescent="0.25">
      <c r="A80" t="s">
        <v>9</v>
      </c>
      <c r="B80" t="str">
        <f>HYPERLINK("https://www.sydney.edu.au/scholarships/a/margot-and-neville-gruzman-scholarship-for-urban-design-in-archi.html", "Margot and Neville Gruzman Award for Urban Design in Architecture")</f>
        <v>Margot and Neville Gruzman Award for Urban Design in Architecture</v>
      </c>
      <c r="C80" t="s">
        <v>10</v>
      </c>
      <c r="D80" t="s">
        <v>31</v>
      </c>
      <c r="E80" t="s">
        <v>12</v>
      </c>
      <c r="F80" t="s">
        <v>21</v>
      </c>
      <c r="G80" s="2" t="s">
        <v>250</v>
      </c>
      <c r="H80" t="s">
        <v>14</v>
      </c>
      <c r="I80" t="s">
        <v>14</v>
      </c>
    </row>
    <row r="81" spans="1:9" ht="45" x14ac:dyDescent="0.25">
      <c r="A81" t="s">
        <v>9</v>
      </c>
      <c r="B81" t="str">
        <f>HYPERLINK("https://www.sydney.edu.au/scholarships/a/matteson---nancy-roberts-violin-scholarship.html", "Matteson &amp; Nancy Roberts Violin Scholarship")</f>
        <v>Matteson &amp; Nancy Roberts Violin Scholarship</v>
      </c>
      <c r="C81" t="s">
        <v>10</v>
      </c>
      <c r="D81" t="s">
        <v>11</v>
      </c>
      <c r="E81" t="s">
        <v>12</v>
      </c>
      <c r="F81" t="s">
        <v>13</v>
      </c>
      <c r="G81" s="2" t="s">
        <v>250</v>
      </c>
      <c r="H81" t="s">
        <v>14</v>
      </c>
      <c r="I81" t="s">
        <v>14</v>
      </c>
    </row>
    <row r="82" spans="1:9" ht="30" hidden="1" x14ac:dyDescent="0.25">
      <c r="A82" t="s">
        <v>9</v>
      </c>
      <c r="B82" t="str">
        <f>HYPERLINK("https://www.sydney.edu.au/scholarships/a/mba-directors-scholarship.html", "MBA Director's Scholarship")</f>
        <v>MBA Director's Scholarship</v>
      </c>
      <c r="C82" t="s">
        <v>249</v>
      </c>
      <c r="D82" s="7" t="s">
        <v>271</v>
      </c>
      <c r="E82" t="s">
        <v>272</v>
      </c>
      <c r="F82" t="s">
        <v>17</v>
      </c>
      <c r="G82" s="2" t="s">
        <v>273</v>
      </c>
      <c r="H82" t="s">
        <v>14</v>
      </c>
      <c r="I82" t="s">
        <v>14</v>
      </c>
    </row>
    <row r="83" spans="1:9" ht="45" x14ac:dyDescent="0.25">
      <c r="A83" t="s">
        <v>9</v>
      </c>
      <c r="B83" t="str">
        <f>HYPERLINK("https://www.sydney.edu.au/scholarships/a/michael-bannigan-scholarship-double-bass.html", "The Michael Bannigan Scholarship for the Double Bass")</f>
        <v>The Michael Bannigan Scholarship for the Double Bass</v>
      </c>
      <c r="C83" t="s">
        <v>10</v>
      </c>
      <c r="D83" t="s">
        <v>15</v>
      </c>
      <c r="E83" t="s">
        <v>12</v>
      </c>
      <c r="F83" t="s">
        <v>10</v>
      </c>
      <c r="G83" s="2" t="s">
        <v>250</v>
      </c>
      <c r="H83" t="s">
        <v>14</v>
      </c>
      <c r="I83" t="s">
        <v>14</v>
      </c>
    </row>
    <row r="84" spans="1:9" ht="45" x14ac:dyDescent="0.25">
      <c r="A84" t="s">
        <v>9</v>
      </c>
      <c r="B84" t="str">
        <f>HYPERLINK("https://www.sydney.edu.au/scholarships/a/myron-kantor-bequest.html", "Myron Kantor Bequest")</f>
        <v>Myron Kantor Bequest</v>
      </c>
      <c r="C84" t="s">
        <v>10</v>
      </c>
      <c r="D84" t="s">
        <v>11</v>
      </c>
      <c r="E84" t="s">
        <v>12</v>
      </c>
      <c r="F84" t="s">
        <v>10</v>
      </c>
      <c r="G84" s="2" t="s">
        <v>250</v>
      </c>
      <c r="H84" t="s">
        <v>14</v>
      </c>
      <c r="I84" t="s">
        <v>14</v>
      </c>
    </row>
    <row r="85" spans="1:9" ht="45" x14ac:dyDescent="0.25">
      <c r="A85" t="s">
        <v>9</v>
      </c>
      <c r="B85" t="str">
        <f>HYPERLINK("https://www.sydney.edu.au/scholarships/a/olive-margaret-stewart-bequest.html", "The Olive Margaret Stewart Bequest")</f>
        <v>The Olive Margaret Stewart Bequest</v>
      </c>
      <c r="C85" t="s">
        <v>10</v>
      </c>
      <c r="D85" t="s">
        <v>15</v>
      </c>
      <c r="E85" t="s">
        <v>12</v>
      </c>
      <c r="F85" t="s">
        <v>10</v>
      </c>
      <c r="G85" s="2" t="s">
        <v>250</v>
      </c>
      <c r="H85" t="s">
        <v>14</v>
      </c>
      <c r="I85" t="s">
        <v>14</v>
      </c>
    </row>
    <row r="86" spans="1:9" ht="45" x14ac:dyDescent="0.25">
      <c r="A86" t="s">
        <v>9</v>
      </c>
      <c r="B86" t="str">
        <f>HYPERLINK("https://www.sydney.edu.au/scholarships/a/orchestra-witheford-don-scholarship.html", "Orchestra - Witheford Don Scholarship")</f>
        <v>Orchestra - Witheford Don Scholarship</v>
      </c>
      <c r="C86" t="s">
        <v>10</v>
      </c>
      <c r="D86" t="s">
        <v>15</v>
      </c>
      <c r="E86" t="s">
        <v>16</v>
      </c>
      <c r="F86" t="s">
        <v>13</v>
      </c>
      <c r="G86" s="2" t="s">
        <v>250</v>
      </c>
      <c r="H86" t="s">
        <v>14</v>
      </c>
      <c r="I86" t="s">
        <v>14</v>
      </c>
    </row>
    <row r="87" spans="1:9" ht="45" x14ac:dyDescent="0.25">
      <c r="A87" t="s">
        <v>9</v>
      </c>
      <c r="B87" t="str">
        <f>HYPERLINK("https://www.sydney.edu.au/scholarships/a/patricia-bell-grant.html", "Patricia Bell Grant")</f>
        <v>Patricia Bell Grant</v>
      </c>
      <c r="C87" t="s">
        <v>10</v>
      </c>
      <c r="D87" t="s">
        <v>15</v>
      </c>
      <c r="E87" t="s">
        <v>12</v>
      </c>
      <c r="F87" t="s">
        <v>10</v>
      </c>
      <c r="G87" s="2" t="s">
        <v>250</v>
      </c>
      <c r="H87" t="s">
        <v>14</v>
      </c>
      <c r="I87" t="s">
        <v>14</v>
      </c>
    </row>
    <row r="88" spans="1:9" ht="45" x14ac:dyDescent="0.25">
      <c r="A88" t="s">
        <v>9</v>
      </c>
      <c r="B88" t="str">
        <f>HYPERLINK("https://www.sydney.edu.au/scholarships/a/patricia-long-scholarship.html", "Patricia Long Scholarship")</f>
        <v>Patricia Long Scholarship</v>
      </c>
      <c r="C88" t="s">
        <v>10</v>
      </c>
      <c r="D88" t="s">
        <v>15</v>
      </c>
      <c r="E88" t="s">
        <v>12</v>
      </c>
      <c r="F88" t="s">
        <v>21</v>
      </c>
      <c r="G88" s="2" t="s">
        <v>250</v>
      </c>
      <c r="H88" t="s">
        <v>14</v>
      </c>
      <c r="I88" t="s">
        <v>14</v>
      </c>
    </row>
    <row r="89" spans="1:9" ht="45" x14ac:dyDescent="0.25">
      <c r="A89" t="s">
        <v>9</v>
      </c>
      <c r="B89" t="str">
        <f>HYPERLINK("https://www.sydney.edu.au/scholarships/a/patricia-lucas-music-achievement-scholarship.html", "Patricia Lucas Music Achievement Scholarship")</f>
        <v>Patricia Lucas Music Achievement Scholarship</v>
      </c>
      <c r="C89" t="s">
        <v>10</v>
      </c>
      <c r="D89" t="s">
        <v>15</v>
      </c>
      <c r="E89" t="s">
        <v>12</v>
      </c>
      <c r="F89" t="s">
        <v>10</v>
      </c>
      <c r="G89" s="2" t="s">
        <v>250</v>
      </c>
      <c r="H89" t="s">
        <v>14</v>
      </c>
      <c r="I89" t="s">
        <v>14</v>
      </c>
    </row>
    <row r="90" spans="1:9" ht="45" x14ac:dyDescent="0.25">
      <c r="A90" t="s">
        <v>9</v>
      </c>
      <c r="B90" t="str">
        <f>HYPERLINK("https://www.sydney.edu.au/scholarships/a/peter-davidson-music-scholarship.html", "Peter Davidson Music Scholarship")</f>
        <v>Peter Davidson Music Scholarship</v>
      </c>
      <c r="C90" t="s">
        <v>10</v>
      </c>
      <c r="D90" t="s">
        <v>25</v>
      </c>
      <c r="E90" t="s">
        <v>12</v>
      </c>
      <c r="F90" t="s">
        <v>21</v>
      </c>
      <c r="G90" s="2" t="s">
        <v>250</v>
      </c>
      <c r="H90" t="s">
        <v>14</v>
      </c>
      <c r="I90" t="s">
        <v>14</v>
      </c>
    </row>
    <row r="91" spans="1:9" ht="45" x14ac:dyDescent="0.25">
      <c r="A91" t="s">
        <v>9</v>
      </c>
      <c r="B91" t="str">
        <f>HYPERLINK("https://www.sydney.edu.au/scholarships/a/peter-davidson-scholarship.html", "Peter Davidson Scholarship")</f>
        <v>Peter Davidson Scholarship</v>
      </c>
      <c r="C91" t="s">
        <v>10</v>
      </c>
      <c r="D91" t="s">
        <v>15</v>
      </c>
      <c r="E91" t="s">
        <v>12</v>
      </c>
      <c r="F91" t="s">
        <v>17</v>
      </c>
      <c r="G91" s="2" t="s">
        <v>250</v>
      </c>
      <c r="H91" t="s">
        <v>14</v>
      </c>
      <c r="I91" t="s">
        <v>14</v>
      </c>
    </row>
    <row r="92" spans="1:9" ht="90" hidden="1" x14ac:dyDescent="0.25">
      <c r="A92" t="s">
        <v>9</v>
      </c>
      <c r="B92" t="str">
        <f>HYPERLINK("https://www.sydney.edu.au/scholarships/a/professional-leadership-development-scholarship-executive-mba.html", "Professional Leadership Development Scholarship (Executive MBA)")</f>
        <v>Professional Leadership Development Scholarship (Executive MBA)</v>
      </c>
      <c r="C92" t="s">
        <v>249</v>
      </c>
      <c r="D92" t="s">
        <v>318</v>
      </c>
      <c r="E92" t="s">
        <v>279</v>
      </c>
      <c r="F92" t="s">
        <v>17</v>
      </c>
      <c r="G92" s="2" t="s">
        <v>319</v>
      </c>
      <c r="H92" t="s">
        <v>14</v>
      </c>
      <c r="I92" t="s">
        <v>14</v>
      </c>
    </row>
    <row r="93" spans="1:9" ht="75" hidden="1" x14ac:dyDescent="0.25">
      <c r="A93" t="s">
        <v>9</v>
      </c>
      <c r="B93" t="str">
        <f>HYPERLINK("https://www.sydney.edu.au/scholarships/a/professional-leadership-development-scholarship-mba.html", "Professional Leadership Development Scholarship (MBA)")</f>
        <v>Professional Leadership Development Scholarship (MBA)</v>
      </c>
      <c r="C93" t="s">
        <v>249</v>
      </c>
      <c r="D93" t="s">
        <v>313</v>
      </c>
      <c r="E93" t="s">
        <v>279</v>
      </c>
      <c r="F93" t="s">
        <v>17</v>
      </c>
      <c r="G93" s="2" t="s">
        <v>320</v>
      </c>
      <c r="H93" t="s">
        <v>14</v>
      </c>
      <c r="I93" t="s">
        <v>14</v>
      </c>
    </row>
    <row r="94" spans="1:9" ht="45" x14ac:dyDescent="0.25">
      <c r="A94" t="s">
        <v>9</v>
      </c>
      <c r="B94" t="str">
        <f>HYPERLINK("https://www.sydney.edu.au/scholarships/a/queen-victoria-club-scholarship.html", "Queen Victoria Club Scholarship")</f>
        <v>Queen Victoria Club Scholarship</v>
      </c>
      <c r="C94" t="s">
        <v>10</v>
      </c>
      <c r="D94" t="s">
        <v>15</v>
      </c>
      <c r="E94" t="s">
        <v>12</v>
      </c>
      <c r="F94" t="s">
        <v>10</v>
      </c>
      <c r="G94" s="2" t="s">
        <v>250</v>
      </c>
      <c r="H94" t="s">
        <v>14</v>
      </c>
      <c r="I94" t="s">
        <v>14</v>
      </c>
    </row>
    <row r="95" spans="1:9" ht="45" x14ac:dyDescent="0.25">
      <c r="A95" t="s">
        <v>9</v>
      </c>
      <c r="B95" t="str">
        <f>HYPERLINK("https://www.sydney.edu.au/scholarships/a/quinquin-foundation.html", "Quinquin Foundation Scholarship")</f>
        <v>Quinquin Foundation Scholarship</v>
      </c>
      <c r="C95" t="s">
        <v>10</v>
      </c>
      <c r="D95" t="s">
        <v>11</v>
      </c>
      <c r="E95" t="s">
        <v>12</v>
      </c>
      <c r="F95" t="s">
        <v>10</v>
      </c>
      <c r="G95" s="2" t="s">
        <v>250</v>
      </c>
      <c r="H95" t="s">
        <v>14</v>
      </c>
      <c r="I95" t="s">
        <v>14</v>
      </c>
    </row>
    <row r="96" spans="1:9" ht="45" x14ac:dyDescent="0.25">
      <c r="A96" t="s">
        <v>9</v>
      </c>
      <c r="B96" t="str">
        <f>HYPERLINK("https://www.sydney.edu.au/scholarships/a/richard-antony-oppen-scholarship.html", "In Memory of Richard Antony Oppen")</f>
        <v>In Memory of Richard Antony Oppen</v>
      </c>
      <c r="C96" t="s">
        <v>10</v>
      </c>
      <c r="D96" t="s">
        <v>15</v>
      </c>
      <c r="E96" t="s">
        <v>12</v>
      </c>
      <c r="F96" t="s">
        <v>10</v>
      </c>
      <c r="G96" s="2" t="s">
        <v>250</v>
      </c>
      <c r="H96" t="s">
        <v>14</v>
      </c>
      <c r="I96" t="s">
        <v>14</v>
      </c>
    </row>
    <row r="97" spans="1:9" ht="45" x14ac:dyDescent="0.25">
      <c r="A97" t="s">
        <v>9</v>
      </c>
      <c r="B97" t="str">
        <f>HYPERLINK("https://www.sydney.edu.au/scholarships/a/richard-doreen-wilson-organ-scholarship.html", "The Richard and Doreen Wilson Organ Scholarship")</f>
        <v>The Richard and Doreen Wilson Organ Scholarship</v>
      </c>
      <c r="C97" t="s">
        <v>10</v>
      </c>
      <c r="D97" t="s">
        <v>15</v>
      </c>
      <c r="E97" t="s">
        <v>12</v>
      </c>
      <c r="F97" t="s">
        <v>10</v>
      </c>
      <c r="G97" s="2" t="s">
        <v>250</v>
      </c>
      <c r="H97" t="s">
        <v>14</v>
      </c>
      <c r="I97" t="s">
        <v>14</v>
      </c>
    </row>
    <row r="98" spans="1:9" ht="45" x14ac:dyDescent="0.25">
      <c r="A98" t="s">
        <v>9</v>
      </c>
      <c r="B98" t="str">
        <f>HYPERLINK("https://www.sydney.edu.au/scholarships/a/richard-merewether-french-horn-fellowship.html", "Richard Merewether French Horn Fellowship")</f>
        <v>Richard Merewether French Horn Fellowship</v>
      </c>
      <c r="C98" t="s">
        <v>10</v>
      </c>
      <c r="D98" t="s">
        <v>15</v>
      </c>
      <c r="E98" t="s">
        <v>12</v>
      </c>
      <c r="F98" t="s">
        <v>10</v>
      </c>
      <c r="G98" s="2" t="s">
        <v>250</v>
      </c>
      <c r="H98" t="s">
        <v>14</v>
      </c>
      <c r="I98" t="s">
        <v>14</v>
      </c>
    </row>
    <row r="99" spans="1:9" ht="30" hidden="1" x14ac:dyDescent="0.25">
      <c r="A99" t="s">
        <v>9</v>
      </c>
      <c r="B99" t="str">
        <f>HYPERLINK("https://www.sydney.edu.au/scholarships/a/rj-chambers-honours-scholarship.html", "RJ Chambers Honours Scholarship")</f>
        <v>RJ Chambers Honours Scholarship</v>
      </c>
      <c r="C99" t="s">
        <v>249</v>
      </c>
      <c r="D99" s="7" t="s">
        <v>274</v>
      </c>
      <c r="E99" t="s">
        <v>253</v>
      </c>
      <c r="F99" t="s">
        <v>261</v>
      </c>
      <c r="G99" s="2" t="s">
        <v>276</v>
      </c>
      <c r="H99" t="s">
        <v>14</v>
      </c>
      <c r="I99" t="s">
        <v>14</v>
      </c>
    </row>
    <row r="100" spans="1:9" ht="45" x14ac:dyDescent="0.25">
      <c r="A100" t="s">
        <v>9</v>
      </c>
      <c r="B100" t="str">
        <f>HYPERLINK("https://www.sydney.edu.au/scholarships/a/robert-o-albert-scholarship.html", "The Albert Scholarships")</f>
        <v>The Albert Scholarships</v>
      </c>
      <c r="C100" t="s">
        <v>10</v>
      </c>
      <c r="D100" t="s">
        <v>39</v>
      </c>
      <c r="E100" t="s">
        <v>12</v>
      </c>
      <c r="F100" t="s">
        <v>17</v>
      </c>
      <c r="G100" s="2" t="s">
        <v>250</v>
      </c>
      <c r="H100" t="s">
        <v>14</v>
      </c>
      <c r="I100" t="s">
        <v>14</v>
      </c>
    </row>
    <row r="101" spans="1:9" ht="30" hidden="1" x14ac:dyDescent="0.25">
      <c r="A101" t="s">
        <v>9</v>
      </c>
      <c r="B101" t="str">
        <f>HYPERLINK("https://www.sydney.edu.au/scholarships/a/robert-r-sterling-distinguished-honours-scholarship-accounting.html", "Robert R Sterling Distinguished Honours Scholarship in Accounting")</f>
        <v>Robert R Sterling Distinguished Honours Scholarship in Accounting</v>
      </c>
      <c r="C101" t="s">
        <v>249</v>
      </c>
      <c r="D101" s="7" t="s">
        <v>25</v>
      </c>
      <c r="E101" t="s">
        <v>253</v>
      </c>
      <c r="F101" t="s">
        <v>261</v>
      </c>
      <c r="G101" s="2" t="s">
        <v>277</v>
      </c>
      <c r="H101" t="s">
        <v>14</v>
      </c>
      <c r="I101" t="s">
        <v>14</v>
      </c>
    </row>
    <row r="102" spans="1:9" ht="45" x14ac:dyDescent="0.25">
      <c r="A102" t="s">
        <v>9</v>
      </c>
      <c r="B102" t="str">
        <f>HYPERLINK("https://www.sydney.edu.au/scholarships/a/rosemary-valentine-memorial-prize.html", "Rosemary Valentine Memorial Prize")</f>
        <v>Rosemary Valentine Memorial Prize</v>
      </c>
      <c r="C102" t="s">
        <v>10</v>
      </c>
      <c r="D102" t="s">
        <v>11</v>
      </c>
      <c r="E102" t="s">
        <v>12</v>
      </c>
      <c r="F102" t="s">
        <v>13</v>
      </c>
      <c r="G102" s="2" t="s">
        <v>250</v>
      </c>
      <c r="H102" t="s">
        <v>14</v>
      </c>
      <c r="I102" t="s">
        <v>14</v>
      </c>
    </row>
    <row r="103" spans="1:9" ht="45" x14ac:dyDescent="0.25">
      <c r="A103" t="s">
        <v>9</v>
      </c>
      <c r="B103" t="str">
        <f>HYPERLINK("https://www.sydney.edu.au/scholarships/a/rural-regional-leadership-scholarship.html", "University of Sydney Business School Rural/Regional Leadership Scholarship")</f>
        <v>University of Sydney Business School Rural/Regional Leadership Scholarship</v>
      </c>
      <c r="C103" t="s">
        <v>10</v>
      </c>
      <c r="D103" t="s">
        <v>33</v>
      </c>
      <c r="E103" t="s">
        <v>40</v>
      </c>
      <c r="F103" t="s">
        <v>21</v>
      </c>
      <c r="G103" s="2" t="s">
        <v>250</v>
      </c>
      <c r="H103" t="s">
        <v>14</v>
      </c>
      <c r="I103" t="s">
        <v>14</v>
      </c>
    </row>
    <row r="104" spans="1:9" ht="45" x14ac:dyDescent="0.25">
      <c r="A104" t="s">
        <v>9</v>
      </c>
      <c r="B104" t="str">
        <f>HYPERLINK("https://www.sydney.edu.au/scholarships/a/sarah-murial-jeavons-memorial-scholarship.html", "Sarah and Murial Jeavons Memorial Scholarship")</f>
        <v>Sarah and Murial Jeavons Memorial Scholarship</v>
      </c>
      <c r="C104" t="s">
        <v>10</v>
      </c>
      <c r="D104" t="s">
        <v>15</v>
      </c>
      <c r="E104" t="s">
        <v>12</v>
      </c>
      <c r="F104" t="s">
        <v>10</v>
      </c>
      <c r="G104" s="2" t="s">
        <v>250</v>
      </c>
      <c r="H104" t="s">
        <v>14</v>
      </c>
      <c r="I104" t="s">
        <v>14</v>
      </c>
    </row>
    <row r="105" spans="1:9" ht="45" x14ac:dyDescent="0.25">
      <c r="A105" t="s">
        <v>9</v>
      </c>
      <c r="B105" t="str">
        <f>HYPERLINK("https://www.sydney.edu.au/scholarships/a/scholarship-merit-excellence-extracurricular-endeavour.html", "Scholarship with Merit for Excellence in Extracurricular Endeavour")</f>
        <v>Scholarship with Merit for Excellence in Extracurricular Endeavour</v>
      </c>
      <c r="C105" t="s">
        <v>10</v>
      </c>
      <c r="D105" t="s">
        <v>33</v>
      </c>
      <c r="E105" t="s">
        <v>12</v>
      </c>
      <c r="F105" t="s">
        <v>21</v>
      </c>
      <c r="G105" s="2" t="s">
        <v>250</v>
      </c>
      <c r="H105" t="s">
        <v>14</v>
      </c>
      <c r="I105" t="s">
        <v>14</v>
      </c>
    </row>
    <row r="106" spans="1:9" ht="105" hidden="1" x14ac:dyDescent="0.25">
      <c r="A106" t="s">
        <v>9</v>
      </c>
      <c r="B106" t="str">
        <f>HYPERLINK("https://www.sydney.edu.au/scholarships/a/social-impact-scholarship.html", "The Social Impact Scholarship (MBA)")</f>
        <v>The Social Impact Scholarship (MBA)</v>
      </c>
      <c r="C106" t="s">
        <v>249</v>
      </c>
      <c r="D106" t="s">
        <v>272</v>
      </c>
      <c r="E106" t="s">
        <v>321</v>
      </c>
      <c r="F106" t="s">
        <v>17</v>
      </c>
      <c r="G106" s="2" t="s">
        <v>322</v>
      </c>
      <c r="H106" t="s">
        <v>14</v>
      </c>
      <c r="I106" t="s">
        <v>14</v>
      </c>
    </row>
    <row r="107" spans="1:9" ht="45" x14ac:dyDescent="0.25">
      <c r="A107" t="s">
        <v>9</v>
      </c>
      <c r="B107" t="str">
        <f>HYPERLINK("https://www.sydney.edu.au/scholarships/a/strategic-exchange-partner-scholarships.html", "Strategic Exchange Partner Scholarships")</f>
        <v>Strategic Exchange Partner Scholarships</v>
      </c>
      <c r="C107" t="s">
        <v>10</v>
      </c>
      <c r="D107" t="s">
        <v>41</v>
      </c>
      <c r="E107" t="s">
        <v>12</v>
      </c>
      <c r="F107" t="s">
        <v>13</v>
      </c>
      <c r="G107" s="2" t="s">
        <v>250</v>
      </c>
      <c r="H107" t="s">
        <v>14</v>
      </c>
      <c r="I107" t="s">
        <v>14</v>
      </c>
    </row>
    <row r="108" spans="1:9" ht="45" x14ac:dyDescent="0.25">
      <c r="A108" t="s">
        <v>9</v>
      </c>
      <c r="B108" t="str">
        <f>HYPERLINK("https://www.sydney.edu.au/scholarships/a/student-management-investment-fund-scholarship.html", "Student Managed Investment Fund Scholarship")</f>
        <v>Student Managed Investment Fund Scholarship</v>
      </c>
      <c r="C108" t="s">
        <v>10</v>
      </c>
      <c r="D108" t="s">
        <v>42</v>
      </c>
      <c r="E108" t="s">
        <v>43</v>
      </c>
      <c r="F108" t="s">
        <v>21</v>
      </c>
      <c r="G108" s="2" t="s">
        <v>250</v>
      </c>
      <c r="H108" t="s">
        <v>14</v>
      </c>
      <c r="I108" t="s">
        <v>14</v>
      </c>
    </row>
    <row r="109" spans="1:9" ht="45" x14ac:dyDescent="0.25">
      <c r="A109" t="s">
        <v>9</v>
      </c>
      <c r="B109" t="str">
        <f>HYPERLINK("https://www.sydney.edu.au/scholarships/a/sydney-conservatorium-association-scholarships.html", "Sydney Conservatorium Association Scholarships")</f>
        <v>Sydney Conservatorium Association Scholarships</v>
      </c>
      <c r="C109" t="s">
        <v>10</v>
      </c>
      <c r="D109" t="s">
        <v>15</v>
      </c>
      <c r="E109" t="s">
        <v>12</v>
      </c>
      <c r="F109" t="s">
        <v>13</v>
      </c>
      <c r="G109" s="2" t="s">
        <v>250</v>
      </c>
      <c r="H109" t="s">
        <v>14</v>
      </c>
      <c r="I109" t="s">
        <v>14</v>
      </c>
    </row>
    <row r="110" spans="1:9" ht="45" x14ac:dyDescent="0.25">
      <c r="A110" t="s">
        <v>9</v>
      </c>
      <c r="B110" t="str">
        <f>HYPERLINK("https://www.sydney.edu.au/scholarships/a/sydney-conservatorium-music-scholarship.html", "Sydney Conservatorium of Music Scholarship")</f>
        <v>Sydney Conservatorium of Music Scholarship</v>
      </c>
      <c r="C110" t="s">
        <v>10</v>
      </c>
      <c r="D110" t="s">
        <v>11</v>
      </c>
      <c r="E110" t="s">
        <v>12</v>
      </c>
      <c r="F110" t="s">
        <v>13</v>
      </c>
      <c r="G110" s="2" t="s">
        <v>250</v>
      </c>
      <c r="H110" t="s">
        <v>14</v>
      </c>
      <c r="I110" t="s">
        <v>14</v>
      </c>
    </row>
    <row r="111" spans="1:9" ht="45" x14ac:dyDescent="0.25">
      <c r="A111" t="s">
        <v>9</v>
      </c>
      <c r="B111" t="str">
        <f>HYPERLINK("https://www.sydney.edu.au/scholarships/a/sydney-conservatorium-of-music-mobility-scholarship.html", "Sydney Conservatorium of Music Mobility Scholarship")</f>
        <v>Sydney Conservatorium of Music Mobility Scholarship</v>
      </c>
      <c r="C111" t="s">
        <v>10</v>
      </c>
      <c r="D111" t="s">
        <v>15</v>
      </c>
      <c r="E111" t="s">
        <v>44</v>
      </c>
      <c r="F111" t="s">
        <v>13</v>
      </c>
      <c r="G111" s="2" t="s">
        <v>250</v>
      </c>
      <c r="H111" t="s">
        <v>14</v>
      </c>
      <c r="I111" t="s">
        <v>14</v>
      </c>
    </row>
    <row r="112" spans="1:9" ht="45" x14ac:dyDescent="0.25">
      <c r="A112" t="s">
        <v>9</v>
      </c>
      <c r="B112" t="str">
        <f>HYPERLINK("https://www.sydney.edu.au/scholarships/a/ted-susan-meller-memorial-scholarship-fund.html", "The Ted and Susan Meller Memorial Scholarship Fund")</f>
        <v>The Ted and Susan Meller Memorial Scholarship Fund</v>
      </c>
      <c r="C112" t="s">
        <v>10</v>
      </c>
      <c r="D112" t="s">
        <v>15</v>
      </c>
      <c r="E112" t="s">
        <v>12</v>
      </c>
      <c r="F112" t="s">
        <v>10</v>
      </c>
      <c r="G112" s="2" t="s">
        <v>250</v>
      </c>
      <c r="H112" t="s">
        <v>14</v>
      </c>
      <c r="I112" t="s">
        <v>14</v>
      </c>
    </row>
    <row r="113" spans="1:9" ht="45" hidden="1" x14ac:dyDescent="0.25">
      <c r="A113" t="s">
        <v>9</v>
      </c>
      <c r="B113" t="str">
        <f>HYPERLINK("https://www.sydney.edu.au/scholarships/a/the-chandler-scholarship.html", "The Chandler Scholarship")</f>
        <v>The Chandler Scholarship</v>
      </c>
      <c r="C113" t="s">
        <v>10</v>
      </c>
      <c r="D113" t="s">
        <v>15</v>
      </c>
      <c r="E113" t="s">
        <v>248</v>
      </c>
      <c r="F113" t="s">
        <v>10</v>
      </c>
      <c r="G113" s="2" t="s">
        <v>250</v>
      </c>
      <c r="H113" t="s">
        <v>14</v>
      </c>
      <c r="I113" t="s">
        <v>14</v>
      </c>
    </row>
    <row r="114" spans="1:9" ht="45" hidden="1" x14ac:dyDescent="0.25">
      <c r="A114" t="s">
        <v>9</v>
      </c>
      <c r="B114" t="str">
        <f>HYPERLINK("https://www.sydney.edu.au/scholarships/a/the-conry-brauer-scholarship-for-piano-tuition.html", "The Conry Brauer Scholarship for Piano Tuition")</f>
        <v>The Conry Brauer Scholarship for Piano Tuition</v>
      </c>
      <c r="C114" t="s">
        <v>10</v>
      </c>
      <c r="D114" t="s">
        <v>15</v>
      </c>
      <c r="E114" t="s">
        <v>248</v>
      </c>
      <c r="F114" t="s">
        <v>10</v>
      </c>
      <c r="G114" s="2" t="s">
        <v>250</v>
      </c>
      <c r="H114" t="s">
        <v>14</v>
      </c>
      <c r="I114" t="s">
        <v>14</v>
      </c>
    </row>
    <row r="115" spans="1:9" ht="45" x14ac:dyDescent="0.25">
      <c r="A115" t="s">
        <v>9</v>
      </c>
      <c r="B115" t="str">
        <f>HYPERLINK("https://www.sydney.edu.au/scholarships/a/the-conry-brauer-scholarship-for-violin-tuition.html", "The Conry Brauer Scholarship for Violin Tuition")</f>
        <v>The Conry Brauer Scholarship for Violin Tuition</v>
      </c>
      <c r="C115" t="s">
        <v>10</v>
      </c>
      <c r="D115" t="s">
        <v>15</v>
      </c>
      <c r="E115" t="s">
        <v>46</v>
      </c>
      <c r="F115" t="s">
        <v>13</v>
      </c>
      <c r="G115" s="2" t="s">
        <v>250</v>
      </c>
      <c r="H115" t="s">
        <v>14</v>
      </c>
      <c r="I115" t="s">
        <v>14</v>
      </c>
    </row>
    <row r="116" spans="1:9" ht="45" x14ac:dyDescent="0.25">
      <c r="A116" t="s">
        <v>9</v>
      </c>
      <c r="B116" t="str">
        <f>HYPERLINK("https://www.sydney.edu.au/scholarships/a/the-elizabethan-theatre-trust-ladies-committee-scholarship.html", "Elizabethan Theatre Trust Ladies’ Committee Scholarship")</f>
        <v>Elizabethan Theatre Trust Ladies’ Committee Scholarship</v>
      </c>
      <c r="C116" t="s">
        <v>10</v>
      </c>
      <c r="D116" t="s">
        <v>15</v>
      </c>
      <c r="E116" t="s">
        <v>12</v>
      </c>
      <c r="F116" t="s">
        <v>13</v>
      </c>
      <c r="G116" s="2" t="s">
        <v>250</v>
      </c>
      <c r="H116" t="s">
        <v>14</v>
      </c>
      <c r="I116" t="s">
        <v>14</v>
      </c>
    </row>
    <row r="117" spans="1:9" ht="45" x14ac:dyDescent="0.25">
      <c r="A117" t="s">
        <v>9</v>
      </c>
      <c r="B117" t="str">
        <f>HYPERLINK("https://www.sydney.edu.au/scholarships/a/the-gerald-westheimer-quartet-program.html", "The Gerald Westheimer Quartet Program")</f>
        <v>The Gerald Westheimer Quartet Program</v>
      </c>
      <c r="C117" t="s">
        <v>10</v>
      </c>
      <c r="D117" t="s">
        <v>15</v>
      </c>
      <c r="E117" t="s">
        <v>47</v>
      </c>
      <c r="F117" t="s">
        <v>13</v>
      </c>
      <c r="G117" s="2" t="s">
        <v>250</v>
      </c>
      <c r="H117" t="s">
        <v>14</v>
      </c>
      <c r="I117" t="s">
        <v>14</v>
      </c>
    </row>
    <row r="118" spans="1:9" ht="45" x14ac:dyDescent="0.25">
      <c r="A118" t="s">
        <v>9</v>
      </c>
      <c r="B118" t="str">
        <f>HYPERLINK("https://www.sydney.edu.au/scholarships/a/the-grace-russell-henderson-scholarship.html", "The Grace Russell Henderson Scholarship")</f>
        <v>The Grace Russell Henderson Scholarship</v>
      </c>
      <c r="C118" t="s">
        <v>10</v>
      </c>
      <c r="D118" t="s">
        <v>11</v>
      </c>
      <c r="E118" t="s">
        <v>16</v>
      </c>
      <c r="F118" t="s">
        <v>21</v>
      </c>
      <c r="G118" s="2" t="s">
        <v>250</v>
      </c>
      <c r="H118" t="s">
        <v>14</v>
      </c>
      <c r="I118" t="s">
        <v>14</v>
      </c>
    </row>
    <row r="119" spans="1:9" ht="45" x14ac:dyDescent="0.25">
      <c r="A119" t="s">
        <v>9</v>
      </c>
      <c r="B119" t="str">
        <f>HYPERLINK("https://www.sydney.edu.au/scholarships/a/the-howard-smith-scholarship.html", "The Howard-Smith Scholarship")</f>
        <v>The Howard-Smith Scholarship</v>
      </c>
      <c r="C119" t="s">
        <v>10</v>
      </c>
      <c r="D119" t="s">
        <v>11</v>
      </c>
      <c r="E119" t="s">
        <v>12</v>
      </c>
      <c r="F119" t="s">
        <v>10</v>
      </c>
      <c r="G119" s="2" t="s">
        <v>250</v>
      </c>
      <c r="H119" t="s">
        <v>14</v>
      </c>
      <c r="I119" t="s">
        <v>14</v>
      </c>
    </row>
    <row r="120" spans="1:9" ht="45" x14ac:dyDescent="0.25">
      <c r="A120" t="s">
        <v>9</v>
      </c>
      <c r="B120" t="str">
        <f>HYPERLINK("https://www.sydney.edu.au/scholarships/a/the-jj-kelly-memorial-scholarship.html", "The JJ Kelly Memorial Scholarship")</f>
        <v>The JJ Kelly Memorial Scholarship</v>
      </c>
      <c r="C120" t="s">
        <v>10</v>
      </c>
      <c r="D120" t="s">
        <v>11</v>
      </c>
      <c r="E120" t="s">
        <v>12</v>
      </c>
      <c r="F120" t="s">
        <v>10</v>
      </c>
      <c r="G120" s="2" t="s">
        <v>250</v>
      </c>
      <c r="H120" t="s">
        <v>14</v>
      </c>
      <c r="I120" t="s">
        <v>14</v>
      </c>
    </row>
    <row r="121" spans="1:9" ht="45" x14ac:dyDescent="0.25">
      <c r="A121" t="s">
        <v>9</v>
      </c>
      <c r="B121" t="str">
        <f>HYPERLINK("https://www.sydney.edu.au/scholarships/a/the-kevin-and-margaret-duffy-scholarship.html", "The Kevin and Margaret Duffy Scholarship")</f>
        <v>The Kevin and Margaret Duffy Scholarship</v>
      </c>
      <c r="C121" t="s">
        <v>10</v>
      </c>
      <c r="D121" t="s">
        <v>11</v>
      </c>
      <c r="E121" t="s">
        <v>12</v>
      </c>
      <c r="F121" t="s">
        <v>10</v>
      </c>
      <c r="G121" s="2" t="s">
        <v>250</v>
      </c>
      <c r="H121" t="s">
        <v>14</v>
      </c>
      <c r="I121" t="s">
        <v>14</v>
      </c>
    </row>
    <row r="122" spans="1:9" ht="45" x14ac:dyDescent="0.25">
      <c r="A122" t="s">
        <v>9</v>
      </c>
      <c r="B122" t="str">
        <f>HYPERLINK("https://www.sydney.edu.au/scholarships/a/the-molly-brown-memorial-scholarship.html", "The Molly Brown Memorial Scholarship")</f>
        <v>The Molly Brown Memorial Scholarship</v>
      </c>
      <c r="C122" t="s">
        <v>10</v>
      </c>
      <c r="D122" t="s">
        <v>39</v>
      </c>
      <c r="E122" t="s">
        <v>48</v>
      </c>
      <c r="F122" t="s">
        <v>13</v>
      </c>
      <c r="G122" s="2" t="s">
        <v>250</v>
      </c>
      <c r="H122" t="s">
        <v>14</v>
      </c>
      <c r="I122" t="s">
        <v>14</v>
      </c>
    </row>
    <row r="123" spans="1:9" ht="45" x14ac:dyDescent="0.25">
      <c r="A123" t="s">
        <v>9</v>
      </c>
      <c r="B123" t="str">
        <f>HYPERLINK("https://www.sydney.edu.au/scholarships/a/the-poppy-harris-scholarship.html", "The Poppy Harris Scholarship")</f>
        <v>The Poppy Harris Scholarship</v>
      </c>
      <c r="C123" t="s">
        <v>10</v>
      </c>
      <c r="D123" t="s">
        <v>49</v>
      </c>
      <c r="E123" t="s">
        <v>50</v>
      </c>
      <c r="F123" t="s">
        <v>21</v>
      </c>
      <c r="G123" s="2" t="s">
        <v>250</v>
      </c>
      <c r="H123" t="s">
        <v>14</v>
      </c>
      <c r="I123" t="s">
        <v>14</v>
      </c>
    </row>
    <row r="124" spans="1:9" ht="30" hidden="1" x14ac:dyDescent="0.25">
      <c r="A124" t="s">
        <v>9</v>
      </c>
      <c r="B124" t="str">
        <f>HYPERLINK("https://www.sydney.edu.au/scholarships/a/un-women-australia-mba-scholarship.html", "UN Women Australia MBA Scholarship")</f>
        <v>UN Women Australia MBA Scholarship</v>
      </c>
      <c r="C124" t="s">
        <v>249</v>
      </c>
      <c r="D124" s="7" t="s">
        <v>272</v>
      </c>
      <c r="E124" t="s">
        <v>279</v>
      </c>
      <c r="F124" t="s">
        <v>17</v>
      </c>
      <c r="G124" s="2" t="s">
        <v>278</v>
      </c>
      <c r="H124" t="s">
        <v>14</v>
      </c>
      <c r="I124" t="s">
        <v>14</v>
      </c>
    </row>
    <row r="125" spans="1:9" ht="120" hidden="1" x14ac:dyDescent="0.25">
      <c r="A125" t="s">
        <v>9</v>
      </c>
      <c r="B125" t="str">
        <f>HYPERLINK("https://www.sydney.edu.au/scholarships/a/un-women-national-committee-australia-global-executive-mba-scholarship.html", "UN Women Australia Global Executive MBA Scholarship")</f>
        <v>UN Women Australia Global Executive MBA Scholarship</v>
      </c>
      <c r="C125" t="s">
        <v>249</v>
      </c>
      <c r="D125" t="s">
        <v>323</v>
      </c>
      <c r="E125" t="s">
        <v>279</v>
      </c>
      <c r="F125" t="s">
        <v>17</v>
      </c>
      <c r="G125" s="2" t="s">
        <v>324</v>
      </c>
      <c r="H125" t="s">
        <v>14</v>
      </c>
      <c r="I125" t="s">
        <v>14</v>
      </c>
    </row>
    <row r="126" spans="1:9" ht="45" x14ac:dyDescent="0.25">
      <c r="A126" t="s">
        <v>9</v>
      </c>
      <c r="B126" t="str">
        <f>HYPERLINK("https://www.sydney.edu.au/scholarships/a/university-of-sydney-business-school-change-maker-scholarship.html", "University of Sydney Business School Change Maker Scholarship")</f>
        <v>University of Sydney Business School Change Maker Scholarship</v>
      </c>
      <c r="C126" t="s">
        <v>10</v>
      </c>
      <c r="D126" t="s">
        <v>20</v>
      </c>
      <c r="E126" t="s">
        <v>51</v>
      </c>
      <c r="F126" t="s">
        <v>21</v>
      </c>
      <c r="G126" s="2" t="s">
        <v>250</v>
      </c>
      <c r="H126" t="s">
        <v>14</v>
      </c>
      <c r="I126" t="s">
        <v>14</v>
      </c>
    </row>
    <row r="127" spans="1:9" ht="45" x14ac:dyDescent="0.25">
      <c r="A127" t="s">
        <v>9</v>
      </c>
      <c r="B127" t="str">
        <f>HYPERLINK("https://www.sydney.edu.au/scholarships/a/university-of-sydney-business-school-scholarship-for-outstanding-academic-and-sporting-achievement.html", "University of Sydney Business School Scholarship for Outstanding Academic and Sporting Achievement.")</f>
        <v>University of Sydney Business School Scholarship for Outstanding Academic and Sporting Achievement.</v>
      </c>
      <c r="C127" t="s">
        <v>10</v>
      </c>
      <c r="D127" t="s">
        <v>22</v>
      </c>
      <c r="E127" t="s">
        <v>52</v>
      </c>
      <c r="F127" t="s">
        <v>21</v>
      </c>
      <c r="G127" s="2" t="s">
        <v>250</v>
      </c>
      <c r="H127" t="s">
        <v>14</v>
      </c>
      <c r="I127" t="s">
        <v>14</v>
      </c>
    </row>
    <row r="128" spans="1:9" ht="60" hidden="1" x14ac:dyDescent="0.25">
      <c r="A128" t="s">
        <v>9</v>
      </c>
      <c r="B128" t="str">
        <f>HYPERLINK("https://www.sydney.edu.au/scholarships/a/usa_industry_placement_program_scholarship.html", "USA Industry Placement Program Scholarship")</f>
        <v>USA Industry Placement Program Scholarship</v>
      </c>
      <c r="C128" t="s">
        <v>281</v>
      </c>
      <c r="D128" s="11" t="s">
        <v>280</v>
      </c>
      <c r="E128" t="s">
        <v>251</v>
      </c>
      <c r="F128" t="s">
        <v>13</v>
      </c>
      <c r="G128" s="2" t="s">
        <v>282</v>
      </c>
      <c r="H128" t="s">
        <v>14</v>
      </c>
      <c r="I128" t="s">
        <v>38</v>
      </c>
    </row>
    <row r="129" spans="1:9" ht="45" x14ac:dyDescent="0.25">
      <c r="A129" t="s">
        <v>9</v>
      </c>
      <c r="B129" t="str">
        <f>HYPERLINK("https://www.sydney.edu.au/scholarships/a/vasanta-scholarship.html", "The Vasanta Scholarship")</f>
        <v>The Vasanta Scholarship</v>
      </c>
      <c r="C129" t="s">
        <v>10</v>
      </c>
      <c r="D129" t="s">
        <v>15</v>
      </c>
      <c r="E129" t="s">
        <v>12</v>
      </c>
      <c r="F129" t="s">
        <v>10</v>
      </c>
      <c r="G129" s="2" t="s">
        <v>250</v>
      </c>
      <c r="H129" t="s">
        <v>14</v>
      </c>
      <c r="I129" t="s">
        <v>14</v>
      </c>
    </row>
    <row r="130" spans="1:9" ht="45" x14ac:dyDescent="0.25">
      <c r="A130" t="s">
        <v>9</v>
      </c>
      <c r="B130" t="str">
        <f>HYPERLINK("https://www.sydney.edu.au/scholarships/a/verna-florence-dinham-scholarship-piano.html", "The Verna Florence Dinham Scholarship for Piano")</f>
        <v>The Verna Florence Dinham Scholarship for Piano</v>
      </c>
      <c r="C130" t="s">
        <v>10</v>
      </c>
      <c r="D130" t="s">
        <v>15</v>
      </c>
      <c r="E130" t="s">
        <v>12</v>
      </c>
      <c r="F130" t="s">
        <v>10</v>
      </c>
      <c r="G130" s="2" t="s">
        <v>250</v>
      </c>
      <c r="H130" t="s">
        <v>14</v>
      </c>
      <c r="I130" t="s">
        <v>14</v>
      </c>
    </row>
    <row r="131" spans="1:9" ht="45" x14ac:dyDescent="0.25">
      <c r="A131" t="s">
        <v>9</v>
      </c>
      <c r="B131" t="str">
        <f>HYPERLINK("https://www.sydney.edu.au/scholarships/a/victoria-hope-geary-scholarship.html", "The Victoria Hope Geary Scholarship")</f>
        <v>The Victoria Hope Geary Scholarship</v>
      </c>
      <c r="C131" t="s">
        <v>10</v>
      </c>
      <c r="D131" t="s">
        <v>19</v>
      </c>
      <c r="E131" t="s">
        <v>12</v>
      </c>
      <c r="F131" t="s">
        <v>21</v>
      </c>
      <c r="G131" s="2" t="s">
        <v>250</v>
      </c>
      <c r="H131" t="s">
        <v>14</v>
      </c>
      <c r="I131" t="s">
        <v>14</v>
      </c>
    </row>
    <row r="132" spans="1:9" ht="45" x14ac:dyDescent="0.25">
      <c r="A132" t="s">
        <v>9</v>
      </c>
      <c r="B132" t="str">
        <f>HYPERLINK("https://www.sydney.edu.au/scholarships/a/wayne-lonergan-distinguished-scholarship.html", "Wayne Lonergan Distinguished Undergraduate Scholarship")</f>
        <v>Wayne Lonergan Distinguished Undergraduate Scholarship</v>
      </c>
      <c r="C132" t="s">
        <v>10</v>
      </c>
      <c r="D132" t="s">
        <v>25</v>
      </c>
      <c r="E132" t="s">
        <v>53</v>
      </c>
      <c r="F132" t="s">
        <v>21</v>
      </c>
      <c r="G132" s="2" t="s">
        <v>250</v>
      </c>
      <c r="H132" t="s">
        <v>14</v>
      </c>
      <c r="I132" t="s">
        <v>14</v>
      </c>
    </row>
    <row r="133" spans="1:9" ht="30" hidden="1" x14ac:dyDescent="0.25">
      <c r="A133" t="s">
        <v>9</v>
      </c>
      <c r="B133" t="str">
        <f>HYPERLINK("https://www.sydney.edu.au/scholarships/a/westbrook-and-jessie-anstice-honours-scholarship-in-business.html", "Westbrook and Jessie Anstice Honours Scholarship in Business")</f>
        <v>Westbrook and Jessie Anstice Honours Scholarship in Business</v>
      </c>
      <c r="C133" t="s">
        <v>249</v>
      </c>
      <c r="D133" s="7" t="s">
        <v>54</v>
      </c>
      <c r="E133" t="s">
        <v>253</v>
      </c>
      <c r="F133" t="s">
        <v>261</v>
      </c>
      <c r="G133" s="2" t="s">
        <v>283</v>
      </c>
      <c r="H133" t="s">
        <v>14</v>
      </c>
      <c r="I133" t="s">
        <v>14</v>
      </c>
    </row>
    <row r="134" spans="1:9" ht="45" x14ac:dyDescent="0.25">
      <c r="A134" t="s">
        <v>9</v>
      </c>
      <c r="B134" t="str">
        <f>HYPERLINK("https://www.sydney.edu.au/scholarships/a/william-marie-souter-encouragement-awards.html", "The William and Marie Souter Encouragement Awards")</f>
        <v>The William and Marie Souter Encouragement Awards</v>
      </c>
      <c r="C134" t="s">
        <v>10</v>
      </c>
      <c r="D134" t="s">
        <v>15</v>
      </c>
      <c r="E134" t="s">
        <v>12</v>
      </c>
      <c r="F134" t="s">
        <v>10</v>
      </c>
      <c r="G134" s="2" t="s">
        <v>250</v>
      </c>
      <c r="H134" t="s">
        <v>14</v>
      </c>
      <c r="I134" t="s">
        <v>14</v>
      </c>
    </row>
    <row r="135" spans="1:9" ht="45" x14ac:dyDescent="0.25">
      <c r="A135" t="s">
        <v>9</v>
      </c>
      <c r="B135" t="str">
        <f>HYPERLINK("https://www.sydney.edu.au/scholarships/a/william-mcilrath-memorial-scholarship-music-performance-research.html", "William McIlrath Memorial Scholarship in Music Performance and Research")</f>
        <v>William McIlrath Memorial Scholarship in Music Performance and Research</v>
      </c>
      <c r="C135" t="s">
        <v>10</v>
      </c>
      <c r="D135" t="s">
        <v>15</v>
      </c>
      <c r="E135" t="s">
        <v>12</v>
      </c>
      <c r="F135" t="s">
        <v>17</v>
      </c>
      <c r="G135" s="2" t="s">
        <v>250</v>
      </c>
      <c r="H135" t="s">
        <v>14</v>
      </c>
      <c r="I135" t="s">
        <v>14</v>
      </c>
    </row>
    <row r="136" spans="1:9" ht="45" x14ac:dyDescent="0.25">
      <c r="A136" t="s">
        <v>9</v>
      </c>
      <c r="B136" t="str">
        <f>HYPERLINK("https://www.sydney.edu.au/scholarships/b/The-Pinnacle-Women-in-Finance-Scholarship.html", "The Pinnacle Women in Finance Scholarship")</f>
        <v>The Pinnacle Women in Finance Scholarship</v>
      </c>
      <c r="C136" t="s">
        <v>10</v>
      </c>
      <c r="D136" t="s">
        <v>29</v>
      </c>
      <c r="E136" t="s">
        <v>12</v>
      </c>
      <c r="F136" t="s">
        <v>21</v>
      </c>
      <c r="G136" s="2" t="s">
        <v>250</v>
      </c>
      <c r="H136" t="s">
        <v>14</v>
      </c>
      <c r="I136" t="s">
        <v>14</v>
      </c>
    </row>
    <row r="137" spans="1:9" ht="45" x14ac:dyDescent="0.25">
      <c r="A137" t="s">
        <v>9</v>
      </c>
      <c r="B137" t="str">
        <f>HYPERLINK("https://www.sydney.edu.au/scholarships/b/a-j-a-waldock-scholarship.html", "A J A Waldock Scholarship")</f>
        <v>A J A Waldock Scholarship</v>
      </c>
      <c r="C137" t="s">
        <v>10</v>
      </c>
      <c r="D137" t="s">
        <v>55</v>
      </c>
      <c r="E137" t="s">
        <v>45</v>
      </c>
      <c r="F137" t="s">
        <v>17</v>
      </c>
      <c r="G137" s="2" t="s">
        <v>250</v>
      </c>
      <c r="H137" t="s">
        <v>14</v>
      </c>
      <c r="I137" t="s">
        <v>14</v>
      </c>
    </row>
    <row r="138" spans="1:9" ht="45" x14ac:dyDescent="0.25">
      <c r="A138" t="s">
        <v>9</v>
      </c>
      <c r="B138" t="str">
        <f>HYPERLINK("https://www.sydney.edu.au/scholarships/b/alan-bishop-scholarship.html", "Alan Bishop Scholarship")</f>
        <v>Alan Bishop Scholarship</v>
      </c>
      <c r="C138" t="s">
        <v>10</v>
      </c>
      <c r="D138" t="s">
        <v>23</v>
      </c>
      <c r="E138" t="s">
        <v>56</v>
      </c>
      <c r="F138" t="s">
        <v>21</v>
      </c>
      <c r="G138" s="2" t="s">
        <v>250</v>
      </c>
      <c r="H138" t="s">
        <v>14</v>
      </c>
      <c r="I138" t="s">
        <v>14</v>
      </c>
    </row>
    <row r="139" spans="1:9" ht="45" x14ac:dyDescent="0.25">
      <c r="A139" t="s">
        <v>9</v>
      </c>
      <c r="B139" t="str">
        <f>HYPERLINK("https://www.sydney.edu.au/scholarships/b/alexander-d-strang-scholarship.html", "Alexander D Strang Scholarship in Chemical and Biomolecular Engineering")</f>
        <v>Alexander D Strang Scholarship in Chemical and Biomolecular Engineering</v>
      </c>
      <c r="C139" t="s">
        <v>10</v>
      </c>
      <c r="D139" t="s">
        <v>57</v>
      </c>
      <c r="E139" t="s">
        <v>58</v>
      </c>
      <c r="F139" t="s">
        <v>21</v>
      </c>
      <c r="G139" s="2" t="s">
        <v>250</v>
      </c>
      <c r="H139" t="s">
        <v>14</v>
      </c>
      <c r="I139" t="s">
        <v>14</v>
      </c>
    </row>
    <row r="140" spans="1:9" ht="45" x14ac:dyDescent="0.25">
      <c r="A140" t="s">
        <v>9</v>
      </c>
      <c r="B140" t="str">
        <f>HYPERLINK("https://www.sydney.edu.au/scholarships/b/american-studies-honours-scholarship.html", "American Studies Honours Scholarship")</f>
        <v>American Studies Honours Scholarship</v>
      </c>
      <c r="C140" t="s">
        <v>10</v>
      </c>
      <c r="D140" t="s">
        <v>59</v>
      </c>
      <c r="E140" t="s">
        <v>60</v>
      </c>
      <c r="F140" t="s">
        <v>21</v>
      </c>
      <c r="G140" s="2" t="s">
        <v>250</v>
      </c>
      <c r="H140" t="s">
        <v>14</v>
      </c>
      <c r="I140" t="s">
        <v>14</v>
      </c>
    </row>
    <row r="141" spans="1:9" ht="45" x14ac:dyDescent="0.25">
      <c r="A141" t="s">
        <v>9</v>
      </c>
      <c r="B141" t="str">
        <f>HYPERLINK("https://www.sydney.edu.au/scholarships/b/annie-beatrice-robinson-wilson-mysydney-scholarship.html", "Annie Beatrice Robinson Wilson MySydney Scholarship")</f>
        <v>Annie Beatrice Robinson Wilson MySydney Scholarship</v>
      </c>
      <c r="C141" t="s">
        <v>10</v>
      </c>
      <c r="D141" t="s">
        <v>49</v>
      </c>
      <c r="E141" t="s">
        <v>61</v>
      </c>
      <c r="F141" t="s">
        <v>21</v>
      </c>
      <c r="G141" s="2" t="s">
        <v>250</v>
      </c>
      <c r="H141" t="s">
        <v>14</v>
      </c>
      <c r="I141" t="s">
        <v>14</v>
      </c>
    </row>
    <row r="142" spans="1:9" ht="45" x14ac:dyDescent="0.25">
      <c r="A142" t="s">
        <v>9</v>
      </c>
      <c r="B142" t="str">
        <f>HYPERLINK("https://www.sydney.edu.au/scholarships/b/arts-and-social-sciences-internship-scholarship.html", "Faculty of Arts and Social Sciences Internship Scholarship")</f>
        <v>Faculty of Arts and Social Sciences Internship Scholarship</v>
      </c>
      <c r="C142" t="s">
        <v>10</v>
      </c>
      <c r="D142" t="s">
        <v>22</v>
      </c>
      <c r="E142" t="s">
        <v>62</v>
      </c>
      <c r="F142" t="s">
        <v>13</v>
      </c>
      <c r="G142" s="2" t="s">
        <v>250</v>
      </c>
      <c r="H142" t="s">
        <v>14</v>
      </c>
      <c r="I142" t="s">
        <v>38</v>
      </c>
    </row>
    <row r="143" spans="1:9" ht="45" x14ac:dyDescent="0.25">
      <c r="A143" t="s">
        <v>9</v>
      </c>
      <c r="B143" t="str">
        <f>HYPERLINK("https://www.sydney.edu.au/scholarships/b/automated-proofs-for-tla----vacation-research-internship-program.html", "Automated Proofs for TLA - Vacation Research Internship Program Scholarship")</f>
        <v>Automated Proofs for TLA - Vacation Research Internship Program Scholarship</v>
      </c>
      <c r="C143" t="s">
        <v>10</v>
      </c>
      <c r="D143" t="s">
        <v>33</v>
      </c>
      <c r="E143" t="s">
        <v>12</v>
      </c>
      <c r="F143" t="s">
        <v>13</v>
      </c>
      <c r="G143" s="2" t="s">
        <v>250</v>
      </c>
      <c r="H143" t="s">
        <v>14</v>
      </c>
      <c r="I143" t="s">
        <v>38</v>
      </c>
    </row>
    <row r="144" spans="1:9" ht="45" x14ac:dyDescent="0.25">
      <c r="A144" t="s">
        <v>9</v>
      </c>
      <c r="B144" t="str">
        <f>HYPERLINK("https://www.sydney.edu.au/scholarships/b/bachelor-of-arts-bachelor-of-adv-studies-languages-exchange-scholarship.html", "Bachelor of Arts and Bachelor of Advanced Studies (Languages) Exchange Scholarship")</f>
        <v>Bachelor of Arts and Bachelor of Advanced Studies (Languages) Exchange Scholarship</v>
      </c>
      <c r="C144" t="s">
        <v>10</v>
      </c>
      <c r="D144" t="s">
        <v>22</v>
      </c>
      <c r="E144" t="s">
        <v>63</v>
      </c>
      <c r="F144" t="s">
        <v>21</v>
      </c>
      <c r="G144" s="2" t="s">
        <v>250</v>
      </c>
      <c r="H144" t="s">
        <v>14</v>
      </c>
      <c r="I144" t="s">
        <v>14</v>
      </c>
    </row>
    <row r="145" spans="1:9" ht="45" x14ac:dyDescent="0.25">
      <c r="A145" t="s">
        <v>9</v>
      </c>
      <c r="B145" t="str">
        <f>HYPERLINK("https://www.sydney.edu.au/scholarships/b/bill-melia-hutchinson-scholarship.html", "The Bill and Meila Hutchinson Scholarship")</f>
        <v>The Bill and Meila Hutchinson Scholarship</v>
      </c>
      <c r="C145" t="s">
        <v>10</v>
      </c>
      <c r="D145" t="s">
        <v>49</v>
      </c>
      <c r="E145" t="s">
        <v>12</v>
      </c>
      <c r="F145" t="s">
        <v>21</v>
      </c>
      <c r="G145" s="2" t="s">
        <v>250</v>
      </c>
      <c r="H145" t="s">
        <v>14</v>
      </c>
      <c r="I145" t="s">
        <v>14</v>
      </c>
    </row>
    <row r="146" spans="1:9" ht="45" x14ac:dyDescent="0.25">
      <c r="A146" t="s">
        <v>9</v>
      </c>
      <c r="B146" t="str">
        <f>HYPERLINK("https://www.sydney.edu.au/scholarships/b/bowman-cameron-scholarship.html", "Bowman Cameron Scholarship")</f>
        <v>Bowman Cameron Scholarship</v>
      </c>
      <c r="C146" t="s">
        <v>10</v>
      </c>
      <c r="D146" t="s">
        <v>28</v>
      </c>
      <c r="E146" t="s">
        <v>12</v>
      </c>
      <c r="F146" t="s">
        <v>21</v>
      </c>
      <c r="G146" s="2" t="s">
        <v>250</v>
      </c>
      <c r="H146" t="s">
        <v>14</v>
      </c>
      <c r="I146" t="s">
        <v>14</v>
      </c>
    </row>
    <row r="147" spans="1:9" ht="45" x14ac:dyDescent="0.25">
      <c r="A147" t="s">
        <v>9</v>
      </c>
      <c r="B147" t="str">
        <f>HYPERLINK("https://www.sydney.edu.au/scholarships/b/ca-coghlan-an-littlejohn-scholarship-juris-doctor.html", "CA Coghlan and AN Littlejohn Scholarship for the Juris Doctor")</f>
        <v>CA Coghlan and AN Littlejohn Scholarship for the Juris Doctor</v>
      </c>
      <c r="C147" t="s">
        <v>10</v>
      </c>
      <c r="D147" t="s">
        <v>33</v>
      </c>
      <c r="E147" t="s">
        <v>64</v>
      </c>
      <c r="F147" t="s">
        <v>17</v>
      </c>
      <c r="G147" s="2" t="s">
        <v>250</v>
      </c>
      <c r="H147" t="s">
        <v>14</v>
      </c>
      <c r="I147" t="s">
        <v>14</v>
      </c>
    </row>
    <row r="148" spans="1:9" ht="45" x14ac:dyDescent="0.25">
      <c r="A148" t="s">
        <v>9</v>
      </c>
      <c r="B148" t="str">
        <f>HYPERLINK("https://www.sydney.edu.au/scholarships/b/carlyle-greenwell-honours-scholarship.html", "Carlyle Greenwell Honours Scholarship")</f>
        <v>Carlyle Greenwell Honours Scholarship</v>
      </c>
      <c r="C148" t="s">
        <v>10</v>
      </c>
      <c r="D148" t="s">
        <v>15</v>
      </c>
      <c r="E148" t="s">
        <v>65</v>
      </c>
      <c r="F148" t="s">
        <v>21</v>
      </c>
      <c r="G148" s="2" t="s">
        <v>250</v>
      </c>
      <c r="H148" t="s">
        <v>14</v>
      </c>
      <c r="I148" t="s">
        <v>14</v>
      </c>
    </row>
    <row r="149" spans="1:9" ht="45" x14ac:dyDescent="0.25">
      <c r="A149" t="s">
        <v>9</v>
      </c>
      <c r="B149" t="str">
        <f>HYPERLINK("https://www.sydney.edu.au/scholarships/b/carlyle-greenwell-research-scholarship.html", "Carlyle Greenwell Research Scholarship in Archaeology")</f>
        <v>Carlyle Greenwell Research Scholarship in Archaeology</v>
      </c>
      <c r="C149" t="s">
        <v>10</v>
      </c>
      <c r="D149" t="s">
        <v>29</v>
      </c>
      <c r="E149" t="s">
        <v>66</v>
      </c>
      <c r="F149" t="s">
        <v>17</v>
      </c>
      <c r="G149" s="2" t="s">
        <v>250</v>
      </c>
      <c r="H149" t="s">
        <v>14</v>
      </c>
      <c r="I149" t="s">
        <v>14</v>
      </c>
    </row>
    <row r="150" spans="1:9" ht="45" x14ac:dyDescent="0.25">
      <c r="A150" t="s">
        <v>9</v>
      </c>
      <c r="B150" t="str">
        <f>HYPERLINK("https://www.sydney.edu.au/scholarships/b/carolyn-mcilvenny-scholarship.html", "Carolyn McIlvenny Scholarship")</f>
        <v>Carolyn McIlvenny Scholarship</v>
      </c>
      <c r="C150" t="s">
        <v>10</v>
      </c>
      <c r="D150" t="s">
        <v>15</v>
      </c>
      <c r="E150" t="s">
        <v>12</v>
      </c>
      <c r="F150" t="s">
        <v>21</v>
      </c>
      <c r="G150" s="2" t="s">
        <v>250</v>
      </c>
      <c r="H150" t="s">
        <v>14</v>
      </c>
      <c r="I150" t="s">
        <v>14</v>
      </c>
    </row>
    <row r="151" spans="1:9" ht="45" x14ac:dyDescent="0.25">
      <c r="A151" t="s">
        <v>9</v>
      </c>
      <c r="B151" t="str">
        <f>HYPERLINK("https://www.sydney.edu.au/scholarships/b/charles-herbert-currey-memorial-scholarship-for-honours.html", "Charles Herbert Currey Memorial Scholarship for Honours")</f>
        <v>Charles Herbert Currey Memorial Scholarship for Honours</v>
      </c>
      <c r="C151" t="s">
        <v>10</v>
      </c>
      <c r="D151" t="s">
        <v>28</v>
      </c>
      <c r="E151" t="s">
        <v>67</v>
      </c>
      <c r="F151" t="s">
        <v>21</v>
      </c>
      <c r="G151" s="2" t="s">
        <v>250</v>
      </c>
      <c r="H151" t="s">
        <v>14</v>
      </c>
      <c r="I151" t="s">
        <v>14</v>
      </c>
    </row>
    <row r="152" spans="1:9" ht="135" hidden="1" x14ac:dyDescent="0.25">
      <c r="A152" t="s">
        <v>9</v>
      </c>
      <c r="B152" t="str">
        <f>HYPERLINK("https://www.sydney.edu.au/scholarships/b/charles-herbert-currey-memorial-scholarship-for-lawwithoutwalls-sprint-program.html", "Charles Herbert Currey Memorial Scholarship for LawWithoutWalls Sprint Program")</f>
        <v>Charles Herbert Currey Memorial Scholarship for LawWithoutWalls Sprint Program</v>
      </c>
      <c r="C152" t="s">
        <v>249</v>
      </c>
      <c r="D152" s="7" t="s">
        <v>68</v>
      </c>
      <c r="E152" t="s">
        <v>251</v>
      </c>
      <c r="F152" t="s">
        <v>13</v>
      </c>
      <c r="G152" s="2" t="s">
        <v>284</v>
      </c>
      <c r="H152" t="s">
        <v>14</v>
      </c>
      <c r="I152" t="s">
        <v>14</v>
      </c>
    </row>
    <row r="153" spans="1:9" ht="45" x14ac:dyDescent="0.25">
      <c r="A153" t="s">
        <v>9</v>
      </c>
      <c r="B153" t="str">
        <f>HYPERLINK("https://www.sydney.edu.au/scholarships/b/charles-herbert-currey-memorial-scholarship.html", "Charles Herbert Currey Memorial Scholarship")</f>
        <v>Charles Herbert Currey Memorial Scholarship</v>
      </c>
      <c r="C153" t="s">
        <v>10</v>
      </c>
      <c r="D153" t="s">
        <v>54</v>
      </c>
      <c r="E153" t="s">
        <v>69</v>
      </c>
      <c r="F153" t="s">
        <v>21</v>
      </c>
      <c r="G153" s="2" t="s">
        <v>250</v>
      </c>
      <c r="H153" t="s">
        <v>14</v>
      </c>
      <c r="I153" t="s">
        <v>14</v>
      </c>
    </row>
    <row r="154" spans="1:9" ht="45" x14ac:dyDescent="0.25">
      <c r="A154" t="s">
        <v>9</v>
      </c>
      <c r="B154" t="str">
        <f>HYPERLINK("https://www.sydney.edu.au/scholarships/b/charles-herbert-currey-memorial-scholarship0.html", "Charles Herbert Currey Memorial Scholarship in Law")</f>
        <v>Charles Herbert Currey Memorial Scholarship in Law</v>
      </c>
      <c r="C154" t="s">
        <v>10</v>
      </c>
      <c r="D154" t="s">
        <v>70</v>
      </c>
      <c r="E154" t="s">
        <v>71</v>
      </c>
      <c r="F154" t="s">
        <v>13</v>
      </c>
      <c r="G154" s="2" t="s">
        <v>250</v>
      </c>
      <c r="H154" t="s">
        <v>14</v>
      </c>
      <c r="I154" t="s">
        <v>14</v>
      </c>
    </row>
    <row r="155" spans="1:9" ht="45" x14ac:dyDescent="0.25">
      <c r="A155" t="s">
        <v>9</v>
      </c>
      <c r="B155" t="str">
        <f>HYPERLINK("https://www.sydney.edu.au/scholarships/b/chinese-studies-alumni-bursary.html", "The Chinese Studies Alumni Bursary")</f>
        <v>The Chinese Studies Alumni Bursary</v>
      </c>
      <c r="C155" t="s">
        <v>10</v>
      </c>
      <c r="D155" t="s">
        <v>31</v>
      </c>
      <c r="E155" t="s">
        <v>72</v>
      </c>
      <c r="F155" t="s">
        <v>21</v>
      </c>
      <c r="G155" s="2" t="s">
        <v>250</v>
      </c>
      <c r="H155" t="s">
        <v>14</v>
      </c>
      <c r="I155" t="s">
        <v>14</v>
      </c>
    </row>
    <row r="156" spans="1:9" ht="45" x14ac:dyDescent="0.25">
      <c r="A156" t="s">
        <v>9</v>
      </c>
      <c r="B156" t="str">
        <f>HYPERLINK("https://www.sydney.edu.au/scholarships/b/citadel-prize-in-computer-science.html", "Citadel Securities Prize for Excellence in Computer Science")</f>
        <v>Citadel Securities Prize for Excellence in Computer Science</v>
      </c>
      <c r="C156" t="s">
        <v>10</v>
      </c>
      <c r="D156" t="s">
        <v>26</v>
      </c>
      <c r="E156" t="s">
        <v>73</v>
      </c>
      <c r="F156" t="s">
        <v>21</v>
      </c>
      <c r="G156" s="2" t="s">
        <v>250</v>
      </c>
      <c r="H156" t="s">
        <v>14</v>
      </c>
      <c r="I156" t="s">
        <v>14</v>
      </c>
    </row>
    <row r="157" spans="1:9" ht="45" x14ac:dyDescent="0.25">
      <c r="A157" t="s">
        <v>9</v>
      </c>
      <c r="B157" t="str">
        <f>HYPERLINK("https://www.sydney.edu.au/scholarships/b/clissold-scholarship.html", "The Clissold Scholarship")</f>
        <v>The Clissold Scholarship</v>
      </c>
      <c r="C157" t="s">
        <v>10</v>
      </c>
      <c r="D157" t="s">
        <v>74</v>
      </c>
      <c r="E157" t="s">
        <v>75</v>
      </c>
      <c r="F157" t="s">
        <v>21</v>
      </c>
      <c r="G157" s="2" t="s">
        <v>250</v>
      </c>
      <c r="H157" t="s">
        <v>14</v>
      </c>
      <c r="I157" t="s">
        <v>14</v>
      </c>
    </row>
    <row r="158" spans="1:9" ht="45" x14ac:dyDescent="0.25">
      <c r="A158" t="s">
        <v>9</v>
      </c>
      <c r="B158" t="str">
        <f>HYPERLINK("https://www.sydney.edu.au/scholarships/b/colin-gladstone-harrison-family-scholarship.html", "Colin Gladstone Harrison Family Scholarship")</f>
        <v>Colin Gladstone Harrison Family Scholarship</v>
      </c>
      <c r="C158" t="s">
        <v>10</v>
      </c>
      <c r="D158" t="s">
        <v>31</v>
      </c>
      <c r="E158" t="s">
        <v>76</v>
      </c>
      <c r="F158" t="s">
        <v>13</v>
      </c>
      <c r="G158" s="2" t="s">
        <v>250</v>
      </c>
      <c r="H158" t="s">
        <v>14</v>
      </c>
      <c r="I158" t="s">
        <v>14</v>
      </c>
    </row>
    <row r="159" spans="1:9" ht="45" x14ac:dyDescent="0.25">
      <c r="A159" t="s">
        <v>9</v>
      </c>
      <c r="B159" t="str">
        <f>HYPERLINK("https://www.sydney.edu.au/scholarships/b/commencing-scholarship-in-art-curating-or-museum-and-heritage-st.html", "Commencing Scholarship in Art Curating or Museum and Heritage Studies")</f>
        <v>Commencing Scholarship in Art Curating or Museum and Heritage Studies</v>
      </c>
      <c r="C159" t="s">
        <v>10</v>
      </c>
      <c r="D159" t="s">
        <v>25</v>
      </c>
      <c r="E159" t="s">
        <v>45</v>
      </c>
      <c r="F159" t="s">
        <v>17</v>
      </c>
      <c r="G159" s="2" t="s">
        <v>250</v>
      </c>
      <c r="H159" t="s">
        <v>14</v>
      </c>
      <c r="I159" t="s">
        <v>14</v>
      </c>
    </row>
    <row r="160" spans="1:9" ht="45" x14ac:dyDescent="0.25">
      <c r="A160" t="s">
        <v>9</v>
      </c>
      <c r="B160" t="str">
        <f>HYPERLINK("https://www.sydney.edu.au/scholarships/b/computational-linguistics.html", "Appen Inclusive AI Scholarship in Computational Linguistics")</f>
        <v>Appen Inclusive AI Scholarship in Computational Linguistics</v>
      </c>
      <c r="C160" t="s">
        <v>10</v>
      </c>
      <c r="D160" t="s">
        <v>77</v>
      </c>
      <c r="E160" t="s">
        <v>78</v>
      </c>
      <c r="F160" t="s">
        <v>21</v>
      </c>
      <c r="G160" s="2" t="s">
        <v>250</v>
      </c>
      <c r="H160" t="s">
        <v>14</v>
      </c>
      <c r="I160" t="s">
        <v>14</v>
      </c>
    </row>
    <row r="161" spans="1:9" ht="90" hidden="1" x14ac:dyDescent="0.25">
      <c r="A161" t="s">
        <v>9</v>
      </c>
      <c r="B161" t="str">
        <f>HYPERLINK("https://www.sydney.edu.au/scholarships/b/david-burnett-memorial-scholarship.html", "The David Burnett Memorial Scholarship in Social Justice")</f>
        <v>The David Burnett Memorial Scholarship in Social Justice</v>
      </c>
      <c r="C161" t="s">
        <v>249</v>
      </c>
      <c r="D161" s="8">
        <v>6000</v>
      </c>
      <c r="E161" t="s">
        <v>251</v>
      </c>
      <c r="F161" t="s">
        <v>13</v>
      </c>
      <c r="G161" s="2" t="s">
        <v>285</v>
      </c>
      <c r="H161" t="s">
        <v>14</v>
      </c>
      <c r="I161" t="s">
        <v>14</v>
      </c>
    </row>
    <row r="162" spans="1:9" ht="45" x14ac:dyDescent="0.25">
      <c r="A162" t="s">
        <v>9</v>
      </c>
      <c r="B162" t="str">
        <f>HYPERLINK("https://www.sydney.edu.au/scholarships/b/david-stuart-hicks-scholarship.html", "The David Stuart Hicks Scholarship")</f>
        <v>The David Stuart Hicks Scholarship</v>
      </c>
      <c r="C162" t="s">
        <v>10</v>
      </c>
      <c r="D162" t="s">
        <v>23</v>
      </c>
      <c r="E162" t="s">
        <v>12</v>
      </c>
      <c r="F162" t="s">
        <v>21</v>
      </c>
      <c r="G162" s="2" t="s">
        <v>250</v>
      </c>
      <c r="H162" t="s">
        <v>14</v>
      </c>
      <c r="I162" t="s">
        <v>14</v>
      </c>
    </row>
    <row r="163" spans="1:9" ht="45" x14ac:dyDescent="0.25">
      <c r="A163" t="s">
        <v>9</v>
      </c>
      <c r="B163" t="str">
        <f>HYPERLINK("https://www.sydney.edu.au/scholarships/b/david-w-johnson-mysydney-scholarship.html", "David W Johnson MySydney Scholarship")</f>
        <v>David W Johnson MySydney Scholarship</v>
      </c>
      <c r="C163" t="s">
        <v>10</v>
      </c>
      <c r="D163" t="s">
        <v>49</v>
      </c>
      <c r="E163" t="s">
        <v>61</v>
      </c>
      <c r="F163" t="s">
        <v>21</v>
      </c>
      <c r="G163" s="2" t="s">
        <v>250</v>
      </c>
      <c r="H163" t="s">
        <v>14</v>
      </c>
      <c r="I163" t="s">
        <v>14</v>
      </c>
    </row>
    <row r="164" spans="1:9" ht="45" x14ac:dyDescent="0.25">
      <c r="A164" t="s">
        <v>9</v>
      </c>
      <c r="B164" t="str">
        <f>HYPERLINK("https://www.sydney.edu.au/scholarships/b/dr-mary-booth-scholarship.html", "Dr Mary Booth Scholarship")</f>
        <v>Dr Mary Booth Scholarship</v>
      </c>
      <c r="C164" t="s">
        <v>10</v>
      </c>
      <c r="D164" t="s">
        <v>49</v>
      </c>
      <c r="E164" t="s">
        <v>79</v>
      </c>
      <c r="F164" t="s">
        <v>21</v>
      </c>
      <c r="G164" s="2" t="s">
        <v>250</v>
      </c>
      <c r="H164" t="s">
        <v>14</v>
      </c>
      <c r="I164" t="s">
        <v>14</v>
      </c>
    </row>
    <row r="165" spans="1:9" ht="45" x14ac:dyDescent="0.25">
      <c r="A165" t="s">
        <v>9</v>
      </c>
      <c r="B165" t="str">
        <f>HYPERLINK("https://www.sydney.edu.au/scholarships/b/elizabeth-brennan-scholarship.html", "Elizabeth Brennan Scholarship")</f>
        <v>Elizabeth Brennan Scholarship</v>
      </c>
      <c r="C165" t="s">
        <v>10</v>
      </c>
      <c r="D165" t="s">
        <v>25</v>
      </c>
      <c r="E165" t="s">
        <v>80</v>
      </c>
      <c r="F165" t="s">
        <v>17</v>
      </c>
      <c r="G165" s="2" t="s">
        <v>250</v>
      </c>
      <c r="H165" t="s">
        <v>14</v>
      </c>
      <c r="I165" t="s">
        <v>14</v>
      </c>
    </row>
    <row r="166" spans="1:9" ht="45" x14ac:dyDescent="0.25">
      <c r="A166" t="s">
        <v>9</v>
      </c>
      <c r="B166" t="str">
        <f>HYPERLINK("https://www.sydney.edu.au/scholarships/b/engineering-academic-excellence-scholarship.html", "Engineering Academic Excellence Scholarship")</f>
        <v>Engineering Academic Excellence Scholarship</v>
      </c>
      <c r="C166" t="s">
        <v>10</v>
      </c>
      <c r="D166" t="s">
        <v>68</v>
      </c>
      <c r="E166" t="s">
        <v>12</v>
      </c>
      <c r="F166" t="s">
        <v>13</v>
      </c>
      <c r="G166" s="2" t="s">
        <v>250</v>
      </c>
      <c r="H166" t="s">
        <v>14</v>
      </c>
      <c r="I166" t="s">
        <v>14</v>
      </c>
    </row>
    <row r="167" spans="1:9" ht="45" x14ac:dyDescent="0.25">
      <c r="A167" t="s">
        <v>9</v>
      </c>
      <c r="B167" t="str">
        <f>HYPERLINK("https://www.sydney.edu.au/scholarships/b/engineering-access-scholarship.html", "Engineering Access Scholarship")</f>
        <v>Engineering Access Scholarship</v>
      </c>
      <c r="C167" t="s">
        <v>10</v>
      </c>
      <c r="D167" t="s">
        <v>68</v>
      </c>
      <c r="E167" t="s">
        <v>12</v>
      </c>
      <c r="F167" t="s">
        <v>13</v>
      </c>
      <c r="G167" s="2" t="s">
        <v>250</v>
      </c>
      <c r="H167" t="s">
        <v>14</v>
      </c>
      <c r="I167" t="s">
        <v>14</v>
      </c>
    </row>
    <row r="168" spans="1:9" ht="60" hidden="1" x14ac:dyDescent="0.25">
      <c r="A168" t="s">
        <v>9</v>
      </c>
      <c r="B168" t="str">
        <f>HYPERLINK("https://www.sydney.edu.au/scholarships/b/engineering-sydney-industry-placement-scholarship.html", "Engineering Sydney Industry Placement Scholarship")</f>
        <v>Engineering Sydney Industry Placement Scholarship</v>
      </c>
      <c r="C168" t="s">
        <v>249</v>
      </c>
      <c r="D168" s="7" t="s">
        <v>81</v>
      </c>
      <c r="E168" t="s">
        <v>252</v>
      </c>
      <c r="F168" t="s">
        <v>13</v>
      </c>
      <c r="G168" s="2" t="s">
        <v>286</v>
      </c>
      <c r="H168" t="s">
        <v>14</v>
      </c>
      <c r="I168" t="s">
        <v>38</v>
      </c>
    </row>
    <row r="169" spans="1:9" ht="45" x14ac:dyDescent="0.25">
      <c r="A169" t="s">
        <v>9</v>
      </c>
      <c r="B169" t="str">
        <f>HYPERLINK("https://www.sydney.edu.au/scholarships/b/engineering-undergraduate-merit-scholarships.html", "Engineering Undergraduate Merit Scholarships")</f>
        <v>Engineering Undergraduate Merit Scholarships</v>
      </c>
      <c r="C169" t="s">
        <v>10</v>
      </c>
      <c r="D169" t="s">
        <v>25</v>
      </c>
      <c r="E169" t="s">
        <v>82</v>
      </c>
      <c r="F169" t="s">
        <v>21</v>
      </c>
      <c r="G169" s="2" t="s">
        <v>250</v>
      </c>
      <c r="H169" t="s">
        <v>14</v>
      </c>
      <c r="I169" t="s">
        <v>14</v>
      </c>
    </row>
    <row r="170" spans="1:9" ht="45" x14ac:dyDescent="0.25">
      <c r="A170" t="s">
        <v>9</v>
      </c>
      <c r="B170" t="str">
        <f>HYPERLINK("https://www.sydney.edu.au/scholarships/b/engineering-vacation-research-internship-program-accelerated-sch.html", "Engineering Vacation Research Internship Program Accelerated Scholarship")</f>
        <v>Engineering Vacation Research Internship Program Accelerated Scholarship</v>
      </c>
      <c r="C170" t="s">
        <v>10</v>
      </c>
      <c r="D170" t="s">
        <v>83</v>
      </c>
      <c r="E170" t="s">
        <v>12</v>
      </c>
      <c r="F170" t="s">
        <v>13</v>
      </c>
      <c r="G170" s="2" t="s">
        <v>250</v>
      </c>
      <c r="H170" t="s">
        <v>14</v>
      </c>
      <c r="I170" t="s">
        <v>38</v>
      </c>
    </row>
    <row r="171" spans="1:9" ht="45" x14ac:dyDescent="0.25">
      <c r="A171" t="s">
        <v>9</v>
      </c>
      <c r="B171" t="str">
        <f>HYPERLINK("https://www.sydney.edu.au/scholarships/b/engineering-vacation-research-internship-program.html", "Engineering Vacation Research Internship Program Scholarship")</f>
        <v>Engineering Vacation Research Internship Program Scholarship</v>
      </c>
      <c r="C171" t="s">
        <v>10</v>
      </c>
      <c r="D171" t="s">
        <v>28</v>
      </c>
      <c r="E171" t="s">
        <v>84</v>
      </c>
      <c r="F171" t="s">
        <v>13</v>
      </c>
      <c r="G171" s="2" t="s">
        <v>250</v>
      </c>
      <c r="H171" t="s">
        <v>14</v>
      </c>
      <c r="I171" t="s">
        <v>38</v>
      </c>
    </row>
    <row r="172" spans="1:9" ht="75" hidden="1" x14ac:dyDescent="0.25">
      <c r="A172" t="s">
        <v>9</v>
      </c>
      <c r="B172" t="str">
        <f>HYPERLINK("https://www.sydney.edu.au/scholarships/b/equity-scholarships-history.html", "Undergraduate Equity Scholarships in History")</f>
        <v>Undergraduate Equity Scholarships in History</v>
      </c>
      <c r="C172" t="s">
        <v>270</v>
      </c>
      <c r="D172" s="7" t="s">
        <v>22</v>
      </c>
      <c r="E172" t="s">
        <v>254</v>
      </c>
      <c r="F172" t="s">
        <v>21</v>
      </c>
      <c r="G172" s="2" t="s">
        <v>287</v>
      </c>
      <c r="H172" t="s">
        <v>14</v>
      </c>
      <c r="I172" t="s">
        <v>14</v>
      </c>
    </row>
    <row r="173" spans="1:9" ht="90" hidden="1" x14ac:dyDescent="0.25">
      <c r="A173" t="s">
        <v>9</v>
      </c>
      <c r="B173" t="str">
        <f>HYPERLINK("https://www.sydney.edu.au/scholarships/b/eric-cunstance-shaw-scholarship.html", "Eric Cunstance Shaw Scholarship")</f>
        <v>Eric Cunstance Shaw Scholarship</v>
      </c>
      <c r="C173" t="s">
        <v>249</v>
      </c>
      <c r="D173" s="8">
        <v>7000</v>
      </c>
      <c r="E173" t="s">
        <v>251</v>
      </c>
      <c r="F173" t="s">
        <v>13</v>
      </c>
      <c r="G173" s="2" t="s">
        <v>288</v>
      </c>
      <c r="H173" t="s">
        <v>14</v>
      </c>
      <c r="I173" t="s">
        <v>14</v>
      </c>
    </row>
    <row r="174" spans="1:9" ht="45" x14ac:dyDescent="0.25">
      <c r="A174" t="s">
        <v>9</v>
      </c>
      <c r="B174" t="str">
        <f>HYPERLINK("https://www.sydney.edu.au/scholarships/b/faculty-of-engineering-postgraduate-merit-scholarship.html", "Faculty of Engineering Postgraduate Merit Scholarship")</f>
        <v>Faculty of Engineering Postgraduate Merit Scholarship</v>
      </c>
      <c r="C174" t="s">
        <v>10</v>
      </c>
      <c r="D174" t="s">
        <v>25</v>
      </c>
      <c r="E174" t="s">
        <v>85</v>
      </c>
      <c r="F174" t="s">
        <v>17</v>
      </c>
      <c r="G174" s="2" t="s">
        <v>250</v>
      </c>
      <c r="H174" t="s">
        <v>14</v>
      </c>
      <c r="I174" t="s">
        <v>14</v>
      </c>
    </row>
    <row r="175" spans="1:9" ht="45" x14ac:dyDescent="0.25">
      <c r="A175" t="s">
        <v>9</v>
      </c>
      <c r="B175" t="str">
        <f>HYPERLINK("https://www.sydney.edu.au/scholarships/b/faculty-of-engineering-women-in-engineering-excellence-scholarsh.html", "Faculty of Engineering Women in Engineering Excellence Scholarship")</f>
        <v>Faculty of Engineering Women in Engineering Excellence Scholarship</v>
      </c>
      <c r="C175" t="s">
        <v>10</v>
      </c>
      <c r="D175" t="s">
        <v>86</v>
      </c>
      <c r="E175" t="s">
        <v>87</v>
      </c>
      <c r="F175" t="s">
        <v>21</v>
      </c>
      <c r="G175" s="2" t="s">
        <v>250</v>
      </c>
      <c r="H175" t="s">
        <v>14</v>
      </c>
      <c r="I175" t="s">
        <v>14</v>
      </c>
    </row>
    <row r="176" spans="1:9" ht="45" x14ac:dyDescent="0.25">
      <c r="A176" t="s">
        <v>9</v>
      </c>
      <c r="B176" t="str">
        <f>HYPERLINK("https://www.sydney.edu.au/scholarships/b/faculty-of-engineering-women-in-engineering-scholarship.html", "Faculty of Engineering Women in Engineering Scholarship")</f>
        <v>Faculty of Engineering Women in Engineering Scholarship</v>
      </c>
      <c r="C176" t="s">
        <v>10</v>
      </c>
      <c r="D176" t="s">
        <v>25</v>
      </c>
      <c r="E176" t="s">
        <v>88</v>
      </c>
      <c r="F176" t="s">
        <v>21</v>
      </c>
      <c r="G176" s="2" t="s">
        <v>250</v>
      </c>
      <c r="H176" t="s">
        <v>14</v>
      </c>
      <c r="I176" t="s">
        <v>14</v>
      </c>
    </row>
    <row r="177" spans="1:9" ht="45" x14ac:dyDescent="0.25">
      <c r="A177" t="s">
        <v>9</v>
      </c>
      <c r="B177" t="str">
        <f>HYPERLINK("https://www.sydney.edu.au/scholarships/b/formalising-distributed-algorithms-in-lean---summer-vacation-pro.html", "Formalising Distributed Algorithms in Lean – Vacation Research Internship Program Scholarship")</f>
        <v>Formalising Distributed Algorithms in Lean – Vacation Research Internship Program Scholarship</v>
      </c>
      <c r="C177" t="s">
        <v>10</v>
      </c>
      <c r="D177" t="s">
        <v>33</v>
      </c>
      <c r="E177" t="s">
        <v>12</v>
      </c>
      <c r="F177" t="s">
        <v>13</v>
      </c>
      <c r="G177" s="2" t="s">
        <v>250</v>
      </c>
      <c r="H177" t="s">
        <v>14</v>
      </c>
      <c r="I177" t="s">
        <v>38</v>
      </c>
    </row>
    <row r="178" spans="1:9" ht="45" x14ac:dyDescent="0.25">
      <c r="A178" t="s">
        <v>9</v>
      </c>
      <c r="B178" t="str">
        <f>HYPERLINK("https://www.sydney.edu.au/scholarships/b/frances-marion-smith-scholarship.html", "Frances Marion Smith Scholarship in Civil Engineering")</f>
        <v>Frances Marion Smith Scholarship in Civil Engineering</v>
      </c>
      <c r="C178" t="s">
        <v>10</v>
      </c>
      <c r="D178" t="s">
        <v>33</v>
      </c>
      <c r="E178" t="s">
        <v>89</v>
      </c>
      <c r="F178" t="s">
        <v>21</v>
      </c>
      <c r="G178" s="2" t="s">
        <v>250</v>
      </c>
      <c r="H178" t="s">
        <v>14</v>
      </c>
      <c r="I178" t="s">
        <v>14</v>
      </c>
    </row>
    <row r="179" spans="1:9" ht="45" x14ac:dyDescent="0.25">
      <c r="A179" t="s">
        <v>9</v>
      </c>
      <c r="B179" t="str">
        <f>HYPERLINK("https://www.sydney.edu.au/scholarships/b/frank-mcdonald-memorial-fund.html", "Frank McDonald Memorial Fund")</f>
        <v>Frank McDonald Memorial Fund</v>
      </c>
      <c r="C179" t="s">
        <v>10</v>
      </c>
      <c r="D179" t="s">
        <v>41</v>
      </c>
      <c r="E179" t="s">
        <v>90</v>
      </c>
      <c r="F179" t="s">
        <v>21</v>
      </c>
      <c r="G179" s="2" t="s">
        <v>250</v>
      </c>
      <c r="H179" t="s">
        <v>14</v>
      </c>
      <c r="I179" t="s">
        <v>14</v>
      </c>
    </row>
    <row r="180" spans="1:9" ht="45" x14ac:dyDescent="0.25">
      <c r="A180" t="s">
        <v>9</v>
      </c>
      <c r="B180" t="str">
        <f>HYPERLINK("https://www.sydney.edu.au/scholarships/b/garton-scholarship-2-french.html", "Garton Scholarship No II for French")</f>
        <v>Garton Scholarship No II for French</v>
      </c>
      <c r="C180" t="s">
        <v>10</v>
      </c>
      <c r="D180" t="s">
        <v>22</v>
      </c>
      <c r="E180" t="s">
        <v>12</v>
      </c>
      <c r="F180" t="s">
        <v>21</v>
      </c>
      <c r="G180" s="2" t="s">
        <v>250</v>
      </c>
      <c r="H180" t="s">
        <v>14</v>
      </c>
      <c r="I180" t="s">
        <v>14</v>
      </c>
    </row>
    <row r="181" spans="1:9" ht="45" x14ac:dyDescent="0.25">
      <c r="A181" t="s">
        <v>9</v>
      </c>
      <c r="B181" t="str">
        <f>HYPERLINK("https://www.sydney.edu.au/scholarships/b/garton-scholarship-no-I-for-french.html", "Garton Scholarship No I for French")</f>
        <v>Garton Scholarship No I for French</v>
      </c>
      <c r="C181" t="s">
        <v>10</v>
      </c>
      <c r="D181" t="s">
        <v>22</v>
      </c>
      <c r="E181" t="s">
        <v>91</v>
      </c>
      <c r="F181" t="s">
        <v>21</v>
      </c>
      <c r="G181" s="2" t="s">
        <v>250</v>
      </c>
      <c r="H181" t="s">
        <v>14</v>
      </c>
      <c r="I181" t="s">
        <v>14</v>
      </c>
    </row>
    <row r="182" spans="1:9" ht="45" x14ac:dyDescent="0.25">
      <c r="A182" t="s">
        <v>9</v>
      </c>
      <c r="B182" t="str">
        <f>HYPERLINK("https://www.sydney.edu.au/scholarships/b/garton-scholarship-no-iv-for-german.html", "Garton Scholarship No IV for German")</f>
        <v>Garton Scholarship No IV for German</v>
      </c>
      <c r="C182" t="s">
        <v>10</v>
      </c>
      <c r="D182" t="s">
        <v>28</v>
      </c>
      <c r="E182" t="s">
        <v>91</v>
      </c>
      <c r="F182" t="s">
        <v>21</v>
      </c>
      <c r="G182" s="2" t="s">
        <v>250</v>
      </c>
      <c r="H182" t="s">
        <v>14</v>
      </c>
      <c r="I182" t="s">
        <v>14</v>
      </c>
    </row>
    <row r="183" spans="1:9" ht="45" x14ac:dyDescent="0.25">
      <c r="A183" t="s">
        <v>9</v>
      </c>
      <c r="B183" t="str">
        <f>HYPERLINK("https://www.sydney.edu.au/scholarships/b/garton-scholarship-no-v-for-german.html", "Garton Scholarship No V for German")</f>
        <v>Garton Scholarship No V for German</v>
      </c>
      <c r="C183" t="s">
        <v>10</v>
      </c>
      <c r="D183" t="s">
        <v>28</v>
      </c>
      <c r="E183" t="s">
        <v>92</v>
      </c>
      <c r="F183" t="s">
        <v>21</v>
      </c>
      <c r="G183" s="2" t="s">
        <v>250</v>
      </c>
      <c r="H183" t="s">
        <v>14</v>
      </c>
      <c r="I183" t="s">
        <v>14</v>
      </c>
    </row>
    <row r="184" spans="1:9" ht="45" x14ac:dyDescent="0.25">
      <c r="A184" t="s">
        <v>9</v>
      </c>
      <c r="B184" t="str">
        <f>HYPERLINK("https://www.sydney.edu.au/scholarships/b/helen-sham-ho-encouragement-scholarship.html", "Helen Sham Ho Encouragement Scholarship")</f>
        <v>Helen Sham Ho Encouragement Scholarship</v>
      </c>
      <c r="C184" t="s">
        <v>10</v>
      </c>
      <c r="D184" t="s">
        <v>74</v>
      </c>
      <c r="E184" t="s">
        <v>12</v>
      </c>
      <c r="F184" t="s">
        <v>17</v>
      </c>
      <c r="G184" s="2" t="s">
        <v>250</v>
      </c>
      <c r="H184" t="s">
        <v>14</v>
      </c>
      <c r="I184" t="s">
        <v>14</v>
      </c>
    </row>
    <row r="185" spans="1:9" ht="45" x14ac:dyDescent="0.25">
      <c r="A185" t="s">
        <v>9</v>
      </c>
      <c r="B185" t="str">
        <f>HYPERLINK("https://www.sydney.edu.au/scholarships/b/honours-scholarship-french-francophone-studies-germanic-studies.html", "Emilie M Schweitzer Scholarship in French and Germanic Studies")</f>
        <v>Emilie M Schweitzer Scholarship in French and Germanic Studies</v>
      </c>
      <c r="C185" t="s">
        <v>10</v>
      </c>
      <c r="D185" t="s">
        <v>77</v>
      </c>
      <c r="E185" t="s">
        <v>93</v>
      </c>
      <c r="F185" t="s">
        <v>21</v>
      </c>
      <c r="G185" s="2" t="s">
        <v>250</v>
      </c>
      <c r="H185" t="s">
        <v>14</v>
      </c>
      <c r="I185" t="s">
        <v>14</v>
      </c>
    </row>
    <row r="186" spans="1:9" ht="45" x14ac:dyDescent="0.25">
      <c r="A186" t="s">
        <v>9</v>
      </c>
      <c r="B186" t="str">
        <f>HYPERLINK("https://www.sydney.edu.au/scholarships/b/hume-meller-engineering-scholarship.html", "Hume Meller Engineering Scholarship")</f>
        <v>Hume Meller Engineering Scholarship</v>
      </c>
      <c r="C186" t="s">
        <v>10</v>
      </c>
      <c r="D186" t="s">
        <v>94</v>
      </c>
      <c r="E186" t="s">
        <v>95</v>
      </c>
      <c r="F186" t="s">
        <v>21</v>
      </c>
      <c r="G186" s="2" t="s">
        <v>250</v>
      </c>
      <c r="H186" t="s">
        <v>14</v>
      </c>
      <c r="I186" t="s">
        <v>14</v>
      </c>
    </row>
    <row r="187" spans="1:9" ht="45" x14ac:dyDescent="0.25">
      <c r="A187" t="s">
        <v>9</v>
      </c>
      <c r="B187" t="str">
        <f>HYPERLINK("https://www.sydney.edu.au/scholarships/b/international-grammar-school-scholarship.html", "International Grammar School Independent School Scholarship")</f>
        <v>International Grammar School Independent School Scholarship</v>
      </c>
      <c r="C187" t="s">
        <v>10</v>
      </c>
      <c r="D187" t="s">
        <v>15</v>
      </c>
      <c r="E187" t="s">
        <v>96</v>
      </c>
      <c r="F187" t="s">
        <v>13</v>
      </c>
      <c r="G187" s="2" t="s">
        <v>250</v>
      </c>
      <c r="H187" t="s">
        <v>14</v>
      </c>
      <c r="I187" t="s">
        <v>14</v>
      </c>
    </row>
    <row r="188" spans="1:9" ht="45" x14ac:dyDescent="0.25">
      <c r="A188" t="s">
        <v>9</v>
      </c>
      <c r="B188" t="str">
        <f>HYPERLINK("https://www.sydney.edu.au/scholarships/b/isabel-mary-tangie-mysydney-scholarship.html", "Isabel Mary Tangie MySydney Scholarship")</f>
        <v>Isabel Mary Tangie MySydney Scholarship</v>
      </c>
      <c r="C188" t="s">
        <v>10</v>
      </c>
      <c r="D188" t="s">
        <v>15</v>
      </c>
      <c r="E188" t="s">
        <v>61</v>
      </c>
      <c r="F188" t="s">
        <v>21</v>
      </c>
      <c r="G188" s="2" t="s">
        <v>250</v>
      </c>
      <c r="H188" t="s">
        <v>14</v>
      </c>
      <c r="I188" t="s">
        <v>14</v>
      </c>
    </row>
    <row r="189" spans="1:9" ht="45" x14ac:dyDescent="0.25">
      <c r="A189" t="s">
        <v>9</v>
      </c>
      <c r="B189" t="str">
        <f>HYPERLINK("https://www.sydney.edu.au/scholarships/b/ivan-roberts-scholarship.html", "Ivan Roberts Scholarship")</f>
        <v>Ivan Roberts Scholarship</v>
      </c>
      <c r="C189" t="s">
        <v>10</v>
      </c>
      <c r="D189" t="s">
        <v>32</v>
      </c>
      <c r="E189" t="s">
        <v>97</v>
      </c>
      <c r="F189" t="s">
        <v>17</v>
      </c>
      <c r="G189" s="2" t="s">
        <v>250</v>
      </c>
      <c r="H189" t="s">
        <v>14</v>
      </c>
      <c r="I189" t="s">
        <v>14</v>
      </c>
    </row>
    <row r="190" spans="1:9" ht="45" x14ac:dyDescent="0.25">
      <c r="A190" t="s">
        <v>9</v>
      </c>
      <c r="B190" t="str">
        <f>HYPERLINK("https://www.sydney.edu.au/scholarships/b/james-moya-kilgannon-scholarship.html", "James and Moya Kilgannon Scholarship")</f>
        <v>James and Moya Kilgannon Scholarship</v>
      </c>
      <c r="C190" t="s">
        <v>10</v>
      </c>
      <c r="D190" t="s">
        <v>25</v>
      </c>
      <c r="E190" t="s">
        <v>98</v>
      </c>
      <c r="F190" t="s">
        <v>21</v>
      </c>
      <c r="G190" s="2" t="s">
        <v>250</v>
      </c>
      <c r="H190" t="s">
        <v>14</v>
      </c>
      <c r="I190" t="s">
        <v>14</v>
      </c>
    </row>
    <row r="191" spans="1:9" ht="45" x14ac:dyDescent="0.25">
      <c r="A191" t="s">
        <v>9</v>
      </c>
      <c r="B191" t="str">
        <f>HYPERLINK("https://www.sydney.edu.au/scholarships/b/james-strong-dymocks-scholarship.html", "James Strong-Dymocks Scholarship for Australian Literature")</f>
        <v>James Strong-Dymocks Scholarship for Australian Literature</v>
      </c>
      <c r="C191" t="s">
        <v>10</v>
      </c>
      <c r="D191" t="s">
        <v>86</v>
      </c>
      <c r="E191" t="s">
        <v>99</v>
      </c>
      <c r="F191" t="s">
        <v>21</v>
      </c>
      <c r="G191" s="2" t="s">
        <v>250</v>
      </c>
      <c r="H191" t="s">
        <v>14</v>
      </c>
      <c r="I191" t="s">
        <v>14</v>
      </c>
    </row>
    <row r="192" spans="1:9" ht="45" x14ac:dyDescent="0.25">
      <c r="A192" t="s">
        <v>9</v>
      </c>
      <c r="B192" t="str">
        <f>HYPERLINK("https://www.sydney.edu.au/scholarships/b/janet-oconnor-scholarship.html", "Janet O'Connor Postgraduate Scholarship")</f>
        <v>Janet O'Connor Postgraduate Scholarship</v>
      </c>
      <c r="C192" t="s">
        <v>10</v>
      </c>
      <c r="D192" t="s">
        <v>27</v>
      </c>
      <c r="E192" t="s">
        <v>100</v>
      </c>
      <c r="F192" t="s">
        <v>17</v>
      </c>
      <c r="G192" s="2" t="s">
        <v>250</v>
      </c>
      <c r="H192" t="s">
        <v>14</v>
      </c>
      <c r="I192" t="s">
        <v>14</v>
      </c>
    </row>
    <row r="193" spans="1:9" ht="45" x14ac:dyDescent="0.25">
      <c r="A193" t="s">
        <v>9</v>
      </c>
      <c r="B193" t="str">
        <f>HYPERLINK("https://www.sydney.edu.au/scholarships/b/jerome-de-costa-memorial-awards.html", "The Jerome De Costa Memorial Awards")</f>
        <v>The Jerome De Costa Memorial Awards</v>
      </c>
      <c r="C193" t="s">
        <v>10</v>
      </c>
      <c r="D193" t="s">
        <v>41</v>
      </c>
      <c r="E193" t="s">
        <v>101</v>
      </c>
      <c r="F193" t="s">
        <v>21</v>
      </c>
      <c r="G193" s="2" t="s">
        <v>250</v>
      </c>
      <c r="H193" t="s">
        <v>14</v>
      </c>
      <c r="I193" t="s">
        <v>14</v>
      </c>
    </row>
    <row r="194" spans="1:9" ht="45" x14ac:dyDescent="0.25">
      <c r="A194" t="s">
        <v>9</v>
      </c>
      <c r="B194" t="str">
        <f>HYPERLINK("https://www.sydney.edu.au/scholarships/b/jerome-de-costa-memorial-bursary.html", "The Jerome De Costa Memorial Bachelor of Visual Arts Degree Show Bursary")</f>
        <v>The Jerome De Costa Memorial Bachelor of Visual Arts Degree Show Bursary</v>
      </c>
      <c r="C194" t="s">
        <v>10</v>
      </c>
      <c r="D194" t="s">
        <v>28</v>
      </c>
      <c r="E194" t="s">
        <v>12</v>
      </c>
      <c r="F194" t="s">
        <v>21</v>
      </c>
      <c r="G194" s="2" t="s">
        <v>250</v>
      </c>
      <c r="H194" t="s">
        <v>14</v>
      </c>
      <c r="I194" t="s">
        <v>14</v>
      </c>
    </row>
    <row r="195" spans="1:9" ht="45" x14ac:dyDescent="0.25">
      <c r="A195" t="s">
        <v>9</v>
      </c>
      <c r="B195" t="str">
        <f>HYPERLINK("https://www.sydney.edu.au/scholarships/b/john-frazer-scholarship.html", "John Frazer Scholarship")</f>
        <v>John Frazer Scholarship</v>
      </c>
      <c r="C195" t="s">
        <v>10</v>
      </c>
      <c r="D195" t="s">
        <v>22</v>
      </c>
      <c r="E195" t="s">
        <v>102</v>
      </c>
      <c r="F195" t="s">
        <v>17</v>
      </c>
      <c r="G195" s="2" t="s">
        <v>250</v>
      </c>
      <c r="H195" t="s">
        <v>14</v>
      </c>
      <c r="I195" t="s">
        <v>14</v>
      </c>
    </row>
    <row r="196" spans="1:9" ht="45" x14ac:dyDescent="0.25">
      <c r="A196" t="s">
        <v>9</v>
      </c>
      <c r="B196" t="str">
        <f>HYPERLINK("https://www.sydney.edu.au/scholarships/b/john-obrien-memorial-coursework-scholarships.html", "John O'Brien Memorial Coursework Scholarships")</f>
        <v>John O'Brien Memorial Coursework Scholarships</v>
      </c>
      <c r="C196" t="s">
        <v>10</v>
      </c>
      <c r="D196" t="s">
        <v>25</v>
      </c>
      <c r="E196" t="s">
        <v>103</v>
      </c>
      <c r="F196" t="s">
        <v>17</v>
      </c>
      <c r="G196" s="2" t="s">
        <v>250</v>
      </c>
      <c r="H196" t="s">
        <v>14</v>
      </c>
      <c r="I196" t="s">
        <v>14</v>
      </c>
    </row>
    <row r="197" spans="1:9" ht="45" x14ac:dyDescent="0.25">
      <c r="A197" t="s">
        <v>9</v>
      </c>
      <c r="B197" t="str">
        <f>HYPERLINK("https://www.sydney.edu.au/scholarships/b/john-rector-scholarship-in-jewish-studies.html", "John Rector Scholarship in Jewish Studies")</f>
        <v>John Rector Scholarship in Jewish Studies</v>
      </c>
      <c r="C197" t="s">
        <v>10</v>
      </c>
      <c r="D197" t="s">
        <v>31</v>
      </c>
      <c r="E197" t="s">
        <v>104</v>
      </c>
      <c r="F197" t="s">
        <v>17</v>
      </c>
      <c r="G197" s="2" t="s">
        <v>250</v>
      </c>
      <c r="H197" t="s">
        <v>14</v>
      </c>
      <c r="I197" t="s">
        <v>14</v>
      </c>
    </row>
    <row r="198" spans="1:9" ht="45" x14ac:dyDescent="0.25">
      <c r="A198" t="s">
        <v>9</v>
      </c>
      <c r="B198" t="str">
        <f>HYPERLINK("https://www.sydney.edu.au/scholarships/b/jolanda-allen-indonesian-studies-scholarship.html", "Jolanda Allen Indonesian Studies Scholarship")</f>
        <v>Jolanda Allen Indonesian Studies Scholarship</v>
      </c>
      <c r="C198" t="s">
        <v>10</v>
      </c>
      <c r="D198" t="s">
        <v>83</v>
      </c>
      <c r="E198" t="s">
        <v>105</v>
      </c>
      <c r="F198" t="s">
        <v>21</v>
      </c>
      <c r="G198" s="2" t="s">
        <v>250</v>
      </c>
      <c r="H198" t="s">
        <v>14</v>
      </c>
      <c r="I198" t="s">
        <v>14</v>
      </c>
    </row>
    <row r="199" spans="1:9" ht="45" x14ac:dyDescent="0.25">
      <c r="A199" t="s">
        <v>9</v>
      </c>
      <c r="B199" t="str">
        <f>HYPERLINK("https://www.sydney.edu.au/scholarships/b/judge-j-ralph-j-perdriau-practical-legal-training-scholarship-fo.html", "Judge Ralph J Perdriau Practical Legal Training Scholarship for Marrickville Legal Centre")</f>
        <v>Judge Ralph J Perdriau Practical Legal Training Scholarship for Marrickville Legal Centre</v>
      </c>
      <c r="C199" t="s">
        <v>10</v>
      </c>
      <c r="D199" t="s">
        <v>29</v>
      </c>
      <c r="E199" t="s">
        <v>106</v>
      </c>
      <c r="F199" t="s">
        <v>13</v>
      </c>
      <c r="G199" s="2" t="s">
        <v>250</v>
      </c>
      <c r="H199" t="s">
        <v>14</v>
      </c>
      <c r="I199" t="s">
        <v>14</v>
      </c>
    </row>
    <row r="200" spans="1:9" ht="45" x14ac:dyDescent="0.25">
      <c r="A200" t="s">
        <v>9</v>
      </c>
      <c r="B200" t="str">
        <f>HYPERLINK("https://www.sydney.edu.au/scholarships/b/judge-j-ralph-j-perdriau-practical-legal-training-scholarship-fo0.html", "Judge Ralph J Perdriau Practical Legal Training Scholarship for Redfern Legal Centre")</f>
        <v>Judge Ralph J Perdriau Practical Legal Training Scholarship for Redfern Legal Centre</v>
      </c>
      <c r="C200" t="s">
        <v>10</v>
      </c>
      <c r="D200" t="s">
        <v>29</v>
      </c>
      <c r="E200" t="s">
        <v>107</v>
      </c>
      <c r="F200" t="s">
        <v>13</v>
      </c>
      <c r="G200" s="2" t="s">
        <v>250</v>
      </c>
      <c r="H200" t="s">
        <v>14</v>
      </c>
      <c r="I200" t="s">
        <v>14</v>
      </c>
    </row>
    <row r="201" spans="1:9" ht="45" x14ac:dyDescent="0.25">
      <c r="A201" t="s">
        <v>9</v>
      </c>
      <c r="B201" t="str">
        <f>HYPERLINK("https://www.sydney.edu.au/scholarships/b/judith-russell-ryan-scholarship.html", "Judith Russell Ryan Scholarships in Memory of Signora Tedeschi")</f>
        <v>Judith Russell Ryan Scholarships in Memory of Signora Tedeschi</v>
      </c>
      <c r="C201" t="s">
        <v>10</v>
      </c>
      <c r="D201" t="s">
        <v>22</v>
      </c>
      <c r="E201" t="s">
        <v>62</v>
      </c>
      <c r="F201" t="s">
        <v>21</v>
      </c>
      <c r="G201" s="2" t="s">
        <v>250</v>
      </c>
      <c r="H201" t="s">
        <v>14</v>
      </c>
      <c r="I201" t="s">
        <v>14</v>
      </c>
    </row>
    <row r="202" spans="1:9" ht="45" x14ac:dyDescent="0.25">
      <c r="A202" t="s">
        <v>9</v>
      </c>
      <c r="B202" t="str">
        <f>HYPERLINK("https://www.sydney.edu.au/scholarships/b/justice-peter-hely-scholarship.html", "The Justice Peter Hely Scholarship")</f>
        <v>The Justice Peter Hely Scholarship</v>
      </c>
      <c r="C202" t="s">
        <v>10</v>
      </c>
      <c r="D202" t="s">
        <v>70</v>
      </c>
      <c r="E202" t="s">
        <v>12</v>
      </c>
      <c r="F202" t="s">
        <v>17</v>
      </c>
      <c r="G202" s="2" t="s">
        <v>250</v>
      </c>
      <c r="H202" t="s">
        <v>14</v>
      </c>
      <c r="I202" t="s">
        <v>14</v>
      </c>
    </row>
    <row r="203" spans="1:9" ht="45" x14ac:dyDescent="0.25">
      <c r="A203" t="s">
        <v>9</v>
      </c>
      <c r="B203" t="str">
        <f>HYPERLINK("https://www.sydney.edu.au/scholarships/b/karnaghan-elgar-english-equity-scholarship.html", "Kathleen M Karnaghan and Frederick E English Equity Scholarship")</f>
        <v>Kathleen M Karnaghan and Frederick E English Equity Scholarship</v>
      </c>
      <c r="C203" t="s">
        <v>10</v>
      </c>
      <c r="D203" t="s">
        <v>22</v>
      </c>
      <c r="E203" t="s">
        <v>108</v>
      </c>
      <c r="F203" t="s">
        <v>21</v>
      </c>
      <c r="G203" s="2" t="s">
        <v>250</v>
      </c>
      <c r="H203" t="s">
        <v>14</v>
      </c>
      <c r="I203" t="s">
        <v>14</v>
      </c>
    </row>
    <row r="204" spans="1:9" ht="45" x14ac:dyDescent="0.25">
      <c r="A204" t="s">
        <v>9</v>
      </c>
      <c r="B204" t="str">
        <f>HYPERLINK("https://www.sydney.edu.au/scholarships/b/kerkyasharian-kayikian-fund-armenian-studies.html", "Kerkyasharian and Kayikian Fund for Armenian Studies")</f>
        <v>Kerkyasharian and Kayikian Fund for Armenian Studies</v>
      </c>
      <c r="C204" t="s">
        <v>10</v>
      </c>
      <c r="D204" t="s">
        <v>15</v>
      </c>
      <c r="E204" t="s">
        <v>109</v>
      </c>
      <c r="F204" t="s">
        <v>10</v>
      </c>
      <c r="G204" s="2" t="s">
        <v>250</v>
      </c>
      <c r="H204" t="s">
        <v>14</v>
      </c>
      <c r="I204" t="s">
        <v>14</v>
      </c>
    </row>
    <row r="205" spans="1:9" ht="45" x14ac:dyDescent="0.25">
      <c r="A205" t="s">
        <v>9</v>
      </c>
      <c r="B205" t="str">
        <f>HYPERLINK("https://www.sydney.edu.au/scholarships/b/kerr-scholarship-in-history.html", "Kerr Scholarship in History")</f>
        <v>Kerr Scholarship in History</v>
      </c>
      <c r="C205" t="s">
        <v>10</v>
      </c>
      <c r="D205" t="s">
        <v>110</v>
      </c>
      <c r="E205" t="s">
        <v>12</v>
      </c>
      <c r="F205" t="s">
        <v>21</v>
      </c>
      <c r="G205" s="2" t="s">
        <v>250</v>
      </c>
      <c r="H205" t="s">
        <v>14</v>
      </c>
      <c r="I205" t="s">
        <v>14</v>
      </c>
    </row>
    <row r="206" spans="1:9" ht="45" x14ac:dyDescent="0.25">
      <c r="A206" t="s">
        <v>9</v>
      </c>
      <c r="B206" t="str">
        <f>HYPERLINK("https://www.sydney.edu.au/scholarships/b/lebanese-ladies-association-scholarship-in-arabic-language-and-cultures.html", "Lebanese Ladies Association Scholarship in Arabic Language and Cultures")</f>
        <v>Lebanese Ladies Association Scholarship in Arabic Language and Cultures</v>
      </c>
      <c r="C206" t="s">
        <v>10</v>
      </c>
      <c r="D206" t="s">
        <v>111</v>
      </c>
      <c r="E206" t="s">
        <v>112</v>
      </c>
      <c r="F206" t="s">
        <v>13</v>
      </c>
      <c r="G206" s="2" t="s">
        <v>250</v>
      </c>
      <c r="H206" t="s">
        <v>14</v>
      </c>
      <c r="I206" t="s">
        <v>14</v>
      </c>
    </row>
    <row r="207" spans="1:9" ht="45" x14ac:dyDescent="0.25">
      <c r="A207" t="s">
        <v>9</v>
      </c>
      <c r="B207" t="str">
        <f>HYPERLINK("https://www.sydney.edu.au/scholarships/b/liu-shiming-scholarship-in-visual-arts.html", "Liu Shiming Scholarship in Visual Arts")</f>
        <v>Liu Shiming Scholarship in Visual Arts</v>
      </c>
      <c r="C207" t="s">
        <v>10</v>
      </c>
      <c r="D207" t="s">
        <v>113</v>
      </c>
      <c r="E207" t="s">
        <v>114</v>
      </c>
      <c r="F207" t="s">
        <v>21</v>
      </c>
      <c r="G207" s="2" t="s">
        <v>250</v>
      </c>
      <c r="H207" t="s">
        <v>14</v>
      </c>
      <c r="I207" t="s">
        <v>14</v>
      </c>
    </row>
    <row r="208" spans="1:9" ht="45" x14ac:dyDescent="0.25">
      <c r="A208" t="s">
        <v>9</v>
      </c>
      <c r="B208" t="str">
        <f>HYPERLINK("https://www.sydney.edu.au/scholarships/b/longworth-scholarship-juris-doctor.html", "Longworth Scholarship for the Juris Doctor")</f>
        <v>Longworth Scholarship for the Juris Doctor</v>
      </c>
      <c r="C208" t="s">
        <v>10</v>
      </c>
      <c r="D208" t="s">
        <v>29</v>
      </c>
      <c r="E208" t="s">
        <v>12</v>
      </c>
      <c r="F208" t="s">
        <v>17</v>
      </c>
      <c r="G208" s="2" t="s">
        <v>250</v>
      </c>
      <c r="H208" t="s">
        <v>14</v>
      </c>
      <c r="I208" t="s">
        <v>14</v>
      </c>
    </row>
    <row r="209" spans="1:9" ht="45" x14ac:dyDescent="0.25">
      <c r="A209" t="s">
        <v>9</v>
      </c>
      <c r="B209" t="str">
        <f>HYPERLINK("https://www.sydney.edu.au/scholarships/b/loxton-chemical-and-biomolecular-engineering-undergraduate.html", "F H Loxton Undergraduate Scholarship in Chemical and Biomolecular Engineering")</f>
        <v>F H Loxton Undergraduate Scholarship in Chemical and Biomolecular Engineering</v>
      </c>
      <c r="C209" t="s">
        <v>10</v>
      </c>
      <c r="D209" t="s">
        <v>29</v>
      </c>
      <c r="E209" t="s">
        <v>115</v>
      </c>
      <c r="F209" t="s">
        <v>21</v>
      </c>
      <c r="G209" s="2" t="s">
        <v>250</v>
      </c>
      <c r="H209" t="s">
        <v>14</v>
      </c>
      <c r="I209" t="s">
        <v>14</v>
      </c>
    </row>
    <row r="210" spans="1:9" ht="45" x14ac:dyDescent="0.25">
      <c r="A210" t="s">
        <v>9</v>
      </c>
      <c r="B210" t="str">
        <f>HYPERLINK("https://www.sydney.edu.au/scholarships/b/lr-ba-browne-undergraduate-scholarship-civil-engineering.html", "LR and BA Browne Scholarships in Civil Engineering")</f>
        <v>LR and BA Browne Scholarships in Civil Engineering</v>
      </c>
      <c r="C210" t="s">
        <v>10</v>
      </c>
      <c r="D210" t="s">
        <v>25</v>
      </c>
      <c r="E210" t="s">
        <v>116</v>
      </c>
      <c r="F210" t="s">
        <v>21</v>
      </c>
      <c r="G210" s="2" t="s">
        <v>250</v>
      </c>
      <c r="H210" t="s">
        <v>14</v>
      </c>
      <c r="I210" t="s">
        <v>14</v>
      </c>
    </row>
    <row r="211" spans="1:9" ht="45" x14ac:dyDescent="0.25">
      <c r="A211" t="s">
        <v>9</v>
      </c>
      <c r="B211" t="str">
        <f>HYPERLINK("https://www.sydney.edu.au/scholarships/b/lucy-firth-equity-honours-scholarship.html", "Lucy Firth Equity Honours Scholarship")</f>
        <v>Lucy Firth Equity Honours Scholarship</v>
      </c>
      <c r="C211" t="s">
        <v>10</v>
      </c>
      <c r="D211" t="s">
        <v>22</v>
      </c>
      <c r="E211" t="s">
        <v>117</v>
      </c>
      <c r="F211" t="s">
        <v>21</v>
      </c>
      <c r="G211" s="2" t="s">
        <v>250</v>
      </c>
      <c r="H211" t="s">
        <v>14</v>
      </c>
      <c r="I211" t="s">
        <v>14</v>
      </c>
    </row>
    <row r="212" spans="1:9" ht="90" hidden="1" x14ac:dyDescent="0.25">
      <c r="A212" t="s">
        <v>9</v>
      </c>
      <c r="B212" t="str">
        <f>HYPERLINK("https://www.sydney.edu.au/scholarships/b/major-industrial-project-placement-scheme--mipps--scholarship.html", "Major Industrial Project Placement Scheme Scholarship")</f>
        <v>Major Industrial Project Placement Scheme Scholarship</v>
      </c>
      <c r="C212" t="s">
        <v>249</v>
      </c>
      <c r="D212" s="7" t="s">
        <v>81</v>
      </c>
      <c r="E212" t="s">
        <v>252</v>
      </c>
      <c r="F212" t="s">
        <v>13</v>
      </c>
      <c r="G212" s="2" t="s">
        <v>289</v>
      </c>
      <c r="H212" t="s">
        <v>14</v>
      </c>
      <c r="I212" t="s">
        <v>38</v>
      </c>
    </row>
    <row r="213" spans="1:9" ht="45" x14ac:dyDescent="0.25">
      <c r="A213" t="s">
        <v>9</v>
      </c>
      <c r="B213" t="str">
        <f>HYPERLINK("https://www.sydney.edu.au/scholarships/b/margaret-hamer-scholarship-for-women-in-engineering.html", "Margaret Hamer Scholarship for Women in Engineering")</f>
        <v>Margaret Hamer Scholarship for Women in Engineering</v>
      </c>
      <c r="C213" t="s">
        <v>10</v>
      </c>
      <c r="D213" t="s">
        <v>33</v>
      </c>
      <c r="E213" t="s">
        <v>118</v>
      </c>
      <c r="F213" t="s">
        <v>21</v>
      </c>
      <c r="G213" s="2" t="s">
        <v>250</v>
      </c>
      <c r="H213" t="s">
        <v>14</v>
      </c>
      <c r="I213" t="s">
        <v>14</v>
      </c>
    </row>
    <row r="214" spans="1:9" ht="45" x14ac:dyDescent="0.25">
      <c r="A214" t="s">
        <v>9</v>
      </c>
      <c r="B214" t="str">
        <f>HYPERLINK("https://www.sydney.edu.au/scholarships/b/marion-macaulay-bequest-teaching-scholarship.html", "Marion Macaulay Internship Scholarship in Education")</f>
        <v>Marion Macaulay Internship Scholarship in Education</v>
      </c>
      <c r="C214" t="s">
        <v>10</v>
      </c>
      <c r="D214" t="s">
        <v>33</v>
      </c>
      <c r="E214" t="s">
        <v>119</v>
      </c>
      <c r="F214" t="s">
        <v>13</v>
      </c>
      <c r="G214" s="2" t="s">
        <v>250</v>
      </c>
      <c r="H214" t="s">
        <v>14</v>
      </c>
      <c r="I214" t="s">
        <v>38</v>
      </c>
    </row>
    <row r="215" spans="1:9" ht="45" x14ac:dyDescent="0.25">
      <c r="A215" t="s">
        <v>9</v>
      </c>
      <c r="B215" t="str">
        <f>HYPERLINK("https://www.sydney.edu.au/scholarships/b/mary-henderson-gerstle-scholarship-economic-history.html", "The Mary Henderson (Gerstle) Undergraduate Scholarship in Economic History")</f>
        <v>The Mary Henderson (Gerstle) Undergraduate Scholarship in Economic History</v>
      </c>
      <c r="C215" t="s">
        <v>10</v>
      </c>
      <c r="D215" t="s">
        <v>77</v>
      </c>
      <c r="E215" t="s">
        <v>12</v>
      </c>
      <c r="F215" t="s">
        <v>21</v>
      </c>
      <c r="G215" s="2" t="s">
        <v>250</v>
      </c>
      <c r="H215" t="s">
        <v>14</v>
      </c>
      <c r="I215" t="s">
        <v>14</v>
      </c>
    </row>
    <row r="216" spans="1:9" ht="45" x14ac:dyDescent="0.25">
      <c r="A216" t="s">
        <v>9</v>
      </c>
      <c r="B216" t="str">
        <f>HYPERLINK("https://www.sydney.edu.au/scholarships/b/mary-henderson-gerstle-scholarship-political-economy.html", "The Mary Henderson (Gerstle) Undergraduate Scholarship in Political Economy")</f>
        <v>The Mary Henderson (Gerstle) Undergraduate Scholarship in Political Economy</v>
      </c>
      <c r="C216" t="s">
        <v>10</v>
      </c>
      <c r="D216" t="s">
        <v>77</v>
      </c>
      <c r="E216" t="s">
        <v>120</v>
      </c>
      <c r="F216" t="s">
        <v>21</v>
      </c>
      <c r="G216" s="2" t="s">
        <v>250</v>
      </c>
      <c r="H216" t="s">
        <v>14</v>
      </c>
      <c r="I216" t="s">
        <v>14</v>
      </c>
    </row>
    <row r="217" spans="1:9" ht="45" x14ac:dyDescent="0.25">
      <c r="A217" t="s">
        <v>9</v>
      </c>
      <c r="B217" t="str">
        <f>HYPERLINK("https://www.sydney.edu.au/scholarships/b/master-of-social-justice-commencing-scholarship.html", "Master of Social Justice Commencing Scholarship")</f>
        <v>Master of Social Justice Commencing Scholarship</v>
      </c>
      <c r="C217" t="s">
        <v>10</v>
      </c>
      <c r="D217" t="s">
        <v>25</v>
      </c>
      <c r="E217" t="s">
        <v>121</v>
      </c>
      <c r="F217" t="s">
        <v>17</v>
      </c>
      <c r="G217" s="2" t="s">
        <v>250</v>
      </c>
      <c r="H217" t="s">
        <v>14</v>
      </c>
      <c r="I217" t="s">
        <v>14</v>
      </c>
    </row>
    <row r="218" spans="1:9" ht="45" x14ac:dyDescent="0.25">
      <c r="A218" t="s">
        <v>9</v>
      </c>
      <c r="B218" t="str">
        <f>HYPERLINK("https://www.sydney.edu.au/scholarships/b/norman-haire-fund-for-sexology-studies.html", "Norman Haire Fund for Sexology Studies")</f>
        <v>Norman Haire Fund for Sexology Studies</v>
      </c>
      <c r="C218" t="s">
        <v>10</v>
      </c>
      <c r="D218" t="s">
        <v>15</v>
      </c>
      <c r="E218" t="s">
        <v>109</v>
      </c>
      <c r="F218" t="s">
        <v>13</v>
      </c>
      <c r="G218" s="2" t="s">
        <v>250</v>
      </c>
      <c r="H218" t="s">
        <v>14</v>
      </c>
      <c r="I218" t="s">
        <v>14</v>
      </c>
    </row>
    <row r="219" spans="1:9" ht="45" x14ac:dyDescent="0.25">
      <c r="A219" t="s">
        <v>9</v>
      </c>
      <c r="B219" t="str">
        <f>HYPERLINK("https://www.sydney.edu.au/scholarships/b/one-sydney-many-people.html", "Faculty of Engineering One Sydney, Many People Scholarship")</f>
        <v>Faculty of Engineering One Sydney, Many People Scholarship</v>
      </c>
      <c r="C219" t="s">
        <v>10</v>
      </c>
      <c r="D219" t="s">
        <v>122</v>
      </c>
      <c r="E219" t="s">
        <v>123</v>
      </c>
      <c r="F219" t="s">
        <v>21</v>
      </c>
      <c r="G219" s="2" t="s">
        <v>250</v>
      </c>
      <c r="H219" t="s">
        <v>14</v>
      </c>
      <c r="I219" t="s">
        <v>14</v>
      </c>
    </row>
    <row r="220" spans="1:9" ht="45" x14ac:dyDescent="0.25">
      <c r="A220" t="s">
        <v>9</v>
      </c>
      <c r="B220" t="str">
        <f>HYPERLINK("https://www.sydney.edu.au/scholarships/b/pd-jack-prize.html", "PD Jack Prize")</f>
        <v>PD Jack Prize</v>
      </c>
      <c r="C220" t="s">
        <v>10</v>
      </c>
      <c r="D220" t="s">
        <v>55</v>
      </c>
      <c r="E220" t="s">
        <v>124</v>
      </c>
      <c r="F220" t="s">
        <v>21</v>
      </c>
      <c r="G220" s="2" t="s">
        <v>250</v>
      </c>
      <c r="H220" t="s">
        <v>14</v>
      </c>
      <c r="I220" t="s">
        <v>14</v>
      </c>
    </row>
    <row r="221" spans="1:9" ht="45" x14ac:dyDescent="0.25">
      <c r="A221" t="s">
        <v>9</v>
      </c>
      <c r="B221" t="str">
        <f>HYPERLINK("https://www.sydney.edu.au/scholarships/b/peace-and-conflict-studies-postgraduate-scholarship-fund.html", "Peace and Conflict Studies Postgraduate Scholarship Fund")</f>
        <v>Peace and Conflict Studies Postgraduate Scholarship Fund</v>
      </c>
      <c r="C221" t="s">
        <v>10</v>
      </c>
      <c r="D221" t="s">
        <v>125</v>
      </c>
      <c r="E221" t="s">
        <v>12</v>
      </c>
      <c r="F221" t="s">
        <v>17</v>
      </c>
      <c r="G221" s="2" t="s">
        <v>250</v>
      </c>
      <c r="H221" t="s">
        <v>14</v>
      </c>
      <c r="I221" t="s">
        <v>14</v>
      </c>
    </row>
    <row r="222" spans="1:9" ht="45" x14ac:dyDescent="0.25">
      <c r="A222" t="s">
        <v>9</v>
      </c>
      <c r="B222" t="str">
        <f>HYPERLINK("https://www.sydney.edu.au/scholarships/b/peace-and-social-justice-scholarship.html", "Peace and Social Justice Scholarship")</f>
        <v>Peace and Social Justice Scholarship</v>
      </c>
      <c r="C222" t="s">
        <v>10</v>
      </c>
      <c r="D222" t="s">
        <v>77</v>
      </c>
      <c r="E222" t="s">
        <v>126</v>
      </c>
      <c r="F222" t="s">
        <v>17</v>
      </c>
      <c r="G222" s="2" t="s">
        <v>250</v>
      </c>
      <c r="H222" t="s">
        <v>14</v>
      </c>
      <c r="I222" t="s">
        <v>14</v>
      </c>
    </row>
    <row r="223" spans="1:9" ht="45" x14ac:dyDescent="0.25">
      <c r="A223" t="s">
        <v>9</v>
      </c>
      <c r="B223" t="str">
        <f>HYPERLINK("https://www.sydney.edu.au/scholarships/b/peter-cameron-sydney-oxford-scholarship.html", "Peter Cameron Sydney Oxford Scholarship")</f>
        <v>Peter Cameron Sydney Oxford Scholarship</v>
      </c>
      <c r="C223" t="s">
        <v>10</v>
      </c>
      <c r="D223" t="s">
        <v>127</v>
      </c>
      <c r="E223" t="s">
        <v>128</v>
      </c>
      <c r="F223" t="s">
        <v>13</v>
      </c>
      <c r="G223" s="2" t="s">
        <v>250</v>
      </c>
      <c r="H223" t="s">
        <v>14</v>
      </c>
      <c r="I223" t="s">
        <v>14</v>
      </c>
    </row>
    <row r="224" spans="1:9" ht="45" x14ac:dyDescent="0.25">
      <c r="A224" t="s">
        <v>9</v>
      </c>
      <c r="B224" t="str">
        <f>HYPERLINK("https://www.sydney.edu.au/scholarships/b/peter-lawrence-memorial-scholarship.html", "Peter Lawrence Memorial Scholarship")</f>
        <v>Peter Lawrence Memorial Scholarship</v>
      </c>
      <c r="C224" t="s">
        <v>10</v>
      </c>
      <c r="D224" t="s">
        <v>15</v>
      </c>
      <c r="E224" t="s">
        <v>129</v>
      </c>
      <c r="F224" t="s">
        <v>10</v>
      </c>
      <c r="G224" s="2" t="s">
        <v>250</v>
      </c>
      <c r="H224" t="s">
        <v>14</v>
      </c>
      <c r="I224" t="s">
        <v>14</v>
      </c>
    </row>
    <row r="225" spans="1:9" ht="45" x14ac:dyDescent="0.25">
      <c r="A225" t="s">
        <v>9</v>
      </c>
      <c r="B225" t="str">
        <f>HYPERLINK("https://www.sydney.edu.au/scholarships/b/peter-nicol-russell-undergraduate-scholarship.html", "The Peter Nicol Russell Undergraduate Scholarship")</f>
        <v>The Peter Nicol Russell Undergraduate Scholarship</v>
      </c>
      <c r="C225" t="s">
        <v>10</v>
      </c>
      <c r="D225" t="s">
        <v>33</v>
      </c>
      <c r="E225" t="s">
        <v>130</v>
      </c>
      <c r="F225" t="s">
        <v>21</v>
      </c>
      <c r="G225" s="2" t="s">
        <v>250</v>
      </c>
      <c r="H225" t="s">
        <v>14</v>
      </c>
      <c r="I225" t="s">
        <v>14</v>
      </c>
    </row>
    <row r="226" spans="1:9" ht="45" x14ac:dyDescent="0.25">
      <c r="A226" t="s">
        <v>9</v>
      </c>
      <c r="B226" t="str">
        <f>HYPERLINK("https://www.sydney.edu.au/scholarships/b/philosophy-honours-scholarship-on-the-ethics-of-artificial-wombs.html", "Philosophy Honours Scholarship on the Ethics of Artificial Wombs")</f>
        <v>Philosophy Honours Scholarship on the Ethics of Artificial Wombs</v>
      </c>
      <c r="C226" t="s">
        <v>10</v>
      </c>
      <c r="D226" t="s">
        <v>19</v>
      </c>
      <c r="E226" t="s">
        <v>131</v>
      </c>
      <c r="F226" t="s">
        <v>21</v>
      </c>
      <c r="G226" s="2" t="s">
        <v>250</v>
      </c>
      <c r="H226" t="s">
        <v>14</v>
      </c>
      <c r="I226" t="s">
        <v>14</v>
      </c>
    </row>
    <row r="227" spans="1:9" ht="45" x14ac:dyDescent="0.25">
      <c r="A227" t="s">
        <v>9</v>
      </c>
      <c r="B227" t="str">
        <f>HYPERLINK("https://www.sydney.edu.au/scholarships/b/pitt-cobbett-scholarship.html", "Pitt Cobbett Scholarship")</f>
        <v>Pitt Cobbett Scholarship</v>
      </c>
      <c r="C227" t="s">
        <v>10</v>
      </c>
      <c r="D227" t="s">
        <v>22</v>
      </c>
      <c r="E227" t="s">
        <v>132</v>
      </c>
      <c r="F227" t="s">
        <v>13</v>
      </c>
      <c r="G227" s="2" t="s">
        <v>250</v>
      </c>
      <c r="H227" t="s">
        <v>14</v>
      </c>
      <c r="I227" t="s">
        <v>14</v>
      </c>
    </row>
    <row r="228" spans="1:9" ht="45" x14ac:dyDescent="0.25">
      <c r="A228" t="s">
        <v>9</v>
      </c>
      <c r="B228" t="str">
        <f>HYPERLINK("https://www.sydney.edu.au/scholarships/b/politis-family-scholarship.html", "The Politis Family Scholarship in Modern Greek and/or Byzantine Studies")</f>
        <v>The Politis Family Scholarship in Modern Greek and/or Byzantine Studies</v>
      </c>
      <c r="C228" t="s">
        <v>10</v>
      </c>
      <c r="D228" t="s">
        <v>133</v>
      </c>
      <c r="E228" t="s">
        <v>134</v>
      </c>
      <c r="F228" t="s">
        <v>13</v>
      </c>
      <c r="G228" s="2" t="s">
        <v>250</v>
      </c>
      <c r="H228" t="s">
        <v>14</v>
      </c>
      <c r="I228" t="s">
        <v>14</v>
      </c>
    </row>
    <row r="229" spans="1:9" ht="45" x14ac:dyDescent="0.25">
      <c r="A229" t="s">
        <v>9</v>
      </c>
      <c r="B229" t="str">
        <f>HYPERLINK("https://www.sydney.edu.au/scholarships/b/postgraduate-equity-scholarship-gender-cultural-studies.html", "Postgraduate Equity Scholarship in Gender and Cultural Studies")</f>
        <v>Postgraduate Equity Scholarship in Gender and Cultural Studies</v>
      </c>
      <c r="C229" t="s">
        <v>10</v>
      </c>
      <c r="D229" t="s">
        <v>33</v>
      </c>
      <c r="E229" t="s">
        <v>135</v>
      </c>
      <c r="F229" t="s">
        <v>17</v>
      </c>
      <c r="G229" s="2" t="s">
        <v>250</v>
      </c>
      <c r="H229" t="s">
        <v>14</v>
      </c>
      <c r="I229" t="s">
        <v>14</v>
      </c>
    </row>
    <row r="230" spans="1:9" ht="45" x14ac:dyDescent="0.25">
      <c r="A230" t="s">
        <v>9</v>
      </c>
      <c r="B230" t="str">
        <f>HYPERLINK("https://www.sydney.edu.au/scholarships/b/ravenswood-independent-schools-scholarship.html", "The Ravenswood Independent Schools Scholarship")</f>
        <v>The Ravenswood Independent Schools Scholarship</v>
      </c>
      <c r="C230" t="s">
        <v>10</v>
      </c>
      <c r="D230" t="s">
        <v>136</v>
      </c>
      <c r="E230" t="s">
        <v>137</v>
      </c>
      <c r="F230" t="s">
        <v>13</v>
      </c>
      <c r="G230" s="2" t="s">
        <v>250</v>
      </c>
      <c r="H230" t="s">
        <v>14</v>
      </c>
      <c r="I230" t="s">
        <v>14</v>
      </c>
    </row>
    <row r="231" spans="1:9" ht="45" x14ac:dyDescent="0.25">
      <c r="A231" t="s">
        <v>9</v>
      </c>
      <c r="B231" t="str">
        <f>HYPERLINK("https://www.sydney.edu.au/scholarships/b/rolf-prince-scholarship.html", "The Rolf Prince Scholarship")</f>
        <v>The Rolf Prince Scholarship</v>
      </c>
      <c r="C231" t="s">
        <v>10</v>
      </c>
      <c r="D231" t="s">
        <v>25</v>
      </c>
      <c r="E231" t="s">
        <v>18</v>
      </c>
      <c r="F231" t="s">
        <v>21</v>
      </c>
      <c r="G231" s="2" t="s">
        <v>250</v>
      </c>
      <c r="H231" t="s">
        <v>14</v>
      </c>
      <c r="I231" t="s">
        <v>14</v>
      </c>
    </row>
    <row r="232" spans="1:9" ht="45" x14ac:dyDescent="0.25">
      <c r="A232" t="s">
        <v>9</v>
      </c>
      <c r="B232" t="str">
        <f>HYPERLINK("https://www.sydney.edu.au/scholarships/b/romy-waterlow-fellowship-trust.html", "Romy Waterlow Fellowship Trust")</f>
        <v>Romy Waterlow Fellowship Trust</v>
      </c>
      <c r="C232" t="s">
        <v>10</v>
      </c>
      <c r="D232" t="s">
        <v>26</v>
      </c>
      <c r="E232" t="s">
        <v>138</v>
      </c>
      <c r="F232" t="s">
        <v>17</v>
      </c>
      <c r="G232" s="2" t="s">
        <v>250</v>
      </c>
      <c r="H232" t="s">
        <v>14</v>
      </c>
      <c r="I232" t="s">
        <v>14</v>
      </c>
    </row>
    <row r="233" spans="1:9" ht="45" x14ac:dyDescent="0.25">
      <c r="A233" t="s">
        <v>9</v>
      </c>
      <c r="B233" t="str">
        <f>HYPERLINK("https://www.sydney.edu.au/scholarships/b/ross-waite-parsons-scholarship.html", "Ross Waite Parsons Postgraduate Coursework Law Scholarship")</f>
        <v>Ross Waite Parsons Postgraduate Coursework Law Scholarship</v>
      </c>
      <c r="C233" t="s">
        <v>10</v>
      </c>
      <c r="D233" t="s">
        <v>25</v>
      </c>
      <c r="E233" t="s">
        <v>103</v>
      </c>
      <c r="F233" t="s">
        <v>17</v>
      </c>
      <c r="G233" s="2" t="s">
        <v>250</v>
      </c>
      <c r="H233" t="s">
        <v>14</v>
      </c>
      <c r="I233" t="s">
        <v>14</v>
      </c>
    </row>
    <row r="234" spans="1:9" ht="45" x14ac:dyDescent="0.25">
      <c r="A234" t="s">
        <v>9</v>
      </c>
      <c r="B234" t="str">
        <f>HYPERLINK("https://www.sydney.edu.au/scholarships/b/roy-frederick-turner-am-scholarship.html", "Roy Frederick Turner AM Scholarship - Law")</f>
        <v>Roy Frederick Turner AM Scholarship - Law</v>
      </c>
      <c r="C234" t="s">
        <v>10</v>
      </c>
      <c r="D234" t="s">
        <v>74</v>
      </c>
      <c r="E234" t="s">
        <v>12</v>
      </c>
      <c r="F234" t="s">
        <v>21</v>
      </c>
      <c r="G234" s="2" t="s">
        <v>250</v>
      </c>
      <c r="H234" t="s">
        <v>14</v>
      </c>
      <c r="I234" t="s">
        <v>14</v>
      </c>
    </row>
    <row r="235" spans="1:9" ht="45" x14ac:dyDescent="0.25">
      <c r="A235" t="s">
        <v>9</v>
      </c>
      <c r="B235" t="str">
        <f>HYPERLINK("https://www.sydney.edu.au/scholarships/b/roy-frederick-turner-scholarship.html", "Roy Frederick Turner Scholarship - Law")</f>
        <v>Roy Frederick Turner Scholarship - Law</v>
      </c>
      <c r="C235" t="s">
        <v>10</v>
      </c>
      <c r="D235" t="s">
        <v>74</v>
      </c>
      <c r="E235" t="s">
        <v>12</v>
      </c>
      <c r="F235" t="s">
        <v>21</v>
      </c>
      <c r="G235" s="2" t="s">
        <v>250</v>
      </c>
      <c r="H235" t="s">
        <v>14</v>
      </c>
      <c r="I235" t="s">
        <v>14</v>
      </c>
    </row>
    <row r="236" spans="1:9" ht="45" x14ac:dyDescent="0.25">
      <c r="A236" t="s">
        <v>9</v>
      </c>
      <c r="B236" t="str">
        <f>HYPERLINK("https://www.sydney.edu.au/scholarships/b/saint-ignatius-college-riverview-independent-school-scholarship.html", "Saint Ignatius College Riverview Independent School Scholarship")</f>
        <v>Saint Ignatius College Riverview Independent School Scholarship</v>
      </c>
      <c r="C236" t="s">
        <v>10</v>
      </c>
      <c r="D236" t="s">
        <v>86</v>
      </c>
      <c r="E236" t="s">
        <v>96</v>
      </c>
      <c r="F236" t="s">
        <v>13</v>
      </c>
      <c r="G236" s="2" t="s">
        <v>250</v>
      </c>
      <c r="H236" t="s">
        <v>14</v>
      </c>
      <c r="I236" t="s">
        <v>14</v>
      </c>
    </row>
    <row r="237" spans="1:9" ht="45" x14ac:dyDescent="0.25">
      <c r="A237" t="s">
        <v>9</v>
      </c>
      <c r="B237" t="str">
        <f>HYPERLINK("https://www.sydney.edu.au/scholarships/b/scholarship-aeronautical-aerospace-engineering.html", "Undergraduate Scholarship in Aeronautical / Aerospace Engineering")</f>
        <v>Undergraduate Scholarship in Aeronautical / Aerospace Engineering</v>
      </c>
      <c r="C237" t="s">
        <v>10</v>
      </c>
      <c r="D237" t="s">
        <v>33</v>
      </c>
      <c r="E237" t="s">
        <v>139</v>
      </c>
      <c r="F237" t="s">
        <v>21</v>
      </c>
      <c r="G237" s="2" t="s">
        <v>250</v>
      </c>
      <c r="H237" t="s">
        <v>14</v>
      </c>
      <c r="I237" t="s">
        <v>14</v>
      </c>
    </row>
    <row r="238" spans="1:9" ht="45" x14ac:dyDescent="0.25">
      <c r="A238" t="s">
        <v>9</v>
      </c>
      <c r="B238" t="str">
        <f>HYPERLINK("https://www.sydney.edu.au/scholarships/b/scholarship-in-engineering.html", "Scholarship in Engineering")</f>
        <v>Scholarship in Engineering</v>
      </c>
      <c r="C238" t="s">
        <v>10</v>
      </c>
      <c r="D238" t="s">
        <v>15</v>
      </c>
      <c r="E238" t="s">
        <v>140</v>
      </c>
      <c r="F238" t="s">
        <v>21</v>
      </c>
      <c r="G238" s="2" t="s">
        <v>250</v>
      </c>
      <c r="H238" t="s">
        <v>14</v>
      </c>
      <c r="I238" t="s">
        <v>14</v>
      </c>
    </row>
    <row r="239" spans="1:9" ht="45" x14ac:dyDescent="0.25">
      <c r="A239" t="s">
        <v>9</v>
      </c>
      <c r="B239" t="str">
        <f>HYPERLINK("https://www.sydney.edu.au/scholarships/b/school-of-computer-science-honours-scholarships.html", "School of Computer Science Honours Scholarships")</f>
        <v>School of Computer Science Honours Scholarships</v>
      </c>
      <c r="C239" t="s">
        <v>10</v>
      </c>
      <c r="D239" t="s">
        <v>19</v>
      </c>
      <c r="E239" t="s">
        <v>141</v>
      </c>
      <c r="F239" t="s">
        <v>21</v>
      </c>
      <c r="G239" s="2" t="s">
        <v>250</v>
      </c>
      <c r="H239" t="s">
        <v>14</v>
      </c>
      <c r="I239" t="s">
        <v>14</v>
      </c>
    </row>
    <row r="240" spans="1:9" ht="45" x14ac:dyDescent="0.25">
      <c r="A240" t="s">
        <v>9</v>
      </c>
      <c r="B240" t="str">
        <f>HYPERLINK("https://www.sydney.edu.au/scholarships/b/school-of-humanities-research-support-grant.html", "School of Humanities Research Support Grant")</f>
        <v>School of Humanities Research Support Grant</v>
      </c>
      <c r="C240" t="s">
        <v>10</v>
      </c>
      <c r="D240" t="s">
        <v>133</v>
      </c>
      <c r="E240" t="s">
        <v>142</v>
      </c>
      <c r="F240" t="s">
        <v>13</v>
      </c>
      <c r="G240" s="2" t="s">
        <v>250</v>
      </c>
      <c r="H240" t="s">
        <v>14</v>
      </c>
      <c r="I240" t="s">
        <v>14</v>
      </c>
    </row>
    <row r="241" spans="1:9" ht="45" x14ac:dyDescent="0.25">
      <c r="A241" t="s">
        <v>9</v>
      </c>
      <c r="B241" t="str">
        <f>HYPERLINK("https://www.sydney.edu.au/scholarships/b/sciences-po-dual-degree-scholarship.html", "Sciences Po Dual Degree Scholarship")</f>
        <v>Sciences Po Dual Degree Scholarship</v>
      </c>
      <c r="C241" t="s">
        <v>10</v>
      </c>
      <c r="D241" t="s">
        <v>27</v>
      </c>
      <c r="E241" t="s">
        <v>143</v>
      </c>
      <c r="F241" t="s">
        <v>21</v>
      </c>
      <c r="G241" s="2" t="s">
        <v>250</v>
      </c>
      <c r="H241" t="s">
        <v>14</v>
      </c>
      <c r="I241" t="s">
        <v>14</v>
      </c>
    </row>
    <row r="242" spans="1:9" ht="45" x14ac:dyDescent="0.25">
      <c r="A242" t="s">
        <v>9</v>
      </c>
      <c r="B242" t="str">
        <f>HYPERLINK("https://www.sydney.edu.au/scholarships/b/stanley-sinclair-bequest-scholarship.html", "Stanley Sinclair Bequest Scholarship")</f>
        <v>Stanley Sinclair Bequest Scholarship</v>
      </c>
      <c r="C242" t="s">
        <v>10</v>
      </c>
      <c r="D242" t="s">
        <v>31</v>
      </c>
      <c r="E242" t="s">
        <v>144</v>
      </c>
      <c r="F242" t="s">
        <v>17</v>
      </c>
      <c r="G242" s="2" t="s">
        <v>250</v>
      </c>
      <c r="H242" t="s">
        <v>14</v>
      </c>
      <c r="I242" t="s">
        <v>14</v>
      </c>
    </row>
    <row r="243" spans="1:9" ht="75" hidden="1" x14ac:dyDescent="0.25">
      <c r="A243" t="s">
        <v>9</v>
      </c>
      <c r="B243" t="str">
        <f>HYPERLINK("https://www.sydney.edu.au/scholarships/b/start-up-scholarship.html", "Postgraduate Coursework Start Up Scholarship")</f>
        <v>Postgraduate Coursework Start Up Scholarship</v>
      </c>
      <c r="C243" t="s">
        <v>249</v>
      </c>
      <c r="D243" s="7" t="s">
        <v>25</v>
      </c>
      <c r="E243" t="s">
        <v>253</v>
      </c>
      <c r="F243" t="s">
        <v>17</v>
      </c>
      <c r="G243" s="2" t="s">
        <v>290</v>
      </c>
      <c r="H243" t="s">
        <v>14</v>
      </c>
      <c r="I243" t="s">
        <v>14</v>
      </c>
    </row>
    <row r="244" spans="1:9" ht="45" x14ac:dyDescent="0.25">
      <c r="A244" t="s">
        <v>9</v>
      </c>
      <c r="B244" t="str">
        <f>HYPERLINK("https://www.sydney.edu.au/scholarships/b/sydney-law-school-exchange-scholarship.html", "Sydney Law School Exchange Scholarship")</f>
        <v>Sydney Law School Exchange Scholarship</v>
      </c>
      <c r="C244" t="s">
        <v>10</v>
      </c>
      <c r="D244" t="s">
        <v>133</v>
      </c>
      <c r="E244" t="s">
        <v>145</v>
      </c>
      <c r="F244" t="s">
        <v>13</v>
      </c>
      <c r="G244" s="2" t="s">
        <v>250</v>
      </c>
      <c r="H244" t="s">
        <v>14</v>
      </c>
      <c r="I244" t="s">
        <v>14</v>
      </c>
    </row>
    <row r="245" spans="1:9" ht="45" x14ac:dyDescent="0.25">
      <c r="A245" t="s">
        <v>9</v>
      </c>
      <c r="B245" t="str">
        <f>HYPERLINK("https://www.sydney.edu.au/scholarships/b/sydney-policy-reform-project-scholarship.html", "Sydney Policy Reform Project Scholarship")</f>
        <v>Sydney Policy Reform Project Scholarship</v>
      </c>
      <c r="C245" t="s">
        <v>10</v>
      </c>
      <c r="D245" t="s">
        <v>146</v>
      </c>
      <c r="E245" t="s">
        <v>147</v>
      </c>
      <c r="F245" t="s">
        <v>17</v>
      </c>
      <c r="G245" s="2" t="s">
        <v>250</v>
      </c>
      <c r="H245" t="s">
        <v>14</v>
      </c>
      <c r="I245" t="s">
        <v>14</v>
      </c>
    </row>
    <row r="246" spans="1:9" ht="45" hidden="1" x14ac:dyDescent="0.25">
      <c r="A246" t="s">
        <v>9</v>
      </c>
      <c r="B246" t="str">
        <f>HYPERLINK("https://www.sydney.edu.au/scholarships/b/sydney-symposium-choral-foundation-conducting-scholarship.html", "Sydney Symposium Choral Foundation Conducting Scholarship")</f>
        <v>Sydney Symposium Choral Foundation Conducting Scholarship</v>
      </c>
      <c r="C246" t="s">
        <v>10</v>
      </c>
      <c r="D246" t="s">
        <v>15</v>
      </c>
      <c r="E246" t="s">
        <v>248</v>
      </c>
      <c r="F246" t="s">
        <v>10</v>
      </c>
      <c r="G246" s="2" t="s">
        <v>250</v>
      </c>
      <c r="H246" t="s">
        <v>14</v>
      </c>
      <c r="I246" t="s">
        <v>14</v>
      </c>
    </row>
    <row r="247" spans="1:9" ht="60" hidden="1" x14ac:dyDescent="0.25">
      <c r="A247" t="s">
        <v>9</v>
      </c>
      <c r="B247" t="str">
        <f>HYPERLINK("https://www.sydney.edu.au/scholarships/b/t-m-hsiao-scholarship.html", "The T M Hsiao Scholarship")</f>
        <v>The T M Hsiao Scholarship</v>
      </c>
      <c r="C247" t="s">
        <v>249</v>
      </c>
      <c r="D247" s="7" t="s">
        <v>22</v>
      </c>
      <c r="E247" t="s">
        <v>251</v>
      </c>
      <c r="F247" t="s">
        <v>291</v>
      </c>
      <c r="G247" s="2" t="s">
        <v>292</v>
      </c>
      <c r="H247" t="s">
        <v>14</v>
      </c>
      <c r="I247" t="s">
        <v>14</v>
      </c>
    </row>
    <row r="248" spans="1:9" ht="45" x14ac:dyDescent="0.25">
      <c r="A248" t="s">
        <v>9</v>
      </c>
      <c r="B248" t="str">
        <f>HYPERLINK("https://www.sydney.edu.au/scholarships/b/teachers-education-scholarship-wenona.html", "The Teacher Education Scholarship (Wenona)")</f>
        <v>The Teacher Education Scholarship (Wenona)</v>
      </c>
      <c r="C248" t="s">
        <v>10</v>
      </c>
      <c r="D248" t="s">
        <v>86</v>
      </c>
      <c r="E248" t="s">
        <v>148</v>
      </c>
      <c r="F248" t="s">
        <v>13</v>
      </c>
      <c r="G248" s="2" t="s">
        <v>250</v>
      </c>
      <c r="H248" t="s">
        <v>14</v>
      </c>
      <c r="I248" t="s">
        <v>14</v>
      </c>
    </row>
    <row r="249" spans="1:9" ht="45" x14ac:dyDescent="0.25">
      <c r="A249" t="s">
        <v>9</v>
      </c>
      <c r="B249" t="str">
        <f>HYPERLINK("https://www.sydney.edu.au/scholarships/b/the-abbotsleigh-teacher-education-scholarship.html", "The Abbotsleigh Teacher Education Scholarship")</f>
        <v>The Abbotsleigh Teacher Education Scholarship</v>
      </c>
      <c r="C249" t="s">
        <v>10</v>
      </c>
      <c r="D249" t="s">
        <v>86</v>
      </c>
      <c r="E249" t="s">
        <v>96</v>
      </c>
      <c r="F249" t="s">
        <v>13</v>
      </c>
      <c r="G249" s="2" t="s">
        <v>250</v>
      </c>
      <c r="H249" t="s">
        <v>14</v>
      </c>
      <c r="I249" t="s">
        <v>14</v>
      </c>
    </row>
    <row r="250" spans="1:9" ht="45" x14ac:dyDescent="0.25">
      <c r="A250" t="s">
        <v>9</v>
      </c>
      <c r="B250" t="str">
        <f>HYPERLINK("https://www.sydney.edu.au/scholarships/b/the-ascham-teacher-education-scholarship.html", "The Ascham Teacher Education Scholarship")</f>
        <v>The Ascham Teacher Education Scholarship</v>
      </c>
      <c r="C250" t="s">
        <v>10</v>
      </c>
      <c r="D250" t="s">
        <v>86</v>
      </c>
      <c r="E250" t="s">
        <v>149</v>
      </c>
      <c r="F250" t="s">
        <v>13</v>
      </c>
      <c r="G250" s="2" t="s">
        <v>250</v>
      </c>
      <c r="H250" t="s">
        <v>14</v>
      </c>
      <c r="I250" t="s">
        <v>14</v>
      </c>
    </row>
    <row r="251" spans="1:9" ht="45" x14ac:dyDescent="0.25">
      <c r="A251" t="s">
        <v>9</v>
      </c>
      <c r="B251" t="str">
        <f>HYPERLINK("https://www.sydney.edu.au/scholarships/b/the-benjafield-and-mccallum-ao-scholarship.html", "The Benjafield and McCallum AO Scholarship")</f>
        <v>The Benjafield and McCallum AO Scholarship</v>
      </c>
      <c r="C251" t="s">
        <v>10</v>
      </c>
      <c r="D251" t="s">
        <v>22</v>
      </c>
      <c r="E251" t="s">
        <v>150</v>
      </c>
      <c r="F251" t="s">
        <v>21</v>
      </c>
      <c r="G251" s="2" t="s">
        <v>250</v>
      </c>
      <c r="H251" t="s">
        <v>14</v>
      </c>
      <c r="I251" t="s">
        <v>14</v>
      </c>
    </row>
    <row r="252" spans="1:9" ht="45" x14ac:dyDescent="0.25">
      <c r="A252" t="s">
        <v>9</v>
      </c>
      <c r="B252" t="str">
        <f>HYPERLINK("https://www.sydney.edu.au/scholarships/b/the-dr-lena-cansdale-scholarship.html", "The Dr Lena Cansdale Scholarship")</f>
        <v>The Dr Lena Cansdale Scholarship</v>
      </c>
      <c r="C252" t="s">
        <v>10</v>
      </c>
      <c r="D252" t="s">
        <v>15</v>
      </c>
      <c r="E252" t="s">
        <v>151</v>
      </c>
      <c r="F252" t="s">
        <v>21</v>
      </c>
      <c r="G252" s="2" t="s">
        <v>250</v>
      </c>
      <c r="H252" t="s">
        <v>14</v>
      </c>
      <c r="I252" t="s">
        <v>14</v>
      </c>
    </row>
    <row r="253" spans="1:9" ht="45" x14ac:dyDescent="0.25">
      <c r="A253" t="s">
        <v>9</v>
      </c>
      <c r="B253" t="str">
        <f>HYPERLINK("https://www.sydney.edu.au/scholarships/b/the-gabrielle-ewington-equity-scholarship-in-southeast-asian-studies.html", "The Gabrielle Ewington Equity Scholarship in Southeast Asian Studies")</f>
        <v>The Gabrielle Ewington Equity Scholarship in Southeast Asian Studies</v>
      </c>
      <c r="C253" t="s">
        <v>10</v>
      </c>
      <c r="D253" t="s">
        <v>49</v>
      </c>
      <c r="E253" t="s">
        <v>152</v>
      </c>
      <c r="F253" t="s">
        <v>21</v>
      </c>
      <c r="G253" s="2" t="s">
        <v>250</v>
      </c>
      <c r="H253" t="s">
        <v>14</v>
      </c>
      <c r="I253" t="s">
        <v>14</v>
      </c>
    </row>
    <row r="254" spans="1:9" ht="45" x14ac:dyDescent="0.25">
      <c r="A254" t="s">
        <v>9</v>
      </c>
      <c r="B254" t="str">
        <f>HYPERLINK("https://www.sydney.edu.au/scholarships/b/the-holden-family-scholarship.html", "The Holden Family Scholarship")</f>
        <v>The Holden Family Scholarship</v>
      </c>
      <c r="C254" t="s">
        <v>10</v>
      </c>
      <c r="D254" t="s">
        <v>32</v>
      </c>
      <c r="E254" t="s">
        <v>153</v>
      </c>
      <c r="F254" t="s">
        <v>21</v>
      </c>
      <c r="G254" s="2" t="s">
        <v>250</v>
      </c>
      <c r="H254" t="s">
        <v>14</v>
      </c>
      <c r="I254" t="s">
        <v>14</v>
      </c>
    </row>
    <row r="255" spans="1:9" ht="45" x14ac:dyDescent="0.25">
      <c r="A255" t="s">
        <v>9</v>
      </c>
      <c r="B255" t="str">
        <f>HYPERLINK("https://www.sydney.edu.au/scholarships/b/the-james-coutts-scholarship.html", "The James Coutts Scholarship")</f>
        <v>The James Coutts Scholarship</v>
      </c>
      <c r="C255" t="s">
        <v>10</v>
      </c>
      <c r="D255" t="s">
        <v>42</v>
      </c>
      <c r="E255" t="s">
        <v>154</v>
      </c>
      <c r="F255" t="s">
        <v>21</v>
      </c>
      <c r="G255" s="2" t="s">
        <v>250</v>
      </c>
      <c r="H255" t="s">
        <v>14</v>
      </c>
      <c r="I255" t="s">
        <v>14</v>
      </c>
    </row>
    <row r="256" spans="1:9" ht="45" x14ac:dyDescent="0.25">
      <c r="A256" t="s">
        <v>9</v>
      </c>
      <c r="B256" t="str">
        <f>HYPERLINK("https://www.sydney.edu.au/scholarships/b/the-jerome-de-costa-memorial-undergraduate-degree-show-bursary.html", "The Jerome De Costa Memorial Award - Graduate Exhibition")</f>
        <v>The Jerome De Costa Memorial Award - Graduate Exhibition</v>
      </c>
      <c r="C256" t="s">
        <v>10</v>
      </c>
      <c r="D256" t="s">
        <v>22</v>
      </c>
      <c r="E256" t="s">
        <v>155</v>
      </c>
      <c r="F256" t="s">
        <v>21</v>
      </c>
      <c r="G256" s="2" t="s">
        <v>250</v>
      </c>
      <c r="H256" t="s">
        <v>14</v>
      </c>
      <c r="I256" t="s">
        <v>14</v>
      </c>
    </row>
    <row r="257" spans="1:9" ht="45" x14ac:dyDescent="0.25">
      <c r="A257" t="s">
        <v>9</v>
      </c>
      <c r="B257" t="str">
        <f>HYPERLINK("https://www.sydney.edu.au/scholarships/b/the-kambala-teacher-education-scholarship.html", "The Kambala Teacher Education Scholarship")</f>
        <v>The Kambala Teacher Education Scholarship</v>
      </c>
      <c r="C257" t="s">
        <v>10</v>
      </c>
      <c r="D257" t="s">
        <v>86</v>
      </c>
      <c r="E257" t="s">
        <v>96</v>
      </c>
      <c r="F257" t="s">
        <v>13</v>
      </c>
      <c r="G257" s="2" t="s">
        <v>250</v>
      </c>
      <c r="H257" t="s">
        <v>14</v>
      </c>
      <c r="I257" t="s">
        <v>14</v>
      </c>
    </row>
    <row r="258" spans="1:9" ht="45" x14ac:dyDescent="0.25">
      <c r="A258" t="s">
        <v>9</v>
      </c>
      <c r="B258" t="str">
        <f>HYPERLINK("https://www.sydney.edu.au/scholarships/b/the-knox-grammar-school-teacher-education-scholarship.html", "The Knox Grammar School Teacher Education Scholarship")</f>
        <v>The Knox Grammar School Teacher Education Scholarship</v>
      </c>
      <c r="C258" t="s">
        <v>10</v>
      </c>
      <c r="D258" t="s">
        <v>86</v>
      </c>
      <c r="E258" t="s">
        <v>96</v>
      </c>
      <c r="F258" t="s">
        <v>13</v>
      </c>
      <c r="G258" s="2" t="s">
        <v>250</v>
      </c>
      <c r="H258" t="s">
        <v>14</v>
      </c>
      <c r="I258" t="s">
        <v>14</v>
      </c>
    </row>
    <row r="259" spans="1:9" ht="45" x14ac:dyDescent="0.25">
      <c r="A259" t="s">
        <v>9</v>
      </c>
      <c r="B259" t="str">
        <f>HYPERLINK("https://www.sydney.edu.au/scholarships/b/the-lisa-mcneice-mile-award.html", "The Lisa McNeice MILE Award")</f>
        <v>The Lisa McNeice MILE Award</v>
      </c>
      <c r="C259" t="s">
        <v>10</v>
      </c>
      <c r="D259" t="s">
        <v>156</v>
      </c>
      <c r="E259" t="s">
        <v>157</v>
      </c>
      <c r="F259" t="s">
        <v>17</v>
      </c>
      <c r="G259" s="2" t="s">
        <v>250</v>
      </c>
      <c r="H259" t="s">
        <v>14</v>
      </c>
      <c r="I259" t="s">
        <v>14</v>
      </c>
    </row>
    <row r="260" spans="1:9" ht="45" x14ac:dyDescent="0.25">
      <c r="A260" t="s">
        <v>9</v>
      </c>
      <c r="B260" t="str">
        <f>HYPERLINK("https://www.sydney.edu.au/scholarships/b/the-mlc-school-teacher-education-scholarship.html", "MLC School Teacher Education Scholarship")</f>
        <v>MLC School Teacher Education Scholarship</v>
      </c>
      <c r="C260" t="s">
        <v>10</v>
      </c>
      <c r="D260" t="s">
        <v>34</v>
      </c>
      <c r="E260" t="s">
        <v>158</v>
      </c>
      <c r="F260" t="s">
        <v>17</v>
      </c>
      <c r="G260" s="2" t="s">
        <v>250</v>
      </c>
      <c r="H260" t="s">
        <v>14</v>
      </c>
      <c r="I260" t="s">
        <v>14</v>
      </c>
    </row>
    <row r="261" spans="1:9" ht="45" x14ac:dyDescent="0.25">
      <c r="A261" t="s">
        <v>9</v>
      </c>
      <c r="B261" t="str">
        <f>HYPERLINK("https://www.sydney.edu.au/scholarships/b/the-mungo-william-maccullum-scholarship-in-literature.html", "The Mungo William MacCullum Scholarship in Literature")</f>
        <v>The Mungo William MacCullum Scholarship in Literature</v>
      </c>
      <c r="C261" t="s">
        <v>10</v>
      </c>
      <c r="D261" t="s">
        <v>77</v>
      </c>
      <c r="E261" t="s">
        <v>159</v>
      </c>
      <c r="F261" t="s">
        <v>21</v>
      </c>
      <c r="G261" s="2" t="s">
        <v>250</v>
      </c>
      <c r="H261" t="s">
        <v>14</v>
      </c>
      <c r="I261" t="s">
        <v>14</v>
      </c>
    </row>
    <row r="262" spans="1:9" ht="45" x14ac:dyDescent="0.25">
      <c r="A262" t="s">
        <v>9</v>
      </c>
      <c r="B262" t="str">
        <f>HYPERLINK("https://www.sydney.edu.au/scholarships/b/the-order-of-australia-association-foundation-scholarship-business.html", "The Order of Australia Association Foundation Scholarship")</f>
        <v>The Order of Australia Association Foundation Scholarship</v>
      </c>
      <c r="C262" t="s">
        <v>10</v>
      </c>
      <c r="D262" t="s">
        <v>15</v>
      </c>
      <c r="E262" t="s">
        <v>160</v>
      </c>
      <c r="F262" t="s">
        <v>21</v>
      </c>
      <c r="G262" s="2" t="s">
        <v>250</v>
      </c>
      <c r="H262" t="s">
        <v>14</v>
      </c>
      <c r="I262" t="s">
        <v>14</v>
      </c>
    </row>
    <row r="263" spans="1:9" ht="45" x14ac:dyDescent="0.25">
      <c r="A263" t="s">
        <v>9</v>
      </c>
      <c r="B263" t="str">
        <f>HYPERLINK("https://www.sydney.edu.au/scholarships/b/the-peter-koning-undergraduate-scholarship-in-engineering.html", "The Peter Koning Undergraduate Scholarship in Engineering")</f>
        <v>The Peter Koning Undergraduate Scholarship in Engineering</v>
      </c>
      <c r="C263" t="s">
        <v>10</v>
      </c>
      <c r="D263" t="s">
        <v>122</v>
      </c>
      <c r="E263" t="s">
        <v>12</v>
      </c>
      <c r="F263" t="s">
        <v>21</v>
      </c>
      <c r="G263" s="2" t="s">
        <v>250</v>
      </c>
      <c r="H263" t="s">
        <v>14</v>
      </c>
      <c r="I263" t="s">
        <v>14</v>
      </c>
    </row>
    <row r="264" spans="1:9" ht="45" x14ac:dyDescent="0.25">
      <c r="A264" t="s">
        <v>9</v>
      </c>
      <c r="B264" t="str">
        <f>HYPERLINK("https://www.sydney.edu.au/scholarships/b/the-romy-waterlow-scholarship.html", "The Romy Waterlow Scholarship")</f>
        <v>The Romy Waterlow Scholarship</v>
      </c>
      <c r="C264" t="s">
        <v>10</v>
      </c>
      <c r="D264" t="s">
        <v>25</v>
      </c>
      <c r="E264" t="s">
        <v>12</v>
      </c>
      <c r="F264" t="s">
        <v>13</v>
      </c>
      <c r="G264" s="2" t="s">
        <v>250</v>
      </c>
      <c r="H264" t="s">
        <v>14</v>
      </c>
      <c r="I264" t="s">
        <v>14</v>
      </c>
    </row>
    <row r="265" spans="1:9" ht="45" x14ac:dyDescent="0.25">
      <c r="A265" t="s">
        <v>9</v>
      </c>
      <c r="B265" t="str">
        <f>HYPERLINK("https://www.sydney.edu.au/scholarships/b/the-sakuko-matsui-australia-japan-friendship-scholarships.html", "The Sakuko Matsui Australia-Japan Friendship Scholarships")</f>
        <v>The Sakuko Matsui Australia-Japan Friendship Scholarships</v>
      </c>
      <c r="C265" t="s">
        <v>10</v>
      </c>
      <c r="D265" t="s">
        <v>23</v>
      </c>
      <c r="E265" t="s">
        <v>12</v>
      </c>
      <c r="F265" t="s">
        <v>13</v>
      </c>
      <c r="G265" s="2" t="s">
        <v>250</v>
      </c>
      <c r="H265" t="s">
        <v>14</v>
      </c>
      <c r="I265" t="s">
        <v>14</v>
      </c>
    </row>
    <row r="266" spans="1:9" ht="45" x14ac:dyDescent="0.25">
      <c r="A266" t="s">
        <v>9</v>
      </c>
      <c r="B266" t="str">
        <f>HYPERLINK("https://www.sydney.edu.au/scholarships/b/the-shore-teacher-education-scholarship.html", "The Shore Teacher Education Scholarship")</f>
        <v>The Shore Teacher Education Scholarship</v>
      </c>
      <c r="C266" t="s">
        <v>10</v>
      </c>
      <c r="D266" t="s">
        <v>86</v>
      </c>
      <c r="E266" t="s">
        <v>96</v>
      </c>
      <c r="F266" t="s">
        <v>13</v>
      </c>
      <c r="G266" s="2" t="s">
        <v>250</v>
      </c>
      <c r="H266" t="s">
        <v>14</v>
      </c>
      <c r="I266" t="s">
        <v>14</v>
      </c>
    </row>
    <row r="267" spans="1:9" ht="45" x14ac:dyDescent="0.25">
      <c r="A267" t="s">
        <v>9</v>
      </c>
      <c r="B267" t="str">
        <f>HYPERLINK("https://www.sydney.edu.au/scholarships/b/the-sir-william-tyree-engineering-scholarship.html", "The Sir William Tyree Engineering Scholarship")</f>
        <v>The Sir William Tyree Engineering Scholarship</v>
      </c>
      <c r="C267" t="s">
        <v>10</v>
      </c>
      <c r="D267" t="s">
        <v>161</v>
      </c>
      <c r="E267" t="s">
        <v>162</v>
      </c>
      <c r="F267" t="s">
        <v>21</v>
      </c>
      <c r="G267" s="2" t="s">
        <v>250</v>
      </c>
      <c r="H267" t="s">
        <v>14</v>
      </c>
      <c r="I267" t="s">
        <v>14</v>
      </c>
    </row>
    <row r="268" spans="1:9" ht="45" hidden="1" x14ac:dyDescent="0.25">
      <c r="A268" t="s">
        <v>9</v>
      </c>
      <c r="B268" t="str">
        <f>HYPERLINK("https://www.sydney.edu.au/scholarships/b/the-stanley-chisholm-ash-scholarship-in-engineering.html", "The Stanley Chisholm Ash Scholarship in Engineering")</f>
        <v>The Stanley Chisholm Ash Scholarship in Engineering</v>
      </c>
      <c r="C268" t="s">
        <v>10</v>
      </c>
      <c r="D268" s="9">
        <v>45000</v>
      </c>
      <c r="E268" s="4" t="s">
        <v>254</v>
      </c>
      <c r="F268" t="s">
        <v>10</v>
      </c>
      <c r="G268" s="2" t="s">
        <v>250</v>
      </c>
      <c r="H268" t="s">
        <v>14</v>
      </c>
      <c r="I268" t="s">
        <v>14</v>
      </c>
    </row>
    <row r="269" spans="1:9" ht="45" x14ac:dyDescent="0.25">
      <c r="A269" t="s">
        <v>9</v>
      </c>
      <c r="B269" t="str">
        <f>HYPERLINK("https://www.sydney.edu.au/scholarships/b/the-thomas-henry-coulson-scholarship.html", "The Thomas Henry Coulson Scholarship")</f>
        <v>The Thomas Henry Coulson Scholarship</v>
      </c>
      <c r="C269" t="s">
        <v>10</v>
      </c>
      <c r="D269" t="s">
        <v>163</v>
      </c>
      <c r="E269" t="s">
        <v>164</v>
      </c>
      <c r="F269" t="s">
        <v>21</v>
      </c>
      <c r="G269" s="2" t="s">
        <v>250</v>
      </c>
      <c r="H269" t="s">
        <v>14</v>
      </c>
      <c r="I269" t="s">
        <v>14</v>
      </c>
    </row>
    <row r="270" spans="1:9" ht="45" x14ac:dyDescent="0.25">
      <c r="A270" t="s">
        <v>9</v>
      </c>
      <c r="B270" t="str">
        <f>HYPERLINK("https://www.sydney.edu.au/scholarships/b/the-waverley-college-teacher-education-scholarship.html", "The Waverley College Teacher Education Scholarship")</f>
        <v>The Waverley College Teacher Education Scholarship</v>
      </c>
      <c r="C270" t="s">
        <v>10</v>
      </c>
      <c r="D270" t="s">
        <v>86</v>
      </c>
      <c r="E270" t="s">
        <v>165</v>
      </c>
      <c r="F270" t="s">
        <v>21</v>
      </c>
      <c r="G270" s="2" t="s">
        <v>250</v>
      </c>
      <c r="H270" t="s">
        <v>14</v>
      </c>
      <c r="I270" t="s">
        <v>14</v>
      </c>
    </row>
    <row r="271" spans="1:9" ht="45" x14ac:dyDescent="0.25">
      <c r="A271" t="s">
        <v>9</v>
      </c>
      <c r="B271" t="str">
        <f>HYPERLINK("https://www.sydney.edu.au/scholarships/b/the-winifred-margaret-neirous-memorial-scholarship.html", "The Winifred Margaret Neirous Memorial Scholarship")</f>
        <v>The Winifred Margaret Neirous Memorial Scholarship</v>
      </c>
      <c r="C271" t="s">
        <v>10</v>
      </c>
      <c r="D271" t="s">
        <v>33</v>
      </c>
      <c r="E271" t="s">
        <v>166</v>
      </c>
      <c r="F271" t="s">
        <v>21</v>
      </c>
      <c r="G271" s="2" t="s">
        <v>250</v>
      </c>
      <c r="H271" t="s">
        <v>14</v>
      </c>
      <c r="I271" t="s">
        <v>14</v>
      </c>
    </row>
    <row r="272" spans="1:9" ht="45" hidden="1" x14ac:dyDescent="0.25">
      <c r="A272" t="s">
        <v>9</v>
      </c>
      <c r="B272" t="str">
        <f>HYPERLINK("https://www.sydney.edu.au/scholarships/b/the-zelda-stedman-artist-scholarship.html", "The Zelda Stedman Artist Scholarship")</f>
        <v>The Zelda Stedman Artist Scholarship</v>
      </c>
      <c r="C272" t="s">
        <v>270</v>
      </c>
      <c r="D272" s="7" t="s">
        <v>41</v>
      </c>
      <c r="E272" t="s">
        <v>251</v>
      </c>
      <c r="F272" t="s">
        <v>13</v>
      </c>
      <c r="G272" s="2" t="s">
        <v>293</v>
      </c>
      <c r="H272" t="s">
        <v>14</v>
      </c>
      <c r="I272" t="s">
        <v>14</v>
      </c>
    </row>
    <row r="273" spans="1:9" ht="45" x14ac:dyDescent="0.25">
      <c r="A273" t="s">
        <v>9</v>
      </c>
      <c r="B273" t="str">
        <f>HYPERLINK("https://www.sydney.edu.au/scholarships/b/tom-austen-brown-honours-scholarship-in-archaeology.html", "Tom Austen Brown Honours Scholarship in Archaeology")</f>
        <v>Tom Austen Brown Honours Scholarship in Archaeology</v>
      </c>
      <c r="C273" t="s">
        <v>10</v>
      </c>
      <c r="D273" t="s">
        <v>81</v>
      </c>
      <c r="E273" t="s">
        <v>167</v>
      </c>
      <c r="F273" t="s">
        <v>21</v>
      </c>
      <c r="G273" s="2" t="s">
        <v>250</v>
      </c>
      <c r="H273" t="s">
        <v>14</v>
      </c>
      <c r="I273" t="s">
        <v>14</v>
      </c>
    </row>
    <row r="274" spans="1:9" ht="45" x14ac:dyDescent="0.25">
      <c r="A274" t="s">
        <v>9</v>
      </c>
      <c r="B274" t="str">
        <f>HYPERLINK("https://www.sydney.edu.au/scholarships/b/tom-austen-brown-undergraduate-scholarship-in-archaeology.html", "Tom Austen Brown Undergraduate Scholarship in Archaeology")</f>
        <v>Tom Austen Brown Undergraduate Scholarship in Archaeology</v>
      </c>
      <c r="C274" t="s">
        <v>10</v>
      </c>
      <c r="D274" t="s">
        <v>81</v>
      </c>
      <c r="E274" t="s">
        <v>168</v>
      </c>
      <c r="F274" t="s">
        <v>21</v>
      </c>
      <c r="G274" s="2" t="s">
        <v>250</v>
      </c>
      <c r="H274" t="s">
        <v>14</v>
      </c>
      <c r="I274" t="s">
        <v>14</v>
      </c>
    </row>
    <row r="275" spans="1:9" ht="45" x14ac:dyDescent="0.25">
      <c r="A275" t="s">
        <v>9</v>
      </c>
      <c r="B275" t="str">
        <f>HYPERLINK("https://www.sydney.edu.au/scholarships/b/ussc-undergraduate-equity-scholarship-in-american-studies.html", "USSC Undergraduate Equity Scholarship in American Studies")</f>
        <v>USSC Undergraduate Equity Scholarship in American Studies</v>
      </c>
      <c r="C275" t="s">
        <v>10</v>
      </c>
      <c r="D275" t="s">
        <v>15</v>
      </c>
      <c r="E275" t="s">
        <v>169</v>
      </c>
      <c r="F275" t="s">
        <v>21</v>
      </c>
      <c r="G275" s="2" t="s">
        <v>250</v>
      </c>
      <c r="H275" t="s">
        <v>14</v>
      </c>
      <c r="I275" t="s">
        <v>14</v>
      </c>
    </row>
    <row r="276" spans="1:9" ht="45" x14ac:dyDescent="0.25">
      <c r="A276" t="s">
        <v>9</v>
      </c>
      <c r="B276" t="str">
        <f>HYPERLINK("https://www.sydney.edu.au/scholarships/b/victoria-gollan-memorial-scholarship.html", "The Victoria Gollan Memorial Scholarship")</f>
        <v>The Victoria Gollan Memorial Scholarship</v>
      </c>
      <c r="C276" t="s">
        <v>10</v>
      </c>
      <c r="D276" t="s">
        <v>35</v>
      </c>
      <c r="E276" t="s">
        <v>12</v>
      </c>
      <c r="F276" t="s">
        <v>21</v>
      </c>
      <c r="G276" s="2" t="s">
        <v>250</v>
      </c>
      <c r="H276" t="s">
        <v>14</v>
      </c>
      <c r="I276" t="s">
        <v>14</v>
      </c>
    </row>
    <row r="277" spans="1:9" ht="45" x14ac:dyDescent="0.25">
      <c r="A277" t="s">
        <v>9</v>
      </c>
      <c r="B277" t="str">
        <f>HYPERLINK("https://www.sydney.edu.au/scholarships/b/walter-eliza-hall-trust-opportunity-scholarship-education.html", "The Walter and Eliza Hall Trust Opportunity Scholarship in Education")</f>
        <v>The Walter and Eliza Hall Trust Opportunity Scholarship in Education</v>
      </c>
      <c r="C277" t="s">
        <v>10</v>
      </c>
      <c r="D277" t="s">
        <v>25</v>
      </c>
      <c r="E277" t="s">
        <v>12</v>
      </c>
      <c r="F277" t="s">
        <v>21</v>
      </c>
      <c r="G277" s="2" t="s">
        <v>250</v>
      </c>
      <c r="H277" t="s">
        <v>14</v>
      </c>
      <c r="I277" t="s">
        <v>14</v>
      </c>
    </row>
    <row r="278" spans="1:9" ht="45" x14ac:dyDescent="0.25">
      <c r="A278" t="s">
        <v>9</v>
      </c>
      <c r="B278" t="str">
        <f>HYPERLINK("https://www.sydney.edu.au/scholarships/b/walter-eliza-hall-trust-opportunity-scholarship-social-work.html", "The Walter and Eliza Hall Trust Opportunity Scholarship in Social Work")</f>
        <v>The Walter and Eliza Hall Trust Opportunity Scholarship in Social Work</v>
      </c>
      <c r="C278" t="s">
        <v>10</v>
      </c>
      <c r="D278" t="s">
        <v>25</v>
      </c>
      <c r="E278" t="s">
        <v>170</v>
      </c>
      <c r="F278" t="s">
        <v>21</v>
      </c>
      <c r="G278" s="2" t="s">
        <v>250</v>
      </c>
      <c r="H278" t="s">
        <v>14</v>
      </c>
      <c r="I278" t="s">
        <v>14</v>
      </c>
    </row>
    <row r="279" spans="1:9" ht="90" hidden="1" x14ac:dyDescent="0.25">
      <c r="A279" t="s">
        <v>9</v>
      </c>
      <c r="B279" t="str">
        <f>HYPERLINK("https://www.sydney.edu.au/scholarships/b/wh-and-elizabeth-m-deane-archaeology-research-grant.html", "WH and Elizabeth M Deane Archaeology Research Grant")</f>
        <v>WH and Elizabeth M Deane Archaeology Research Grant</v>
      </c>
      <c r="C279" t="s">
        <v>249</v>
      </c>
      <c r="D279" s="7" t="s">
        <v>28</v>
      </c>
      <c r="E279" t="s">
        <v>251</v>
      </c>
      <c r="F279" t="s">
        <v>21</v>
      </c>
      <c r="G279" s="2" t="s">
        <v>294</v>
      </c>
      <c r="H279" t="s">
        <v>14</v>
      </c>
      <c r="I279" t="s">
        <v>14</v>
      </c>
    </row>
    <row r="280" spans="1:9" ht="45" x14ac:dyDescent="0.25">
      <c r="A280" t="s">
        <v>9</v>
      </c>
      <c r="B280" t="str">
        <f>HYPERLINK("https://www.sydney.edu.au/scholarships/b/wigram-allen-scholarship-juris-doctor-award.html", "Wigram Allen Scholarship for the Juris Doctor Award")</f>
        <v>Wigram Allen Scholarship for the Juris Doctor Award</v>
      </c>
      <c r="C280" t="s">
        <v>10</v>
      </c>
      <c r="D280" t="s">
        <v>77</v>
      </c>
      <c r="E280" t="s">
        <v>171</v>
      </c>
      <c r="F280" t="s">
        <v>17</v>
      </c>
      <c r="G280" s="2" t="s">
        <v>250</v>
      </c>
      <c r="H280" t="s">
        <v>14</v>
      </c>
      <c r="I280" t="s">
        <v>14</v>
      </c>
    </row>
    <row r="281" spans="1:9" ht="45" x14ac:dyDescent="0.25">
      <c r="A281" t="s">
        <v>9</v>
      </c>
      <c r="B281" t="str">
        <f>HYPERLINK("https://www.sydney.edu.au/scholarships/b/william-john-lizzie-may-sinclair-scholarship.html", "The William John and Lizzie May Sinclair Scholarship")</f>
        <v>The William John and Lizzie May Sinclair Scholarship</v>
      </c>
      <c r="C281" t="s">
        <v>10</v>
      </c>
      <c r="D281" t="s">
        <v>39</v>
      </c>
      <c r="E281" t="s">
        <v>172</v>
      </c>
      <c r="F281" t="s">
        <v>21</v>
      </c>
      <c r="G281" s="2" t="s">
        <v>250</v>
      </c>
      <c r="H281" t="s">
        <v>14</v>
      </c>
      <c r="I281" t="s">
        <v>14</v>
      </c>
    </row>
    <row r="282" spans="1:9" ht="45" x14ac:dyDescent="0.25">
      <c r="A282" t="s">
        <v>9</v>
      </c>
      <c r="B282" t="str">
        <f>HYPERLINK("https://www.sydney.edu.au/scholarships/b/yim-family-foundation-scholarship---engineering-vacation-researc.html", "Yim Family Foundation Scholarship - Engineering Vacation Research Program")</f>
        <v>Yim Family Foundation Scholarship - Engineering Vacation Research Program</v>
      </c>
      <c r="C282" t="s">
        <v>10</v>
      </c>
      <c r="D282" t="s">
        <v>28</v>
      </c>
      <c r="E282" t="s">
        <v>84</v>
      </c>
      <c r="F282" t="s">
        <v>13</v>
      </c>
      <c r="G282" s="2" t="s">
        <v>250</v>
      </c>
      <c r="H282" t="s">
        <v>14</v>
      </c>
      <c r="I282" t="s">
        <v>14</v>
      </c>
    </row>
    <row r="283" spans="1:9" ht="45" x14ac:dyDescent="0.25">
      <c r="A283" t="s">
        <v>9</v>
      </c>
      <c r="B283" t="str">
        <f>HYPERLINK("https://www.sydney.edu.au/scholarships/b/zoe-hall-memorial-scholarship.html", "Zoe Hall Memorial Scholarship")</f>
        <v>Zoe Hall Memorial Scholarship</v>
      </c>
      <c r="C283" t="s">
        <v>10</v>
      </c>
      <c r="D283" t="s">
        <v>19</v>
      </c>
      <c r="E283" t="s">
        <v>173</v>
      </c>
      <c r="F283" t="s">
        <v>13</v>
      </c>
      <c r="G283" s="2" t="s">
        <v>250</v>
      </c>
      <c r="H283" t="s">
        <v>14</v>
      </c>
      <c r="I283" t="s">
        <v>14</v>
      </c>
    </row>
    <row r="284" spans="1:9" ht="105" hidden="1" x14ac:dyDescent="0.25">
      <c r="A284" t="s">
        <v>9</v>
      </c>
      <c r="B284" t="str">
        <f>HYPERLINK("https://www.sydney.edu.au/scholarships/c/am-taylor-scholarship-orthopaedic-and-traumatic-surgery.html", "A M Taylor Scholarship in Orthopaedic and Traumatic Surgery")</f>
        <v>A M Taylor Scholarship in Orthopaedic and Traumatic Surgery</v>
      </c>
      <c r="C284" t="s">
        <v>249</v>
      </c>
      <c r="D284" s="7" t="s">
        <v>25</v>
      </c>
      <c r="E284" s="2" t="s">
        <v>296</v>
      </c>
      <c r="F284" t="s">
        <v>10</v>
      </c>
      <c r="G284" s="2" t="s">
        <v>295</v>
      </c>
      <c r="H284" t="s">
        <v>14</v>
      </c>
      <c r="I284" t="s">
        <v>14</v>
      </c>
    </row>
    <row r="285" spans="1:9" ht="60" hidden="1" x14ac:dyDescent="0.25">
      <c r="A285" t="s">
        <v>9</v>
      </c>
      <c r="B285" t="str">
        <f>HYPERLINK("https://www.sydney.edu.au/scholarships/c/andrew-tu-scholarship.html", "Andrew Tu Scholarship in Pharmacy")</f>
        <v>Andrew Tu Scholarship in Pharmacy</v>
      </c>
      <c r="C285" t="s">
        <v>249</v>
      </c>
      <c r="D285" s="7" t="s">
        <v>19</v>
      </c>
      <c r="E285" t="s">
        <v>253</v>
      </c>
      <c r="F285" t="s">
        <v>261</v>
      </c>
      <c r="G285" s="2" t="s">
        <v>297</v>
      </c>
      <c r="H285" t="s">
        <v>14</v>
      </c>
      <c r="I285" t="s">
        <v>14</v>
      </c>
    </row>
    <row r="286" spans="1:9" ht="45" x14ac:dyDescent="0.25">
      <c r="A286" t="s">
        <v>9</v>
      </c>
      <c r="B286" t="str">
        <f>HYPERLINK("https://www.sydney.edu.au/scholarships/c/cerebral-palsy-alliance-professor-henry-j-cowan-memorial-scholarship.html", "Cerebral Palsy Alliance Professor Henry J Cowan Memorial Scholarship")</f>
        <v>Cerebral Palsy Alliance Professor Henry J Cowan Memorial Scholarship</v>
      </c>
      <c r="C286" t="s">
        <v>10</v>
      </c>
      <c r="D286" t="s">
        <v>35</v>
      </c>
      <c r="E286" t="s">
        <v>12</v>
      </c>
      <c r="F286" t="s">
        <v>13</v>
      </c>
      <c r="G286" s="2" t="s">
        <v>250</v>
      </c>
      <c r="H286" t="s">
        <v>14</v>
      </c>
      <c r="I286" t="s">
        <v>14</v>
      </c>
    </row>
    <row r="287" spans="1:9" ht="45" x14ac:dyDescent="0.25">
      <c r="A287" t="s">
        <v>9</v>
      </c>
      <c r="B287" t="str">
        <f>HYPERLINK("https://www.sydney.edu.au/scholarships/c/clinical-epidemiology-scholarship.html", "Sydney School of Public Health Clinical Epidemiology Scholarship")</f>
        <v>Sydney School of Public Health Clinical Epidemiology Scholarship</v>
      </c>
      <c r="C287" t="s">
        <v>10</v>
      </c>
      <c r="D287" t="s">
        <v>25</v>
      </c>
      <c r="E287" t="s">
        <v>45</v>
      </c>
      <c r="F287" t="s">
        <v>17</v>
      </c>
      <c r="G287" s="2" t="s">
        <v>250</v>
      </c>
      <c r="H287" t="s">
        <v>14</v>
      </c>
      <c r="I287" t="s">
        <v>14</v>
      </c>
    </row>
    <row r="288" spans="1:9" ht="60" hidden="1" x14ac:dyDescent="0.25">
      <c r="A288" t="s">
        <v>9</v>
      </c>
      <c r="B288" t="str">
        <f>HYPERLINK("https://www.sydney.edu.au/scholarships/c/deans-scholarship-fund-conference-grant.html", "Dean's Scholarship Fund Conference Grant")</f>
        <v>Dean's Scholarship Fund Conference Grant</v>
      </c>
      <c r="C288" t="s">
        <v>249</v>
      </c>
      <c r="D288" s="7" t="s">
        <v>156</v>
      </c>
      <c r="E288" t="s">
        <v>251</v>
      </c>
      <c r="F288" t="s">
        <v>21</v>
      </c>
      <c r="G288" s="2" t="s">
        <v>298</v>
      </c>
      <c r="H288" t="s">
        <v>14</v>
      </c>
      <c r="I288" t="s">
        <v>14</v>
      </c>
    </row>
    <row r="289" spans="1:9" ht="45" hidden="1" x14ac:dyDescent="0.25">
      <c r="A289" t="s">
        <v>9</v>
      </c>
      <c r="B289" t="str">
        <f>HYPERLINK("https://www.sydney.edu.au/scholarships/c/dialysis_australia_nursing_scholarship.html", "Dialysis Australia Nursing Scholarship")</f>
        <v>Dialysis Australia Nursing Scholarship</v>
      </c>
      <c r="C289" t="s">
        <v>10</v>
      </c>
      <c r="D289" t="s">
        <v>15</v>
      </c>
      <c r="E289" t="s">
        <v>255</v>
      </c>
      <c r="F289" t="s">
        <v>10</v>
      </c>
      <c r="G289" s="2" t="s">
        <v>250</v>
      </c>
      <c r="H289" t="s">
        <v>14</v>
      </c>
      <c r="I289" t="s">
        <v>14</v>
      </c>
    </row>
    <row r="290" spans="1:9" ht="45" x14ac:dyDescent="0.25">
      <c r="A290" t="s">
        <v>9</v>
      </c>
      <c r="B290" t="str">
        <f>HYPERLINK("https://www.sydney.edu.au/scholarships/c/dmd-colgate-research-dissemination-cost-scholarship.html", "DMD-Colgate Research Dissemination Cost Scholarship")</f>
        <v>DMD-Colgate Research Dissemination Cost Scholarship</v>
      </c>
      <c r="C290" t="s">
        <v>10</v>
      </c>
      <c r="D290" t="s">
        <v>37</v>
      </c>
      <c r="E290" t="s">
        <v>174</v>
      </c>
      <c r="F290" t="s">
        <v>17</v>
      </c>
      <c r="G290" s="2" t="s">
        <v>250</v>
      </c>
      <c r="H290" t="s">
        <v>14</v>
      </c>
      <c r="I290" t="s">
        <v>14</v>
      </c>
    </row>
    <row r="291" spans="1:9" ht="45" x14ac:dyDescent="0.25">
      <c r="A291" t="s">
        <v>9</v>
      </c>
      <c r="B291" t="str">
        <f>HYPERLINK("https://www.sydney.edu.au/scholarships/c/dr-tom-easton-memorial-scholarship.html", "Dr Tom Easton Memorial Scholarship")</f>
        <v>Dr Tom Easton Memorial Scholarship</v>
      </c>
      <c r="C291" t="s">
        <v>10</v>
      </c>
      <c r="D291" t="s">
        <v>15</v>
      </c>
      <c r="E291" t="s">
        <v>176</v>
      </c>
      <c r="F291" t="s">
        <v>17</v>
      </c>
      <c r="G291" s="2" t="s">
        <v>250</v>
      </c>
      <c r="H291" t="s">
        <v>14</v>
      </c>
      <c r="I291" t="s">
        <v>14</v>
      </c>
    </row>
    <row r="292" spans="1:9" ht="45" x14ac:dyDescent="0.25">
      <c r="A292" t="s">
        <v>9</v>
      </c>
      <c r="B292" t="str">
        <f>HYPERLINK("https://www.sydney.edu.au/scholarships/c/faculty-of-medicine-and-health-course-material-scholarship-for-d.html", "Faculty of Medicine and Health Course Material Scholarship for Dentistry")</f>
        <v>Faculty of Medicine and Health Course Material Scholarship for Dentistry</v>
      </c>
      <c r="C292" t="s">
        <v>10</v>
      </c>
      <c r="D292" t="s">
        <v>35</v>
      </c>
      <c r="E292" t="s">
        <v>177</v>
      </c>
      <c r="F292" t="s">
        <v>13</v>
      </c>
      <c r="G292" s="2" t="s">
        <v>250</v>
      </c>
      <c r="H292" t="s">
        <v>14</v>
      </c>
      <c r="I292" t="s">
        <v>14</v>
      </c>
    </row>
    <row r="293" spans="1:9" ht="45" x14ac:dyDescent="0.25">
      <c r="A293" t="s">
        <v>9</v>
      </c>
      <c r="B293" t="str">
        <f>HYPERLINK("https://www.sydney.edu.au/scholarships/c/faculty-of-medicine-and-health-course-material-scholarship.html", "Faculty of Medicine and Health Course Material Scholarship")</f>
        <v>Faculty of Medicine and Health Course Material Scholarship</v>
      </c>
      <c r="C293" t="s">
        <v>10</v>
      </c>
      <c r="D293" t="s">
        <v>28</v>
      </c>
      <c r="E293" t="s">
        <v>178</v>
      </c>
      <c r="F293" t="s">
        <v>13</v>
      </c>
      <c r="G293" s="2" t="s">
        <v>250</v>
      </c>
      <c r="H293" t="s">
        <v>14</v>
      </c>
      <c r="I293" t="s">
        <v>14</v>
      </c>
    </row>
    <row r="294" spans="1:9" ht="45" x14ac:dyDescent="0.25">
      <c r="A294" t="s">
        <v>9</v>
      </c>
      <c r="B294" t="str">
        <f>HYPERLINK("https://www.sydney.edu.au/scholarships/c/faculty-of-medicine-and-health-support-for-carers-on-placement-s.html", "Faculty of Medicine and Health Support for Carers on Placement Scholarship")</f>
        <v>Faculty of Medicine and Health Support for Carers on Placement Scholarship</v>
      </c>
      <c r="C294" t="s">
        <v>10</v>
      </c>
      <c r="D294" t="s">
        <v>133</v>
      </c>
      <c r="E294" t="s">
        <v>179</v>
      </c>
      <c r="F294" t="s">
        <v>13</v>
      </c>
      <c r="G294" s="2" t="s">
        <v>250</v>
      </c>
      <c r="H294" t="s">
        <v>14</v>
      </c>
      <c r="I294" t="s">
        <v>38</v>
      </c>
    </row>
    <row r="295" spans="1:9" ht="45" x14ac:dyDescent="0.25">
      <c r="A295" t="s">
        <v>9</v>
      </c>
      <c r="B295" t="str">
        <f>HYPERLINK("https://www.sydney.edu.au/scholarships/c/gdihp-to-public-health-masters-transition-scholarship.html", "GDIHP to Public Health Masters Transition Scholarship")</f>
        <v>GDIHP to Public Health Masters Transition Scholarship</v>
      </c>
      <c r="C295" t="s">
        <v>10</v>
      </c>
      <c r="D295" t="s">
        <v>180</v>
      </c>
      <c r="E295" t="s">
        <v>181</v>
      </c>
      <c r="F295" t="s">
        <v>17</v>
      </c>
      <c r="G295" s="2" t="s">
        <v>250</v>
      </c>
      <c r="H295" t="s">
        <v>14</v>
      </c>
      <c r="I295" t="s">
        <v>14</v>
      </c>
    </row>
    <row r="296" spans="1:9" ht="45" x14ac:dyDescent="0.25">
      <c r="A296" t="s">
        <v>9</v>
      </c>
      <c r="B296" t="str">
        <f>HYPERLINK("https://www.sydney.edu.au/scholarships/c/global-health-equity-scholarship0.html", "The University of Sydney Global Health Equity Scholarship")</f>
        <v>The University of Sydney Global Health Equity Scholarship</v>
      </c>
      <c r="C296" t="s">
        <v>10</v>
      </c>
      <c r="D296" t="s">
        <v>27</v>
      </c>
      <c r="E296" t="s">
        <v>182</v>
      </c>
      <c r="F296" t="s">
        <v>17</v>
      </c>
      <c r="G296" s="2" t="s">
        <v>250</v>
      </c>
      <c r="H296" t="s">
        <v>14</v>
      </c>
      <c r="I296" t="s">
        <v>14</v>
      </c>
    </row>
    <row r="297" spans="1:9" ht="45" x14ac:dyDescent="0.25">
      <c r="A297" t="s">
        <v>9</v>
      </c>
      <c r="B297" t="str">
        <f>HYPERLINK("https://www.sydney.edu.au/scholarships/c/harvey-sutton-global-health-scholarship.html", "The Harvey Sutton Global Health Scholarship")</f>
        <v>The Harvey Sutton Global Health Scholarship</v>
      </c>
      <c r="C297" t="s">
        <v>10</v>
      </c>
      <c r="D297" t="s">
        <v>27</v>
      </c>
      <c r="E297" t="s">
        <v>182</v>
      </c>
      <c r="F297" t="s">
        <v>17</v>
      </c>
      <c r="G297" s="2" t="s">
        <v>250</v>
      </c>
      <c r="H297" t="s">
        <v>14</v>
      </c>
      <c r="I297" t="s">
        <v>14</v>
      </c>
    </row>
    <row r="298" spans="1:9" ht="45" x14ac:dyDescent="0.25">
      <c r="A298" t="s">
        <v>9</v>
      </c>
      <c r="B298" t="str">
        <f>HYPERLINK("https://www.sydney.edu.au/scholarships/c/harvey-sutton-public-health-scholarship.html", "The Harvey Sutton Public Health Scholarship")</f>
        <v>The Harvey Sutton Public Health Scholarship</v>
      </c>
      <c r="C298" t="s">
        <v>10</v>
      </c>
      <c r="D298" t="s">
        <v>27</v>
      </c>
      <c r="E298" t="s">
        <v>12</v>
      </c>
      <c r="F298" t="s">
        <v>17</v>
      </c>
      <c r="G298" s="2" t="s">
        <v>250</v>
      </c>
      <c r="H298" t="s">
        <v>14</v>
      </c>
      <c r="I298" t="s">
        <v>14</v>
      </c>
    </row>
    <row r="299" spans="1:9" ht="45" hidden="1" x14ac:dyDescent="0.25">
      <c r="A299" t="s">
        <v>9</v>
      </c>
      <c r="B299" t="str">
        <f>HYPERLINK("https://www.sydney.edu.au/scholarships/c/john-andrew-loveridge-scholarship-in-pharmacy-and-management.html", "John Andrew Loveridge Scholarship in Pharmacy and Management")</f>
        <v>John Andrew Loveridge Scholarship in Pharmacy and Management</v>
      </c>
      <c r="C299" t="s">
        <v>10</v>
      </c>
      <c r="D299" s="10" t="s">
        <v>29</v>
      </c>
      <c r="E299" s="4" t="s">
        <v>256</v>
      </c>
      <c r="F299" t="s">
        <v>10</v>
      </c>
      <c r="G299" s="2" t="s">
        <v>250</v>
      </c>
      <c r="H299" t="s">
        <v>14</v>
      </c>
      <c r="I299" t="s">
        <v>14</v>
      </c>
    </row>
    <row r="300" spans="1:9" ht="45" x14ac:dyDescent="0.25">
      <c r="A300" t="s">
        <v>9</v>
      </c>
      <c r="B300" t="str">
        <f>HYPERLINK("https://www.sydney.edu.au/scholarships/c/johnson-nursing-scholarship.html", "The Johnson Nursing Scholarship")</f>
        <v>The Johnson Nursing Scholarship</v>
      </c>
      <c r="C300" t="s">
        <v>10</v>
      </c>
      <c r="D300" t="s">
        <v>22</v>
      </c>
      <c r="E300" t="s">
        <v>183</v>
      </c>
      <c r="F300" t="s">
        <v>13</v>
      </c>
      <c r="G300" s="2" t="s">
        <v>250</v>
      </c>
      <c r="H300" t="s">
        <v>14</v>
      </c>
      <c r="I300" t="s">
        <v>14</v>
      </c>
    </row>
    <row r="301" spans="1:9" ht="45" x14ac:dyDescent="0.25">
      <c r="A301" t="s">
        <v>9</v>
      </c>
      <c r="B301" t="str">
        <f>HYPERLINK("https://www.sydney.edu.au/scholarships/c/peter-giles-memorial-scholarship.html", "Peter Giles Memorial Scholarship in Pharmacy")</f>
        <v>Peter Giles Memorial Scholarship in Pharmacy</v>
      </c>
      <c r="C301" t="s">
        <v>10</v>
      </c>
      <c r="D301" t="s">
        <v>33</v>
      </c>
      <c r="E301" t="s">
        <v>184</v>
      </c>
      <c r="F301" t="s">
        <v>21</v>
      </c>
      <c r="G301" s="2" t="s">
        <v>250</v>
      </c>
      <c r="H301" t="s">
        <v>14</v>
      </c>
      <c r="I301" t="s">
        <v>14</v>
      </c>
    </row>
    <row r="302" spans="1:9" ht="45" x14ac:dyDescent="0.25">
      <c r="A302" t="s">
        <v>9</v>
      </c>
      <c r="B302" t="str">
        <f>HYPERLINK("https://www.sydney.edu.au/scholarships/c/peter-suzanne-davidson-scholarship.html", "Peter and Suzanne Davidson Scholarship")</f>
        <v>Peter and Suzanne Davidson Scholarship</v>
      </c>
      <c r="C302" t="s">
        <v>10</v>
      </c>
      <c r="D302" t="s">
        <v>15</v>
      </c>
      <c r="E302" t="s">
        <v>12</v>
      </c>
      <c r="F302" t="s">
        <v>10</v>
      </c>
      <c r="G302" s="2" t="s">
        <v>250</v>
      </c>
      <c r="H302" t="s">
        <v>14</v>
      </c>
      <c r="I302" t="s">
        <v>14</v>
      </c>
    </row>
    <row r="303" spans="1:9" ht="45" x14ac:dyDescent="0.25">
      <c r="A303" t="s">
        <v>9</v>
      </c>
      <c r="B303" t="str">
        <f>HYPERLINK("https://www.sydney.edu.au/scholarships/c/public-health-asia-scholarship.html", "Public Health Asia Pacific Scholarship")</f>
        <v>Public Health Asia Pacific Scholarship</v>
      </c>
      <c r="C303" t="s">
        <v>10</v>
      </c>
      <c r="D303" t="s">
        <v>27</v>
      </c>
      <c r="E303" t="s">
        <v>182</v>
      </c>
      <c r="F303" t="s">
        <v>17</v>
      </c>
      <c r="G303" s="2" t="s">
        <v>250</v>
      </c>
      <c r="H303" t="s">
        <v>14</v>
      </c>
      <c r="I303" t="s">
        <v>14</v>
      </c>
    </row>
    <row r="304" spans="1:9" ht="45" x14ac:dyDescent="0.25">
      <c r="A304" t="s">
        <v>9</v>
      </c>
      <c r="B304" t="str">
        <f>HYPERLINK("https://www.sydney.edu.au/scholarships/c/public-health-equity-scholarship.html", "The University of Sydney Public Health Equity Scholarship")</f>
        <v>The University of Sydney Public Health Equity Scholarship</v>
      </c>
      <c r="C304" t="s">
        <v>10</v>
      </c>
      <c r="D304" t="s">
        <v>27</v>
      </c>
      <c r="E304" t="s">
        <v>182</v>
      </c>
      <c r="F304" t="s">
        <v>17</v>
      </c>
      <c r="G304" s="2" t="s">
        <v>250</v>
      </c>
      <c r="H304" t="s">
        <v>14</v>
      </c>
      <c r="I304" t="s">
        <v>14</v>
      </c>
    </row>
    <row r="305" spans="1:9" ht="45" x14ac:dyDescent="0.25">
      <c r="A305" t="s">
        <v>9</v>
      </c>
      <c r="B305" t="str">
        <f>HYPERLINK("https://www.sydney.edu.au/scholarships/c/ronald-ettinger-scholarship.html", "The Ronald Ettinger Scholarship")</f>
        <v>The Ronald Ettinger Scholarship</v>
      </c>
      <c r="C305" t="s">
        <v>10</v>
      </c>
      <c r="D305" t="s">
        <v>15</v>
      </c>
      <c r="E305" t="s">
        <v>12</v>
      </c>
      <c r="F305" t="s">
        <v>13</v>
      </c>
      <c r="G305" s="2" t="s">
        <v>250</v>
      </c>
      <c r="H305" t="s">
        <v>14</v>
      </c>
      <c r="I305" t="s">
        <v>14</v>
      </c>
    </row>
    <row r="306" spans="1:9" ht="45" x14ac:dyDescent="0.25">
      <c r="A306" t="s">
        <v>9</v>
      </c>
      <c r="B306" t="str">
        <f>HYPERLINK("https://www.sydney.edu.au/scholarships/c/ruth-colagiuri-scholarship.html", "Ruth Colagiuri Health Policy Scholarship")</f>
        <v>Ruth Colagiuri Health Policy Scholarship</v>
      </c>
      <c r="C306" t="s">
        <v>10</v>
      </c>
      <c r="D306" t="s">
        <v>27</v>
      </c>
      <c r="E306" t="s">
        <v>182</v>
      </c>
      <c r="F306" t="s">
        <v>17</v>
      </c>
      <c r="G306" s="2" t="s">
        <v>250</v>
      </c>
      <c r="H306" t="s">
        <v>14</v>
      </c>
      <c r="I306" t="s">
        <v>14</v>
      </c>
    </row>
    <row r="307" spans="1:9" ht="45" x14ac:dyDescent="0.25">
      <c r="A307" t="s">
        <v>9</v>
      </c>
      <c r="B307" t="str">
        <f>HYPERLINK("https://www.sydney.edu.au/scholarships/c/stephen-leeder-scholarship.html", "Stephen Leeder Health Policy Scholarship")</f>
        <v>Stephen Leeder Health Policy Scholarship</v>
      </c>
      <c r="C307" t="s">
        <v>10</v>
      </c>
      <c r="D307" t="s">
        <v>27</v>
      </c>
      <c r="E307" t="s">
        <v>182</v>
      </c>
      <c r="F307" t="s">
        <v>17</v>
      </c>
      <c r="G307" s="2" t="s">
        <v>250</v>
      </c>
      <c r="H307" t="s">
        <v>14</v>
      </c>
      <c r="I307" t="s">
        <v>14</v>
      </c>
    </row>
    <row r="308" spans="1:9" ht="105" hidden="1" x14ac:dyDescent="0.25">
      <c r="A308" t="s">
        <v>9</v>
      </c>
      <c r="B308" t="str">
        <f>HYPERLINK("https://www.sydney.edu.au/scholarships/c/sue-muller-placement-scholarship.html", "Sue Muller Placement Scholarship")</f>
        <v>Sue Muller Placement Scholarship</v>
      </c>
      <c r="C308" t="s">
        <v>249</v>
      </c>
      <c r="D308" s="11" t="s">
        <v>300</v>
      </c>
      <c r="E308" t="s">
        <v>251</v>
      </c>
      <c r="F308" t="s">
        <v>13</v>
      </c>
      <c r="G308" s="2" t="s">
        <v>299</v>
      </c>
      <c r="H308" t="s">
        <v>14</v>
      </c>
      <c r="I308" t="s">
        <v>38</v>
      </c>
    </row>
    <row r="309" spans="1:9" ht="45" x14ac:dyDescent="0.25">
      <c r="A309" t="s">
        <v>9</v>
      </c>
      <c r="B309" t="str">
        <f>HYPERLINK("https://www.sydney.edu.au/scholarships/c/susan-wakil-greater-sydney-postgraduate-scholarship.html", "Susan Wakil Scholarships - Postgraduate Greater Sydney")</f>
        <v>Susan Wakil Scholarships - Postgraduate Greater Sydney</v>
      </c>
      <c r="C309" t="s">
        <v>10</v>
      </c>
      <c r="D309" t="s">
        <v>185</v>
      </c>
      <c r="E309" t="s">
        <v>186</v>
      </c>
      <c r="F309" t="s">
        <v>17</v>
      </c>
      <c r="G309" s="2" t="s">
        <v>250</v>
      </c>
      <c r="H309" t="s">
        <v>14</v>
      </c>
      <c r="I309" t="s">
        <v>14</v>
      </c>
    </row>
    <row r="310" spans="1:9" ht="45" x14ac:dyDescent="0.25">
      <c r="A310" t="s">
        <v>9</v>
      </c>
      <c r="B310" t="str">
        <f>HYPERLINK("https://www.sydney.edu.au/scholarships/c/susan-wakil-greater-sydney-undergraduate-scholarship.html", "Susan Wakil Scholarship - Undergraduate Greater Sydney")</f>
        <v>Susan Wakil Scholarship - Undergraduate Greater Sydney</v>
      </c>
      <c r="C310" t="s">
        <v>10</v>
      </c>
      <c r="D310" t="s">
        <v>29</v>
      </c>
      <c r="E310" t="s">
        <v>187</v>
      </c>
      <c r="F310" t="s">
        <v>21</v>
      </c>
      <c r="G310" s="2" t="s">
        <v>250</v>
      </c>
      <c r="H310" t="s">
        <v>14</v>
      </c>
      <c r="I310" t="s">
        <v>14</v>
      </c>
    </row>
    <row r="311" spans="1:9" ht="45" x14ac:dyDescent="0.25">
      <c r="A311" t="s">
        <v>9</v>
      </c>
      <c r="B311" t="str">
        <f>HYPERLINK("https://www.sydney.edu.au/scholarships/c/susan-wakil-rural-regional-postgraduate-scholarship.html", "Susan Wakil Scholarships - Postgraduate Rural and Regional Australia")</f>
        <v>Susan Wakil Scholarships - Postgraduate Rural and Regional Australia</v>
      </c>
      <c r="C311" t="s">
        <v>10</v>
      </c>
      <c r="D311" t="s">
        <v>188</v>
      </c>
      <c r="E311" t="s">
        <v>12</v>
      </c>
      <c r="F311" t="s">
        <v>17</v>
      </c>
      <c r="G311" s="2" t="s">
        <v>250</v>
      </c>
      <c r="H311" t="s">
        <v>14</v>
      </c>
      <c r="I311" t="s">
        <v>14</v>
      </c>
    </row>
    <row r="312" spans="1:9" ht="45" x14ac:dyDescent="0.25">
      <c r="A312" t="s">
        <v>9</v>
      </c>
      <c r="B312" t="str">
        <f>HYPERLINK("https://www.sydney.edu.au/scholarships/c/susan-wakil-rural-regional-undergraduate-scholarship.html", "Susan Wakil Scholarship - Undergraduate Rural and Regional")</f>
        <v>Susan Wakil Scholarship - Undergraduate Rural and Regional</v>
      </c>
      <c r="C312" t="s">
        <v>270</v>
      </c>
      <c r="D312" s="11" t="s">
        <v>302</v>
      </c>
      <c r="E312" s="2" t="s">
        <v>301</v>
      </c>
      <c r="F312" t="s">
        <v>21</v>
      </c>
      <c r="G312" s="2" t="s">
        <v>250</v>
      </c>
      <c r="H312" t="s">
        <v>14</v>
      </c>
      <c r="I312" t="s">
        <v>14</v>
      </c>
    </row>
    <row r="313" spans="1:9" ht="45" x14ac:dyDescent="0.25">
      <c r="A313" t="s">
        <v>9</v>
      </c>
      <c r="B313" t="str">
        <f>HYPERLINK("https://www.sydney.edu.au/scholarships/c/the-alek-safarian-masters-scholarship.html", "The Alek Safarian Masters Scholarship")</f>
        <v>The Alek Safarian Masters Scholarship</v>
      </c>
      <c r="C313" t="s">
        <v>10</v>
      </c>
      <c r="D313" t="s">
        <v>189</v>
      </c>
      <c r="E313" t="s">
        <v>190</v>
      </c>
      <c r="F313" t="s">
        <v>17</v>
      </c>
      <c r="G313" s="2" t="s">
        <v>250</v>
      </c>
      <c r="H313" t="s">
        <v>14</v>
      </c>
      <c r="I313" t="s">
        <v>14</v>
      </c>
    </row>
    <row r="314" spans="1:9" ht="45" x14ac:dyDescent="0.25">
      <c r="A314" t="s">
        <v>9</v>
      </c>
      <c r="B314" t="str">
        <f>HYPERLINK("https://www.sydney.edu.au/scholarships/c/the-rabbi-brasch-bursary.html", "The Rabbi Brasch Bursary")</f>
        <v>The Rabbi Brasch Bursary</v>
      </c>
      <c r="C314" t="s">
        <v>10</v>
      </c>
      <c r="D314" t="s">
        <v>15</v>
      </c>
      <c r="E314" t="s">
        <v>191</v>
      </c>
      <c r="F314" t="s">
        <v>17</v>
      </c>
      <c r="G314" s="2" t="s">
        <v>250</v>
      </c>
      <c r="H314" t="s">
        <v>14</v>
      </c>
      <c r="I314" t="s">
        <v>14</v>
      </c>
    </row>
    <row r="315" spans="1:9" ht="45" x14ac:dyDescent="0.25">
      <c r="A315" t="s">
        <v>9</v>
      </c>
      <c r="B315" t="str">
        <f>HYPERLINK("https://www.sydney.edu.au/scholarships/c/third-world-rural-australia-elective-scholarship.html", "Third World or Rural Australia Medicine Elective Scholarship")</f>
        <v>Third World or Rural Australia Medicine Elective Scholarship</v>
      </c>
      <c r="C315" t="s">
        <v>10</v>
      </c>
      <c r="D315" t="s">
        <v>15</v>
      </c>
      <c r="E315" t="s">
        <v>12</v>
      </c>
      <c r="F315" t="s">
        <v>10</v>
      </c>
      <c r="G315" s="2" t="s">
        <v>250</v>
      </c>
      <c r="H315" t="s">
        <v>14</v>
      </c>
      <c r="I315" t="s">
        <v>14</v>
      </c>
    </row>
    <row r="316" spans="1:9" ht="45" x14ac:dyDescent="0.25">
      <c r="A316" t="s">
        <v>9</v>
      </c>
      <c r="B316" t="str">
        <f>HYPERLINK("https://www.sydney.edu.au/scholarships/c/trace-richey-scholarship.html", "Trace Richey Nursing Scholarship")</f>
        <v>Trace Richey Nursing Scholarship</v>
      </c>
      <c r="C316" t="s">
        <v>10</v>
      </c>
      <c r="D316" t="s">
        <v>15</v>
      </c>
      <c r="E316" t="s">
        <v>192</v>
      </c>
      <c r="F316" t="s">
        <v>17</v>
      </c>
      <c r="G316" s="2" t="s">
        <v>250</v>
      </c>
      <c r="H316" t="s">
        <v>14</v>
      </c>
      <c r="I316" t="s">
        <v>14</v>
      </c>
    </row>
    <row r="317" spans="1:9" ht="45" x14ac:dyDescent="0.25">
      <c r="A317" t="s">
        <v>9</v>
      </c>
      <c r="B317" t="str">
        <f>HYPERLINK("https://www.sydney.edu.au/scholarships/c/umberto-cincotta-scholarship.html", "Umberto Cincotta Scholarship in Pharmacy")</f>
        <v>Umberto Cincotta Scholarship in Pharmacy</v>
      </c>
      <c r="C317" t="s">
        <v>10</v>
      </c>
      <c r="D317" t="s">
        <v>33</v>
      </c>
      <c r="E317" t="s">
        <v>193</v>
      </c>
      <c r="F317" t="s">
        <v>21</v>
      </c>
      <c r="G317" s="2" t="s">
        <v>250</v>
      </c>
      <c r="H317" t="s">
        <v>14</v>
      </c>
      <c r="I317" t="s">
        <v>14</v>
      </c>
    </row>
    <row r="318" spans="1:9" ht="45" x14ac:dyDescent="0.25">
      <c r="A318" t="s">
        <v>9</v>
      </c>
      <c r="B318" t="str">
        <f>HYPERLINK("https://www.sydney.edu.au/scholarships/c/walter-eliza-hall-trust-opportunity-scholarship-nursing.html", "Walter and Eliza Hall Scholarship Trust Opportunity Scholarship for Nursing")</f>
        <v>Walter and Eliza Hall Scholarship Trust Opportunity Scholarship for Nursing</v>
      </c>
      <c r="C318" t="s">
        <v>10</v>
      </c>
      <c r="D318" t="s">
        <v>25</v>
      </c>
      <c r="E318" t="s">
        <v>194</v>
      </c>
      <c r="F318" t="s">
        <v>21</v>
      </c>
      <c r="G318" s="2" t="s">
        <v>250</v>
      </c>
      <c r="H318" t="s">
        <v>14</v>
      </c>
      <c r="I318" t="s">
        <v>14</v>
      </c>
    </row>
    <row r="319" spans="1:9" ht="45" x14ac:dyDescent="0.25">
      <c r="A319" t="s">
        <v>9</v>
      </c>
      <c r="B319" t="str">
        <f>HYPERLINK("https://www.sydney.edu.au/scholarships/c/walter-john-douglas-partridge-memorial-scholarship.html", "Walter John Douglas Partridge Memorial Scholarship")</f>
        <v>Walter John Douglas Partridge Memorial Scholarship</v>
      </c>
      <c r="C319" t="s">
        <v>10</v>
      </c>
      <c r="D319" t="s">
        <v>20</v>
      </c>
      <c r="E319" t="s">
        <v>12</v>
      </c>
      <c r="F319" t="s">
        <v>17</v>
      </c>
      <c r="G319" s="2" t="s">
        <v>250</v>
      </c>
      <c r="H319" t="s">
        <v>14</v>
      </c>
      <c r="I319" t="s">
        <v>14</v>
      </c>
    </row>
    <row r="320" spans="1:9" ht="120" hidden="1" x14ac:dyDescent="0.25">
      <c r="A320" t="s">
        <v>9</v>
      </c>
      <c r="B320" t="str">
        <f>HYPERLINK("https://www.sydney.edu.au/scholarships/c/womens-plans-foundation-award.html", "Women's Plans Foundation Award")</f>
        <v>Women's Plans Foundation Award</v>
      </c>
      <c r="C320" t="s">
        <v>249</v>
      </c>
      <c r="D320" s="8">
        <v>1000</v>
      </c>
      <c r="E320" t="s">
        <v>251</v>
      </c>
      <c r="F320" t="s">
        <v>303</v>
      </c>
      <c r="G320" s="2" t="s">
        <v>304</v>
      </c>
      <c r="H320" t="s">
        <v>14</v>
      </c>
      <c r="I320" t="s">
        <v>14</v>
      </c>
    </row>
    <row r="321" spans="1:9" ht="45" x14ac:dyDescent="0.25">
      <c r="A321" t="s">
        <v>9</v>
      </c>
      <c r="B321" t="str">
        <f>HYPERLINK("https://www.sydney.edu.au/scholarships/d/-cockbain-family-wildlife-trust-scholarship.html", "Cockbain Family Wildlife Trust Scholarship")</f>
        <v>Cockbain Family Wildlife Trust Scholarship</v>
      </c>
      <c r="C321" t="s">
        <v>10</v>
      </c>
      <c r="D321" t="s">
        <v>29</v>
      </c>
      <c r="E321" t="s">
        <v>195</v>
      </c>
      <c r="F321" t="s">
        <v>17</v>
      </c>
      <c r="G321" s="2" t="s">
        <v>250</v>
      </c>
      <c r="H321" t="s">
        <v>14</v>
      </c>
      <c r="I321" t="s">
        <v>14</v>
      </c>
    </row>
    <row r="322" spans="1:9" ht="45" x14ac:dyDescent="0.25">
      <c r="A322" t="s">
        <v>9</v>
      </c>
      <c r="B322" t="str">
        <f>HYPERLINK("https://www.sydney.edu.au/scholarships/d/-eric-horatio-maclean-scholarship.html", "Eric Horatio Maclean Scholarship")</f>
        <v>Eric Horatio Maclean Scholarship</v>
      </c>
      <c r="C322" t="s">
        <v>10</v>
      </c>
      <c r="D322" t="s">
        <v>196</v>
      </c>
      <c r="E322" t="s">
        <v>197</v>
      </c>
      <c r="F322" t="s">
        <v>17</v>
      </c>
      <c r="G322" s="2" t="s">
        <v>250</v>
      </c>
      <c r="H322" t="s">
        <v>14</v>
      </c>
      <c r="I322" t="s">
        <v>14</v>
      </c>
    </row>
    <row r="323" spans="1:9" ht="45" x14ac:dyDescent="0.25">
      <c r="A323" t="s">
        <v>9</v>
      </c>
      <c r="B323" t="str">
        <f>HYPERLINK("https://www.sydney.edu.au/scholarships/d/Trowbridge-Scholarship-in-Master-of-Mathematical-Sciences.html", "Trowbridge Scholarship in Master of Mathematical Sciences")</f>
        <v>Trowbridge Scholarship in Master of Mathematical Sciences</v>
      </c>
      <c r="C323" t="s">
        <v>10</v>
      </c>
      <c r="D323" t="s">
        <v>28</v>
      </c>
      <c r="E323" t="s">
        <v>198</v>
      </c>
      <c r="F323" t="s">
        <v>17</v>
      </c>
      <c r="G323" s="2" t="s">
        <v>250</v>
      </c>
      <c r="H323" t="s">
        <v>14</v>
      </c>
      <c r="I323" t="s">
        <v>14</v>
      </c>
    </row>
    <row r="324" spans="1:9" ht="45" x14ac:dyDescent="0.25">
      <c r="A324" t="s">
        <v>9</v>
      </c>
      <c r="B324" t="str">
        <f>HYPERLINK("https://www.sydney.edu.au/scholarships/d/amsi-vacation-research-scholarships.html", "AMSI Vacation Research Scholarships")</f>
        <v>AMSI Vacation Research Scholarships</v>
      </c>
      <c r="C324" t="s">
        <v>10</v>
      </c>
      <c r="D324" t="s">
        <v>175</v>
      </c>
      <c r="E324" t="s">
        <v>199</v>
      </c>
      <c r="F324" t="s">
        <v>21</v>
      </c>
      <c r="G324" s="2" t="s">
        <v>250</v>
      </c>
      <c r="H324" t="s">
        <v>14</v>
      </c>
      <c r="I324" t="s">
        <v>14</v>
      </c>
    </row>
    <row r="325" spans="1:9" ht="45" x14ac:dyDescent="0.25">
      <c r="A325" t="s">
        <v>9</v>
      </c>
      <c r="B325" t="str">
        <f>HYPERLINK("https://www.sydney.edu.au/scholarships/d/australian-wool-education-trust-scholarship.html", "Australian Wool Education Trust (AWET) Scholarship")</f>
        <v>Australian Wool Education Trust (AWET) Scholarship</v>
      </c>
      <c r="C325" t="s">
        <v>10</v>
      </c>
      <c r="D325" t="s">
        <v>200</v>
      </c>
      <c r="E325" t="s">
        <v>201</v>
      </c>
      <c r="F325" t="s">
        <v>17</v>
      </c>
      <c r="G325" s="2" t="s">
        <v>250</v>
      </c>
      <c r="H325" t="s">
        <v>14</v>
      </c>
      <c r="I325" t="s">
        <v>14</v>
      </c>
    </row>
    <row r="326" spans="1:9" ht="45" x14ac:dyDescent="0.25">
      <c r="A326" t="s">
        <v>9</v>
      </c>
      <c r="B326" t="str">
        <f>HYPERLINK("https://www.sydney.edu.au/scholarships/d/barker-scholarships.html", "Barker Scholarships")</f>
        <v>Barker Scholarships</v>
      </c>
      <c r="C326" t="s">
        <v>10</v>
      </c>
      <c r="D326" t="s">
        <v>20</v>
      </c>
      <c r="E326" t="s">
        <v>45</v>
      </c>
      <c r="F326" t="s">
        <v>21</v>
      </c>
      <c r="G326" s="2" t="s">
        <v>250</v>
      </c>
      <c r="H326" t="s">
        <v>14</v>
      </c>
      <c r="I326" t="s">
        <v>14</v>
      </c>
    </row>
    <row r="327" spans="1:9" ht="45" x14ac:dyDescent="0.25">
      <c r="A327" t="s">
        <v>9</v>
      </c>
      <c r="B327" t="str">
        <f>HYPERLINK("https://www.sydney.edu.au/scholarships/d/betty-rosalie-richards-scholarship.html", "Betty Rosalie Richards Clinical Residency Scholarship")</f>
        <v>Betty Rosalie Richards Clinical Residency Scholarship</v>
      </c>
      <c r="C327" t="s">
        <v>10</v>
      </c>
      <c r="D327" t="s">
        <v>202</v>
      </c>
      <c r="E327" t="s">
        <v>203</v>
      </c>
      <c r="F327" t="s">
        <v>17</v>
      </c>
      <c r="G327" s="2" t="s">
        <v>250</v>
      </c>
      <c r="H327" t="s">
        <v>14</v>
      </c>
      <c r="I327" t="s">
        <v>14</v>
      </c>
    </row>
    <row r="328" spans="1:9" ht="45" x14ac:dyDescent="0.25">
      <c r="A328" t="s">
        <v>9</v>
      </c>
      <c r="B328" t="str">
        <f>HYPERLINK("https://www.sydney.edu.au/scholarships/d/brian-davey-memorial-scholarship.html", "Brian Davey Memorial Soil Science Scholarship")</f>
        <v>Brian Davey Memorial Soil Science Scholarship</v>
      </c>
      <c r="C328" t="s">
        <v>10</v>
      </c>
      <c r="D328" t="s">
        <v>33</v>
      </c>
      <c r="E328" t="s">
        <v>118</v>
      </c>
      <c r="F328" t="s">
        <v>21</v>
      </c>
      <c r="G328" s="2" t="s">
        <v>250</v>
      </c>
      <c r="H328" t="s">
        <v>14</v>
      </c>
      <c r="I328" t="s">
        <v>14</v>
      </c>
    </row>
    <row r="329" spans="1:9" ht="45" x14ac:dyDescent="0.25">
      <c r="A329" t="s">
        <v>9</v>
      </c>
      <c r="B329" t="str">
        <f>HYPERLINK("https://www.sydney.edu.au/scholarships/d/csiro-next-generation-graduates-program-in-emerging-technology.html", "CSIRO Next Generation Graduates Program in Emerging Technology")</f>
        <v>CSIRO Next Generation Graduates Program in Emerging Technology</v>
      </c>
      <c r="C329" t="s">
        <v>10</v>
      </c>
      <c r="D329" t="s">
        <v>15</v>
      </c>
      <c r="E329" t="s">
        <v>204</v>
      </c>
      <c r="F329" t="s">
        <v>17</v>
      </c>
      <c r="G329" s="2" t="s">
        <v>250</v>
      </c>
      <c r="H329" t="s">
        <v>14</v>
      </c>
      <c r="I329" t="s">
        <v>14</v>
      </c>
    </row>
    <row r="330" spans="1:9" ht="45" x14ac:dyDescent="0.25">
      <c r="A330" t="s">
        <v>9</v>
      </c>
      <c r="B330" t="str">
        <f>HYPERLINK("https://www.sydney.edu.au/scholarships/d/csiro-next-generation-graduates-program-in-emerging-technology0.html", "CSIRO Next Generation Graduates Program in Emerging Technology")</f>
        <v>CSIRO Next Generation Graduates Program in Emerging Technology</v>
      </c>
      <c r="C330" t="s">
        <v>10</v>
      </c>
      <c r="D330" t="s">
        <v>15</v>
      </c>
      <c r="E330" t="s">
        <v>12</v>
      </c>
      <c r="F330" t="s">
        <v>21</v>
      </c>
      <c r="G330" s="2" t="s">
        <v>250</v>
      </c>
      <c r="H330" t="s">
        <v>14</v>
      </c>
      <c r="I330" t="s">
        <v>14</v>
      </c>
    </row>
    <row r="331" spans="1:9" ht="120" hidden="1" x14ac:dyDescent="0.25">
      <c r="A331" t="s">
        <v>9</v>
      </c>
      <c r="B331" t="str">
        <f>HYPERLINK("https://www.sydney.edu.au/scholarships/d/deas-thomson-scholarships--geology-and-mineralogy-.html", "Deas Thomson Scholarships (Geology and Mineralogy)")</f>
        <v>Deas Thomson Scholarships (Geology and Mineralogy)</v>
      </c>
      <c r="C331" t="s">
        <v>249</v>
      </c>
      <c r="D331" s="7" t="s">
        <v>19</v>
      </c>
      <c r="E331" t="s">
        <v>253</v>
      </c>
      <c r="F331" t="s">
        <v>261</v>
      </c>
      <c r="G331" s="2" t="s">
        <v>305</v>
      </c>
      <c r="H331" t="s">
        <v>14</v>
      </c>
      <c r="I331" t="s">
        <v>14</v>
      </c>
    </row>
    <row r="332" spans="1:9" ht="45" x14ac:dyDescent="0.25">
      <c r="A332" t="s">
        <v>9</v>
      </c>
      <c r="B332" t="str">
        <f>HYPERLINK("https://www.sydney.edu.au/scholarships/d/doctor-of-veterinary-medicine-diversity-scholarship.html", "Doctor of Veterinary Medicine Diversity Scholarship")</f>
        <v>Doctor of Veterinary Medicine Diversity Scholarship</v>
      </c>
      <c r="C332" t="s">
        <v>10</v>
      </c>
      <c r="D332" t="s">
        <v>15</v>
      </c>
      <c r="E332" t="s">
        <v>205</v>
      </c>
      <c r="F332" t="s">
        <v>17</v>
      </c>
      <c r="G332" s="2" t="s">
        <v>250</v>
      </c>
      <c r="H332" t="s">
        <v>14</v>
      </c>
      <c r="I332" t="s">
        <v>14</v>
      </c>
    </row>
    <row r="333" spans="1:9" ht="45" x14ac:dyDescent="0.25">
      <c r="A333" t="s">
        <v>9</v>
      </c>
      <c r="B333" t="str">
        <f>HYPERLINK("https://www.sydney.edu.au/scholarships/d/dr-john-and-mrs-adriana-nell-scholarship-in-agriculture.html", "Dr John and Mrs Adriana Nell Scholarship in Agriculture")</f>
        <v>Dr John and Mrs Adriana Nell Scholarship in Agriculture</v>
      </c>
      <c r="C333" t="s">
        <v>10</v>
      </c>
      <c r="D333" t="s">
        <v>28</v>
      </c>
      <c r="E333" t="s">
        <v>206</v>
      </c>
      <c r="F333" t="s">
        <v>21</v>
      </c>
      <c r="G333" s="2" t="s">
        <v>250</v>
      </c>
      <c r="H333" t="s">
        <v>14</v>
      </c>
      <c r="I333" t="s">
        <v>14</v>
      </c>
    </row>
    <row r="334" spans="1:9" ht="45" x14ac:dyDescent="0.25">
      <c r="A334" t="s">
        <v>9</v>
      </c>
      <c r="B334" t="str">
        <f>HYPERLINK("https://www.sydney.edu.au/scholarships/d/dr-perry-manusu-scholarship.html", "Dr Perry Manusu Scholarship")</f>
        <v>Dr Perry Manusu Scholarship</v>
      </c>
      <c r="C334" t="s">
        <v>10</v>
      </c>
      <c r="D334" t="s">
        <v>15</v>
      </c>
      <c r="E334" t="s">
        <v>207</v>
      </c>
      <c r="F334" t="s">
        <v>21</v>
      </c>
      <c r="G334" s="2" t="s">
        <v>250</v>
      </c>
      <c r="H334" t="s">
        <v>14</v>
      </c>
      <c r="I334" t="s">
        <v>14</v>
      </c>
    </row>
    <row r="335" spans="1:9" ht="45" x14ac:dyDescent="0.25">
      <c r="A335" t="s">
        <v>9</v>
      </c>
      <c r="B335" t="str">
        <f>HYPERLINK("https://www.sydney.edu.au/scholarships/d/edna-briggs-scholarship-in-physics.html", "Edna Briggs Scholarship in Physics")</f>
        <v>Edna Briggs Scholarship in Physics</v>
      </c>
      <c r="C335" t="s">
        <v>10</v>
      </c>
      <c r="D335" t="s">
        <v>208</v>
      </c>
      <c r="E335" t="s">
        <v>12</v>
      </c>
      <c r="F335" t="s">
        <v>21</v>
      </c>
      <c r="G335" s="2" t="s">
        <v>250</v>
      </c>
      <c r="H335" t="s">
        <v>14</v>
      </c>
      <c r="I335" t="s">
        <v>14</v>
      </c>
    </row>
    <row r="336" spans="1:9" ht="45" x14ac:dyDescent="0.25">
      <c r="A336" t="s">
        <v>9</v>
      </c>
      <c r="B336" t="str">
        <f>HYPERLINK("https://www.sydney.edu.au/scholarships/d/farrand-scholarship---mysydney.html", "Farrand Scholarship - MySydney")</f>
        <v>Farrand Scholarship - MySydney</v>
      </c>
      <c r="C336" t="s">
        <v>10</v>
      </c>
      <c r="D336" t="s">
        <v>49</v>
      </c>
      <c r="E336" t="s">
        <v>12</v>
      </c>
      <c r="F336" t="s">
        <v>21</v>
      </c>
      <c r="G336" s="2" t="s">
        <v>250</v>
      </c>
      <c r="H336" t="s">
        <v>14</v>
      </c>
      <c r="I336" t="s">
        <v>14</v>
      </c>
    </row>
    <row r="337" spans="1:9" ht="45" x14ac:dyDescent="0.25">
      <c r="A337" t="s">
        <v>9</v>
      </c>
      <c r="B337" t="str">
        <f>HYPERLINK("https://www.sydney.edu.au/scholarships/d/francis-henry-loxton-equity-scholarship.html", "Francis Henry Loxton Equity Scholarship")</f>
        <v>Francis Henry Loxton Equity Scholarship</v>
      </c>
      <c r="C337" t="s">
        <v>10</v>
      </c>
      <c r="D337" t="s">
        <v>25</v>
      </c>
      <c r="E337" t="s">
        <v>116</v>
      </c>
      <c r="F337" t="s">
        <v>17</v>
      </c>
      <c r="G337" s="2" t="s">
        <v>250</v>
      </c>
      <c r="H337" t="s">
        <v>14</v>
      </c>
      <c r="I337" t="s">
        <v>14</v>
      </c>
    </row>
    <row r="338" spans="1:9" ht="45" x14ac:dyDescent="0.25">
      <c r="A338" t="s">
        <v>9</v>
      </c>
      <c r="B338" t="str">
        <f>HYPERLINK("https://www.sydney.edu.au/scholarships/d/frazer-allan-scholarship.html", "Frazer Allan Scholarship")</f>
        <v>Frazer Allan Scholarship</v>
      </c>
      <c r="C338" t="s">
        <v>10</v>
      </c>
      <c r="D338" t="s">
        <v>42</v>
      </c>
      <c r="E338" t="s">
        <v>209</v>
      </c>
      <c r="F338" t="s">
        <v>17</v>
      </c>
      <c r="G338" s="2" t="s">
        <v>250</v>
      </c>
      <c r="H338" t="s">
        <v>14</v>
      </c>
      <c r="I338" t="s">
        <v>14</v>
      </c>
    </row>
    <row r="339" spans="1:9" ht="45" x14ac:dyDescent="0.25">
      <c r="A339" t="s">
        <v>9</v>
      </c>
      <c r="B339" t="str">
        <f>HYPERLINK("https://www.sydney.edu.au/scholarships/d/g-s-caird-scholarship-in-chemistry.html", "G S Caird Scholarship in Chemistry")</f>
        <v>G S Caird Scholarship in Chemistry</v>
      </c>
      <c r="C339" t="s">
        <v>10</v>
      </c>
      <c r="D339" t="s">
        <v>22</v>
      </c>
      <c r="E339" t="s">
        <v>210</v>
      </c>
      <c r="F339" t="s">
        <v>21</v>
      </c>
      <c r="G339" s="2" t="s">
        <v>250</v>
      </c>
      <c r="H339" t="s">
        <v>14</v>
      </c>
      <c r="I339" t="s">
        <v>14</v>
      </c>
    </row>
    <row r="340" spans="1:9" ht="105" hidden="1" x14ac:dyDescent="0.25">
      <c r="A340" t="s">
        <v>9</v>
      </c>
      <c r="B340" t="str">
        <f>HYPERLINK("https://www.sydney.edu.au/scholarships/d/george-allen-scholarships.html", "George Allen Scholarships")</f>
        <v>George Allen Scholarships</v>
      </c>
      <c r="C340" t="s">
        <v>249</v>
      </c>
      <c r="D340" s="7" t="s">
        <v>156</v>
      </c>
      <c r="E340" t="s">
        <v>253</v>
      </c>
      <c r="F340" t="s">
        <v>261</v>
      </c>
      <c r="G340" s="2" t="s">
        <v>306</v>
      </c>
      <c r="H340" t="s">
        <v>14</v>
      </c>
      <c r="I340" t="s">
        <v>14</v>
      </c>
    </row>
    <row r="341" spans="1:9" ht="45" x14ac:dyDescent="0.25">
      <c r="A341" t="s">
        <v>9</v>
      </c>
      <c r="B341" t="str">
        <f>HYPERLINK("https://www.sydney.edu.au/scholarships/d/george-harris-scholarship-in-chemistry-honours.html", "George Harris Scholarship in Chemistry Honours")</f>
        <v>George Harris Scholarship in Chemistry Honours</v>
      </c>
      <c r="C341" t="s">
        <v>10</v>
      </c>
      <c r="D341" t="s">
        <v>49</v>
      </c>
      <c r="E341" t="s">
        <v>211</v>
      </c>
      <c r="F341" t="s">
        <v>21</v>
      </c>
      <c r="G341" s="2" t="s">
        <v>250</v>
      </c>
      <c r="H341" t="s">
        <v>14</v>
      </c>
      <c r="I341" t="s">
        <v>14</v>
      </c>
    </row>
    <row r="342" spans="1:9" ht="45" x14ac:dyDescent="0.25">
      <c r="A342" t="s">
        <v>9</v>
      </c>
      <c r="B342" t="str">
        <f>HYPERLINK("https://www.sydney.edu.au/scholarships/d/grains-research-development-corporation-grdc-scholarship.html", "Grains Research Development Corporation (GRDC) Undergraduate Scholarship")</f>
        <v>Grains Research Development Corporation (GRDC) Undergraduate Scholarship</v>
      </c>
      <c r="C342" t="s">
        <v>10</v>
      </c>
      <c r="D342" t="s">
        <v>15</v>
      </c>
      <c r="E342" t="s">
        <v>12</v>
      </c>
      <c r="F342" t="s">
        <v>21</v>
      </c>
      <c r="G342" s="2" t="s">
        <v>250</v>
      </c>
      <c r="H342" t="s">
        <v>14</v>
      </c>
      <c r="I342" t="s">
        <v>14</v>
      </c>
    </row>
    <row r="343" spans="1:9" ht="45" x14ac:dyDescent="0.25">
      <c r="A343" t="s">
        <v>9</v>
      </c>
      <c r="B343" t="str">
        <f>HYPERLINK("https://www.sydney.edu.au/scholarships/d/honours-relocation-scholarships.html", "Faculty of Science Honours Relocation Scholarships")</f>
        <v>Faculty of Science Honours Relocation Scholarships</v>
      </c>
      <c r="C343" t="s">
        <v>10</v>
      </c>
      <c r="D343" t="s">
        <v>33</v>
      </c>
      <c r="E343" t="s">
        <v>212</v>
      </c>
      <c r="F343" t="s">
        <v>21</v>
      </c>
      <c r="G343" s="2" t="s">
        <v>250</v>
      </c>
      <c r="H343" t="s">
        <v>14</v>
      </c>
      <c r="I343" t="s">
        <v>14</v>
      </c>
    </row>
    <row r="344" spans="1:9" ht="45" x14ac:dyDescent="0.25">
      <c r="A344" t="s">
        <v>9</v>
      </c>
      <c r="B344" t="str">
        <f>HYPERLINK("https://www.sydney.edu.au/scholarships/d/hugh-hughes-scholarship-for-combined-masters-degree-in-veterinar.html", "Hugh Hughes Scholarship for Combined Masters Degree in Veterinary Studies and Veterinary Clinical Studies")</f>
        <v>Hugh Hughes Scholarship for Combined Masters Degree in Veterinary Studies and Veterinary Clinical Studies</v>
      </c>
      <c r="C344" t="s">
        <v>10</v>
      </c>
      <c r="D344" t="s">
        <v>213</v>
      </c>
      <c r="E344" t="s">
        <v>214</v>
      </c>
      <c r="F344" t="s">
        <v>17</v>
      </c>
      <c r="G344" s="2" t="s">
        <v>250</v>
      </c>
      <c r="H344" t="s">
        <v>14</v>
      </c>
      <c r="I344" t="s">
        <v>14</v>
      </c>
    </row>
    <row r="345" spans="1:9" ht="45" x14ac:dyDescent="0.25">
      <c r="A345" t="s">
        <v>9</v>
      </c>
      <c r="B345" t="str">
        <f>HYPERLINK("https://www.sydney.edu.au/scholarships/d/james-murphy-scholarship--supplementary-.html", "James Murphy Scholarship (Supplementary)")</f>
        <v>James Murphy Scholarship (Supplementary)</v>
      </c>
      <c r="C345" t="s">
        <v>10</v>
      </c>
      <c r="D345" t="s">
        <v>42</v>
      </c>
      <c r="E345" t="s">
        <v>12</v>
      </c>
      <c r="F345" t="s">
        <v>21</v>
      </c>
      <c r="G345" s="2" t="s">
        <v>250</v>
      </c>
      <c r="H345" t="s">
        <v>14</v>
      </c>
      <c r="I345" t="s">
        <v>14</v>
      </c>
    </row>
    <row r="346" spans="1:9" ht="45" x14ac:dyDescent="0.25">
      <c r="A346" t="s">
        <v>9</v>
      </c>
      <c r="B346" t="str">
        <f>HYPERLINK("https://www.sydney.edu.au/scholarships/d/james-s-ashton-memorial-scholarship.html", "James S Ashton Memorial Scholarship")</f>
        <v>James S Ashton Memorial Scholarship</v>
      </c>
      <c r="C346" t="s">
        <v>10</v>
      </c>
      <c r="D346" t="s">
        <v>28</v>
      </c>
      <c r="E346" t="s">
        <v>215</v>
      </c>
      <c r="F346" t="s">
        <v>21</v>
      </c>
      <c r="G346" s="2" t="s">
        <v>250</v>
      </c>
      <c r="H346" t="s">
        <v>14</v>
      </c>
      <c r="I346" t="s">
        <v>14</v>
      </c>
    </row>
    <row r="347" spans="1:9" ht="45" x14ac:dyDescent="0.25">
      <c r="A347" t="s">
        <v>9</v>
      </c>
      <c r="B347" t="str">
        <f>HYPERLINK("https://www.sydney.edu.au/scholarships/d/james-strong-rip-curl-scholarship.html", "James Strong – Rip Curl Undergraduate Scholarship")</f>
        <v>James Strong – Rip Curl Undergraduate Scholarship</v>
      </c>
      <c r="C347" t="s">
        <v>10</v>
      </c>
      <c r="D347" t="s">
        <v>20</v>
      </c>
      <c r="E347" t="s">
        <v>209</v>
      </c>
      <c r="F347" t="s">
        <v>21</v>
      </c>
      <c r="G347" s="2" t="s">
        <v>250</v>
      </c>
      <c r="H347" t="s">
        <v>14</v>
      </c>
      <c r="I347" t="s">
        <v>14</v>
      </c>
    </row>
    <row r="348" spans="1:9" ht="45" x14ac:dyDescent="0.25">
      <c r="A348" t="s">
        <v>9</v>
      </c>
      <c r="B348" t="str">
        <f>HYPERLINK("https://www.sydney.edu.au/scholarships/d/jean-ray-blencowe-scholarship.html", "The Jean and Ray Blencowe Scholarship")</f>
        <v>The Jean and Ray Blencowe Scholarship</v>
      </c>
      <c r="C348" t="s">
        <v>10</v>
      </c>
      <c r="D348" t="s">
        <v>216</v>
      </c>
      <c r="E348" t="s">
        <v>12</v>
      </c>
      <c r="F348" t="s">
        <v>21</v>
      </c>
      <c r="G348" s="2" t="s">
        <v>250</v>
      </c>
      <c r="H348" t="s">
        <v>14</v>
      </c>
      <c r="I348" t="s">
        <v>14</v>
      </c>
    </row>
    <row r="349" spans="1:9" ht="45" x14ac:dyDescent="0.25">
      <c r="A349" t="s">
        <v>9</v>
      </c>
      <c r="B349" t="str">
        <f>HYPERLINK("https://www.sydney.edu.au/scholarships/d/john-coutts-scholarship.html", "John Coutts Scholarship")</f>
        <v>John Coutts Scholarship</v>
      </c>
      <c r="C349" t="s">
        <v>10</v>
      </c>
      <c r="D349" t="s">
        <v>20</v>
      </c>
      <c r="E349" t="s">
        <v>217</v>
      </c>
      <c r="F349" t="s">
        <v>21</v>
      </c>
      <c r="G349" s="2" t="s">
        <v>250</v>
      </c>
      <c r="H349" t="s">
        <v>14</v>
      </c>
      <c r="I349" t="s">
        <v>14</v>
      </c>
    </row>
    <row r="350" spans="1:9" ht="45" x14ac:dyDescent="0.25">
      <c r="A350" t="s">
        <v>9</v>
      </c>
      <c r="B350" t="str">
        <f>HYPERLINK("https://www.sydney.edu.au/scholarships/d/josiah-and-myra-roberts-scholarship.html", "Josiah and Myra Roberts Scholarship")</f>
        <v>Josiah and Myra Roberts Scholarship</v>
      </c>
      <c r="C350" t="s">
        <v>10</v>
      </c>
      <c r="D350" t="s">
        <v>15</v>
      </c>
      <c r="E350" t="s">
        <v>12</v>
      </c>
      <c r="F350" t="s">
        <v>21</v>
      </c>
      <c r="G350" s="2" t="s">
        <v>250</v>
      </c>
      <c r="H350" t="s">
        <v>14</v>
      </c>
      <c r="I350" t="s">
        <v>14</v>
      </c>
    </row>
    <row r="351" spans="1:9" ht="45" x14ac:dyDescent="0.25">
      <c r="A351" t="s">
        <v>9</v>
      </c>
      <c r="B351" t="str">
        <f>HYPERLINK("https://www.sydney.edu.au/scholarships/d/k-e-bullen-scholarships.html", "K E Bullen Scholarships")</f>
        <v>K E Bullen Scholarships</v>
      </c>
      <c r="C351" t="s">
        <v>10</v>
      </c>
      <c r="D351" t="s">
        <v>41</v>
      </c>
      <c r="E351" t="s">
        <v>218</v>
      </c>
      <c r="F351" t="s">
        <v>21</v>
      </c>
      <c r="G351" s="2" t="s">
        <v>250</v>
      </c>
      <c r="H351" t="s">
        <v>14</v>
      </c>
      <c r="I351" t="s">
        <v>14</v>
      </c>
    </row>
    <row r="352" spans="1:9" ht="45" x14ac:dyDescent="0.25">
      <c r="A352" t="s">
        <v>9</v>
      </c>
      <c r="B352" t="str">
        <f>HYPERLINK("https://www.sydney.edu.au/scholarships/d/lithgow-scholarship-for-graduate-diploma-in-psychology.html", "Lithgow Scholarship for Graduate Diploma in Psychology")</f>
        <v>Lithgow Scholarship for Graduate Diploma in Psychology</v>
      </c>
      <c r="C352" t="s">
        <v>10</v>
      </c>
      <c r="D352" t="s">
        <v>54</v>
      </c>
      <c r="E352" t="s">
        <v>219</v>
      </c>
      <c r="F352" t="s">
        <v>17</v>
      </c>
      <c r="G352" s="2" t="s">
        <v>250</v>
      </c>
      <c r="H352" t="s">
        <v>14</v>
      </c>
      <c r="I352" t="s">
        <v>14</v>
      </c>
    </row>
    <row r="353" spans="1:9" ht="45" x14ac:dyDescent="0.25">
      <c r="A353" t="s">
        <v>9</v>
      </c>
      <c r="B353" t="str">
        <f>HYPERLINK("https://www.sydney.edu.au/scholarships/d/malcolm-turki-memorial-scholarship.html", "The Malcolm Turki Memorial Scholarship")</f>
        <v>The Malcolm Turki Memorial Scholarship</v>
      </c>
      <c r="C353" t="s">
        <v>10</v>
      </c>
      <c r="D353" t="s">
        <v>33</v>
      </c>
      <c r="E353" t="s">
        <v>118</v>
      </c>
      <c r="F353" t="s">
        <v>21</v>
      </c>
      <c r="G353" s="2" t="s">
        <v>250</v>
      </c>
      <c r="H353" t="s">
        <v>14</v>
      </c>
      <c r="I353" t="s">
        <v>14</v>
      </c>
    </row>
    <row r="354" spans="1:9" ht="60" hidden="1" x14ac:dyDescent="0.25">
      <c r="A354" t="s">
        <v>9</v>
      </c>
      <c r="B354" t="str">
        <f>HYPERLINK("https://www.sydney.edu.au/scholarships/d/mccaughey-memorial-institute-scholarship-in-agriculture.html", "McCaughey Memorial Institute Scholarship in Agriculture")</f>
        <v>McCaughey Memorial Institute Scholarship in Agriculture</v>
      </c>
      <c r="C354" t="s">
        <v>270</v>
      </c>
      <c r="D354" s="7" t="s">
        <v>77</v>
      </c>
      <c r="E354" t="s">
        <v>253</v>
      </c>
      <c r="F354" t="s">
        <v>261</v>
      </c>
      <c r="G354" s="2" t="s">
        <v>307</v>
      </c>
      <c r="H354" t="s">
        <v>14</v>
      </c>
      <c r="I354" t="s">
        <v>14</v>
      </c>
    </row>
    <row r="355" spans="1:9" ht="45" x14ac:dyDescent="0.25">
      <c r="A355" t="s">
        <v>9</v>
      </c>
      <c r="B355" t="str">
        <f>HYPERLINK("https://www.sydney.edu.au/scholarships/d/mrs-elva-rae-talented-mathematics-scholarship.html", "Mrs Elva Rae Talented Mathematics Scholarship")</f>
        <v>Mrs Elva Rae Talented Mathematics Scholarship</v>
      </c>
      <c r="C355" t="s">
        <v>10</v>
      </c>
      <c r="D355" t="s">
        <v>22</v>
      </c>
      <c r="E355" t="s">
        <v>12</v>
      </c>
      <c r="F355" t="s">
        <v>13</v>
      </c>
      <c r="G355" s="2" t="s">
        <v>250</v>
      </c>
      <c r="H355" t="s">
        <v>14</v>
      </c>
      <c r="I355" t="s">
        <v>14</v>
      </c>
    </row>
    <row r="356" spans="1:9" ht="45" x14ac:dyDescent="0.25">
      <c r="A356" t="s">
        <v>9</v>
      </c>
      <c r="B356" t="str">
        <f>HYPERLINK("https://www.sydney.edu.au/scholarships/d/mrs-elva-rae-talented-mathematics-undergraduate-scholarship.html", "Mrs Elva Rae Talented Mathematics Undergraduate Scholarship")</f>
        <v>Mrs Elva Rae Talented Mathematics Undergraduate Scholarship</v>
      </c>
      <c r="C356" t="s">
        <v>10</v>
      </c>
      <c r="D356" t="s">
        <v>31</v>
      </c>
      <c r="E356" t="s">
        <v>220</v>
      </c>
      <c r="F356" t="s">
        <v>21</v>
      </c>
      <c r="G356" s="2" t="s">
        <v>250</v>
      </c>
      <c r="H356" t="s">
        <v>14</v>
      </c>
      <c r="I356" t="s">
        <v>14</v>
      </c>
    </row>
    <row r="357" spans="1:9" ht="45" x14ac:dyDescent="0.25">
      <c r="A357" t="s">
        <v>9</v>
      </c>
      <c r="B357" t="str">
        <f>HYPERLINK("https://www.sydney.edu.au/scholarships/d/nancy-paton-women-in-science-scholarship.html", "Nancy Paton Women in Science Scholarship")</f>
        <v>Nancy Paton Women in Science Scholarship</v>
      </c>
      <c r="C357" t="s">
        <v>10</v>
      </c>
      <c r="D357" t="s">
        <v>49</v>
      </c>
      <c r="E357" t="s">
        <v>221</v>
      </c>
      <c r="F357" t="s">
        <v>21</v>
      </c>
      <c r="G357" s="2" t="s">
        <v>250</v>
      </c>
      <c r="H357" t="s">
        <v>14</v>
      </c>
      <c r="I357" t="s">
        <v>14</v>
      </c>
    </row>
    <row r="358" spans="1:9" ht="45" x14ac:dyDescent="0.25">
      <c r="A358" t="s">
        <v>9</v>
      </c>
      <c r="B358" t="str">
        <f>HYPERLINK("https://www.sydney.edu.au/scholarships/d/norman-scott-noble-scholarship.html", "Norman Scott Noble Honours Scholarship")</f>
        <v>Norman Scott Noble Honours Scholarship</v>
      </c>
      <c r="C358" t="s">
        <v>10</v>
      </c>
      <c r="D358" t="s">
        <v>28</v>
      </c>
      <c r="E358" t="s">
        <v>215</v>
      </c>
      <c r="F358" t="s">
        <v>21</v>
      </c>
      <c r="G358" s="2" t="s">
        <v>250</v>
      </c>
      <c r="H358" t="s">
        <v>14</v>
      </c>
      <c r="I358" t="s">
        <v>14</v>
      </c>
    </row>
    <row r="359" spans="1:9" ht="45" x14ac:dyDescent="0.25">
      <c r="A359" t="s">
        <v>9</v>
      </c>
      <c r="B359" t="str">
        <f>HYPERLINK("https://www.sydney.edu.au/scholarships/d/philip-thomas-collins-scholarship.html", "Philip Thomas Collins Scholarship")</f>
        <v>Philip Thomas Collins Scholarship</v>
      </c>
      <c r="C359" t="s">
        <v>10</v>
      </c>
      <c r="D359" t="s">
        <v>39</v>
      </c>
      <c r="E359" t="s">
        <v>12</v>
      </c>
      <c r="F359" t="s">
        <v>21</v>
      </c>
      <c r="G359" s="2" t="s">
        <v>250</v>
      </c>
      <c r="H359" t="s">
        <v>14</v>
      </c>
      <c r="I359" t="s">
        <v>14</v>
      </c>
    </row>
    <row r="360" spans="1:9" ht="45" x14ac:dyDescent="0.25">
      <c r="A360" t="s">
        <v>9</v>
      </c>
      <c r="B360" t="str">
        <f>HYPERLINK("https://www.sydney.edu.au/scholarships/d/placement-scholarships-for-the-doctor-of-veterinary-medicine.html", "Placement Scholarships for the Doctor of Veterinary Medicine")</f>
        <v>Placement Scholarships for the Doctor of Veterinary Medicine</v>
      </c>
      <c r="C360" t="s">
        <v>10</v>
      </c>
      <c r="D360" t="s">
        <v>156</v>
      </c>
      <c r="E360" t="s">
        <v>222</v>
      </c>
      <c r="F360" t="s">
        <v>17</v>
      </c>
      <c r="G360" s="2" t="s">
        <v>250</v>
      </c>
      <c r="H360" t="s">
        <v>14</v>
      </c>
      <c r="I360" t="s">
        <v>38</v>
      </c>
    </row>
    <row r="361" spans="1:9" ht="45" x14ac:dyDescent="0.25">
      <c r="A361" t="s">
        <v>9</v>
      </c>
      <c r="B361" t="str">
        <f>HYPERLINK("https://www.sydney.edu.au/scholarships/d/professor-marsh-edwards-ao.html", "Professor Marsh Edwards AO Scholarship")</f>
        <v>Professor Marsh Edwards AO Scholarship</v>
      </c>
      <c r="C361" t="s">
        <v>10</v>
      </c>
      <c r="D361" t="s">
        <v>223</v>
      </c>
      <c r="E361" t="s">
        <v>224</v>
      </c>
      <c r="F361" t="s">
        <v>17</v>
      </c>
      <c r="G361" s="2" t="s">
        <v>250</v>
      </c>
      <c r="H361" t="s">
        <v>14</v>
      </c>
      <c r="I361" t="s">
        <v>14</v>
      </c>
    </row>
    <row r="362" spans="1:9" ht="45" x14ac:dyDescent="0.25">
      <c r="A362" t="s">
        <v>9</v>
      </c>
      <c r="B362" t="str">
        <f>HYPERLINK("https://www.sydney.edu.au/scholarships/d/roy-frederick-turner-scholarship-agriculture.html", "Roy Frederick Turner Scholarship (Agriculture)")</f>
        <v>Roy Frederick Turner Scholarship (Agriculture)</v>
      </c>
      <c r="C362" t="s">
        <v>10</v>
      </c>
      <c r="D362" t="s">
        <v>20</v>
      </c>
      <c r="E362" t="s">
        <v>12</v>
      </c>
      <c r="F362" t="s">
        <v>21</v>
      </c>
      <c r="G362" s="2" t="s">
        <v>250</v>
      </c>
      <c r="H362" t="s">
        <v>14</v>
      </c>
      <c r="I362" t="s">
        <v>14</v>
      </c>
    </row>
    <row r="363" spans="1:9" ht="45" x14ac:dyDescent="0.25">
      <c r="A363" t="s">
        <v>9</v>
      </c>
      <c r="B363" t="str">
        <f>HYPERLINK("https://www.sydney.edu.au/scholarships/d/ruggles-scholarship.html", "Ruggles Scholarship")</f>
        <v>Ruggles Scholarship</v>
      </c>
      <c r="C363" t="s">
        <v>10</v>
      </c>
      <c r="D363" t="s">
        <v>223</v>
      </c>
      <c r="E363" t="s">
        <v>225</v>
      </c>
      <c r="F363" t="s">
        <v>17</v>
      </c>
      <c r="G363" s="2" t="s">
        <v>250</v>
      </c>
      <c r="H363" t="s">
        <v>14</v>
      </c>
      <c r="I363" t="s">
        <v>14</v>
      </c>
    </row>
    <row r="364" spans="1:9" ht="45" x14ac:dyDescent="0.25">
      <c r="A364" t="s">
        <v>9</v>
      </c>
      <c r="B364" t="str">
        <f>HYPERLINK("https://www.sydney.edu.au/scholarships/d/rural-sustainability-scholarship-supplementary.html", "Rural Sustainability Scholarship (Supplementary)")</f>
        <v>Rural Sustainability Scholarship (Supplementary)</v>
      </c>
      <c r="C364" t="s">
        <v>10</v>
      </c>
      <c r="D364" t="s">
        <v>15</v>
      </c>
      <c r="E364" t="s">
        <v>12</v>
      </c>
      <c r="F364" t="s">
        <v>21</v>
      </c>
      <c r="G364" s="2" t="s">
        <v>250</v>
      </c>
      <c r="H364" t="s">
        <v>14</v>
      </c>
      <c r="I364" t="s">
        <v>14</v>
      </c>
    </row>
    <row r="365" spans="1:9" ht="45" x14ac:dyDescent="0.25">
      <c r="A365" t="s">
        <v>9</v>
      </c>
      <c r="B365" t="str">
        <f>HYPERLINK("https://www.sydney.edu.au/scholarships/d/rural-sustainability-scholarship.html", "Rural Sustainability Scholarship")</f>
        <v>Rural Sustainability Scholarship</v>
      </c>
      <c r="C365" t="s">
        <v>10</v>
      </c>
      <c r="D365" t="s">
        <v>15</v>
      </c>
      <c r="E365" t="s">
        <v>12</v>
      </c>
      <c r="F365" t="s">
        <v>21</v>
      </c>
      <c r="G365" s="2" t="s">
        <v>250</v>
      </c>
      <c r="H365" t="s">
        <v>14</v>
      </c>
      <c r="I365" t="s">
        <v>14</v>
      </c>
    </row>
    <row r="366" spans="1:9" ht="45" hidden="1" x14ac:dyDescent="0.25">
      <c r="A366" t="s">
        <v>9</v>
      </c>
      <c r="B366" t="str">
        <f>HYPERLINK("https://www.sydney.edu.au/scholarships/d/sally-andrews-honours-scholarship-in-psychology.html", "Sally Andrews Honours Scholarship in Psychology")</f>
        <v>Sally Andrews Honours Scholarship in Psychology</v>
      </c>
      <c r="C366" t="s">
        <v>270</v>
      </c>
      <c r="D366" s="7" t="s">
        <v>54</v>
      </c>
      <c r="E366" t="s">
        <v>253</v>
      </c>
      <c r="F366" t="s">
        <v>261</v>
      </c>
      <c r="G366" s="2" t="s">
        <v>308</v>
      </c>
      <c r="H366" t="s">
        <v>14</v>
      </c>
      <c r="I366" t="s">
        <v>14</v>
      </c>
    </row>
    <row r="367" spans="1:9" ht="45" x14ac:dyDescent="0.25">
      <c r="A367" t="s">
        <v>9</v>
      </c>
      <c r="B367" t="str">
        <f>HYPERLINK("https://www.sydney.edu.au/scholarships/d/scholarship-agriculture.html", "Undergraduate Scholarship in Agriculture")</f>
        <v>Undergraduate Scholarship in Agriculture</v>
      </c>
      <c r="C367" t="s">
        <v>10</v>
      </c>
      <c r="D367" t="s">
        <v>226</v>
      </c>
      <c r="E367" t="s">
        <v>227</v>
      </c>
      <c r="F367" t="s">
        <v>21</v>
      </c>
      <c r="G367" s="2" t="s">
        <v>250</v>
      </c>
      <c r="H367" t="s">
        <v>14</v>
      </c>
      <c r="I367" t="s">
        <v>14</v>
      </c>
    </row>
    <row r="368" spans="1:9" ht="45" x14ac:dyDescent="0.25">
      <c r="A368" t="s">
        <v>9</v>
      </c>
      <c r="B368" t="str">
        <f>HYPERLINK("https://www.sydney.edu.au/scholarships/d/sir-lionel-hooke-scholarship.html", "Sir Lionel Hooke Scholarship")</f>
        <v>Sir Lionel Hooke Scholarship</v>
      </c>
      <c r="C368" t="s">
        <v>10</v>
      </c>
      <c r="D368" t="s">
        <v>28</v>
      </c>
      <c r="E368" t="s">
        <v>215</v>
      </c>
      <c r="F368" t="s">
        <v>21</v>
      </c>
      <c r="G368" s="2" t="s">
        <v>250</v>
      </c>
      <c r="H368" t="s">
        <v>14</v>
      </c>
      <c r="I368" t="s">
        <v>14</v>
      </c>
    </row>
    <row r="369" spans="1:9" ht="45" x14ac:dyDescent="0.25">
      <c r="A369" t="s">
        <v>9</v>
      </c>
      <c r="B369" t="str">
        <f>HYPERLINK("https://www.sydney.edu.au/scholarships/d/swan-family-scholarship.html", "The Swan Family Scholarship")</f>
        <v>The Swan Family Scholarship</v>
      </c>
      <c r="C369" t="s">
        <v>10</v>
      </c>
      <c r="D369" t="s">
        <v>33</v>
      </c>
      <c r="E369" t="s">
        <v>228</v>
      </c>
      <c r="F369" t="s">
        <v>17</v>
      </c>
      <c r="G369" s="2" t="s">
        <v>250</v>
      </c>
      <c r="H369" t="s">
        <v>14</v>
      </c>
      <c r="I369" t="s">
        <v>14</v>
      </c>
    </row>
    <row r="370" spans="1:9" ht="45" x14ac:dyDescent="0.25">
      <c r="A370" t="s">
        <v>9</v>
      </c>
      <c r="B370" t="str">
        <f>HYPERLINK("https://www.sydney.edu.au/scholarships/d/sydney-quantum-academy-undergraduate-research-scholarship.html", "Sydney Quantum Academy Undergraduate Research Scholarship")</f>
        <v>Sydney Quantum Academy Undergraduate Research Scholarship</v>
      </c>
      <c r="C370" t="s">
        <v>10</v>
      </c>
      <c r="D370" t="s">
        <v>229</v>
      </c>
      <c r="E370" t="s">
        <v>230</v>
      </c>
      <c r="F370" t="s">
        <v>21</v>
      </c>
      <c r="G370" s="2" t="s">
        <v>250</v>
      </c>
      <c r="H370" t="s">
        <v>14</v>
      </c>
      <c r="I370" t="s">
        <v>14</v>
      </c>
    </row>
    <row r="371" spans="1:9" ht="60" hidden="1" x14ac:dyDescent="0.25">
      <c r="A371" t="s">
        <v>9</v>
      </c>
      <c r="B371" t="str">
        <f>HYPERLINK("https://www.sydney.edu.au/scholarships/d/sydney-school-of-veterinary-sciences-postgraduate-diversity-scho.html", "Sydney School of Veterinary Sciences Postgraduate Diversity Scholarship")</f>
        <v>Sydney School of Veterinary Sciences Postgraduate Diversity Scholarship</v>
      </c>
      <c r="C371" t="s">
        <v>270</v>
      </c>
      <c r="D371" s="2" t="s">
        <v>325</v>
      </c>
      <c r="E371" t="s">
        <v>279</v>
      </c>
      <c r="F371" t="s">
        <v>17</v>
      </c>
      <c r="G371" s="2" t="s">
        <v>326</v>
      </c>
      <c r="H371" t="s">
        <v>14</v>
      </c>
      <c r="I371" t="s">
        <v>14</v>
      </c>
    </row>
    <row r="372" spans="1:9" ht="120" hidden="1" x14ac:dyDescent="0.25">
      <c r="A372" t="s">
        <v>9</v>
      </c>
      <c r="B372" t="str">
        <f>HYPERLINK("https://www.sydney.edu.au/scholarships/d/sydney-school-of-veterinary-sciences-undergraduate-equity-scholarship.html", "Sydney School of Veterinary Sciences Undergraduate Equity Scholarship")</f>
        <v>Sydney School of Veterinary Sciences Undergraduate Equity Scholarship</v>
      </c>
      <c r="C372" t="s">
        <v>270</v>
      </c>
      <c r="D372" s="2" t="s">
        <v>325</v>
      </c>
      <c r="E372" t="s">
        <v>279</v>
      </c>
      <c r="F372" t="s">
        <v>13</v>
      </c>
      <c r="G372" s="2" t="s">
        <v>328</v>
      </c>
      <c r="H372" t="s">
        <v>327</v>
      </c>
      <c r="I372" t="s">
        <v>14</v>
      </c>
    </row>
    <row r="373" spans="1:9" ht="45" x14ac:dyDescent="0.25">
      <c r="A373" t="s">
        <v>9</v>
      </c>
      <c r="B373" t="str">
        <f>HYPERLINK("https://www.sydney.edu.au/scholarships/d/tanya-sackville-memorial-scholarship.html", "The Tanya Sackville Memorial Scholarship in Clinical Psychology")</f>
        <v>The Tanya Sackville Memorial Scholarship in Clinical Psychology</v>
      </c>
      <c r="C373" t="s">
        <v>10</v>
      </c>
      <c r="D373" t="s">
        <v>49</v>
      </c>
      <c r="E373" t="s">
        <v>231</v>
      </c>
      <c r="F373" t="s">
        <v>17</v>
      </c>
      <c r="G373" s="2" t="s">
        <v>250</v>
      </c>
      <c r="H373" t="s">
        <v>14</v>
      </c>
      <c r="I373" t="s">
        <v>14</v>
      </c>
    </row>
    <row r="374" spans="1:9" ht="45" x14ac:dyDescent="0.25">
      <c r="A374" t="s">
        <v>9</v>
      </c>
      <c r="B374" t="str">
        <f>HYPERLINK("https://www.sydney.edu.au/scholarships/d/the-isaacs-family-scholarship-in-science0.html", "The Isaacs Family Scholarship in Science")</f>
        <v>The Isaacs Family Scholarship in Science</v>
      </c>
      <c r="C374" t="s">
        <v>10</v>
      </c>
      <c r="D374" t="s">
        <v>15</v>
      </c>
      <c r="E374" t="s">
        <v>232</v>
      </c>
      <c r="F374" t="s">
        <v>17</v>
      </c>
      <c r="G374" s="2" t="s">
        <v>250</v>
      </c>
      <c r="H374" t="s">
        <v>14</v>
      </c>
      <c r="I374" t="s">
        <v>14</v>
      </c>
    </row>
    <row r="375" spans="1:9" ht="45" x14ac:dyDescent="0.25">
      <c r="A375" t="s">
        <v>9</v>
      </c>
      <c r="B375" t="str">
        <f>HYPERLINK("https://www.sydney.edu.au/scholarships/d/the-kristina-hacket-memorial-scholarship.html", "The Kristina Hacket Memorial Scholarship")</f>
        <v>The Kristina Hacket Memorial Scholarship</v>
      </c>
      <c r="C375" t="s">
        <v>10</v>
      </c>
      <c r="D375" t="s">
        <v>19</v>
      </c>
      <c r="E375" t="s">
        <v>212</v>
      </c>
      <c r="F375" t="s">
        <v>21</v>
      </c>
      <c r="G375" s="2" t="s">
        <v>250</v>
      </c>
      <c r="H375" t="s">
        <v>14</v>
      </c>
      <c r="I375" t="s">
        <v>14</v>
      </c>
    </row>
    <row r="376" spans="1:9" ht="45" x14ac:dyDescent="0.25">
      <c r="A376" t="s">
        <v>9</v>
      </c>
      <c r="B376" t="str">
        <f>HYPERLINK("https://www.sydney.edu.au/scholarships/d/the-ross-scholarship.html", "The Ross Scholarship")</f>
        <v>The Ross Scholarship</v>
      </c>
      <c r="C376" t="s">
        <v>10</v>
      </c>
      <c r="D376" t="s">
        <v>233</v>
      </c>
      <c r="E376" t="s">
        <v>12</v>
      </c>
      <c r="F376" t="s">
        <v>21</v>
      </c>
      <c r="G376" s="2" t="s">
        <v>250</v>
      </c>
      <c r="H376" t="s">
        <v>14</v>
      </c>
      <c r="I376" t="s">
        <v>14</v>
      </c>
    </row>
    <row r="377" spans="1:9" ht="45" x14ac:dyDescent="0.25">
      <c r="A377" t="s">
        <v>9</v>
      </c>
      <c r="B377" t="str">
        <f>HYPERLINK("https://www.sydney.edu.au/scholarships/d/the-veterinary-society-scholarship.html", "The Veterinary Society Scholarship")</f>
        <v>The Veterinary Society Scholarship</v>
      </c>
      <c r="C377" t="s">
        <v>10</v>
      </c>
      <c r="D377" t="s">
        <v>37</v>
      </c>
      <c r="E377" t="s">
        <v>234</v>
      </c>
      <c r="F377" t="s">
        <v>17</v>
      </c>
      <c r="G377" s="2" t="s">
        <v>250</v>
      </c>
      <c r="H377" t="s">
        <v>14</v>
      </c>
      <c r="I377" t="s">
        <v>14</v>
      </c>
    </row>
    <row r="378" spans="1:9" ht="45" x14ac:dyDescent="0.25">
      <c r="A378" t="s">
        <v>9</v>
      </c>
      <c r="B378" t="str">
        <f>HYPERLINK("https://www.sydney.edu.au/scholarships/d/the-william-cooper-and-nephews--scholarship.html", "The William Cooper and Nephews' Scholarship")</f>
        <v>The William Cooper and Nephews' Scholarship</v>
      </c>
      <c r="C378" t="s">
        <v>10</v>
      </c>
      <c r="D378" t="s">
        <v>28</v>
      </c>
      <c r="E378" t="s">
        <v>235</v>
      </c>
      <c r="F378" t="s">
        <v>21</v>
      </c>
      <c r="G378" s="2" t="s">
        <v>250</v>
      </c>
      <c r="H378" t="s">
        <v>14</v>
      </c>
      <c r="I378" t="s">
        <v>14</v>
      </c>
    </row>
    <row r="379" spans="1:9" ht="45" x14ac:dyDescent="0.25">
      <c r="A379" t="s">
        <v>9</v>
      </c>
      <c r="B379" t="str">
        <f>HYPERLINK("https://www.sydney.edu.au/scholarships/d/tomoko-maruno-equity-scholarship.html", "Tomoko Maruno Equity Scholarship")</f>
        <v>Tomoko Maruno Equity Scholarship</v>
      </c>
      <c r="C379" t="s">
        <v>10</v>
      </c>
      <c r="D379" t="s">
        <v>25</v>
      </c>
      <c r="E379" t="s">
        <v>12</v>
      </c>
      <c r="F379" t="s">
        <v>17</v>
      </c>
      <c r="G379" s="2" t="s">
        <v>250</v>
      </c>
      <c r="H379" t="s">
        <v>14</v>
      </c>
      <c r="I379" t="s">
        <v>14</v>
      </c>
    </row>
    <row r="380" spans="1:9" ht="45" x14ac:dyDescent="0.25">
      <c r="A380" t="s">
        <v>9</v>
      </c>
      <c r="B380" t="str">
        <f>HYPERLINK("https://www.sydney.edu.au/scholarships/d/walter-moore-scholarship.html", "Walter Moore Honours Scholarships")</f>
        <v>Walter Moore Honours Scholarships</v>
      </c>
      <c r="C380" t="s">
        <v>10</v>
      </c>
      <c r="D380" t="s">
        <v>28</v>
      </c>
      <c r="E380" t="s">
        <v>45</v>
      </c>
      <c r="F380" t="s">
        <v>21</v>
      </c>
      <c r="G380" s="2" t="s">
        <v>250</v>
      </c>
      <c r="H380" t="s">
        <v>14</v>
      </c>
      <c r="I380" t="s">
        <v>14</v>
      </c>
    </row>
    <row r="381" spans="1:9" ht="45" x14ac:dyDescent="0.25">
      <c r="A381" t="s">
        <v>9</v>
      </c>
      <c r="B381" t="str">
        <f>HYPERLINK("https://www.sydney.edu.au/scholarships/d/yim-family-foundation-scholarship.html", "Yim Family Foundation Scholarship")</f>
        <v>Yim Family Foundation Scholarship</v>
      </c>
      <c r="C381" t="s">
        <v>10</v>
      </c>
      <c r="D381" t="s">
        <v>236</v>
      </c>
      <c r="E381" t="s">
        <v>12</v>
      </c>
      <c r="F381" t="s">
        <v>21</v>
      </c>
      <c r="G381" s="2" t="s">
        <v>250</v>
      </c>
      <c r="H381" t="s">
        <v>14</v>
      </c>
      <c r="I381" t="s">
        <v>14</v>
      </c>
    </row>
    <row r="382" spans="1:9" ht="45" x14ac:dyDescent="0.25">
      <c r="A382" t="s">
        <v>9</v>
      </c>
      <c r="B382" t="str">
        <f>HYPERLINK("https://www.sydney.edu.au/scholarships/e/adam-scott-foundation-scholarship.html", "Adam Scott Foundation Scholarship")</f>
        <v>Adam Scott Foundation Scholarship</v>
      </c>
      <c r="C382" t="s">
        <v>10</v>
      </c>
      <c r="D382" t="s">
        <v>29</v>
      </c>
      <c r="E382" t="s">
        <v>237</v>
      </c>
      <c r="F382" t="s">
        <v>21</v>
      </c>
      <c r="G382" s="2" t="s">
        <v>250</v>
      </c>
      <c r="H382" t="s">
        <v>14</v>
      </c>
      <c r="I382" t="s">
        <v>14</v>
      </c>
    </row>
    <row r="383" spans="1:9" ht="45" x14ac:dyDescent="0.25">
      <c r="A383" t="s">
        <v>9</v>
      </c>
      <c r="B383" t="str">
        <f>HYPERLINK("https://www.sydney.edu.au/scholarships/e/adamo-and-francesca-boncardo-mysydney-scholarship.html", "Adamo and Francesca Boncardo MySydney Scholarship")</f>
        <v>Adamo and Francesca Boncardo MySydney Scholarship</v>
      </c>
      <c r="C383" t="s">
        <v>10</v>
      </c>
      <c r="D383" t="s">
        <v>15</v>
      </c>
      <c r="E383" t="s">
        <v>61</v>
      </c>
      <c r="F383" t="s">
        <v>21</v>
      </c>
      <c r="G383" s="2" t="s">
        <v>250</v>
      </c>
      <c r="H383" t="s">
        <v>14</v>
      </c>
      <c r="I383" t="s">
        <v>14</v>
      </c>
    </row>
    <row r="384" spans="1:9" ht="45" x14ac:dyDescent="0.25">
      <c r="A384" t="s">
        <v>9</v>
      </c>
      <c r="B384" t="str">
        <f>HYPERLINK("https://www.sydney.edu.au/scholarships/e/bruton-educational-trust-scholarship.html", "The Bruton Educational Trust Scholarship")</f>
        <v>The Bruton Educational Trust Scholarship</v>
      </c>
      <c r="C384" t="s">
        <v>10</v>
      </c>
      <c r="D384" t="s">
        <v>25</v>
      </c>
      <c r="E384" t="s">
        <v>238</v>
      </c>
      <c r="F384" t="s">
        <v>21</v>
      </c>
      <c r="G384" s="2" t="s">
        <v>250</v>
      </c>
      <c r="H384" t="s">
        <v>14</v>
      </c>
      <c r="I384" t="s">
        <v>14</v>
      </c>
    </row>
    <row r="385" spans="1:9" ht="45" x14ac:dyDescent="0.25">
      <c r="A385" t="s">
        <v>9</v>
      </c>
      <c r="B385" t="str">
        <f>HYPERLINK("https://www.sydney.edu.au/scholarships/e/chancellors-award.html", "Chancellor's Award")</f>
        <v>Chancellor's Award</v>
      </c>
      <c r="C385" t="s">
        <v>10</v>
      </c>
      <c r="D385" t="s">
        <v>25</v>
      </c>
      <c r="E385" t="s">
        <v>239</v>
      </c>
      <c r="F385" t="s">
        <v>21</v>
      </c>
      <c r="G385" s="2" t="s">
        <v>250</v>
      </c>
      <c r="H385" t="s">
        <v>14</v>
      </c>
      <c r="I385" t="s">
        <v>14</v>
      </c>
    </row>
    <row r="386" spans="1:9" ht="75" hidden="1" x14ac:dyDescent="0.25">
      <c r="A386" t="s">
        <v>9</v>
      </c>
      <c r="B386" t="str">
        <f>HYPERLINK("https://www.sydney.edu.au/scholarships/e/david-clarke-memorial-scholarship.html", "David Clarke Memorial Scholarship")</f>
        <v>David Clarke Memorial Scholarship</v>
      </c>
      <c r="C386" t="s">
        <v>249</v>
      </c>
      <c r="D386" s="7" t="s">
        <v>27</v>
      </c>
      <c r="E386" t="s">
        <v>253</v>
      </c>
      <c r="F386" t="s">
        <v>13</v>
      </c>
      <c r="G386" s="2" t="s">
        <v>309</v>
      </c>
      <c r="H386" t="s">
        <v>14</v>
      </c>
      <c r="I386" t="s">
        <v>14</v>
      </c>
    </row>
    <row r="387" spans="1:9" ht="45" hidden="1" x14ac:dyDescent="0.25">
      <c r="A387" t="s">
        <v>9</v>
      </c>
      <c r="B387" t="str">
        <f>HYPERLINK("https://www.sydney.edu.au/scholarships/e/digital-health-internship.html", "Digital Health Internship")</f>
        <v>Digital Health Internship</v>
      </c>
      <c r="C387" t="s">
        <v>249</v>
      </c>
      <c r="D387" s="7" t="s">
        <v>34</v>
      </c>
      <c r="E387" t="s">
        <v>257</v>
      </c>
      <c r="F387" t="s">
        <v>13</v>
      </c>
      <c r="G387" s="2" t="s">
        <v>310</v>
      </c>
      <c r="H387" t="s">
        <v>14</v>
      </c>
      <c r="I387" t="s">
        <v>38</v>
      </c>
    </row>
    <row r="388" spans="1:9" ht="45" x14ac:dyDescent="0.25">
      <c r="A388" t="s">
        <v>9</v>
      </c>
      <c r="B388" t="str">
        <f>HYPERLINK("https://www.sydney.edu.au/scholarships/e/diversity-of-leaders-in-major-projects-scholarship.html", "Diversity of Leaders in Major Projects Scholarship")</f>
        <v>Diversity of Leaders in Major Projects Scholarship</v>
      </c>
      <c r="C388" t="s">
        <v>10</v>
      </c>
      <c r="D388" t="s">
        <v>15</v>
      </c>
      <c r="E388" t="s">
        <v>12</v>
      </c>
      <c r="F388" t="s">
        <v>10</v>
      </c>
      <c r="G388" s="2" t="s">
        <v>250</v>
      </c>
      <c r="H388" t="s">
        <v>14</v>
      </c>
      <c r="I388" t="s">
        <v>14</v>
      </c>
    </row>
    <row r="389" spans="1:9" ht="45" x14ac:dyDescent="0.25">
      <c r="A389" t="s">
        <v>9</v>
      </c>
      <c r="B389" t="str">
        <f>HYPERLINK("https://www.sydney.edu.au/scholarships/e/eureka-benevolent-foundation-scholarship.html", "Eureka Benevolent Foundation Scholarship")</f>
        <v>Eureka Benevolent Foundation Scholarship</v>
      </c>
      <c r="C389" t="s">
        <v>10</v>
      </c>
      <c r="D389" t="s">
        <v>77</v>
      </c>
      <c r="E389" t="s">
        <v>240</v>
      </c>
      <c r="F389" t="s">
        <v>21</v>
      </c>
      <c r="G389" s="2" t="s">
        <v>250</v>
      </c>
      <c r="H389" t="s">
        <v>14</v>
      </c>
      <c r="I389" t="s">
        <v>14</v>
      </c>
    </row>
    <row r="390" spans="1:9" ht="45" x14ac:dyDescent="0.25">
      <c r="A390" t="s">
        <v>9</v>
      </c>
      <c r="B390" t="str">
        <f>HYPERLINK("https://www.sydney.edu.au/scholarships/e/jim-wolfensohn-scholarship.html", "Jim Wolfensohn Scholarship")</f>
        <v>Jim Wolfensohn Scholarship</v>
      </c>
      <c r="C390" t="s">
        <v>10</v>
      </c>
      <c r="D390" t="s">
        <v>77</v>
      </c>
      <c r="E390" t="s">
        <v>241</v>
      </c>
      <c r="F390" t="s">
        <v>21</v>
      </c>
      <c r="G390" s="2" t="s">
        <v>250</v>
      </c>
      <c r="H390" t="s">
        <v>14</v>
      </c>
      <c r="I390" t="s">
        <v>14</v>
      </c>
    </row>
    <row r="391" spans="1:9" ht="45" x14ac:dyDescent="0.25">
      <c r="A391" t="s">
        <v>9</v>
      </c>
      <c r="B391" t="str">
        <f>HYPERLINK("https://www.sydney.edu.au/scholarships/e/lendlease-bradfield-urbanisation-scholarship.html", "Lendlease Bradfield Urbanisation Scholarship")</f>
        <v>Lendlease Bradfield Urbanisation Scholarship</v>
      </c>
      <c r="C391" t="s">
        <v>10</v>
      </c>
      <c r="D391" t="s">
        <v>25</v>
      </c>
      <c r="E391" t="s">
        <v>12</v>
      </c>
      <c r="F391" t="s">
        <v>21</v>
      </c>
      <c r="G391" s="2" t="s">
        <v>250</v>
      </c>
      <c r="H391" t="s">
        <v>14</v>
      </c>
      <c r="I391" t="s">
        <v>14</v>
      </c>
    </row>
    <row r="392" spans="1:9" ht="105" hidden="1" x14ac:dyDescent="0.25">
      <c r="A392" t="s">
        <v>9</v>
      </c>
      <c r="B392" t="str">
        <f>HYPERLINK("https://www.sydney.edu.au/scholarships/e/mysydney-equity-accommodation-scholarship.html", "MySydney Equity Accommodation Scholarship")</f>
        <v>MySydney Equity Accommodation Scholarship</v>
      </c>
      <c r="C392" t="s">
        <v>270</v>
      </c>
      <c r="D392" t="s">
        <v>330</v>
      </c>
      <c r="E392" t="s">
        <v>254</v>
      </c>
      <c r="F392" t="s">
        <v>21</v>
      </c>
      <c r="G392" s="2" t="s">
        <v>329</v>
      </c>
      <c r="H392" t="s">
        <v>14</v>
      </c>
      <c r="I392" t="s">
        <v>14</v>
      </c>
    </row>
    <row r="393" spans="1:9" ht="45" x14ac:dyDescent="0.25">
      <c r="A393" t="s">
        <v>9</v>
      </c>
      <c r="B393" t="str">
        <f>HYPERLINK("https://www.sydney.edu.au/scholarships/e/mysydney-scholarship.html", "MySydney Scholarship")</f>
        <v>MySydney Scholarship</v>
      </c>
      <c r="C393" t="s">
        <v>10</v>
      </c>
      <c r="D393" t="s">
        <v>49</v>
      </c>
      <c r="E393" t="s">
        <v>242</v>
      </c>
      <c r="F393" t="s">
        <v>21</v>
      </c>
      <c r="G393" s="2" t="s">
        <v>250</v>
      </c>
      <c r="H393" t="s">
        <v>14</v>
      </c>
      <c r="I393" t="s">
        <v>14</v>
      </c>
    </row>
    <row r="394" spans="1:9" ht="45" x14ac:dyDescent="0.25">
      <c r="A394" t="s">
        <v>9</v>
      </c>
      <c r="B394" t="str">
        <f>HYPERLINK("https://www.sydney.edu.au/scholarships/e/pamela-joy-equity-scholarship.html", "Pamela Joy Equity Scholarship")</f>
        <v>Pamela Joy Equity Scholarship</v>
      </c>
      <c r="C394" t="s">
        <v>10</v>
      </c>
      <c r="D394" t="s">
        <v>25</v>
      </c>
      <c r="E394" t="s">
        <v>243</v>
      </c>
      <c r="F394" t="s">
        <v>21</v>
      </c>
      <c r="G394" s="2" t="s">
        <v>250</v>
      </c>
      <c r="H394" t="s">
        <v>14</v>
      </c>
      <c r="I394" t="s">
        <v>14</v>
      </c>
    </row>
    <row r="395" spans="1:9" ht="45" x14ac:dyDescent="0.25">
      <c r="A395" t="s">
        <v>9</v>
      </c>
      <c r="B395" t="str">
        <f>HYPERLINK("https://www.sydney.edu.au/scholarships/e/postgraduate-online-scholarship.html", "Postgraduate Online Scholarship")</f>
        <v>Postgraduate Online Scholarship</v>
      </c>
      <c r="C395" t="s">
        <v>10</v>
      </c>
      <c r="D395" t="s">
        <v>41</v>
      </c>
      <c r="E395" t="s">
        <v>244</v>
      </c>
      <c r="F395" t="s">
        <v>17</v>
      </c>
      <c r="G395" s="2" t="s">
        <v>250</v>
      </c>
      <c r="H395" t="s">
        <v>14</v>
      </c>
      <c r="I395" t="s">
        <v>14</v>
      </c>
    </row>
    <row r="396" spans="1:9" ht="45" x14ac:dyDescent="0.25">
      <c r="A396" t="s">
        <v>9</v>
      </c>
      <c r="B396" t="str">
        <f>HYPERLINK("https://www.sydney.edu.au/scholarships/e/rosebrook-foundation-scholarship.html", "The Rosebrook Scholarship")</f>
        <v>The Rosebrook Scholarship</v>
      </c>
      <c r="C396" t="s">
        <v>10</v>
      </c>
      <c r="D396" t="s">
        <v>27</v>
      </c>
      <c r="E396" t="s">
        <v>245</v>
      </c>
      <c r="F396" t="s">
        <v>21</v>
      </c>
      <c r="G396" s="2" t="s">
        <v>250</v>
      </c>
      <c r="H396" t="s">
        <v>14</v>
      </c>
      <c r="I396" t="s">
        <v>14</v>
      </c>
    </row>
    <row r="397" spans="1:9" ht="45" x14ac:dyDescent="0.25">
      <c r="A397" t="s">
        <v>9</v>
      </c>
      <c r="B397" t="str">
        <f>HYPERLINK("https://www.sydney.edu.au/scholarships/e/sydney-access-scholarship.html", "Sydney Access Scholarship")</f>
        <v>Sydney Access Scholarship</v>
      </c>
      <c r="C397" t="s">
        <v>10</v>
      </c>
      <c r="D397" t="s">
        <v>49</v>
      </c>
      <c r="E397" t="s">
        <v>61</v>
      </c>
      <c r="F397" t="s">
        <v>21</v>
      </c>
      <c r="G397" s="2" t="s">
        <v>250</v>
      </c>
      <c r="H397" t="s">
        <v>14</v>
      </c>
      <c r="I397" t="s">
        <v>14</v>
      </c>
    </row>
    <row r="398" spans="1:9" ht="45" x14ac:dyDescent="0.25">
      <c r="A398" t="s">
        <v>9</v>
      </c>
      <c r="B398" t="str">
        <f>HYPERLINK("https://www.sydney.edu.au/scholarships/e/sydney-scholars-awards-equity-hardship-grounds.html", "Sydney Scholars Awards on Equity and Hardship Grounds")</f>
        <v>Sydney Scholars Awards on Equity and Hardship Grounds</v>
      </c>
      <c r="C398" t="s">
        <v>10</v>
      </c>
      <c r="D398" t="s">
        <v>33</v>
      </c>
      <c r="E398" t="s">
        <v>12</v>
      </c>
      <c r="F398" t="s">
        <v>21</v>
      </c>
      <c r="G398" s="2" t="s">
        <v>250</v>
      </c>
      <c r="H398" t="s">
        <v>14</v>
      </c>
      <c r="I398" t="s">
        <v>14</v>
      </c>
    </row>
    <row r="399" spans="1:9" ht="45" x14ac:dyDescent="0.25">
      <c r="A399" t="s">
        <v>9</v>
      </c>
      <c r="B399" t="str">
        <f>HYPERLINK("https://www.sydney.edu.au/scholarships/e/the-boulton-mysydney-scholarship.html", "The Boulton MySydney Scholarship")</f>
        <v>The Boulton MySydney Scholarship</v>
      </c>
      <c r="C399" t="s">
        <v>10</v>
      </c>
      <c r="D399" t="s">
        <v>49</v>
      </c>
      <c r="E399" t="s">
        <v>12</v>
      </c>
      <c r="F399" t="s">
        <v>21</v>
      </c>
      <c r="G399" s="2" t="s">
        <v>250</v>
      </c>
      <c r="H399" t="s">
        <v>14</v>
      </c>
      <c r="I399" t="s">
        <v>14</v>
      </c>
    </row>
    <row r="400" spans="1:9" ht="45" x14ac:dyDescent="0.25">
      <c r="A400" t="s">
        <v>9</v>
      </c>
      <c r="B400" t="str">
        <f>HYPERLINK("https://www.sydney.edu.au/scholarships/e/the-harold-and-gwenneth-harris-endowment-for-medical-humanities-.html", "The Harold and Gwenneth Harris Endowment for Medical Humanities Scholarship")</f>
        <v>The Harold and Gwenneth Harris Endowment for Medical Humanities Scholarship</v>
      </c>
      <c r="C400" t="s">
        <v>10</v>
      </c>
      <c r="D400" t="s">
        <v>133</v>
      </c>
      <c r="E400" t="s">
        <v>246</v>
      </c>
      <c r="F400" t="s">
        <v>13</v>
      </c>
      <c r="G400" s="2" t="s">
        <v>250</v>
      </c>
      <c r="H400" t="s">
        <v>14</v>
      </c>
      <c r="I400" t="s">
        <v>14</v>
      </c>
    </row>
    <row r="401" spans="1:9" ht="45" x14ac:dyDescent="0.25">
      <c r="A401" t="s">
        <v>9</v>
      </c>
      <c r="B401" t="str">
        <f>HYPERLINK("https://www.sydney.edu.au/scholarships/e/the-lyn-mallesch-scholarship.html", "The Lyn Mallesch Scholarship")</f>
        <v>The Lyn Mallesch Scholarship</v>
      </c>
      <c r="C401" t="s">
        <v>10</v>
      </c>
      <c r="D401" t="s">
        <v>22</v>
      </c>
      <c r="E401" t="s">
        <v>247</v>
      </c>
      <c r="F401" t="s">
        <v>13</v>
      </c>
      <c r="G401" s="2" t="s">
        <v>250</v>
      </c>
      <c r="H401" t="s">
        <v>14</v>
      </c>
      <c r="I401" t="s">
        <v>14</v>
      </c>
    </row>
    <row r="402" spans="1:9" ht="45" x14ac:dyDescent="0.25">
      <c r="A402" t="s">
        <v>9</v>
      </c>
      <c r="B402" t="str">
        <f>HYPERLINK("https://www.sydney.edu.au/scholarships/e/the-nick-van-gelder-dreamers-scholarship.html", "The Nick van Gelder Dreamers Scholarship")</f>
        <v>The Nick van Gelder Dreamers Scholarship</v>
      </c>
      <c r="C402" t="s">
        <v>10</v>
      </c>
      <c r="D402" t="s">
        <v>15</v>
      </c>
      <c r="E402" t="s">
        <v>12</v>
      </c>
      <c r="F402" t="s">
        <v>21</v>
      </c>
      <c r="G402" s="2" t="s">
        <v>250</v>
      </c>
      <c r="H402" t="s">
        <v>14</v>
      </c>
      <c r="I402" t="s">
        <v>14</v>
      </c>
    </row>
    <row r="403" spans="1:9" ht="45" x14ac:dyDescent="0.25">
      <c r="A403" t="s">
        <v>9</v>
      </c>
      <c r="B403" t="str">
        <f>HYPERLINK("https://www.sydney.edu.au/scholarships/e/the-robert-floyd-marshall-and-esen-marshall-memorial-scholarship.html", "The Robert Floyd Marshall and Esen Marshall Memorial Scholarship")</f>
        <v>The Robert Floyd Marshall and Esen Marshall Memorial Scholarship</v>
      </c>
      <c r="C403" t="s">
        <v>10</v>
      </c>
      <c r="D403" t="s">
        <v>49</v>
      </c>
      <c r="E403" t="s">
        <v>61</v>
      </c>
      <c r="F403" t="s">
        <v>21</v>
      </c>
      <c r="G403" s="2" t="s">
        <v>250</v>
      </c>
      <c r="H403" t="s">
        <v>14</v>
      </c>
      <c r="I403" t="s">
        <v>14</v>
      </c>
    </row>
    <row r="404" spans="1:9" ht="45" x14ac:dyDescent="0.25">
      <c r="A404" t="s">
        <v>9</v>
      </c>
      <c r="B404" t="str">
        <f>HYPERLINK("https://www.sydney.edu.au/scholarships/e/walter-eliza-hall-trust-opportunity-scholarship-student-physical.html", "Walter and Eliza Hall Trust Opportunity Scholarship")</f>
        <v>Walter and Eliza Hall Trust Opportunity Scholarship</v>
      </c>
      <c r="C404" t="s">
        <v>10</v>
      </c>
      <c r="D404" t="s">
        <v>15</v>
      </c>
      <c r="E404" t="s">
        <v>12</v>
      </c>
      <c r="F404" t="s">
        <v>13</v>
      </c>
      <c r="G404" s="2" t="s">
        <v>250</v>
      </c>
      <c r="H404" t="s">
        <v>14</v>
      </c>
      <c r="I404" t="s">
        <v>14</v>
      </c>
    </row>
    <row r="405" spans="1:9" ht="45" x14ac:dyDescent="0.25">
      <c r="A405" t="s">
        <v>9</v>
      </c>
      <c r="B405" t="str">
        <f>HYPERLINK("https://www.sydney.edu.au/scholarships/e/westpac-future-leaders-scholarship.html", "Westpac Future Leaders Scholarship")</f>
        <v>Westpac Future Leaders Scholarship</v>
      </c>
      <c r="C405" t="s">
        <v>10</v>
      </c>
      <c r="D405" t="s">
        <v>15</v>
      </c>
      <c r="E405" t="s">
        <v>12</v>
      </c>
      <c r="F405" t="s">
        <v>17</v>
      </c>
      <c r="G405" s="2" t="s">
        <v>250</v>
      </c>
      <c r="H405" t="s">
        <v>14</v>
      </c>
      <c r="I405" t="s">
        <v>14</v>
      </c>
    </row>
  </sheetData>
  <autoFilter xmlns:x14="http://schemas.microsoft.com/office/spreadsheetml/2009/9/main" ref="A1:I405" xr:uid="{00000000-0001-0000-0000-000000000000}">
    <filterColumn colId="4">
      <filters>
        <mc:AlternateContent xmlns:mc="http://schemas.openxmlformats.org/markup-compatibility/2006">
          <mc:Choice Requires="x14">
            <x14:filter val="$14,500 for 6 _x000a_semesters_x000a_$500 One-off"/>
            <x14:filter val="&lt;p&gt; &lt;/p&gt;"/>
            <x14:filter val="&lt;p&gt;_x000a_&lt;/p&gt;"/>
            <x14:filter val="&lt;p&gt;&lt;strong&gt; &lt;/strong&gt;&lt;/p&gt;"/>
            <x14:filter val="&lt;p&gt;a. A full-time enrolled recipient will receive $5,000 per annum for up to one year.&lt;/p&gt;"/>
            <x14:filter val="&lt;p&gt;a. A full-time enrolled recipient will receive the scholarship valued at $8,000 per annum for the full-time duration of the recipient’s eligible undergraduate degree.&lt;/p&gt;"/>
            <x14:filter val="&lt;p&gt;a. A full-time recipient will receive $10,000 per annum for up to three semesters.&lt;/p&gt;"/>
            <x14:filter val="&lt;p&gt;a. A recipient enrolled full time will receive $8,500 per annum for up to two years.&lt;/p&gt;"/>
            <x14:filter val="&lt;p&gt;a. A recipient enrolled full-time will receive $10,000 per annum for up to one year. &lt;/p&gt;"/>
            <x14:filter val="&lt;p&gt;a. A recipient enrolled full-time will receive $10,000 per annum for up to two years.&lt;/p&gt;"/>
            <x14:filter val="&lt;p&gt;a. A recipient enrolled full-time will receive $5,000 per annum for up to one year.&lt;/p&gt;"/>
            <x14:filter val="&lt;p&gt;a. A recipient enrolled full-time will receive $5,500 per annum for up to one year, subject to satisfactory academic performance.&lt;/p&gt;"/>
            <x14:filter val="&lt;p&gt;a. A recipient enrolled full-time will receive $6,000 per annum for up to four years. &lt;/p&gt;"/>
            <x14:filter val="&lt;p&gt;a. A recipient enrolled full-time will receive $8,000 in the year of receipt of the scholarship&lt;br/&gt;_x000a_&lt;/p&gt;"/>
            <x14:filter val="&lt;p&gt;a. A recipient enrolled full-time will receive $8,000 per annum for up to one year, subject to satisfactory academic performance.&lt;/p&gt;"/>
            <x14:filter val="&lt;p&gt;a. A recipient enrolled full-time will receive a Scholarship valued at $5,000. A recipient enrolled part-time will receive a Scholarship valued at $2,500.&lt;/p&gt;"/>
            <x14:filter val="&lt;p&gt;a. A recipient enrolled full-time will receive the following benefits in the first year of their eligible degree:&lt;/p&gt;"/>
            <x14:filter val="&lt;p&gt;a. A recipient enrolled full-time will receive the Scholarship for up to one year and the Scholarship will be valued at:&lt;/p&gt;"/>
            <x14:filter val="&lt;p&gt;a. A recipient enrolled full-time will receive the scholarship valued at $10,000 per annum for up to one year.&lt;/p&gt;"/>
            <x14:filter val="&lt;p&gt;a. A recipient enrolled full-time will receive the scholarship valued at $12,000 per annum for up to 3 years. &lt;/p&gt;"/>
            <x14:filter val="&lt;p&gt;a. A recipient enrolled full-time will receive the scholarship valued at $8,500 per annum for up to a maximum of four years. &lt;/p&gt;"/>
            <x14:filter val="&lt;p&gt;a. Both full-time and part-time enrolled recipients will receive $10,000. &lt;/p&gt;"/>
            <x14:filter val="&lt;p&gt;a. Both full-time and part-time enrolled recipients will receive $6,000.&lt;/p&gt;"/>
            <x14:filter val="&lt;p&gt;a. For Bachelor’s degree recipients the Scholarship is valued at $11,750 per annum for up to one year.&lt;/p&gt;"/>
            <x14:filter val="&lt;p&gt;a. For Bachelor’s degree recipients the Scholarship is valued at $12,000 per annum for up to one year.&lt;/p&gt;"/>
            <x14:filter val="&lt;p&gt;a. For Bachelor's degree recipients the Scholarship is valued at $12,000 per annum for up to one year.&lt;/p&gt;"/>
            <x14:filter val="&lt;p&gt;a. For recipients commencing full-time studies (18 or more credit points), the Scholarship is valued at $9,000 and is tenable for one semester only.&lt;/p&gt;"/>
            <x14:filter val="&lt;p&gt;a. Master’s degree recipients the scholarship is valued at $9,000 and is tenable for up to nine months.&lt;br/&gt;_x000a_&lt;/p&gt;"/>
            <x14:filter val="&lt;p&gt;a. Recipients enrolled full-time, will receive the Scholarship valued at $1,500 per annum and is tenable for up to 2 years.&lt;/p&gt;"/>
            <x14:filter val="&lt;p&gt;a. The exact value of the Scholarship will be determined each year by the Selection Committee based on the available spending allocation from the trust and outlined in the successful recipient’s Scholarship Offer Letter. &lt;/p&gt;"/>
            <x14:filter val="&lt;p&gt;a. The recipient will receive the scholarship valued at $25,500 per annum for up to four years.&lt;/p&gt;"/>
            <x14:filter val="&lt;p&gt;a. The Scholarship has a value of $3,000.&lt;/p&gt;"/>
            <x14:filter val="&lt;p&gt;a. The Scholarship is tenable for the duration of the recipient’s three- year undergraduate degree course. &lt;/p&gt;"/>
            <x14:filter val="&lt;p&gt;a. The Scholarship is tenable for up to one year and will provide the following:&lt;/p&gt;"/>
            <x14:filter val="&lt;p&gt;a. The scholarship is valued $36,000 per annum for a recipient enrolled full-time for up to 1 year. &lt;/p&gt;"/>
            <x14:filter val="&lt;p&gt;a. The Scholarship is valued approx. $1,000 per annum and as one-off payment. The exact value of the scholarship will be determined by the Head of School of the School of Veterinary Science and stipulated in the scholarship offer letter.&lt;/p&gt;"/>
            <x14:filter val="&lt;p&gt;a. The Scholarship is valued at $1,000 and is tenable for one year. &lt;/p&gt;"/>
            <x14:filter val="&lt;p&gt;a. The Scholarship is valued at $1,000 and is tenable for one year. &lt;/p&gt;"/>
            <x14:filter val="&lt;p&gt;a. The Scholarship is valued at $1,000 and is tenable for the normal full-time duration of the degree program. The scholarship may be extended for additional year for recipients undertaking an honours year (unless undertaking the Bachelor of Design in Architecture (Honours) and Master of Architecture as the honours year is inbuilt).&lt;/p&gt;"/>
            <x14:filter val="&lt;p&gt;a. The Scholarship is valued at $1,000. &lt;/p&gt;"/>
            <x14:filter val="&lt;p&gt;a. The Scholarship is valued at $1,500 and is tenable for one year. &lt;/p&gt;"/>
            <x14:filter val="&lt;p&gt;a. The Scholarship is valued at $1,500 and will be paid as a one-off payment.&lt;/p&gt;"/>
            <x14:filter val="&lt;p&gt;a. The Scholarship is valued at $1,666.66.&lt;/p&gt;"/>
            <x14:filter val="&lt;p&gt;a. The Scholarship is valued at $10,000 and is tenable for one year only.&lt;/p&gt;"/>
            <x14:filter val="&lt;p&gt;a. The Scholarship is valued at $10,000 and is tenable for the normal full-time duration of the recipient’s undergraduate degree or combined undergraduate degree (agreed program).&lt;/p&gt;"/>
            <x14:filter val="&lt;p&gt;a. The Scholarship is valued at $10,000 and will be paid as a one-off payment. &lt;/p&gt;"/>
            <x14:filter val="&lt;p&gt;a. The Scholarship is valued at $10,000 per annum and is tenable for one year only.&lt;/p&gt;"/>
            <x14:filter val="&lt;p&gt;a. The scholarship is valued at $10,000 per annum and is tenable for one year. &lt;br/&gt;_x000a_&lt;/p&gt;"/>
            <x14:filter val="&lt;p&gt;a. The Scholarship is valued at $10,000 per annum and is tenable for one year.&lt;/p&gt;"/>
            <x14:filter val="&lt;p&gt;a. The Scholarship is valued at $10,000 per annum and is tenable for the published full-time duration of the recipient’s undergraduate (single or combined) degree up to a maximum total duration of 4 years full-time study or part-time equivalent.&lt;/p&gt;"/>
            <x14:filter val="&lt;p&gt;a. The Scholarship is valued at $10,000 per annum and is tenable for the standard full-time degree duration. The total value of the scholarship is capped at:&lt;/p&gt;"/>
            <x14:filter val="&lt;p&gt;a. The Scholarship is valued at $10,000 per annum and is tenable for up to one year. &lt;/p&gt;"/>
            <x14:filter val="&lt;p&gt;a. The Scholarship is valued at $10,000 per annum and is tenable for up to three years, plus an additional year for completion of the Bachelor of Advanced Studies (where applicable).&lt;/p&gt;"/>
            <x14:filter val="&lt;p&gt;a. The Scholarship is valued at $10,000 per year and is tenable for one year. &lt;/p&gt;"/>
            <x14:filter val="&lt;p&gt;a. The Scholarship is valued at $10,000 per year and tenable for up to 4 years.&lt;/p&gt;"/>
            <x14:filter val="&lt;p&gt;a. The Scholarship is valued at $10,000,&lt;/p&gt;"/>
            <x14:filter val="&lt;p&gt;a. The Scholarship is valued at $10,000. &lt;br/&gt;_x000a_&lt;/p&gt;"/>
            <x14:filter val="&lt;p&gt;a. The Scholarship is valued at $10,000.&lt;/p&gt;"/>
            <x14:filter val="&lt;p&gt;a. The Scholarship is valued at $12,000 per annum and tenable for up to 4 years.&lt;/p&gt;"/>
            <x14:filter val="&lt;p&gt;a. The Scholarship is valued at $12,000 per annum for up to one year.&lt;br/&gt;_x000a_&lt;/p&gt;"/>
            <x14:filter val="&lt;p&gt;a. The Scholarship is valued at $15,000 and is tenable for one full-time semester. &lt;/p&gt;"/>
            <x14:filter val="&lt;p&gt;a. The Scholarship is valued at $15,000 per annum and is tenable for up to three years, plus an additional year for completion of the Bachelor of Advanced Studies (where applicable).&lt;/p&gt;"/>
            <x14:filter val="&lt;p&gt;a. The scholarship is valued at $15,000 per annum for the first two years of the degree. &lt;/p&gt;"/>
            <x14:filter val="&lt;p&gt;a. The Scholarship is valued at $16,000 per annum and is tenable for up to 3 years.&lt;/p&gt;"/>
            <x14:filter val="&lt;p&gt;a. The Scholarship is valued at $177.08 per credit point, up to a maximum of 192 credit points and with a maximum value of $34,000. &lt;/p&gt;"/>
            <x14:filter val="&lt;p&gt;a. The Scholarship is valued at $2,000.&lt;/p&gt;"/>
            <x14:filter val="&lt;p&gt;a. The Scholarship is valued at $2,500 per annum and is tenable for one year.&lt;/p&gt;"/>
            <x14:filter val="&lt;p&gt;a. The Scholarship is valued at $2,500 per annum and is tenable for two years.&lt;/p&gt;"/>
            <x14:filter val="&lt;p&gt;a. The Scholarship is valued at $2,500. &lt;/p&gt;"/>
            <x14:filter val="&lt;p&gt;a. The Scholarship is valued at $2,500.&lt;/p&gt;"/>
            <x14:filter val="&lt;p&gt;a. The Scholarship is valued at $20,000 and as one-off payment. &lt;/p&gt;"/>
            <x14:filter val="&lt;p&gt;a. The Scholarship is valued at $20,000 and tenable for one year.&lt;/p&gt;"/>
            <x14:filter val="&lt;p&gt;a. The Scholarship is valued at $20,000 per annum and is tenable for four years. &lt;/p&gt;"/>
            <x14:filter val="&lt;p&gt;a. The Scholarship is valued at $20,000 per annum and is tenable for one year.&lt;/p&gt;"/>
            <x14:filter val="&lt;p&gt;a. The Scholarship is valued at $20,000 per annum and is tenable for two years. &lt;/p&gt;"/>
            <x14:filter val="&lt;p&gt;a. The Scholarship is valued at $22,000 per annum for both a full-time and part-time enrolled recipient.&lt;/p&gt;"/>
            <x14:filter val="&lt;p&gt;a. The Scholarship is valued at $22,000 per annum for up to one year.&lt;/p&gt;"/>
            <x14:filter val="&lt;p&gt;a. The Scholarship is valued at $25,000 per annum and is tenable for the normal full-time duration of the degree including combined degrees, plus one additional honours year, if required.&lt;/p&gt;"/>
            <x14:filter val="&lt;p&gt;a. The Scholarship is valued at $25,000 per annum and is tenable up to six years only.&lt;/p&gt;"/>
            <x14:filter val="&lt;p&gt;a. The Scholarship is valued at $25,000 per annum for up to four years. The value will be split into the following components:&lt;/p&gt;"/>
            <x14:filter val="&lt;p&gt;a. The Scholarship is valued at $3,000 and as one-off payment upon evidence of formal acceptance at the relevant host institution. &lt;/p&gt;"/>
            <x14:filter val="&lt;p&gt;a. The Scholarship is valued at $3,000 and will be paid as a one-off payment on receipt of the Scholarship Acceptance form.&lt;/p&gt;"/>
            <x14:filter val="&lt;p&gt;a. The Scholarship is valued at $3,333 (fixed amount) and is tenable for the duration of the research project.&lt;/p&gt;"/>
            <x14:filter val="&lt;p&gt;a. The Scholarship is valued at $3,500 per annum and is tenable for one year. &lt;/p&gt;"/>
            <x14:filter val="&lt;p&gt;a. The Scholarship is valued at $3000 for recipients enrolled full-time. &lt;/p&gt;"/>
            <x14:filter val="&lt;p&gt;a. The Scholarship is valued at $312.5 per credit point, up to a maximum of 192 credit points and a maximum value of $60,000.&lt;/p&gt;"/>
            <x14:filter val="&lt;p&gt;a. The Scholarship is valued at $4,000 and will be paid as a one-off payment.&lt;/p&gt;"/>
            <x14:filter val="&lt;p&gt;a. The Scholarship is valued at $4,350 per annum and is tenable for one year.&lt;/p&gt;"/>
            <x14:filter val="&lt;p&gt;a. The Scholarship is valued at $4,500. &lt;br/&gt;_x000a_&lt;/p&gt;"/>
            <x14:filter val="&lt;p&gt;a. The Scholarship is valued at $5,000 and is tenable for one year only.&lt;/p&gt;"/>
            <x14:filter val="&lt;p&gt;a. The Scholarship is valued at $5,000 and is tenable for one year. &lt;/p&gt;"/>
            <x14:filter val="&lt;p&gt;a. The Scholarship is valued at $5,000 per annum and is tenable for 1 year. &lt;/p&gt;"/>
            <x14:filter val="&lt;p&gt;a. The Scholarship is valued at $5,000 per annum and is tenable for 1 year.&lt;/p&gt;"/>
            <x14:filter val="&lt;p&gt;a. The Scholarship is valued at $5,000 per annum and is tenable for one year only.&lt;/p&gt;"/>
            <x14:filter val="&lt;p&gt;a. The Scholarship is valued at $5,000 per annum and is tenable for one year. &lt;/p&gt;"/>
            <x14:filter val="&lt;p&gt;a. The Scholarship is valued at $5,000 per annum and is tenable for one year.&lt;/p&gt;"/>
            <x14:filter val="&lt;p&gt;a. The Scholarship is valued at $5,000 per annum and is tenable for two years.&lt;/p&gt;"/>
            <x14:filter val="&lt;p&gt;a. The Scholarship is valued at $5,000 per annum for up to one year.&lt;/p&gt;"/>
            <x14:filter val="&lt;p&gt;a. The Scholarship is valued at $5,000. &lt;br/&gt;_x000a_&lt;/p&gt;"/>
            <x14:filter val="&lt;p&gt;a. The Scholarship is valued at $5,000.&lt;/p&gt;"/>
            <x14:filter val="&lt;p&gt;a. The Scholarship is valued at $50,000 for one year only and will become tenable once the applicant has either:&lt;/p&gt;"/>
            <x14:filter val="&lt;p&gt;a. The Scholarship is valued at $500 and will be paid as a one-off payment.&lt;/p&gt;"/>
            <x14:filter val="&lt;p&gt;a. The Scholarship is valued at $500 per week and is tenable for up to 8 weeks. The Scholarship value and the duration will be stipulated in the Scholarship Offer Letter.&lt;/p&gt;"/>
            <x14:filter val="&lt;p&gt;a. The Scholarship is valued at $500.&lt;/p&gt;"/>
            <x14:filter val="&lt;p&gt;a. The Scholarship is valued at $5000 per annum and is tenable for one year only. &lt;/p&gt;"/>
            <x14:filter val="&lt;p&gt;a. The Scholarship is valued at $5000. &lt;/p&gt;"/>
            <x14:filter val="&lt;p&gt;a. The Scholarship is valued at $6,000 and is tenable for one year only. &lt;/p&gt;"/>
            <x14:filter val="&lt;p&gt;a. The Scholarship is valued at $6,000 and is tenable for one year only.&lt;/p&gt;"/>
            <x14:filter val="&lt;p&gt;a. The Scholarship is valued at $6,000 for up to one semester and will be paid as a one-off payment on receipt of the Scholarship Acceptance Form.&lt;/p&gt;"/>
            <x14:filter val="&lt;p&gt;a. The Scholarship is valued at $6,000 per annum and is tenable for one year. &lt;/p&gt;"/>
            <x14:filter val="&lt;p&gt;a. The Scholarship is valued at $6,000 per annum and is tenable for one year.&lt;/p&gt;"/>
            <x14:filter val="&lt;p&gt;a. The Scholarship is valued at $6,000 per annum and is tenable for the duration of the degree. &lt;/p&gt;"/>
            <x14:filter val="&lt;p&gt;a. The Scholarship is valued at $6,000 per annum and is tenable for the full-time duration of Doctor of Veterinary Medicine program.&lt;/p&gt;"/>
            <x14:filter val="&lt;p&gt;a. The Scholarship is valued at $6,000 per annum and is tenable for up to 4 years. If awarded to a currently enrolled student, the Scholarship is tenable for the remaining candidature of the eligible degree.&lt;/p&gt;"/>
            <x14:filter val="&lt;p&gt;a. The Scholarship is valued at $6,000 per annum and is tenable for up to 4 years. &lt;/p&gt;"/>
            <x14:filter val="&lt;p&gt;a. The Scholarship is valued at $6,000 per annum and is tenable for up to 4 years.&lt;/p&gt;"/>
            <x14:filter val="&lt;p&gt;a. The Scholarship is valued at $6,000 per annum and is tenable for up to three years, plus an additional year for completion of the Bachelor of Advanced Studies (where applicable). &lt;/p&gt;"/>
            <x14:filter val="&lt;p&gt;a. The Scholarship is valued at $6,000 per annum for up to one year. &lt;/p&gt;"/>
            <x14:filter val="&lt;p&gt;a. The Scholarship is valued at $6,000 per annum, tenable for the normal full-time duration of the degree.&lt;/p&gt;"/>
            <x14:filter val="&lt;p&gt;a. The Scholarship is valued at $6,418 per annum and is tenable for one year only. &lt;/p&gt;"/>
            <x14:filter val="&lt;p&gt;a. The Scholarship is valued at $6,500 per annum and is tenable for four years.&lt;/p&gt;"/>
            <x14:filter val="&lt;p&gt;a. The Scholarship is valued at $6,750 and paid as a one-off payment for the year in which the scholarship is awarded.&lt;/p&gt;"/>
            <x14:filter val="&lt;p&gt;a. The Scholarship is valued at $6,750 per annum and is tenable for the full-time duration of Doctor of Veterinary Medicine program.&lt;/p&gt;"/>
            <x14:filter val="&lt;p&gt;a. The Scholarship is valued at $7,000 and is tenable for the duration of the agreed undergraduate program.&lt;/p&gt;"/>
            <x14:filter val="&lt;p&gt;a. The Scholarship is valued at $7,000 for a semester long exchange and $3,500 for a short-term mobility program.&lt;/p&gt;"/>
            <x14:filter val="&lt;p&gt;a. The Scholarship is valued at $7,000 per annum and is tenable for one year. &lt;/p&gt;"/>
            <x14:filter val="&lt;p&gt;a. The Scholarship is valued at $7,000 per annum for up to 1.5 years for a full-time recipient.&lt;/p&gt;"/>
            <x14:filter val="&lt;p&gt;a. The Scholarship is valued at $7,500 and is tenable for one year only.&lt;/p&gt;"/>
            <x14:filter val="&lt;p&gt;a. The Scholarship is valued at $7,500 per annum and is tenable for one year. &lt;/p&gt;"/>
            <x14:filter val="&lt;p&gt;a. The Scholarship is valued at $7,500 per annum and is tenable for one year.&lt;/p&gt;"/>
            <x14:filter val="&lt;p&gt;a. The Scholarship is valued at $7,500 per annum and is tenable for up to one year.&lt;/p&gt;"/>
            <x14:filter val="&lt;p&gt;a. The Scholarship is valued at $7,500 per annum and is tenable for up to three years, plus an additional year for completion of the Bachelor of Advanced Studies (where applicable). &lt;/p&gt;"/>
            <x14:filter val="&lt;p&gt;a. The Scholarship is valued at $7,500 per annum and is tenable for up to three years, plus an additional year for completion of the Bachelor of Advanced Studies (where applicable).&lt;/p&gt;"/>
            <x14:filter val="&lt;p&gt;a. The Scholarship is valued at $7500 per annum and is tenable for up to two years.&lt;/p&gt;"/>
            <x14:filter val="&lt;p&gt;a. The Scholarship is valued at $8,000 per annum and is tenable for 1 year.&lt;/p&gt;"/>
            <x14:filter val="&lt;p&gt;a. The Scholarship is valued at $8,000 per annum and is tenable for the normal duration of the recipient’s degree (including combined degrees), for up to five years.&lt;/p&gt;"/>
            <x14:filter val="&lt;p&gt;a. The Scholarship is valued at $8,000 per annum for the duration of the degree, up to a maximum of five years.&lt;/p&gt;"/>
            <x14:filter val="&lt;p&gt;a. The Scholarship is valued at $8,000 per annum, tenable for the normal full-time duration of the degree.&lt;/p&gt;"/>
            <x14:filter val="&lt;p&gt;a. The Scholarship is valued at $8,200 per annum and is tenable for up to one year.&lt;/p&gt;"/>
            <x14:filter val="&lt;p&gt;a. The Scholarship is valued at $8,500 and is tenable for one year only. &lt;/p&gt;"/>
            <x14:filter val="&lt;p&gt;a. The Scholarship is valued at $8,500 per annum and is tenable for one year.&lt;/p&gt;"/>
            <x14:filter val="&lt;p&gt;a. The Scholarship is valued at $8,500 per annum and is tenable for up to 3 years.&lt;/p&gt;"/>
            <x14:filter val="&lt;p&gt;a. The Scholarship is valued at $8,500 per annum and is tenable for up to four years. &lt;/p&gt;"/>
            <x14:filter val="&lt;p&gt;a. The Scholarship is valued at $8500 per annum, and is tenable for one year only, for students enrolled in fulltime study, or pro-rata over the duration of Honours study if enrolled part time.&lt;/p&gt;"/>
            <x14:filter val="&lt;p&gt;a. The Scholarship is valued at approx. $4,400 and is tenable for one year only. The exact value of the scholarship will be stipulated in the Offer Letter.&lt;/p&gt;"/>
            <x14:filter val="&lt;p&gt;a. The Scholarship is valued at up to $2,500.&lt;/p&gt;"/>
            <x14:filter val="&lt;p&gt;a. The Scholarship is valued at up to $3,000 for the duration of the project.&lt;/p&gt;"/>
            <x14:filter val="&lt;p&gt;a. The Scholarship is valued at up to $5,000 and is paid as a one-off payment after the census date. &lt;/p&gt;"/>
            <x14:filter val="&lt;p&gt;a. The Scholarship is valued at up to $5,000 and is paid as a one-off payment. The final value awarded is determined by the selection committee and is based on the level of financial hardship demonstrated. The value will be stipulated in the Offer Letter.&lt;br/&gt;_x000a_b. Deferral of the Scholarship is not permitted without the prior permission of the Associate Dean for Professional Law Programs, or their nominee and it is not transferable for another purpose. &lt;br/&gt;_x000a_c. The Scholarship will be offered subject to the availability of funds.&lt;br/&gt;_x000a_d. No other amount is payable.&lt;/p&gt;"/>
            <x14:filter val="&lt;p&gt;a. The Scholarship is valued at up to $5,000 and it will be paid as a one-off payment upon proof of approved overseas travel.&lt;/p&gt;"/>
            <x14:filter val="&lt;p&gt;a. The Scholarship is valued at up to $5,000 per annum and is tenable for one year only. The value of the scholarship will be stipulated in the Offer Letter.&lt;/p&gt;"/>
            <x14:filter val="&lt;p&gt;a. The Scholarship is valued up to $2,000 per annum tenable for one year only. The value will be stipulated in the Offer Letter.&lt;/p&gt;"/>
            <x14:filter val="&lt;p&gt;a. The Scholarship is valued up to $3,500. The exact value will be stipulated in the Offer Letter. &lt;/p&gt;"/>
            <x14:filter val="&lt;p&gt;a. The Scholarship is valued up to $40,000.&lt;/p&gt;"/>
            <x14:filter val="&lt;p&gt;a. The Scholarship is valued up to $6,000 and is paid as a one-off payment. The value of the scholarship will be stipulated in the Offer Letter.&lt;/p&gt;"/>
            <x14:filter val="&lt;p&gt;a. The Scholarship is valued up to $60,000 and is tenable for one year only. The value will be stipulated in the Offer Letter.&lt;/p&gt;"/>
            <x14:filter val="&lt;p&gt;a. The Scholarship is valued up to $8,000 and the value will be confirmed on the Scholarship Offer Letter.&lt;/p&gt;"/>
            <x14:filter val="&lt;p&gt;a. The Scholarship provides a cash payment of $5,000 for one year&lt;/p&gt;"/>
            <x14:filter val="&lt;p&gt;a. The scholarship provides a cash payment of AUD$10,000 per year and is tenable for the published full-time duration of the recipient’s undergraduate (single or combined) degree up to a maximum total duration of 5 years full-time study or part-time equivalent.&lt;/p&gt;"/>
            <x14:filter val="&lt;p&gt;a. The scholarship provides a cash payment of AUD$15,000 per year and is tenable for up to a maximum total duration of 3 years full-time study or part-time equivalent.&lt;/p&gt;"/>
            <x14:filter val="&lt;p&gt;a. The scholarship provides a cash payment of AUD$8,500 per year and is tenable for the published full-time duration of the recipient’s undergraduate (single or combined) degree or diploma up to a maximum total duration of 5 years full-time study or part-time equivalent. Recipients undertaking a diploma who progress directly onto an undergraduate degree of the University of Sydney will retain their scholarship for the published full-time duration of both the diploma and the undergraduate degree up to a maximum total duration of 5 years full-time study or part-time equivalent. &lt;/p&gt;"/>
            <x14:filter val="&lt;p&gt;a. The scholarship provides a cash payment of AUD$8,500 per year and is tenable for the published full-time duration of the recipient’s undergraduate (single or combined) degree up to a maximum total duration of 5 years full-time study or part time equivalent.&lt;/p&gt;"/>
            <x14:filter val="&lt;p&gt;a. The scholarship provides a cash payment of AUD$8,500 per year and is tenable for the published full-time duration of the recipient’s undergraduate (single or combined) degree up to a maximum total duration of 5 years full-time study or part-time equivalent.&lt;/p&gt;"/>
            <x14:filter val="&lt;p&gt;a. The scholarship provides AUD$20,000 per year towards the costs of accommodation at a University of Sydney owned residence for the published full-time duration of the recipient’s undergraduate (single or combined) degree up to a maximum total duration of 4 years full-time study.&lt;/p&gt;"/>
            <x14:filter val="&lt;p&gt;a. The Scholarship value and duration will be determined by the Dean of the Sydney Conservatorium of Music and will be stipulated in the Scholarship Offer Letter to the successful recipient(s).&lt;/p&gt;"/>
            <x14:filter val="&lt;p&gt;a. The Scholarship value and duration will be determined by the Head of School and Dean, Sydney Conservatorium of Music and will be stipulated in the Scholarship Offer Letter to the successful recipient(s).&lt;br/&gt;_x000a_&lt;/p&gt;"/>
            <x14:filter val="&lt;p&gt;a. The Scholarship value will be determined by the selection committee and will be stipulated in the Scholarship Offer Letter to recipient(s). &lt;/p&gt;"/>
            <x14:filter val="&lt;p&gt;a. The Scholarship will be valued at $2,500.&lt;/p&gt;"/>
            <x14:filter val="&lt;p&gt;a. The Scholarship will cover the Student Services and Amenities Fee (SSAF) and academic tuition fees, up to a maximum of $60,000.&lt;/p&gt;"/>
            <x14:filter val="&lt;p&gt;a. The Scholarship will have a maximum value of $2,000. &lt;/p&gt;"/>
            <x14:filter val="&lt;p&gt;a. The Scholarship will have a maximum value of $300. The exact value of the scholarship will be determined by the Head of School, School of Humanities and outlined in the recipient(s) scholarship offer letter.&lt;/p&gt;"/>
            <x14:filter val="&lt;p&gt;a. The Scholarship will provide a stipend allowance of $54,000 pa, paid every 2 weeks. The Scholarship is indexed at $500 per annum on 1 January. The Scholarship will be awarded for the duration of the student’s residency for up to three years, subject to satisfactory academic performance. No extension is possible.&lt;/p&gt;"/>
            <x14:filter val="&lt;p&gt;a. The Scholarship will provide an annual stipend allowance of $42,000 (fixed rate) for up to three years, subject to satisfactory academic performance. No extension is allowed.&lt;/p&gt;"/>
            <x14:filter val="&lt;p&gt;a. The total value and duration of the Scholarship for full-time enrolled students is detailed below.&lt;/p&gt;"/>
            <x14:filter val="&lt;p&gt;a. The total value of the scholarship for a recipients enrolled full-time in the Master of Nursing (graduate degree) will be $8,625. This will be split into the following benefits:&lt;/p&gt;"/>
            <x14:filter val="&lt;p&gt;a. The total value of the scholarship for a recipients enrolled full-time will be $20,000. This will be split into the following benefits:&lt;/p&gt;"/>
            <x14:filter val="&lt;p&gt;a. The value of each Scholarship will be determined by the selection committee. The Scholarship will have a maximum value for any one project of:&lt;/p&gt;"/>
            <x14:filter val="&lt;p&gt;a. Two scholarship amounts are offered based on ranking against selection criteria:&lt;/p&gt;"/>
            <x14:filter val="&lt;p&gt;a.      The Scholarship is valued at $9,000 per annum and is tenable for up to three years.&lt;br/&gt;_x000a_&lt;/p&gt;"/>
            <x14:filter val="&lt;p&gt;The Scholarship is valued at $12,000 per annum and is tenable for the full duration of the student’s candidature including combined degrees and an honours year if required.&lt;/p&gt;"/>
            <x14:filter val="blank"/>
          </mc:Choice>
          <mc:Fallback>
            <filter val="$14,500 for 6 _x000a_semesters_x000a_$500 One-off"/>
            <filter val="&lt;p&gt; &lt;/p&gt;"/>
            <filter val="&lt;p&gt;_x000a_&lt;/p&gt;"/>
            <filter val="&lt;p&gt;&lt;strong&gt; &lt;/strong&gt;&lt;/p&gt;"/>
            <filter val="&lt;p&gt;a. A full-time enrolled recipient will receive $5,000 per annum for up to one year.&lt;/p&gt;"/>
            <filter val="&lt;p&gt;a. A full-time enrolled recipient will receive the scholarship valued at $8,000 per annum for the full-time duration of the recipient’s eligible undergraduate degree.&lt;/p&gt;"/>
            <filter val="&lt;p&gt;a. A full-time recipient will receive $10,000 per annum for up to three semesters.&lt;/p&gt;"/>
            <filter val="&lt;p&gt;a. A recipient enrolled full time will receive $8,500 per annum for up to two years.&lt;/p&gt;"/>
            <filter val="&lt;p&gt;a. A recipient enrolled full-time will receive $10,000 per annum for up to one year. &lt;/p&gt;"/>
            <filter val="&lt;p&gt;a. A recipient enrolled full-time will receive $10,000 per annum for up to two years.&lt;/p&gt;"/>
            <filter val="&lt;p&gt;a. A recipient enrolled full-time will receive $5,000 per annum for up to one year.&lt;/p&gt;"/>
            <filter val="&lt;p&gt;a. A recipient enrolled full-time will receive $5,500 per annum for up to one year, subject to satisfactory academic performance.&lt;/p&gt;"/>
            <filter val="&lt;p&gt;a. A recipient enrolled full-time will receive $6,000 per annum for up to four years. &lt;/p&gt;"/>
            <filter val="&lt;p&gt;a. A recipient enrolled full-time will receive $8,000 in the year of receipt of the scholarship&lt;br/&gt;_x000a_&lt;/p&gt;"/>
            <filter val="&lt;p&gt;a. A recipient enrolled full-time will receive $8,000 per annum for up to one year, subject to satisfactory academic performance.&lt;/p&gt;"/>
            <filter val="&lt;p&gt;a. A recipient enrolled full-time will receive a Scholarship valued at $5,000. A recipient enrolled part-time will receive a Scholarship valued at $2,500.&lt;/p&gt;"/>
            <filter val="&lt;p&gt;a. A recipient enrolled full-time will receive the following benefits in the first year of their eligible degree:&lt;/p&gt;"/>
            <filter val="&lt;p&gt;a. A recipient enrolled full-time will receive the Scholarship for up to one year and the Scholarship will be valued at:&lt;/p&gt;"/>
            <filter val="&lt;p&gt;a. A recipient enrolled full-time will receive the scholarship valued at $10,000 per annum for up to one year.&lt;/p&gt;"/>
            <filter val="&lt;p&gt;a. A recipient enrolled full-time will receive the scholarship valued at $12,000 per annum for up to 3 years. &lt;/p&gt;"/>
            <filter val="&lt;p&gt;a. A recipient enrolled full-time will receive the scholarship valued at $8,500 per annum for up to a maximum of four years. &lt;/p&gt;"/>
            <filter val="&lt;p&gt;a. Both full-time and part-time enrolled recipients will receive $10,000. &lt;/p&gt;"/>
            <filter val="&lt;p&gt;a. Both full-time and part-time enrolled recipients will receive $6,000.&lt;/p&gt;"/>
            <filter val="&lt;p&gt;a. For Bachelor’s degree recipients the Scholarship is valued at $11,750 per annum for up to one year.&lt;/p&gt;"/>
            <filter val="&lt;p&gt;a. For Bachelor’s degree recipients the Scholarship is valued at $12,000 per annum for up to one year.&lt;/p&gt;"/>
            <filter val="&lt;p&gt;a. For Bachelor's degree recipients the Scholarship is valued at $12,000 per annum for up to one year.&lt;/p&gt;"/>
            <filter val="&lt;p&gt;a. For recipients commencing full-time studies (18 or more credit points), the Scholarship is valued at $9,000 and is tenable for one semester only.&lt;/p&gt;"/>
            <filter val="&lt;p&gt;a. Master’s degree recipients the scholarship is valued at $9,000 and is tenable for up to nine months.&lt;br/&gt;_x000a_&lt;/p&gt;"/>
            <filter val="&lt;p&gt;a. Recipients enrolled full-time, will receive the Scholarship valued at $1,500 per annum and is tenable for up to 2 years.&lt;/p&gt;"/>
            <filter val="&lt;p&gt;a. The exact value of the Scholarship will be determined each year by the Selection Committee based on the available spending allocation from the trust and outlined in the successful recipient’s Scholarship Offer Letter. &lt;/p&gt;"/>
            <filter val="&lt;p&gt;a. The recipient will receive the scholarship valued at $25,500 per annum for up to four years.&lt;/p&gt;"/>
            <filter val="&lt;p&gt;a. The Scholarship has a value of $3,000.&lt;/p&gt;"/>
            <filter val="&lt;p&gt;a. The Scholarship is tenable for the duration of the recipient’s three- year undergraduate degree course. &lt;/p&gt;"/>
            <filter val="&lt;p&gt;a. The Scholarship is tenable for up to one year and will provide the following:&lt;/p&gt;"/>
            <filter val="&lt;p&gt;a. The scholarship is valued $36,000 per annum for a recipient enrolled full-time for up to 1 year. &lt;/p&gt;"/>
            <filter val="&lt;p&gt;a. The Scholarship is valued approx. $1,000 per annum and as one-off payment. The exact value of the scholarship will be determined by the Head of School of the School of Veterinary Science and stipulated in the scholarship offer letter.&lt;/p&gt;"/>
            <filter val="&lt;p&gt;a. The Scholarship is valued at $1,000 and is tenable for one year. &lt;/p&gt;"/>
            <filter val="&lt;p&gt;a. The Scholarship is valued at $1,000 and is tenable for one year. &lt;/p&gt;"/>
            <filter val="&lt;p&gt;a. The Scholarship is valued at $1,000. &lt;/p&gt;"/>
            <filter val="&lt;p&gt;a. The Scholarship is valued at $1,500 and is tenable for one year. &lt;/p&gt;"/>
            <filter val="&lt;p&gt;a. The Scholarship is valued at $1,500 and will be paid as a one-off payment.&lt;/p&gt;"/>
            <filter val="&lt;p&gt;a. The Scholarship is valued at $1,666.66.&lt;/p&gt;"/>
            <filter val="&lt;p&gt;a. The Scholarship is valued at $10,000 and is tenable for one year only.&lt;/p&gt;"/>
            <filter val="&lt;p&gt;a. The Scholarship is valued at $10,000 and is tenable for the normal full-time duration of the recipient’s undergraduate degree or combined undergraduate degree (agreed program).&lt;/p&gt;"/>
            <filter val="&lt;p&gt;a. The Scholarship is valued at $10,000 and will be paid as a one-off payment. &lt;/p&gt;"/>
            <filter val="&lt;p&gt;a. The Scholarship is valued at $10,000 per annum and is tenable for one year only.&lt;/p&gt;"/>
            <filter val="&lt;p&gt;a. The scholarship is valued at $10,000 per annum and is tenable for one year. &lt;br/&gt;_x000a_&lt;/p&gt;"/>
            <filter val="&lt;p&gt;a. The Scholarship is valued at $10,000 per annum and is tenable for one year.&lt;/p&gt;"/>
            <filter val="&lt;p&gt;a. The Scholarship is valued at $10,000 per annum and is tenable for the published full-time duration of the recipient’s undergraduate (single or combined) degree up to a maximum total duration of 4 years full-time study or part-time equivalent.&lt;/p&gt;"/>
            <filter val="&lt;p&gt;a. The Scholarship is valued at $10,000 per annum and is tenable for the standard full-time degree duration. The total value of the scholarship is capped at:&lt;/p&gt;"/>
            <filter val="&lt;p&gt;a. The Scholarship is valued at $10,000 per annum and is tenable for up to one year. &lt;/p&gt;"/>
            <filter val="&lt;p&gt;a. The Scholarship is valued at $10,000 per annum and is tenable for up to three years, plus an additional year for completion of the Bachelor of Advanced Studies (where applicable).&lt;/p&gt;"/>
            <filter val="&lt;p&gt;a. The Scholarship is valued at $10,000 per year and is tenable for one year. &lt;/p&gt;"/>
            <filter val="&lt;p&gt;a. The Scholarship is valued at $10,000 per year and tenable for up to 4 years.&lt;/p&gt;"/>
            <filter val="&lt;p&gt;a. The Scholarship is valued at $10,000,&lt;/p&gt;"/>
            <filter val="&lt;p&gt;a. The Scholarship is valued at $10,000. &lt;br/&gt;_x000a_&lt;/p&gt;"/>
            <filter val="&lt;p&gt;a. The Scholarship is valued at $10,000.&lt;/p&gt;"/>
            <filter val="&lt;p&gt;a. The Scholarship is valued at $12,000 per annum and tenable for up to 4 years.&lt;/p&gt;"/>
            <filter val="&lt;p&gt;a. The Scholarship is valued at $12,000 per annum for up to one year.&lt;br/&gt;_x000a_&lt;/p&gt;"/>
            <filter val="&lt;p&gt;a. The Scholarship is valued at $15,000 and is tenable for one full-time semester. &lt;/p&gt;"/>
            <filter val="&lt;p&gt;a. The Scholarship is valued at $15,000 per annum and is tenable for up to three years, plus an additional year for completion of the Bachelor of Advanced Studies (where applicable).&lt;/p&gt;"/>
            <filter val="&lt;p&gt;a. The scholarship is valued at $15,000 per annum for the first two years of the degree. &lt;/p&gt;"/>
            <filter val="&lt;p&gt;a. The Scholarship is valued at $16,000 per annum and is tenable for up to 3 years.&lt;/p&gt;"/>
            <filter val="&lt;p&gt;a. The Scholarship is valued at $177.08 per credit point, up to a maximum of 192 credit points and with a maximum value of $34,000. &lt;/p&gt;"/>
            <filter val="&lt;p&gt;a. The Scholarship is valued at $2,000.&lt;/p&gt;"/>
            <filter val="&lt;p&gt;a. The Scholarship is valued at $2,500 per annum and is tenable for one year.&lt;/p&gt;"/>
            <filter val="&lt;p&gt;a. The Scholarship is valued at $2,500 per annum and is tenable for two years.&lt;/p&gt;"/>
            <filter val="&lt;p&gt;a. The Scholarship is valued at $2,500. &lt;/p&gt;"/>
            <filter val="&lt;p&gt;a. The Scholarship is valued at $2,500.&lt;/p&gt;"/>
            <filter val="&lt;p&gt;a. The Scholarship is valued at $20,000 and as one-off payment. &lt;/p&gt;"/>
            <filter val="&lt;p&gt;a. The Scholarship is valued at $20,000 and tenable for one year.&lt;/p&gt;"/>
            <filter val="&lt;p&gt;a. The Scholarship is valued at $20,000 per annum and is tenable for four years. &lt;/p&gt;"/>
            <filter val="&lt;p&gt;a. The Scholarship is valued at $20,000 per annum and is tenable for one year.&lt;/p&gt;"/>
            <filter val="&lt;p&gt;a. The Scholarship is valued at $20,000 per annum and is tenable for two years. &lt;/p&gt;"/>
            <filter val="&lt;p&gt;a. The Scholarship is valued at $22,000 per annum for both a full-time and part-time enrolled recipient.&lt;/p&gt;"/>
            <filter val="&lt;p&gt;a. The Scholarship is valued at $22,000 per annum for up to one year.&lt;/p&gt;"/>
            <filter val="&lt;p&gt;a. The Scholarship is valued at $25,000 per annum and is tenable for the normal full-time duration of the degree including combined degrees, plus one additional honours year, if required.&lt;/p&gt;"/>
            <filter val="&lt;p&gt;a. The Scholarship is valued at $25,000 per annum and is tenable up to six years only.&lt;/p&gt;"/>
            <filter val="&lt;p&gt;a. The Scholarship is valued at $25,000 per annum for up to four years. The value will be split into the following components:&lt;/p&gt;"/>
            <filter val="&lt;p&gt;a. The Scholarship is valued at $3,000 and as one-off payment upon evidence of formal acceptance at the relevant host institution. &lt;/p&gt;"/>
            <filter val="&lt;p&gt;a. The Scholarship is valued at $3,000 and will be paid as a one-off payment on receipt of the Scholarship Acceptance form.&lt;/p&gt;"/>
            <filter val="&lt;p&gt;a. The Scholarship is valued at $3,333 (fixed amount) and is tenable for the duration of the research project.&lt;/p&gt;"/>
            <filter val="&lt;p&gt;a. The Scholarship is valued at $3,500 per annum and is tenable for one year. &lt;/p&gt;"/>
            <filter val="&lt;p&gt;a. The Scholarship is valued at $3000 for recipients enrolled full-time. &lt;/p&gt;"/>
            <filter val="&lt;p&gt;a. The Scholarship is valued at $312.5 per credit point, up to a maximum of 192 credit points and a maximum value of $60,000.&lt;/p&gt;"/>
            <filter val="&lt;p&gt;a. The Scholarship is valued at $4,000 and will be paid as a one-off payment.&lt;/p&gt;"/>
            <filter val="&lt;p&gt;a. The Scholarship is valued at $4,350 per annum and is tenable for one year.&lt;/p&gt;"/>
            <filter val="&lt;p&gt;a. The Scholarship is valued at $4,500. &lt;br/&gt;_x000a_&lt;/p&gt;"/>
            <filter val="&lt;p&gt;a. The Scholarship is valued at $5,000 and is tenable for one year only.&lt;/p&gt;"/>
            <filter val="&lt;p&gt;a. The Scholarship is valued at $5,000 and is tenable for one year. &lt;/p&gt;"/>
            <filter val="&lt;p&gt;a. The Scholarship is valued at $5,000 per annum and is tenable for 1 year. &lt;/p&gt;"/>
            <filter val="&lt;p&gt;a. The Scholarship is valued at $5,000 per annum and is tenable for 1 year.&lt;/p&gt;"/>
            <filter val="&lt;p&gt;a. The Scholarship is valued at $5,000 per annum and is tenable for one year only.&lt;/p&gt;"/>
            <filter val="&lt;p&gt;a. The Scholarship is valued at $5,000 per annum and is tenable for one year. &lt;/p&gt;"/>
            <filter val="&lt;p&gt;a. The Scholarship is valued at $5,000 per annum and is tenable for one year.&lt;/p&gt;"/>
            <filter val="&lt;p&gt;a. The Scholarship is valued at $5,000 per annum and is tenable for two years.&lt;/p&gt;"/>
            <filter val="&lt;p&gt;a. The Scholarship is valued at $5,000 per annum for up to one year.&lt;/p&gt;"/>
            <filter val="&lt;p&gt;a. The Scholarship is valued at $5,000. &lt;br/&gt;_x000a_&lt;/p&gt;"/>
            <filter val="&lt;p&gt;a. The Scholarship is valued at $5,000.&lt;/p&gt;"/>
            <filter val="&lt;p&gt;a. The Scholarship is valued at $50,000 for one year only and will become tenable once the applicant has either:&lt;/p&gt;"/>
            <filter val="&lt;p&gt;a. The Scholarship is valued at $500 and will be paid as a one-off payment.&lt;/p&gt;"/>
            <filter val="&lt;p&gt;a. The Scholarship is valued at $500 per week and is tenable for up to 8 weeks. The Scholarship value and the duration will be stipulated in the Scholarship Offer Letter.&lt;/p&gt;"/>
            <filter val="&lt;p&gt;a. The Scholarship is valued at $500.&lt;/p&gt;"/>
            <filter val="&lt;p&gt;a. The Scholarship is valued at $5000 per annum and is tenable for one year only. &lt;/p&gt;"/>
            <filter val="&lt;p&gt;a. The Scholarship is valued at $5000. &lt;/p&gt;"/>
            <filter val="&lt;p&gt;a. The Scholarship is valued at $6,000 and is tenable for one year only. &lt;/p&gt;"/>
            <filter val="&lt;p&gt;a. The Scholarship is valued at $6,000 and is tenable for one year only.&lt;/p&gt;"/>
            <filter val="&lt;p&gt;a. The Scholarship is valued at $6,000 for up to one semester and will be paid as a one-off payment on receipt of the Scholarship Acceptance Form.&lt;/p&gt;"/>
            <filter val="&lt;p&gt;a. The Scholarship is valued at $6,000 per annum and is tenable for one year. &lt;/p&gt;"/>
            <filter val="&lt;p&gt;a. The Scholarship is valued at $6,000 per annum and is tenable for one year.&lt;/p&gt;"/>
            <filter val="&lt;p&gt;a. The Scholarship is valued at $6,000 per annum and is tenable for the duration of the degree. &lt;/p&gt;"/>
            <filter val="&lt;p&gt;a. The Scholarship is valued at $6,000 per annum and is tenable for the full-time duration of Doctor of Veterinary Medicine program.&lt;/p&gt;"/>
            <filter val="&lt;p&gt;a. The Scholarship is valued at $6,000 per annum and is tenable for up to 4 years. If awarded to a currently enrolled student, the Scholarship is tenable for the remaining candidature of the eligible degree.&lt;/p&gt;"/>
            <filter val="&lt;p&gt;a. The Scholarship is valued at $6,000 per annum and is tenable for up to 4 years. &lt;/p&gt;"/>
            <filter val="&lt;p&gt;a. The Scholarship is valued at $6,000 per annum and is tenable for up to 4 years.&lt;/p&gt;"/>
            <filter val="&lt;p&gt;a. The Scholarship is valued at $6,000 per annum and is tenable for up to three years, plus an additional year for completion of the Bachelor of Advanced Studies (where applicable). &lt;/p&gt;"/>
            <filter val="&lt;p&gt;a. The Scholarship is valued at $6,000 per annum for up to one year. &lt;/p&gt;"/>
            <filter val="&lt;p&gt;a. The Scholarship is valued at $6,000 per annum, tenable for the normal full-time duration of the degree.&lt;/p&gt;"/>
            <filter val="&lt;p&gt;a. The Scholarship is valued at $6,418 per annum and is tenable for one year only. &lt;/p&gt;"/>
            <filter val="&lt;p&gt;a. The Scholarship is valued at $6,500 per annum and is tenable for four years.&lt;/p&gt;"/>
            <filter val="&lt;p&gt;a. The Scholarship is valued at $6,750 and paid as a one-off payment for the year in which the scholarship is awarded.&lt;/p&gt;"/>
            <filter val="&lt;p&gt;a. The Scholarship is valued at $6,750 per annum and is tenable for the full-time duration of Doctor of Veterinary Medicine program.&lt;/p&gt;"/>
            <filter val="&lt;p&gt;a. The Scholarship is valued at $7,000 and is tenable for the duration of the agreed undergraduate program.&lt;/p&gt;"/>
            <filter val="&lt;p&gt;a. The Scholarship is valued at $7,000 for a semester long exchange and $3,500 for a short-term mobility program.&lt;/p&gt;"/>
            <filter val="&lt;p&gt;a. The Scholarship is valued at $7,000 per annum and is tenable for one year. &lt;/p&gt;"/>
            <filter val="&lt;p&gt;a. The Scholarship is valued at $7,000 per annum for up to 1.5 years for a full-time recipient.&lt;/p&gt;"/>
            <filter val="&lt;p&gt;a. The Scholarship is valued at $7,500 and is tenable for one year only.&lt;/p&gt;"/>
            <filter val="&lt;p&gt;a. The Scholarship is valued at $7,500 per annum and is tenable for one year. &lt;/p&gt;"/>
            <filter val="&lt;p&gt;a. The Scholarship is valued at $7,500 per annum and is tenable for one year.&lt;/p&gt;"/>
            <filter val="&lt;p&gt;a. The Scholarship is valued at $7,500 per annum and is tenable for up to one year.&lt;/p&gt;"/>
            <filter val="&lt;p&gt;a. The Scholarship is valued at $7,500 per annum and is tenable for up to three years, plus an additional year for completion of the Bachelor of Advanced Studies (where applicable). &lt;/p&gt;"/>
            <filter val="&lt;p&gt;a. The Scholarship is valued at $7,500 per annum and is tenable for up to three years, plus an additional year for completion of the Bachelor of Advanced Studies (where applicable).&lt;/p&gt;"/>
            <filter val="&lt;p&gt;a. The Scholarship is valued at $7500 per annum and is tenable for up to two years.&lt;/p&gt;"/>
            <filter val="&lt;p&gt;a. The Scholarship is valued at $8,000 per annum and is tenable for 1 year.&lt;/p&gt;"/>
            <filter val="&lt;p&gt;a. The Scholarship is valued at $8,000 per annum and is tenable for the normal duration of the recipient’s degree (including combined degrees), for up to five years.&lt;/p&gt;"/>
            <filter val="&lt;p&gt;a. The Scholarship is valued at $8,000 per annum for the duration of the degree, up to a maximum of five years.&lt;/p&gt;"/>
            <filter val="&lt;p&gt;a. The Scholarship is valued at $8,000 per annum, tenable for the normal full-time duration of the degree.&lt;/p&gt;"/>
            <filter val="&lt;p&gt;a. The Scholarship is valued at $8,200 per annum and is tenable for up to one year.&lt;/p&gt;"/>
            <filter val="&lt;p&gt;a. The Scholarship is valued at $8,500 and is tenable for one year only. &lt;/p&gt;"/>
            <filter val="&lt;p&gt;a. The Scholarship is valued at $8,500 per annum and is tenable for one year.&lt;/p&gt;"/>
            <filter val="&lt;p&gt;a. The Scholarship is valued at $8,500 per annum and is tenable for up to 3 years.&lt;/p&gt;"/>
            <filter val="&lt;p&gt;a. The Scholarship is valued at $8,500 per annum and is tenable for up to four years. &lt;/p&gt;"/>
            <filter val="&lt;p&gt;a. The Scholarship is valued at $8500 per annum, and is tenable for one year only, for students enrolled in fulltime study, or pro-rata over the duration of Honours study if enrolled part time.&lt;/p&gt;"/>
            <filter val="&lt;p&gt;a. The Scholarship is valued at approx. $4,400 and is tenable for one year only. The exact value of the scholarship will be stipulated in the Offer Letter.&lt;/p&gt;"/>
            <filter val="&lt;p&gt;a. The Scholarship is valued at up to $2,500.&lt;/p&gt;"/>
            <filter val="&lt;p&gt;a. The Scholarship is valued at up to $3,000 for the duration of the project.&lt;/p&gt;"/>
            <filter val="&lt;p&gt;a. The Scholarship is valued at up to $5,000 and is paid as a one-off payment after the census date. &lt;/p&gt;"/>
            <filter val="&lt;p&gt;a. The Scholarship is valued at up to $5,000 and it will be paid as a one-off payment upon proof of approved overseas travel.&lt;/p&gt;"/>
            <filter val="&lt;p&gt;a. The Scholarship is valued at up to $5,000 per annum and is tenable for one year only. The value of the scholarship will be stipulated in the Offer Letter.&lt;/p&gt;"/>
            <filter val="&lt;p&gt;a. The Scholarship is valued up to $2,000 per annum tenable for one year only. The value will be stipulated in the Offer Letter.&lt;/p&gt;"/>
            <filter val="&lt;p&gt;a. The Scholarship is valued up to $3,500. The exact value will be stipulated in the Offer Letter. &lt;/p&gt;"/>
            <filter val="&lt;p&gt;a. The Scholarship is valued up to $40,000.&lt;/p&gt;"/>
            <filter val="&lt;p&gt;a. The Scholarship is valued up to $6,000 and is paid as a one-off payment. The value of the scholarship will be stipulated in the Offer Letter.&lt;/p&gt;"/>
            <filter val="&lt;p&gt;a. The Scholarship is valued up to $60,000 and is tenable for one year only. The value will be stipulated in the Offer Letter.&lt;/p&gt;"/>
            <filter val="&lt;p&gt;a. The Scholarship is valued up to $8,000 and the value will be confirmed on the Scholarship Offer Letter.&lt;/p&gt;"/>
            <filter val="&lt;p&gt;a. The Scholarship provides a cash payment of $5,000 for one year&lt;/p&gt;"/>
            <filter val="&lt;p&gt;a. The scholarship provides a cash payment of AUD$15,000 per year and is tenable for up to a maximum total duration of 3 years full-time study or part-time equivalent.&lt;/p&gt;"/>
            <filter val="&lt;p&gt;a. The Scholarship value and duration will be determined by the Dean of the Sydney Conservatorium of Music and will be stipulated in the Scholarship Offer Letter to the successful recipient(s).&lt;/p&gt;"/>
            <filter val="&lt;p&gt;a. The Scholarship value and duration will be determined by the Head of School and Dean, Sydney Conservatorium of Music and will be stipulated in the Scholarship Offer Letter to the successful recipient(s).&lt;br/&gt;_x000a_&lt;/p&gt;"/>
            <filter val="&lt;p&gt;a. The Scholarship value will be determined by the selection committee and will be stipulated in the Scholarship Offer Letter to recipient(s). &lt;/p&gt;"/>
            <filter val="&lt;p&gt;a. The Scholarship will be valued at $2,500.&lt;/p&gt;"/>
            <filter val="&lt;p&gt;a. The Scholarship will cover the Student Services and Amenities Fee (SSAF) and academic tuition fees, up to a maximum of $60,000.&lt;/p&gt;"/>
            <filter val="&lt;p&gt;a. The Scholarship will have a maximum value of $2,000. &lt;/p&gt;"/>
            <filter val="&lt;p&gt;a. The Scholarship will have a maximum value of $300. The exact value of the scholarship will be determined by the Head of School, School of Humanities and outlined in the recipient(s) scholarship offer letter.&lt;/p&gt;"/>
            <filter val="&lt;p&gt;a. The Scholarship will provide an annual stipend allowance of $42,000 (fixed rate) for up to three years, subject to satisfactory academic performance. No extension is allowed.&lt;/p&gt;"/>
            <filter val="&lt;p&gt;a. The total value and duration of the Scholarship for full-time enrolled students is detailed below.&lt;/p&gt;"/>
            <filter val="&lt;p&gt;a. The total value of the scholarship for a recipients enrolled full-time in the Master of Nursing (graduate degree) will be $8,625. This will be split into the following benefits:&lt;/p&gt;"/>
            <filter val="&lt;p&gt;a. The total value of the scholarship for a recipients enrolled full-time will be $20,000. This will be split into the following benefits:&lt;/p&gt;"/>
            <filter val="&lt;p&gt;a. The value of each Scholarship will be determined by the selection committee. The Scholarship will have a maximum value for any one project of:&lt;/p&gt;"/>
            <filter val="&lt;p&gt;a. Two scholarship amounts are offered based on ranking against selection criteria:&lt;/p&gt;"/>
            <filter val="&lt;p&gt;a.      The Scholarship is valued at $9,000 per annum and is tenable for up to three years.&lt;br/&gt;_x000a_&lt;/p&gt;"/>
            <filter val="&lt;p&gt;The Scholarship is valued at $12,000 per annum and is tenable for the full duration of the student’s candidature including combined degrees and an honours year if required.&lt;/p&gt;"/>
            <filter val="blank"/>
          </mc:Fallback>
        </mc:AlternateContent>
      </filters>
    </filterColumn>
  </autoFilter>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4dc54e-a510-4ebc-96a4-7a373c84d576">
      <Terms xmlns="http://schemas.microsoft.com/office/infopath/2007/PartnerControls"/>
    </lcf76f155ced4ddcb4097134ff3c332f>
    <TaxCatchAll xmlns="91d47d42-378c-4240-adf1-50612b639f3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5306DE-D9ED-4910-9266-5518F73180B2}">
  <ds:schemaRefs>
    <ds:schemaRef ds:uri="http://schemas.microsoft.com/sharepoint/v3/contenttype/forms"/>
  </ds:schemaRefs>
</ds:datastoreItem>
</file>

<file path=customXml/itemProps2.xml><?xml version="1.0" encoding="utf-8"?>
<ds:datastoreItem xmlns:ds="http://schemas.openxmlformats.org/officeDocument/2006/customXml" ds:itemID="{A196ED53-76B1-4E3A-A1A0-FAA4CB69303D}">
  <ds:schemaRefs>
    <ds:schemaRef ds:uri="http://schemas.microsoft.com/office/2006/metadata/properties"/>
    <ds:schemaRef ds:uri="http://schemas.microsoft.com/office/infopath/2007/PartnerControls"/>
    <ds:schemaRef ds:uri="514dc54e-a510-4ebc-96a4-7a373c84d576"/>
    <ds:schemaRef ds:uri="91d47d42-378c-4240-adf1-50612b639f36"/>
  </ds:schemaRefs>
</ds:datastoreItem>
</file>

<file path=customXml/itemProps3.xml><?xml version="1.0" encoding="utf-8"?>
<ds:datastoreItem xmlns:ds="http://schemas.openxmlformats.org/officeDocument/2006/customXml" ds:itemID="{3FCA4502-B782-48B7-9C63-396C70029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Pierce</cp:lastModifiedBy>
  <dcterms:created xsi:type="dcterms:W3CDTF">2024-11-05T05:21:35Z</dcterms:created>
  <dcterms:modified xsi:type="dcterms:W3CDTF">2024-11-21T04:27:23Z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0x010100A1B59F058DD61F4CBF5D961017DC0A45</vt:lpwstr>
  </property>
</Properties>
</file>