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1" documentId="13_ncr:1_{BC4AE9FA-0CB4-4CF0-8D39-57A9F105CFA5}" xr6:coauthVersionLast="47" xr6:coauthVersionMax="47" xr10:uidLastSave="{712ABEEC-36FC-47A3-BE68-20EE75D1D2EC}"/>
  <bookViews>
    <workbookView xWindow="-12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5" i="1" l="1"/>
  <c r="B95" i="1"/>
  <c r="B24"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4" i="1"/>
  <c r="B263" i="1"/>
  <c r="B262" i="1"/>
  <c r="B261" i="1"/>
  <c r="B260" i="1"/>
  <c r="B259" i="1"/>
  <c r="B258" i="1"/>
  <c r="B257" i="1"/>
  <c r="B256" i="1"/>
  <c r="B255" i="1"/>
  <c r="B254" i="1"/>
  <c r="B253" i="1"/>
  <c r="B252" i="1"/>
  <c r="B251" i="1"/>
  <c r="B250" i="1"/>
  <c r="B249" i="1"/>
  <c r="B248"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3" i="1"/>
  <c r="B195" i="1"/>
  <c r="B247" i="1"/>
  <c r="B246" i="1"/>
  <c r="B245" i="1"/>
  <c r="B244" i="1"/>
  <c r="B243" i="1" l="1"/>
  <c r="B242" i="1"/>
  <c r="B241" i="1"/>
  <c r="B240" i="1"/>
  <c r="B239" i="1"/>
  <c r="B238" i="1" l="1"/>
  <c r="B237" i="1"/>
  <c r="B236" i="1"/>
  <c r="B235" i="1" l="1"/>
  <c r="B234" i="1"/>
  <c r="B233" i="1"/>
  <c r="B232" i="1"/>
  <c r="B231" i="1"/>
  <c r="B230" i="1"/>
  <c r="B229" i="1"/>
  <c r="B228" i="1"/>
  <c r="B227" i="1"/>
  <c r="B226" i="1"/>
  <c r="B225" i="1"/>
  <c r="B224" i="1"/>
  <c r="B223" i="1"/>
  <c r="B222" i="1"/>
  <c r="B221" i="1"/>
  <c r="B220" i="1"/>
  <c r="B217" i="1"/>
  <c r="B216" i="1"/>
  <c r="B219" i="1"/>
  <c r="B218" i="1"/>
  <c r="B215" i="1"/>
  <c r="B214" i="1"/>
  <c r="B213" i="1"/>
  <c r="B212" i="1"/>
  <c r="B211" i="1"/>
  <c r="B210"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l="1"/>
  <c r="B467" i="1"/>
  <c r="B466" i="1"/>
  <c r="B465" i="1"/>
  <c r="B464" i="1"/>
  <c r="B463" i="1"/>
  <c r="B462" i="1"/>
  <c r="B461" i="1"/>
  <c r="B460" i="1"/>
  <c r="B459" i="1"/>
  <c r="B209" i="1" l="1"/>
  <c r="B208" i="1"/>
  <c r="B207" i="1"/>
  <c r="B206" i="1"/>
  <c r="B205" i="1"/>
  <c r="B204" i="1"/>
  <c r="B203" i="1"/>
  <c r="B202" i="1"/>
  <c r="B201" i="1"/>
  <c r="B200" i="1"/>
  <c r="B199" i="1"/>
  <c r="B198" i="1"/>
  <c r="B197" i="1"/>
  <c r="B196" i="1"/>
  <c r="B194" i="1"/>
  <c r="B192" i="1"/>
  <c r="B191" i="1"/>
  <c r="B190" i="1"/>
  <c r="B189" i="1"/>
  <c r="B188" i="1"/>
  <c r="B187" i="1"/>
  <c r="B186" i="1"/>
  <c r="B185" i="1"/>
  <c r="B184" i="1"/>
  <c r="B183" i="1"/>
  <c r="B182" i="1"/>
  <c r="B181" i="1"/>
</calcChain>
</file>

<file path=xl/sharedStrings.xml><?xml version="1.0" encoding="utf-8"?>
<sst xmlns="http://schemas.openxmlformats.org/spreadsheetml/2006/main" count="4044" uniqueCount="679">
  <si>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</si>
  <si>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</si>
  <si>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</si>
  <si>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</si>
  <si>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</si>
  <si>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</si>
  <si>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</si>
  <si>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</si>
  <si>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</si>
  <si>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</si>
  <si>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</si>
  <si>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</si>
  <si>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</si>
  <si>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</si>
  <si>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</si>
  <si>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</si>
  <si>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</si>
  <si>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</si>
  <si>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</si>
  <si>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</si>
  <si>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</si>
  <si>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</si>
  <si>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</si>
  <si>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</si>
  <si>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</si>
  <si>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</si>
  <si>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</si>
  <si>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</si>
  <si>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</si>
  <si>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</si>
  <si>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</si>
  <si>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</si>
  <si>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</si>
  <si>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</si>
  <si>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</si>
  <si>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</si>
  <si>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</si>
  <si>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</si>
  <si>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</si>
  <si>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</si>
  <si>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</si>
  <si>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</si>
  <si>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</si>
  <si>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</si>
  <si>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</si>
  <si>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</si>
  <si>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</si>
  <si>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</si>
  <si>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</si>
  <si>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</si>
  <si>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</si>
  <si>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</si>
  <si>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</si>
  <si>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</si>
  <si>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</si>
  <si>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</si>
  <si>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</si>
  <si>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</si>
  <si>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</si>
  <si>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</si>
  <si>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</si>
  <si>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</si>
  <si>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</si>
  <si>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</si>
  <si>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</si>
  <si>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</si>
  <si>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</si>
  <si>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</si>
  <si>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</si>
  <si>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</si>
  <si>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</si>
  <si>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</si>
  <si>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</si>
  <si>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</si>
  <si>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</si>
  <si>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</si>
  <si>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</si>
  <si>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</si>
  <si>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</si>
  <si>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</si>
  <si>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</si>
  <si>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</si>
  <si>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</si>
  <si>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</si>
  <si>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</si>
  <si>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</si>
  <si>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</si>
  <si>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</si>
  <si>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</si>
  <si>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</si>
  <si>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</si>
  <si>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</si>
  <si>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</si>
  <si>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</si>
  <si>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</si>
  <si>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</si>
  <si>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</si>
  <si>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</si>
  <si>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</si>
  <si>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</si>
  <si>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</si>
  <si>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</si>
  <si>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</si>
  <si>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</si>
  <si>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</si>
  <si>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</si>
  <si>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</si>
  <si>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</si>
  <si>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</si>
  <si>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</si>
  <si>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</si>
  <si>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</si>
  <si>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</si>
  <si>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</si>
  <si>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</si>
  <si>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</si>
  <si>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</si>
  <si>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</si>
  <si>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</si>
  <si>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</si>
  <si>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</si>
  <si>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</si>
  <si>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</si>
  <si>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</si>
  <si>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</si>
  <si>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</si>
  <si>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</si>
  <si>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</si>
  <si>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</si>
  <si>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</si>
  <si>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</si>
  <si>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</si>
  <si>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</si>
  <si>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</si>
  <si>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</si>
  <si>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</si>
  <si>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</si>
  <si>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</si>
  <si>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</si>
  <si>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</si>
  <si>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</si>
  <si>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</si>
  <si>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</si>
  <si>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</si>
  <si>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</si>
  <si>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</si>
  <si>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</si>
  <si>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</si>
  <si>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</si>
  <si>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</si>
  <si>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</si>
  <si>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</si>
  <si>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</si>
  <si>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</si>
  <si>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</si>
  <si>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</si>
  <si>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</si>
  <si>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</si>
  <si>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</si>
  <si>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</si>
  <si>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</si>
  <si>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</si>
  <si>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</si>
  <si>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</si>
  <si>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</si>
  <si>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</si>
  <si>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</si>
  <si>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</si>
  <si>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</si>
  <si>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</si>
  <si>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</si>
  <si>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</si>
  <si>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</si>
  <si>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</si>
  <si>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</si>
  <si>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</si>
  <si>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</si>
  <si>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</si>
  <si>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</si>
  <si>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</si>
  <si>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</si>
  <si>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</si>
  <si>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</si>
  <si>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</si>
  <si>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</si>
  <si>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</si>
  <si>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</si>
  <si>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</si>
  <si>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</si>
  <si>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</si>
  <si>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</si>
  <si>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</si>
  <si>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</si>
  <si>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</si>
  <si>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</si>
  <si>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</si>
  <si>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</si>
  <si>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</si>
  <si>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</si>
  <si>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</si>
  <si>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</si>
  <si>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</si>
  <si>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</si>
  <si>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</si>
  <si>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</si>
  <si>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</si>
  <si>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 Provide a statement
• Rural or Regional
• Disability
• students studying in allied health related courses.</t>
  </si>
  <si>
    <t>$1,000</t>
  </si>
  <si>
    <t>• Financial hardship
• Rural or Regional</t>
  </si>
  <si>
    <t>$5,000</t>
  </si>
  <si>
    <t>up to $1500</t>
  </si>
  <si>
    <t>$3,000</t>
  </si>
  <si>
    <t>$4000</t>
  </si>
  <si>
    <t>$7,500</t>
  </si>
  <si>
    <t>$4500</t>
  </si>
  <si>
    <t>• any course
• any year</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</si>
  <si>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</si>
  <si>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</si>
  <si>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</si>
  <si>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</si>
  <si>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</si>
  <si>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</si>
  <si>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</si>
  <si>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</si>
  <si>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</si>
  <si>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</si>
  <si>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</si>
  <si>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</si>
  <si>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</si>
  <si>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 applicantmustoutline the main costs associated with their work placement (accommodation / uniform / travel / food etc)
• available to students who will be undertaking practical placements of 150 or more hours in the year of award (applicantmustoutline in their application the subject code and hours to be undertaken to be considered).
• where possible, the candidate should be able to demonstrate a commitment/involvement in the charles sturt university student community
• any course</t>
  </si>
  <si>
    <t>$2,000</t>
  </si>
  <si>
    <t>• bachelor of social work
• bachelor of human services (with specialisations)
• outline your career goals and aspirations.
• include information regarding personal circumstances and financial situation.
• Financial hardship
• Academic merit</t>
  </si>
  <si>
    <t>• outline your career goals and aspirations.
• Rural or Regional
• any year
• Financial hardship
• Academic merit
• studentsmustbe residing at st martin's college for the full year (sessions 1 &amp; 2) of awarding</t>
  </si>
  <si>
    <t>• bachelor of education (k-12)
• bachelor of psychology
• bachelor of education (birth to five years)
• bachelor of paramedicine
• preference will be given to students who are first in their family to attend university.
• bachelor of nursing
• any year
• Financial hardship
• bachelor of social science (psychology)
• Academic merit</t>
  </si>
  <si>
    <t>$2500</t>
  </si>
  <si>
    <t>• applicantmusthave completed the majority of their high school education in the albury-wodonga area (supporting documentation to be provided).
• outline your career goals and aspirations.
• Rural or Regional
• any year
• Academic merit</t>
  </si>
  <si>
    <t>• Financial hardship
• Academic merit
• students must be residing at st martin's college for the full year (sessions 1 &amp; 2) of awarding
• any year</t>
  </si>
  <si>
    <t>• bachelor of information studies (with specialisations)
• preference will be given to male students (a known minority in the library services)
• demonstrated passion for library services
• graduate certificate in information
• master of information studies (with specialisations)
• any year
• preference will be given to mature aged students</t>
  </si>
  <si>
    <t>$18000 MAX</t>
  </si>
  <si>
    <t>• outline your career goals and aspirations
• any course
• Rural or Regional
• include minimum 250 word essay "who is ron camplin?"
• 1st year
• Academic merit</t>
  </si>
  <si>
    <t>• Financial hardship
• applicantmustwrite a detailed explanation on"what would this scholarship do for you financially?"(question to be answered in the how will you use the funds section of the application).
• any year</t>
  </si>
  <si>
    <t>$4,000</t>
  </si>
  <si>
    <t>• 1st / 2nd  / 3rd / 4th / 5th year
• preference may be given to students studying business / law / agricultural science / veterinary science
• applicants to be actively involved in an anglican (preference) or other christian church (applicants to supply a reference from their current church minister to be considered).
• any course
• applicantsmustlive at st martin's college (can be a new or returning resident)
• Financial hardship</t>
  </si>
  <si>
    <t>• applicantmustoutline the main costs associated with their work placement (accommodation / uniform / travel / food etc)
• where possible, the candidate should be able to demonstrate a commitment/involvement in the charles sturt university student community
• available to students who will be undertaking practical placements of 160 or more hours in the year of award (applicantmustoutline in their application the subject code and hours to be undertaken to be considered).
• any course</t>
  </si>
  <si>
    <t>• applicant to show demonstrated involvement in the local community.
• preference will be given to an applicant who is a long-term resident of the port macquarie- hastings council local government area on the mid north coast, new south wales.
• studentsmustreside within the port macquarie local government area and have completed the majority of their schooling in port macquarie (supporting documentation to be provided).
• any year
• Financial hardship</t>
  </si>
  <si>
    <t>• 1st year
• applicant to be a long term resident of the wagga wagga city council area or have completed the majority of their secondary education in the wagga wagga city council area (supporting documentation to be provided).
• any course</t>
  </si>
  <si>
    <t>$3500</t>
  </si>
  <si>
    <t>• applicant should not be in receipt of the full austudy benefit or any similar financial remuneration
• anyundergraduate course
• Financial hardship
• final year student
• Academic merit
• applicant to have made a significant contribution to the corporate life of the university and/or to the community in general. attach evidence through a letter of reference or certificate.</t>
  </si>
  <si>
    <t>• outline your career goals and aspirations
• 1st year
• Rural or Regional</t>
  </si>
  <si>
    <t>• outline your career goals and aspirations
• Rural or Regional
• Academic merit</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</si>
  <si>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parents' current occupations where applicable
• Disability
• preference will be given to students from lower to middle income nsw families from the following backgrounds - trades, small farming, small business, administrative support, from a single parent family or is a single parent.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Financial hardship
• 1st year</t>
  </si>
  <si>
    <t>$20000 MAX</t>
  </si>
  <si>
    <t>$7,000 paid directly off tuition</t>
  </si>
  <si>
    <t>$6,000</t>
  </si>
  <si>
    <t>Other</t>
  </si>
  <si>
    <t>$9000 MAX</t>
  </si>
  <si>
    <t>• bachelor of accounting
• outline your career goals and aspirations
• bachelor of business studies
• Rural or Regional
• any year
• bachelor of business (with specialisations)
• Academic merit</t>
  </si>
  <si>
    <t>• applicant to provide examples of community involvement
• Academic merit
• bachelor of accounting</t>
  </si>
  <si>
    <t>• any course in the school of education
• students must have demonstrated  involvement in local or snowy valley government area.
• any course in the school of arts an communication
• students must have graduated from tumut high school.
• any course in the school of agricultural, environmental and veterinary sciences</t>
  </si>
  <si>
    <t>• bachelor of education (k-12)
• any year
• bachelor of education (early childhood and primary)
• applicantsmustanswer in the additional question free text box "why have you chosen to study a career in education"
• bachelor of education (secondary)
• bachelor of education (primary)
• Academic merit</t>
  </si>
  <si>
    <t>$15,000 MAX</t>
  </si>
  <si>
    <t>• studying full-time (24 units or more per session)
• be an australian/nz citizen, visa holder or international student studying in australia (international students studying outside of australia are ineligible)
• at the time of enrolment student must be a resident of the following postcode areas: 2264, 2265, 2267, 2278, 2281– 2300, 2302 – 2311, 2314 – 2331, 2333 – 2338, 2415, 2420, 2421, 2425, 2820, 2821, 2823 –2825, 2827, 2830, 2835, 2839, 2840, 2842, 2843, 2844, 2848 – 2850, 2852, 2873 – 2875 and 2831. excluding towns outside the former rotary district 9670 boundary: goodooga, muriel, pine clump and quambone.
• any year
• Financial hardship</t>
  </si>
  <si>
    <t>• bachelor of information technology
• Rural or Regional
• to be eligible for this scholarship you must:</t>
  </si>
  <si>
    <t>• bachelor of dental science
• doctor of medicine
• any year full-time
• Rural or Regional
• Academic merit</t>
  </si>
  <si>
    <t>Paid in the form of academic mentoring</t>
  </si>
  <si>
    <t>• bachelor of paramedicine
• 2. what area of research would you identify as a priority? provide the rationale for your decision (word count limited to 500 words).
• any year
• 1. defend or refute the following statement: there is absolutely no value in encouraging paramedics to become involved in research.  here’s why. (word count limited to 500 words).
• Provide a statement</t>
  </si>
  <si>
    <t>$9000</t>
  </si>
  <si>
    <t>• bachelor of education (k-12)
• bachelor of pharmacy
• applicant to be a long term resident of the narromine / trangie lga and have completed their year 12 studies at either narromine high school or trangie central school
• bachelor of dental science
• bachelor of physiotherapy
• bachelor of nursing
• Financial hardship
• bachelor of education (early childhood &amp; primary)
• Academic merit</t>
  </si>
  <si>
    <t>• student must demonstrate evidence of, or provide:
• a 500 word letter outlining why you have chosen this course or what dominos means to you
• one of our company values isbeing better every day. provide evidence on how you are actively working to improve yourselves.
• Financial hardship
• evidence of volunteering or community participation.
• Academic merit</t>
  </si>
  <si>
    <t>• preference may be given to 2nd year applicants
• bachelor of  communication (with specialisations)
• Rural or Regional
• bachelor of communication (news and media)
• any year
• applicantmustreside and have completed the majority of their schooling within the bathurst local government area (supporting documentation to be provided).</t>
  </si>
  <si>
    <t>$3300</t>
  </si>
  <si>
    <t>• anyundergraduate coursein the school of business
• for more information on boston private wealthwww.bostonprivate.com.au
• Rural or Regional
• Academic merit</t>
  </si>
  <si>
    <t>• bachelor of information studies
• applicant must be a resident of nsw (supporting documentation such as rates notice / electricity bill to be provided)
• any year</t>
  </si>
  <si>
    <t>$5,000.00</t>
  </si>
  <si>
    <t>• scholarship is available to all alburycity residents who are studying the graduate certificate of applied business
• be 1st year students, 2nd year students, 3rd year students.
• must be enrolled in the graduate certificate of applied business.</t>
  </si>
  <si>
    <t>• bachelor of horticulture
• outline your career goals and aspirations.
• Rural or Regional
• bachelor of agricultural business management
• bachelor of agricultural science
• Academic merit
• bachelor of agriculture</t>
  </si>
  <si>
    <t>• must answer the additional scholarship question “do you have a connection to the toowoomba region and how will you use your study to improve the toowoomba area?”
• master of speech pathology
• preference given to students originally from the toowoomba region (supporting documentation to be provided).
• the ability and desire to work at therapy alliance group in toowoomba.
• bachelor of occupational therapy
• final year in:</t>
  </si>
  <si>
    <t>• 1st year
• Academic merit
• be able to demonstrate a genuine love of acting and a passion to pursue a career in theatre, with proven talent in performing modern as well as traditional dramatic roles.
• any course</t>
  </si>
  <si>
    <t>• must answer the additional scholarship question “what brought you to studying within allied health and what are your future career goals in the area?”
• preference will be given to students studying master of speech pathology, graduate diploma of speech and language or bachelor of health and medicine.
• Academic merit</t>
  </si>
  <si>
    <t>• bachelor of education (secondary)
• bachelor of teaching (primary)
• Rural or Regional
• any year
• Financial hardship
• bachelor of education (early childhood &amp; primary)
• bachelor of education (k - 12)
• Academic merit
• bachelor of education  (primary)</t>
  </si>
  <si>
    <t>• bachelor of environmental science &amp; management
• bachelor of technology (civil) / master of engineering (civil)
• Rural or Regional
• 1st year
• bachelor of information technology (with specialisations)</t>
  </si>
  <si>
    <t>• preference may be given to students who have some experience working with young children.
• non-traditional students are encouraged to apply for this scholarship i.e. a tafe qualification, someone from a remote area or beginning a new career later in life.
• bachelor bachelor of education (k-12)
• bachelor of education (secondary)
• bachelor of education (early childhood &amp; primary)
• bachelor of education (primary)</t>
  </si>
  <si>
    <t>• bachelor of education (k-12)
• bachelor of education (secondary)
• applicant must outline their career goals and aspirations in their application
• bachelor of education (early childhood and primary)
• bachelor of educational studies
• Rural or Regional
• any year
• bachelor of education (primary)
• Academic merit</t>
  </si>
  <si>
    <t>$2,500</t>
  </si>
  <si>
    <t>$20,000</t>
  </si>
  <si>
    <t>5 years</t>
  </si>
  <si>
    <t>• outline your career goals and aspirations.
• bachelor of paramedicine
• studentsmust residewithin the port macquarie local government area and have preferably completed the majority of their schooling in port macquarie hastings region (supporting documentation to be provided).
• Rural or Regional
• Academic merit</t>
  </si>
  <si>
    <t>$5.000</t>
  </si>
  <si>
    <t>• bachelor of psychology
• bachelor of social work
• honours and masters students in the above courses
• year of study:
• the successful applicant will have the opportunity to apply for centacare south west nsw’s graduate program towards the end of their studies.
• preference may be given to applicants not in receipt of another scholarship.
• students will have to provide evidence of completion of all or part of their high school studies in griffith (or surrounding  communities) and/or they may reside in these areas.
• bachelor of human services
• bachelor of social science (psychology)
• Academic merit</t>
  </si>
  <si>
    <t>• bachelor of veterinary biology/bachelor of veterinary science
• bachelor of animal science
• bachelor of equine science (with specialisation)
• Academic merit
• student must provide evidence of passion towards thoroughbred racing industry.
• bachelor of veterinary technology</t>
  </si>
  <si>
    <t>$3,500</t>
  </si>
  <si>
    <t>• applicant to provide evidence of volunteering or community participation
• full-time 3rd year
• bachelor of communication (news and media)
• Academic merit</t>
  </si>
  <si>
    <t>• preference will be given to an applicant who are a long term resident of the griffith city and surrounding lga's or in the murrumbidgee irrigation area. provide supporting documentation.
• outline your career goals and aspirations.
• Rural or Regional
• any year
• this scholarship is given to assist the recipient with accommodation and other costs associated with attending their work placement.
• Academic merit</t>
  </si>
  <si>
    <t>$1200</t>
  </si>
  <si>
    <t>$6000</t>
  </si>
  <si>
    <t>$15,000</t>
  </si>
  <si>
    <t>$15000</t>
  </si>
  <si>
    <t>$7000</t>
  </si>
  <si>
    <t>$12000</t>
  </si>
  <si>
    <t>$18,000 max</t>
  </si>
  <si>
    <t>$25,000</t>
  </si>
  <si>
    <t>• bachelor of medical radiation science  (with specialisations)
• bachelor of veterinary biology / bachelor of veterinary science
• students must be residing at st martin's college for the full year (sessions 1 &amp; 2) of awarding
• bachelor of nursing
• any year
• Academic merit
• open to new and returning students residing at st martin's in the year of awarding</t>
  </si>
  <si>
    <t>• bachelor of agricultural science (honours)
• bachelor of agricultural
• student to demonstrate a positive contribution to furthering the interests of students within the school of agricultural, environmental and veterinary sciences
• bachelor of agricultural business management
• bachelor of agricultural science
• Academic merit</t>
  </si>
  <si>
    <t>• bachelor of dental science
• 1st year
• Rural or Regional</t>
  </si>
  <si>
    <t>$7,000</t>
  </si>
  <si>
    <t>• student to upload a document on their application answering the following - apart from your mandatory study, what have you done to further your education in agriculture?
• the student to demonstrate an interest in the “future of the livestock industry” as it relates to their area of study in either agricultural business management / animal genetics or animal nutrition.
• Financial hardship
• students studying within the discipline of science in a course specifically related to animal science (including animal nutrition) and/or agricultural business
• 3rd / 4th (honours)</t>
  </si>
  <si>
    <t>$8,900</t>
  </si>
  <si>
    <t>• outline your career goals and aspirations
• Rural or Regional
• Academic merit
• graduate certificate in ornithology
• 1st year</t>
  </si>
  <si>
    <t>$40000 MAX</t>
  </si>
  <si>
    <t>• bachelor of agricultural science, bachelor of agriculture
• Rural or Regional
• bachelor of agricultural business management
• 1st year
• the intention of this scholarship is to help the recipient meet the costs of either hecs fees, textbooks, accommodation or technology (computer).
• Academic merit</t>
  </si>
  <si>
    <t>• your personal story - what led you to choose the vocation and study of nursing.  this choice as a profession is a special one, and health professionals such as nurses are very privileged to care and treat people.  therefore, your story is important to us.
• 3rd year
• bachelor of nursing
• Academic merit
• career goals and aspirations - how will this scholarship benefit and assist you to achieve your professional goal?</t>
  </si>
  <si>
    <t>• first year
• within the application, please expand upon the section titled"what would winning this scholarship mean to you", include details on how you plan to spend the funds, and why you study pharmacy at charles sturt.
• bachelor of pharmacy
• preference may be given to students with an aboriginal or torres strait islander background.</t>
  </si>
  <si>
    <t>• preference for mature age students
• scholarship details:
• bachelor of paramedicine
• Financial hardship</t>
  </si>
  <si>
    <t>• applicant to be a resident of the wagga wagga district (supporting documentation to be provided).
• Rural or Regional
• the recipient will be invited to connect with the rotary club of wollundry wagga wagga to provide a study update and attend a club meeting.
• preference may be given to applicants undertaking courses with significant wil.
• Academic merit</t>
  </si>
  <si>
    <t>• Financial hardship
• applicant to be a long term resident of the narromine / trangie lga and have completed the majority of their higher school education at either narromine high school or trangie central school.
• bachelor of nursing</t>
  </si>
  <si>
    <t>• outline your career goals and aspirations.
• Rural or Regional
• bachelor of agricultural business management
• Financial hardship
• bachelor of agricultural science
• Academic merit</t>
  </si>
  <si>
    <t>$20000</t>
  </si>
  <si>
    <t>• 1st year
• Rural or Regional
• doctor of medicine</t>
  </si>
  <si>
    <t>• open to students from berrigan shire, bland shire, murrumbidgee shire, narrandra shire or urana shire local government areas only (supporting documentation to be provided).
• students must reside and/or have attended school within any of the above lgas.
• Academic merit</t>
  </si>
  <si>
    <t>$80,000 MAX</t>
  </si>
  <si>
    <t>• Financial hardship
• 1st year
• bachelor of agricultural science
• bachelor of agribusiness</t>
  </si>
  <si>
    <t>• applicants to provide examples of their leadership qualities
• bachelor of agricultural science
• Rural or Regional
• bachelor of agricultural business management
• 1st year
• Academic merit
• bachelor of agriculture</t>
  </si>
  <si>
    <t>• applicant to have a desire to work in a country area.
• Rural or Regional
• bachelor of nursing
• Financial hardship
• 2nd year</t>
  </si>
  <si>
    <t>• attach evidence of your community/university involvement through a letter of reference or certificate.
• Academic merit
• applicantmusthave an interest in pursuing a career relevant to the australian sheep and/or wool industry. a covering letter must be included outlining this information or any past involvement with the industry
• applicantmustdemonstrate in the application their commitment to the agricultural profession</t>
  </si>
  <si>
    <t>• student to provide answers to the following: what brought you to nursing? where do you see it taking you?
• student to be based in bathurst ongoing satisfactory academic achievement
• Academic merit
• bachelor of nursing</t>
  </si>
  <si>
    <t>• applicantmust be ableto demonstrate a commitment to the veterinary profession.
• 3rd year
• Academic merit
• studentshould be ableto indicate an awareness in their application of the background of the scholarship in regards todr chalmers.
• bachelor of veterinary biology/bachelor of veterinary science
• be able to demonstrate university and /or community involvement through a letter of reference or certificate.</t>
  </si>
  <si>
    <t>• bachelor of veterinary biology/bachelor of veterinary science
• 4th / 5th / 6th year
• Rural or Regional
• applicant should also provide details of genuine need for financial assistance by completing the hardship section of the online application</t>
  </si>
  <si>
    <t>• full time internally - bachelor of veterinary science
• full time internally - bachelor of veterinary science (honours)
• final year
• Financial hardship
• Academic merit</t>
  </si>
  <si>
    <t>Academic</t>
  </si>
  <si>
    <t>• recipients must receive an offer to uow in autumn 2024 through uac for an eligible degree and maintain enrolment in one of the following courses; bachelor of professional accounting bachelor of business bachelor of business administration bachelor of economics &amp; finance, bachelor of business/master of business, bachelor of business/master of business analytics, bachelor of economics &amp; finance/master of business analytics, bachelor of economics &amp; finance/master of business
• Academic merit
• recipients must have completed their hsc in 2023
• recipients cannot hold the country to coast scholarship concurrently with this scholarship</t>
  </si>
  <si>
    <t>$30,000</t>
  </si>
  <si>
    <t>4 years</t>
  </si>
  <si>
    <t>$5,000
12 available</t>
  </si>
  <si>
    <t>$5,000
44 available</t>
  </si>
  <si>
    <t>$5,000
20 available</t>
  </si>
  <si>
    <t>$5,000
29 available</t>
  </si>
  <si>
    <t>Community</t>
  </si>
  <si>
    <t>$2,500
1 available</t>
  </si>
  <si>
    <t>3 years</t>
  </si>
  <si>
    <t>• Female
• applicants must originate from either the wollongong, shellharbour, kiama or shoalhaven local government area and still consider this region to be their home;
• Provide statement
• applicants must be enrolling in their 1st year of an undergraduate degree at the university of wollongong in 2025;
• Rural or Regional</t>
  </si>
  <si>
    <t>$3,000
10 available</t>
  </si>
  <si>
    <t>• Rural or Regional
• applicants must submit a resume (2-3 pages max) and cover letter (1 page max) that includes (a) how the scholarship will assist in your studies &amp; (b) your involvement in activities which add value to the community.</t>
  </si>
  <si>
    <t>$3,000
5 available</t>
  </si>
  <si>
    <t>• Rural or Regional
• applicants are required to submit a one page outline of how the scholarship will assist you in your career ambitions</t>
  </si>
  <si>
    <t>$5,000
3 available</t>
  </si>
  <si>
    <t>• Equity criteria
• applicants must provide a one page outline of your involvement in the community and how the scholarship will assist you in your career ambitions
• applicants must maintain enrollment in an undergraduate degree at the university of wollongong south western sydney campus for the duration of this scholarship
• Rural or Regional
• applicants must currently reside in the liverpool city council local government area;
• applicants must be intending to enrol, or be enrolled in 1st, 2nd or 3rd year of an undergraduate degree at the university of wollongong south western sydney campus;</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</si>
  <si>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</si>
  <si>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</si>
  <si>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</si>
  <si>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</si>
  <si>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</si>
  <si>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 applicants must be commencing in 2025 in a bachelor of nursing degree at the university of wollongong, wollongong or shoalhaven campus
• successful recipients will be expected to attend at least one event with the donor, and provide written updates as required. preference is for any in-person donor engagement to occur from second year or above.
• applicants cannot hold another scholarship concurrently with this scholarship.
• Equity criteria
• applicants must originate from or have strong demonstrated ties to the illawarra region, by way of living in the region for a long period of time, attending high school in the illawarra, or other ways as demonstrated by a written statement.</t>
  </si>
  <si>
    <t>$5,000
1 available</t>
  </si>
  <si>
    <t>• preference will be given to applicants who originate from the southern highlands region
• applicants be intending to enrol in first (1st) year of a bachelor of social work at the university of wollongong in 2024
• Provide statement
• applicants are required to demonstrate community involvement via submission of a written statement
• mature age students are encouraged to apply</t>
  </si>
  <si>
    <t>$3,000
1 available</t>
  </si>
  <si>
    <t>• successful applicants must maintain full-time enrolment in the first (1st) year of any undergraduate degree at the university of wollongong, shoalhaven campus
• applicants must currently and be committed to the shoalhaven area
• Provide statement
• applicants must be intending to enrol in any undergraduate degree at the university of wollongong, shoalhaven campus;</t>
  </si>
  <si>
    <t>$5000
2 available</t>
  </si>
  <si>
    <t>• successful applicants must maintain a credit average (weighted average mark 65+).
• applicants must be able to demonstrate that they reside within the wollongong, shellharbour or kiama local government areas
• if you're facing unique challenges that you think financial support could address to assist with your chosen degree, then we¿d strongly encourage you to apply. however all eligible students will be considered and are welcome to apply.
• successful applicants must have had a parent or grandparent serve within a operational or peacekeeping role within the australian defence force, or they themselves have similarly served. operational service with the army reserve qualifies.</t>
  </si>
  <si>
    <t>• applicants must be able to demonstrate residency within the palerang, shoalhaven or eurobodalla shires;
• applicants must be enrolled in their first (1st) year of a master of teaching at the university of wollongong eurobodalla campus in 2024
• must be able to demonstrate an ongoing commitment to community service;
• applicants must achieve and maintain a minimum credit average (weighted average mark wam 65+) for the duration of the scholarship;</t>
  </si>
  <si>
    <t>Communtiy</t>
  </si>
  <si>
    <t>$3,000
6 available</t>
  </si>
  <si>
    <t>• applicants must be studying in the liverpool lga and/or contribute to the community within the liverpool lga
• applicants must provide a brief outline via written statement of their community involvement in the liverpool city region
• applicants must be enrolled full-time in any undergraduate degree at the university of wollongong, south western sydney campus for the duration of the scholarship</t>
  </si>
  <si>
    <t>$3000
1 available</t>
  </si>
  <si>
    <t>• applicants must be enrolled in an undergraduate degree at the university of wollongong in 2023
• Rural or Regional
• *students from an agricultural background are strongly encouraged to apply*.</t>
  </si>
  <si>
    <t>$7,000
5 available</t>
  </si>
  <si>
    <t>• a personal statement which self-discloses that as an applicant, you have a physical disability that impacts on your mobility and physical capacity.
• applicants must have a physical disability that impedes their ability to function due to mobility limitations
• preference will be giving to medicine (md) or engineering (eis) students with 2 of the 5 scholarships specifically reserved for these disciplines, in alignment with the legacy of the movement disorder foundation
• community involvement as presented in the application will be strongly considered when awarding this scholarship
• preference will be given to undergraduate students, however masters and phd students are also welcome to apply
• Provide statement</t>
  </si>
  <si>
    <t>• Rural or Regional
• applicants must have completed their hsc in the mudgee, gulgong or kandos region.
• successful applicants must be enrolled in any year (with a preference for first year) of an undergraduate degree within the faculty of science, medicine &amp; health or a bachelor of public health (arts, social sciences and humanities).
• double degree holders are eligible to apply, with the scholarship offering totaling 4 years of the double degree.</t>
  </si>
  <si>
    <t>$35,000
2 available</t>
  </si>
  <si>
    <t>• applicants must provide a one-page written statement or 3-5 minute video outlining; what impact your disability has on your life and education, why you chose your degree and your future goals and career aspirations, and what receiving this scholarship would mean to you.
• applicants must be aged 26 years old or younger at time of application.
• successful applicants must be living with a disability, either physical or non-physical as defined by the disability discrimination act (1992), and be registered with uow student accessibility &amp; inclusion.
• applicants must be enrolled full-time or part-time at the university of wollongong for the duration of this scholarship.</t>
  </si>
  <si>
    <t>• Financial hardship
• applicants must complete a form allowing the housing trust to contact their housing provider to verify their living arrangements
• applicants must include as part of the application package how this scholarship will assist with their career ambitions
• successful applicants must maintain enrolment in an undergraduate degree at either the wollongong campus or shoalhaven campus for the duration of the scholarship</t>
  </si>
  <si>
    <t>$3,000
40 available</t>
  </si>
  <si>
    <t>• applicants must be able to demonstrate that they reside within the wollongong, shellharbour or kiama local government areas
• successful must have had a parent or grandparent serve within a operational or peacekeeping role within the australian defence force, or they themselves have similarly served. operational service with the army reserve qualifies
• successful applicants must maintain a credit average (weighted average mark 65+)</t>
  </si>
  <si>
    <t>• Female Preference
• outline of community involvement or volunteering;
• - bachelor of mathematics (762) and bachelor of mathematics advanced (762a), - bachelor of data science and analytics (3036), - bachelor of mathematics and finance (honours) (356) and bachelor of mathematics and finance (honours) (dean's scholar) (362) - bachelor of engineering (honours) - bachelor of mathematics (1865) , - bachelor of mathematics - bachelor of computer science (769), - bachelor of science - bachelor of mathematics (792).
• Rural or Regional
• applicants must be intending to enrol in first (1st) year of any of the following mathematics related degree programs in 2024:</t>
  </si>
  <si>
    <t>• preference will be given to applicants that currently reside and/or originate from the macarthur region. this includes city of campbelltown, camden council and wollondilly shire local government areas).
• successful applicants must maintain enrolment in a bachelor of engineering.
• applicants must be enrolled full-time in their first (1st) year of a bachelor of engineering (undergraduate degree) at any onshore campus at the university of wollongong.</t>
  </si>
  <si>
    <t>$32,000
30 available</t>
  </si>
  <si>
    <t>• applicants will usually be year 12 students or have completed year 12 within the past 12 months at the time of application.
• applicants must be an australian or new zealand citizen, or the holder of an australian permanent resident or permanent humanitarian visa.
• applicants will usually be aged 16-21 when the scholarship commences.
• during an on-campus interview, applicants will be assessed against the uow ramsay scholar attributes as outlined in the scholarship description.
• the scholarship panel will consider the essay provided as part of the application to the bachelor of arts in western civilisation course.</t>
  </si>
  <si>
    <t>$25,000
1 available</t>
  </si>
  <si>
    <t>• Rural or Regional
• applicants must intend to enrol in phase 1 of the doctor of medicine (md) at the uow wollongong or shoalhaven campus.</t>
  </si>
  <si>
    <t>$8,000
3 available</t>
  </si>
  <si>
    <t>• applicants must complete and submit the george alexander foundation personal personal statement and the george alexander foundation values statement as part of their application.
• Academic merit
• applicants must submit two written referee reports outlining suitability for a scholarship:  a) from a person qualified to comment on academic studies, preferably a subject coordinator from the applicant's secondary school and/or a school principal b) from a current or past employer or person competent to supply a character reference (for example, a person with whom the applicant has undertaken community service or volunteer activities).
• applicants must have completed their secondary schooling, and be intending to commence their first year of any undergraduate degree at the university of wollongong in autumn session.
• successful applicants must submit an annual written report outlining how they have performed during the year and how the scholarship funds have assisted their studies.
• Rural or Regional
• applicants must complete the application package in full and submit by the closing date.
• successful applicants must participate in the foundation's gaf scholar network.</t>
  </si>
  <si>
    <t>Corporate</t>
  </si>
  <si>
    <t>$5,000
7 available</t>
  </si>
  <si>
    <t>• applicants must be enrolling in their 1st year of an eligible course in autumn 2025;
• successful applications will be required to maintain a wam of 65+ for the duration of their studies;
• applicants must be a recent high-school graduate, having completed year 12 (or equivalent) within two years of the scholarship award year
• successful applicants must be available to attend the disruptive leaders program in singapore (july 2026). please note: travel and accommodation expenses related to this event are covered by westpac scholars trust.
• successful applicants will actively engage as alumni members of the westpac 100 scholars network, which includes a commitment to actively share their experience, attend alumni events and promote the scholarship within their education institution;
• successful applicants must be available to attend a two-day westpac scholars summit in sydney during the first year of your scholarship (held in april 2025). please note: travel and accommodation expenses related to this event are covered by westpac scholars trust.
• applicants must be intending to enrol in an eligible degree. please see the website for listing of eligible degrees https://www.uow.edu.au/study/scholarships/domestic/westpac-bicentennial-foundation/</t>
  </si>
  <si>
    <t>$12,000
1 available</t>
  </si>
  <si>
    <t>• successful applicants must currently be part of or join the minerva network - including matching with a mentor - on awarding of the scholarship and must maintain the connection for the duration of the scholarship.
• applicants must be intending to enrol in autumn 2024 session
• Female</t>
  </si>
  <si>
    <t>• this scholarship is for women and non-binary students studying bachelor of mathematics advanced (honours) or bachelor of mathematics (honours).
• remain enrolled as a full-time student at the university of wollongong for the duration of this scholarship</t>
  </si>
  <si>
    <t>$10,000
1 available</t>
  </si>
  <si>
    <t>• must hold chinese citizenship
• enrolled in first year in 2024
• highest wam 7 calculated on subjects completed in their first session
• must be an international student.
• full time enrolment (24 credit points) in the first session under the master of computer science at an onshore australian campus</t>
  </si>
  <si>
    <t>Up
Varies available</t>
  </si>
  <si>
    <t>• applicants must show an affinity with the veolia mulwaree trust region through significant community involvement and participation in the business community through work experience, placement or internship;
• Provide statement
• Equity criteria
• applicants must have either completed their secondary schooling in the geographical area covered by the veolia mulwaree trust or have been long-term residents. this includes the goulbourn mulwaree council, palerang council, shoalhaven city council, oberon council, wingecarribee shire council, upper lachlan shire council and wollondilly shire council areas;</t>
  </si>
  <si>
    <t>$1,000
Up available</t>
  </si>
  <si>
    <t>• Equity criteria
• applicants must be undertaking an elective or selective placement in a community rated mm3 or above as classified by the department of health and aged care: https://www.health.gov.au/resources/apps-and-tools/health-workforce-locator/health-workforce-locator
• successful applicants must be enrolled full-time at the university of wollongong;
• applicants must be commencing phase 4 in the doctor of medicine (md) at the university of wollongong,
• placements must be for the full 6 weeks in one location;
• Rural or Regional
• students participating in assistant in medicine or paid clinical placements in mm3 or above sites are ineligible to apply for the scholarship for that particular placement</t>
  </si>
  <si>
    <t>$1,600
2 available</t>
  </si>
  <si>
    <t>• a one page outline of how the scholarship will assist you in your career ambitions
• applicants must be enrolled to commence phase 3 in spring 2023 of a doctor of medicine (md) at the university of wollongong;
• a completed uac equity scholarship online application form
• Academic merit
• Equity criteria</t>
  </si>
  <si>
    <t>$2,000
2 available</t>
  </si>
  <si>
    <t>• Rural or Regional
• academic achievement and community involvement as presented in the application package will be strongly considered when awarding this scholarship</t>
  </si>
  <si>
    <t>• applicants must be enrolled in their first year in a b environmental science (hons)  b environmental science (hons) deans scholar b science (hons)  b science (hons) deans scholar  b conservation biology (hons)  b conservation biology (hons) deans scholar b marine science (hons)  b marine science (hons) deans scholar;
• aboriginal and torres strait islander candidates and students that originate or reside in the sutherland shire are strongly encouraged to apply;
• Equity criteria
• successful applicants will be required to maintain a wam of 50+ for the duration of their studies.
• the successful scholarship recipient will be required to submit a bi-annual scholarship expenditure report outlining how they have used their funds.</t>
  </si>
  <si>
    <t>• applicants must be enrolled in an undergraduate degree at the university of wollongong.
• Rural or Regional
• applicants must submit a one page outline of how the scholarship will assist with your career ambitions</t>
  </si>
  <si>
    <t>• successful applicants must maintain enrolment in a doctor of medicine (md) at the university of wollongong
• applicants must provide a one-page letter or 3-5 min video on why they have chosen medicine, what they would like to specialise in and why; how this scholarship will help, as part of the application package
• Equity criteria
• applicants must be enrolled full-time in a doctor of medicine (md) at the university of wollongong
• successful applicants must maintain a grade of satisfactory throughout the duration of the scholarship</t>
  </si>
  <si>
    <t>• applicants must include a brief cover letter, including an outline on how the scholarship will assist with their career ambitions
• Equity criteria
• applicants must be enrolled full-time for the duration of the scholarship;
• Rural or Regional
• applicants must be enrolled in the first year of a bachelor of engineering (mechanical, mechatronic or electrical) at the university of wollongong, and may also be enrolled in a double degree.</t>
  </si>
  <si>
    <t>$5,250
1 available</t>
  </si>
  <si>
    <t>• Equity criteria
• successful applicants must currently reside in or have completed their hsc in the city of shoalhaven lga.
• applicants are required to demonstrate community involvement via submission of a written statement.</t>
  </si>
  <si>
    <t>• successful applicants must maintain full-time enrolment in any year of any undergraduate degree at the university of wollongong, shoalhaven campus
• applicants must currently reside and be committed to the shoalhaven area
• Equity criteria
• applicants are required to demonstrate community involvement via submission of a written statement.
• Provide statement
• applicants must be enrolled full-time in an undergraduate degree at the university of wollongong, shoalhaven campus</t>
  </si>
  <si>
    <t>$5,000
2 available</t>
  </si>
  <si>
    <t>• Equity criteria
• applicants must have completed their hsc and/or currently live in the city of shellharbour lga.
• applicants are required to demonstrate community involvement via submission of a written statement.</t>
  </si>
  <si>
    <t>$1,500
1 available</t>
  </si>
  <si>
    <t>• applicants are encouraged to demonstrate community involvement within their written submission
• applicants must be enrolled in their first year of an undergraduate degree within the school of education in 2024;
• Equity criteria
• Female</t>
  </si>
  <si>
    <t>• applicants who are mature-aged students and/or have an indigenous australian background are encouraged to apply
• successful applicants must maintain enrolment in a bachelor of nursing
• Equity criteria
• applications are open to domestic students who are studying at the wollongong, loftus and south western sydney campuses</t>
  </si>
  <si>
    <t>$1,500
3 available</t>
  </si>
  <si>
    <t>• applicants are required to outline their career ambitions and how the scholarship will assist them during their placement, by way of a written statement.
• Equity criteria
• applicants must be enrolled full or part time in a bachelor of nursing and be enrolled in either snug208 or snug308 in spring 2024</t>
  </si>
  <si>
    <t>$5,000
Variable available</t>
  </si>
  <si>
    <t>• applicants who are seeking to upskill in order to achieve leadership potions in finance, accounting, economics and financial planning professionals are encouraged to apply
• Female
• Equity criteria
• applicants who are undertaking tertiary studies as means to re-enter the workforce; or those who are mature age or of young age (between 16-35 years old) are encouraged to apply.
• applicants must be intending to enrol in first year 2023 of one of the following eligible postgraduate degree programs: master courses:  master of applied finance (424 or 1437)  master of business analytics (3026 or 3074)  master of financial management (3038) master of professional accounting (1438) master of professional accounting advanced (1439) master of innovation and entrepreneurship (3031)
• successful applicants must maintain enrolment in an eligible degree program for the duration of the scholarship.
• eligible graduate certificate programs; graduate certificate:  graduate certificate in applied finance (2121) graduate certificate in business analytics (3035) graduate certificate in professional accounting (2122) graduate certificate in forensic accounting (3139) graduate certificate in innovation and entrepreneurship (1190)</t>
  </si>
  <si>
    <t>Total
1 available</t>
  </si>
  <si>
    <t>• applicants must demonstrate via written statement a commitment to addressing any of the sustainable development goals through community involvement.
• Equity criteria
• applicants must be enrolled full-time in any year of any undergraduate degree at the university of wollongong</t>
  </si>
  <si>
    <t>• Rural or Regional
• applicants must be enrolled in second (2nd) year or higher of a bachelor of laws (llb) at the university of wollongong;
• applicants must submit a uac equity scholarship application and a uow scholarship application to be considered for this scholarship</t>
  </si>
  <si>
    <t>• applicants must be enrolled enrolled in any year of any undergraduate degree at the university of wollongong.
• Equity criteria
• successful applicants must maintain enrolment in an undergraduate degree at the university of wollongong.</t>
  </si>
  <si>
    <t>$1,000
1 available</t>
  </si>
  <si>
    <t>• Equity criteria
• applicants must demonstrate their interest and commitment to working well with people with lived experience of mental illness
• applicants must be enrolled in their first (1st) year of a bachelor of nursing and maintain enrolment in this course for the duration of the scholarship.</t>
  </si>
  <si>
    <t>$1,000
2 available</t>
  </si>
  <si>
    <t>• successful applicants must agree and understand that scholarship funding should be utilised to undertake the gamsat, and other associated graduate medicine application costs.
• applicants must be intending to apply uow graduate school of medicine md program in the year following the completion of their undergraduate degree.
• applicants must be in their final or penultimate year of any undergraduate degree at the university of wollongong.
• successful applicants must maintain enrolment in penultimate or final year of any undergraduate degree at the university of wollongong.
• applicants must be able to demonstrate financial need/disadvantage by way of centrelink statement.
• applicants must be intending to undertake the graduate medical school admission test (gamsat).</t>
  </si>
  <si>
    <t>• Rural or Regional
• Equity criteria
• applicants are required to demonstrate community involvement via submission of a written statement.</t>
  </si>
  <si>
    <t>$5,000
5 available</t>
  </si>
  <si>
    <t>• Equity criteria
• applicants must be enrolled in a bachelor of engineering and undertaking or planning to undertake a major in civil, electrical, environmental or mechanical engineering.</t>
  </si>
  <si>
    <t>• part-time students must be enrolled for a minimum study load of 50%
• applicants must be intending to enrol in first year in 2023 of one of the following eligible programs:  bachelor of business (3090) with a major in accountancy, business analytics, economics, finance or financial planning bachelor of business - bachelor of laws (3101) with a major in accountancy, business analytics, economics, finance or financial planning bachelor of economics and finance (326)  bachelor of economics and finance - bachelor of laws (1895)
• successful applicants must maintain enrolment in an eligible degree program for the duration of the scholarship
• Female
• Equity criteria
• applicants who are undertaking tertiary studies as a means to re-enter the workforce; or those who are mature age or of young age (between 16-35 years old) are encouraged to apply
• applicants who are seeking to upskill in order to achieve leadership positions in finance, accounting, economics and financial planning professions</t>
  </si>
  <si>
    <t>• Equity criteria
• applicants must be enrolled in first (1st) year of bachelor of laws, and may also be enrolled in a double degree;
• applicants are required to demonstrate community involvement via submission of a written statement.
• applicants must originate from the illawarra region (wollongong, shellharbour and kiama lga). applicants must have lived in the illawarra region at some stage prior to commencing their studies at uow.</t>
  </si>
  <si>
    <t>• applicants must intend to enrol in phase 2 of the doctor of medicine (md) at the uow wollongong or shoalhaven campus
• Equity criteria
• successful applicants must maintain a grade of satisfactory</t>
  </si>
  <si>
    <t>$16,500
1 available</t>
  </si>
  <si>
    <t>• Equity criteria
• applicants are required to demonstrate community involvement via submission of a written statement.</t>
  </si>
  <si>
    <t>• applicants must be enrolled in any undergraduate degree at the university of wollongong.
• Provide statement
• Equity criteria</t>
  </si>
  <si>
    <t>• applicants must be enrolled full-time at the university of wollongong for the duration of this scholarship;
• the successful applicant will be expected to attend the jack goldring memorial lecture in october
• applicants are required to demonstrate community involvement via submission of a written statement.
• successful applicants must be available for interview in mid september
• applicants must be enrolled in their penultimate (next to last) year of a bachelor of laws (single or combined llb degree) at the university of wollongong and progressing into their final year in 2025</t>
  </si>
  <si>
    <t>$5,500
1 available</t>
  </si>
  <si>
    <t>• applicants must be commencing 2nd year (phase 1, session 3) of the bachelor of medicine - bachelor of surgery (mbbs) in autumn 2017 at uow.
• Academic merit
• must not have received any negative comments regarding personal and profession development (ppd).
• Female</t>
  </si>
  <si>
    <t>• applicants are required to demonstrate community involvement via submission of a written statement
• applicants must have completed their hsc (or equivalent) in the milton, ulladulla or mollymook areas, and continue to consider this region as their home;</t>
  </si>
  <si>
    <t>$1,000
5 available</t>
  </si>
  <si>
    <t>• applicants must be enrolled in any year (full-time or part-time) of an undergraduate degree at the university of wollongong bega campus;
• one nominated director from mumbulla foundation will review the set of de-identified applications prior to the university of wollongong making any recommendations</t>
  </si>
  <si>
    <t>$500
1 available</t>
  </si>
  <si>
    <t>• applicants must be able to demonstrate community involvement as per their application;
• applicants must be enrolled in a bachelor of commerce or business degree at the university of wollongong bega campus;</t>
  </si>
  <si>
    <t>• applicants must be enrolled in their final year of any undergraduate degree in 2024, and plan to progress to honours (or equivalent) in 2025;
• applicants must have achieved and maintained a credit average (weighted average mark 65+);
• applicants are required to demonstrate community involvement via submission of a written statement.</t>
  </si>
  <si>
    <t>• applicants must be able to demonstrate community involvement as per their application.
• applicants must be enrolled full-time or part-time in a bachelor of commerce or bachelor of business at uow bega campus;</t>
  </si>
  <si>
    <t>$3000
2 available</t>
  </si>
  <si>
    <t>• one scholarship shall be dedicated to a student from the faculty of arts, social sciences and humanities, who is undertaking a course in international studies or international relations (courses include ba major, bachelors degree or masters degree);
• it is the preference of the sponsor that the two successful applicants will be selected from different faculties. an exception to this may occur when the two leading candidates are enrolled within the same faculty, however one is enrolled as an undergraduate student and the other enrolled as a postgraduate student;
• applicants must provide supporting documentation to be considered for this scholarship which includes a 500 word submission that discusses your commitment to addressing one or more of the united nations sustainable development goals; a 500 word submission that demonstrates leadership skills and qualities, and involvement or commitment to community, aid agencies or involvement with non-government organisations;
• applicants must maintain a weighted average mark of 65+
• applicants must be enrolled full-time in their 2nd year or higher of an undergraduate degree or enrolled in a postgraduate (coursework) degree at the university of wollongong in 2023;
• Rural or Regional
• successful postgraduate applicants must have achieved a satisfactory recommendation from either their postgraduate supervisor (if applicable) or from the academic program director;</t>
  </si>
  <si>
    <t>• applicants must be enrolled in any of any of the following undergraduate degrees majoring in chemistry or medicinal chemistry: bachelor of science (honours) (deans scholar) international bachelor of science (honours) international bachelor of science bachelor of science bachelor of medicinal chemistry (honours) bachelor of medicinal chemistry (honours) (deans scholar)
• applicants must demonstrate how the scholarship will assist them with their career ambitions by way of a one page statement
• applicants must demonstrate academic excellence across second year chemistry subjects, and have completed and achieved at least a distinction average (weighted average mark 75+) in all four of the subjects; chem211, chem212, chem213, chem214</t>
  </si>
  <si>
    <t>• applicants must maintain a weighted average mark of 75+
• applicants are required to demonstrate community involvement via submission of a written statement
• applicants must be entering their honours year in autumn session 2024
• applicants must be enrolling in a bachelor of education - the early years (honours), bachelor of primary education (honours), bachelor of health and physical education (honours)</t>
  </si>
  <si>
    <t>$1,250
2 available</t>
  </si>
  <si>
    <t>• applicants must have a weighted average mark of 65+ (credit average).
• applicants must be enrolled full-time;
• applicants must not be in receipt of any scholarships or awards offered by the university of wollongong;
• applicants must be an international undergraduate or postgraduate coursework student enrolled in at any uow australian campus;</t>
  </si>
  <si>
    <t>• the awardee will be selected based upon community involvement as per their application in addition to the initial practicum report
• applicants must be enrolled in a master of teaching degree at uow bega campus;
• applicants must be able to demonstrate community involvement as per their application;
• applicants must maintain a weighted average mark of 65+ for the duration of the scholarship</t>
  </si>
  <si>
    <t>• the selection panel actively encourages applications from students that have a research focus in area such as: pathogenesis, diagnosis, treatment or prevention of meningococcal disease.
• Academic merit
• applicants must commit to preparing an abstract and poster/presentation (as part of assessment for (medi604 or med1994) relating to meningococcal (infectious) disease.
• applicants must be enrolled in final year of either of the bachelor of medicine bachelor of surgery (mbbs) (medi604) or a doctor of medicine (md) (med1994);</t>
  </si>
  <si>
    <t>• applicants are required to demonstrate community involvement via submission of a written statement;
• applicants must be enrolled in their 2nd year of a bachelor of nursing degree in 2024 at the university of wollongong;
• applicants must maintain a weighted average mark of 65+
• the successful applicant must demonstrate a clear career aspiration for nursing;</t>
  </si>
  <si>
    <t>• applicants must be enrolled in any year of an undergraduate degree at uow bega campus for the duration of the scholarship;
• applicants must be able to demonstrate community involvement as per their application;</t>
  </si>
  <si>
    <t>• applicants must be able to demonstrate their community involvement as per their application;
• applicants must be enrolled in any year of a bachelor of nursing at the university of wollongong bega campus;</t>
  </si>
  <si>
    <t>• must be able to demonstrate community involvement as per their application;
• remain enrolled as a full or part-time student at the university of wollongong for the duration of this scholarship;
• must be enrolled in any year of a bachelor of nursing degree at the uow bega campus;</t>
  </si>
  <si>
    <t>• applicants must be able to demonstrate community involvement as per their application;
• applicants must provide a one page outline of how the scholarship will assist you in your career ambitions
• applicants must be be enrolled in a bachelor of business or bachelor of commerce degree at uow bega;</t>
  </si>
  <si>
    <t>• applicants must reside in the shoalhaven area for the duration of the scholarship;
• applicants must have achieved and maintained a weighted average mark of 55+;
• applicants must be enrolled in first (1st) or second (2nd) year of any undergraduate degree at the university of wollongong (shoalhaven campus).</t>
  </si>
  <si>
    <t>• in keeping with the values of christopher zweerman the recipient will be selected based on a demonstrated commitment and contribution to the medical school student community.
• Academic merit
• international students are encouraged to apply
• applicants must be enrolled in phase 2 of a doctor of medicine (md) at the university of wollongong graduate medicine</t>
  </si>
  <si>
    <t>• applicants must be able to demonstrate community involvement as per their application.
• applicants must be enrolled in a bachelor of nursing at uow bega for the duration of the scholarship;</t>
  </si>
  <si>
    <t>• applicants must be able to demonstrate community involvement as per their application;
• applicants are to be enrolled in any year of a bachelor of nursing degree at uow bega campus;</t>
  </si>
  <si>
    <t>• Provide statement
• applicants must have completed at least two professional experiences as part of their degree, and achieved a grade of 65+ in edpd301
• applicants must demonstrate participation in activities that required leadership skills and commitment to quality teaching and provide professional experience reports from the past two years, if available
• applicants must be enrolled in their penultimate year of a bachelor of education (primary) in 2024;</t>
  </si>
  <si>
    <t>$1000
1 available</t>
  </si>
  <si>
    <t>• one nominated director from mumbulla foundation will review the set of de-identified applications prior to the university of wollongong making any recommendations
• applications must be able to demonstrate community involvement as per their application.
• applicants must be enrolled in a postgraduate master of teaching degree at the university of wollongong bega campus;</t>
  </si>
  <si>
    <t>• applicants must demonstrate prior academic excellence and leadership potential, with the intention of pursuing a career in a maritime or related field;
• applicants must have career aspirations aligned with amsa's vision and mission
• the recipient must be willing to complete a pre and post survey aimed at monitoring the impact of the amsa scholarship
• applicants must demonstrate the attributes of the amsa values of professional, collaborative, dedicated and accountable. https://www.amsa.gov.au/about/who-we-are/our-vision-mission-values-and-aspirations
• successful applicants must maintain enrolment in the masters of maritime policy at the university of wollongong
• applicants must be enrolled in, or intend to enroll in, full-time or part time in masters of maritime policy at the university of wollongong in 2024 (a research project or minor thesis aligned with the work of amsa will be highly regarded)</t>
  </si>
  <si>
    <t>• students must be enrolled in phase 2 or phase 3 of the doctor of medicine in spring 2024;
• Provide statement
• this scholarship is available to both domestic and international students
• students must have received and maintain a minimum satisfactory grade.</t>
  </si>
  <si>
    <t>• Female
• applicants must be enrolled in an undergraduate degree at the university of wollongong;
• applicants must currently reside in the illawarra region, and have completed their schooling in the area. the greater illawarra region covers the area to the east of the escarpment, and is bounded by helensburgh and kiama;
• Provide statement
• the successful recipient will be encouraged to attend a club meeting to learn more about the members who afforded them this opportunity;</t>
  </si>
  <si>
    <t>• must be enrolled in a bachelor of computer science and actively completing csit321;
• Female</t>
  </si>
  <si>
    <t>• successful applicants must maintain a satisfactory grade for the duration of the scholarship
• applicants who are able to demonstrate leadership qualities and examples of assisting others in need will be highly regarded.
• applicants must be enrolled in a doctor of medicine (md)
• Provide statement
• the selection panel reserves the right to split the allocated scholarship funding in a given year if it is unanimously agreed upon that there is more than one applicant they would like to recognise.
• this scholarship is open to both domestic and international students.</t>
  </si>
  <si>
    <t>• applicants must have a demonstrated interest in / commitment to legal practice
• successful applicants must maintain enrolment in a bachelor of laws (either single, direct entry or combined llb degree) at the university of wollongong
• applicants must have a weighted average mark (wam) of 75 or above
• applicants must be enrolled full-time in their third (3rd) or fourth (4th) year of a bachelor of laws (either single, direct entry or combined llb degree) at the university of wollongong
• applicants must demonstrate high achievement in llb subjects with specific relevance to legal practice including ‘contracts’ a and b, ‘property and trusts’ a and b and ‘lawyers and australian society’</t>
  </si>
  <si>
    <t>• applicants must be able to demonstrate an active involvement in a range of sports, social, community and/or charity activities
• applicants must provide a referenced letter/statement from their gp supervisor in phase 3
• applicants must be enrolled in medi994 of phase 4 of a doctor of medicine
• the scholarship is available to both domestic and international students enrolled in graduate medicine.
• applicants must be enrolled as a full-time student at the university of wollongong for the duration of this scholarship;</t>
  </si>
  <si>
    <t>• applicants must be of aboriginal or torres strait islander descent</t>
  </si>
  <si>
    <t>• applicants are required to provide a cover letter including how the scholarship will assist you with your career ambitions
• applicants must be enrolled in first (1st) year of bachelor of engineering (mechanical, mechatronic or electrical) at the university of wollongong, and may also be enrolled in a double degree;</t>
  </si>
  <si>
    <t>US$2,000
1 available</t>
  </si>
  <si>
    <t>• *the research degree must be focused on nursing practices and applicants are required to include their research question within the scholarship application.
• successful applicants must maintain a grade of credit average or satisfactory progression (for research students) throughout the duration of the scholarship
• applicants must be a registered nurse intending to work/are working in nursing part-time during their studies;
• applicants must be enrolled in an eligible postgraduate degree within the school of nursing at the university of wollongong in autumn 2024;
• eligible degrees; master of nursing (mental health) master of science (person-centred dementia care) master of science (gerontology &amp; rehabilitation studies) master in medical and health leadership  graduate certificate of nursing  graduate certificate in mental health nursing  graduate diploma in mental health nursing graduate certificate in dementia care  graduate certificate in gerontology &amp; rehabilitation studies master of philosophy (nursing)* phd (nursing) *</t>
  </si>
  <si>
    <t>• applicants are required to demonstrate community involvement via submission of a written statement
• applicants must be enrolled in any year of an undergraduate bachelor of nursing degree at uow bega campus</t>
  </si>
  <si>
    <t>• applicants must have achieved and maintain a minimum grade of satisfactory;
• applicants must be based in the shoalhaven / milton ulladulla hubs;
• successful applicants must maintain enrolment in doctor of medicine (md) at the school of graduate medicine, shoalhaven campus
• applicants must be enrolled in phase 3 in spring 2024 of the doctor of medicine (md) at the school of graduate medicine, shoalhaven campus;
• Rural or Regional</t>
  </si>
  <si>
    <t>$2,000
6 available</t>
  </si>
  <si>
    <t>• applicants must be enrolled in their 2024 honours year within the faculty of science, medicine &amp; health, at the university of wollongong.
• applicants must have a weighted average mark of 75+
• applicant's supervisory team must consist of at least one molecular horizons primary member
• supervisors must provide a summary (1 page max.): 1. what is the proposed research project and how it meets the criteria? 2. how the project is relevant to the community and align with the vision of the institute around promoting interdisciplinary and partnerships? 3.describe how you will contribute as a uow ambassador for the michael tynan challenge and support the tynan family molecular horizons honours scholarship program 4. how will the scholarship assist with your research/career ambitions?
• applications will be assessed based on the project alignment to the research themes of molecular horizons, applicant’s academic metrics (wam, volunteering, leadership etc) balanced with evidence of a commitment of the applicant and supervisor(s) to the scholarship theme - community, volunteering and giving back
• applicants must provide a 1-1.5 page summary: 1.who you are and your area of research (include what you are doing and why)  2. outline your skills/experience/approach to community engagement, volunteering, leadership and teamwork to-date 3. describe how you will contribute as a uow ambassador for the michael tynan challenge and support the tynan family molecular horizons honours scholarship 4. how will the scholarship assist with your career ambitions?
• applicants cannot hold another scholarship concurrently with this scholarship</t>
  </si>
  <si>
    <t>• applicants must demonstrate commitment to community and student life at uow
• this scholarship is available to both domestic and international students
• applicants must be enrolled in second year or above of a bachelor of engineering and have declared a major in civil engineering</t>
  </si>
  <si>
    <t>• students participating in assistant in medicine or 'paid' clinical placements are ineligible to apply
• applicants must be enrolled in or commencing phase 4 of the uow doctor of medicine (md) at the university of wollongong, school of medicine in 2024
• Academic merit
• recipients are encouraged to: i.	support a phase 3 hub regional academic day activity; or  ii.	participate in a community engagement program such as a high school careers days
• applicants must be undertaking an elective or selective placement in the clarence valley region of northern nsw.
• recipients must present to grafton base hospital grand rounds during their placement
• Rural or Regional</t>
  </si>
  <si>
    <t>• candidates who applied for an assistant in medicine position in the clarence health service will not be precluded from being granted a scholarship.
• successful applicants must maintain a grade of satisfactory throughout the duration of the scholarship.
• preferred candidates will originate from the clarence valley, having completed secondary schooling in this region, however all interested candidates are encouraged to apply.
• applicants must be enrolled full-time in a doctor of medicine at the university of wollongong.
• successful applicants must maintain enrolment in the doctor of medicine.
• applicants must be planning to undertake their phase 3 placement or phase 4 selective and elective rotations in the clarence valley.
• Rural or Regional
• successful applicants must remain in the clarence valley for their phase 3 placement or phase 4 selective and elective rotations</t>
  </si>
  <si>
    <t>• ii) or be a carer of someone living with a hearing and/or speech impairment, and be registered as a carer with uow disability services; or iii) be able to demonstrate a commitment to studying and/or working in an area relating to hearing and/or speech impairments
• applicants are required to demonstrate community involvement via submission of a written statement;
• applicants must either: i.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</si>
  <si>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</si>
  <si>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 applicants must be of aboriginal or torres strait islander descent, confirmed by the woolyungah indigenous centre.
• successful applicants must remain in a science, technology, engineering or mathematics (stem) undergraduate degree at any onshore campus for the duration of this scholarship.
• applicants are required to demonstrate community involvement via submission of a written statement.</t>
  </si>
  <si>
    <t>• applicants must maintain a weighted average mark of 65+
• successful applicants must maintain enrolment in a bachelor of engineering (mining).
• vacation work may be offered to the successful scholarship recipient. this is a work placement arrangement between the sponsor glencore and the student. successful applicants who complete their scholarship with glencore are considered for glencore's graduate program and may be eligible to obtain on-going professional opportunities
• applicants must be enrolled full-time in their first (1st) or second (2nd) year of a bachelor of engineering (mining);</t>
  </si>
  <si>
    <t>• applicants must maintain a weighted average mark of 65+
• students with an existing employment relationship with south 32 are not eligible for this scholarship
• applicants must be enrolled in the 3rd year of a bachelor of engineering majoring in mining, electrical or mechanical</t>
  </si>
  <si>
    <t>• applicants must be enrolled in their second (2nd) or third (3rd) year of a bachelor of engineering (mining) at the university of wollongong
• successful applicants must maintain enrolment in a bachelor of engineering (mining) for the duration of the scholarship.
• Female</t>
  </si>
  <si>
    <t>$8,000
1 available</t>
  </si>
  <si>
    <t>• applicants must maintain a weighted average mark of 65+
• applicants must be enrolled in their final year in 2024 of an eligible degree program offered by the faculty of business and law. open to students studying business and commerce</t>
  </si>
  <si>
    <t>$10,000
2 available</t>
  </si>
  <si>
    <t>• applicants who are mature-aged students and/or have an indigenous australian background are encouraged to apply
• successful applicants must maintain enrolment in a bachelor of nursing
• applicants must be enrolled in their second (2nd) or third (3rd) year of a bachelor of nursing.
• applications are open to domestic students who are studying at the wollongong, loftus and south western sydney campuses</t>
  </si>
  <si>
    <t>$9,500
1 available</t>
  </si>
  <si>
    <t>• applicants must be intending to complete a university approved exchange program for one to two semesters in mainland china, hong kong, singapore, japan, south korea or taiwan, pending no travel restrictions.
• applicants must be intending commence exchange in semester 2, 2024, for the start of semester at your host university in asia, pending no travel restrictions. please note, most universities in our selected destinations refer to this as the ‘fall semester’.
• applicants must be enrolled full time in their second year or beyond of any undergraduate degree (including honours) when commencing the exchange.</t>
  </si>
  <si>
    <t>• applicants must be enrolled in third (3rd) year / fourth (4th) year (penultimate) of an eligible degree program in spring 2022; - bachelor of computer science (all majors) - bachelor of engineering (majors: electrical, computer, telecommunications, mechatronic and mechanical) - double degree students with at least one of these majors are also very welcome to apply.
• applicants should have: strong academic results, an enquiring mind and a logical approach to problem-solving, understanding of fundamental electronics theory and research methodologies, competence in ms suite (excel to intermediate level), technical component measurement and identification, demonstrated teamwork and sound communication skills including ability to record and document test results with accuracy, some experience with formal report writing.
• successful applicants will be offered paid work placement (10 weeks per year) with excellent staff benefits, including free parking. some travel/ accommodation allowance may be considered. successful applicants must be able to undertake this work placement in canberra, via projects and research team. this is a work placement arrangement between the cea technologies and the student.
• Female</t>
  </si>
  <si>
    <t>• applicants must be commencing second year or above in 2025.
• successful applicants must maintain enrolment in relevant degree or double degree within the school of computing and information technology, school of electrical, computer and telecommunications engineering and the school of mathematics and applied statistics.
• enrolled in a relevant degree or double degree within the school of computing and information technology, school of electrical, computer and telecommunications engineering and the school of mathematics and applied statistics.</t>
  </si>
  <si>
    <t>Work</t>
  </si>
  <si>
    <t>• Provide statement
• applicants must be enrolled in their penultimate year 2024, and entering final year in 2025, in a bachelor of laws;
• applicants must be available for work experience, for a total of sixty (60) days or 456 working hours, commencing at the end of 2024 for a four (4) week block. the remainder of the work integrated learning component of the scholarship will be completed one (1) day a week thereafter until the fulfillment of the work integrated learning has been met.
• applicants must be enrolled full-time in their penultimate year of a bachelor of laws (either single, direct entry or combined llb degree) at the time of application.</t>
  </si>
  <si>
    <t>• successful applicants must maintain a wam of 75+
• applicants must be available for work experience during academic session or at the end of each year.
• applicants must be enrolled in their third (3rd) year in 2023 of an eligible degree program as follows; bachelor of engineering (honours) - (electrical, computer, telecommunications or mechatronics), bachelor of computer science (honours), bachelor of mathematics or statistics (honours), bachelor of information technology (honours), any associate degree in similar fields
• the successful applicant will be well organised and good time management skills, have excellent written and oral communication presentation skills, excellent skills in microsoft office, be flexible, professional and show attention to detail and be well presented
• applicants must understand that the scholarship will be awarded in 2023 and will continue in the student's final year. the successful applicant's thesis would then commence in their honours fourth (4th) year in 2024</t>
  </si>
  <si>
    <t>$16,000
1 available</t>
  </si>
  <si>
    <t>• applicants must understand that preference will be given to a student from the act.
• applicants must be willing to complete their work experience in canberra.
• must be enrolled in their second (2nd) year of a bachelor of engineering (civil engineering) in 2024
• applicants must be available for twelve (12) weeks of work experience in canberra during the academic session or at the end of each year.</t>
  </si>
  <si>
    <t>$15,000
2 available</t>
  </si>
  <si>
    <t>• scholarship duration is three or four years, depending on the length of the full-time, eligible degree program
• applicants must maintain a weighted average mark of 75+
• applicants must have originated from or reside in the southern highlands, south coast or illawarra regions.
• applicants must be enrolling in their second (2nd) year of a bachelor of engineering (electrical) or bachelor of engineering (mechanical) in 2025. double degree enrolments will also be eligible;
• applicants must maintain enrolment in a bachelor of engineering (electrical) or (mechanical) for the duration of the scholarship, as designated at the time of application and selection.
• applicants must be available for 10 weeks work experience at the end of each year;
• applicants must be enrolled as a full-time student at the university of wollongong for the duration of this scholarship;</t>
  </si>
  <si>
    <t>• successful applicants must maintain enrolment in a bachelor of business (supply chain management)
• applicants must be enrolled in second (2nd) or penultimate year of a bachelor of business (supply chain management), in 2023
• successful applicants must be available for work experience during academic session or at the end of each year (up to 12 weeks/60 days)</t>
  </si>
  <si>
    <t>• applicants must be able to demonstrate an interest in criminal law and advocacy via a written statement, which may include details of participation in mooting and other advocacy-based competitions.
• shortlisted applicants will be required to attend a selection interview, which may include a mooting scenario.
• applicants must be available for a total of sixty (60) days work experience during academic session or at the end of each year and prior to graduation;
• applicants must be enrolled in bachelor of laws (either single or combined llb degree)
• applicants must be enrolled full-time in an undergraduate degree at the university of wollongong (part-time applications will be accepted where final year does not require full time enrolment to reach completion);</t>
  </si>
  <si>
    <t>• applicants must be enrolled full-time in either their third (3rd) or fourth (4th) year of a bachelor of engineering (electrical) or (telecommunications) at the university of wollongong.
• applicants must be available for up to 12 weeks work experience during the academic session or at the end of the year.
• applicants must provide a one page outline of how the scholarship will assist you in your career ambitions
• successful applicants must maintain enrolment in a bachelor of engineering (electrical) or (telecommunications) at the university of wollongong.</t>
  </si>
  <si>
    <t>• applicants must be enrolled full-time in an undergraduate degree at the university of wollongong.
• applicants must be enrolled in their penultimate or final year of bachelor of engineering (mechanical, civil or architectural) at the university of wollongong, and may also be enrolled in a double degree.
• successful applicants must maintain enrolment in bachelor of engineering (mechanical, civil or architectural) at the university of wollongong.
• applicants must be available for up to 12 weeks of work experience in wagga wagga during the calendar year – accommodation assistance can be provided upon request.
• Rural or Regional</t>
  </si>
  <si>
    <t>• applicants must be available for work experience during the academic session and/or during session breaks, for a length of up to 12 weeks
• Provide statement
• applicants must be currently enrolled in or have successfully completed subject accy200 or accy122
• applicants must be enrolled full-time in their second (2nd) year of a bachelor of business (accounting) or bachelor of commerce (accounting)
• applicants must agree and understand shortlisted applicants will be required to attend a selection interview at the 542 partners office - suite 305/30 kingsway, cronulla nsw 2230</t>
  </si>
  <si>
    <t>• applicants must be enrolled in third (3rd) year or higher of a bachelor of engineering (mechanical) (mechatronic) or (electrical) at the university of wollongong, and may also be enrolled in a double degree
• applicants must be available for work experience for up to 12 weeks during academic session or at the end of each year and prior to graduation</t>
  </si>
  <si>
    <t>Sporting</t>
  </si>
  <si>
    <t>• applicants must have provided a written application and supporting documents as required, as this may determine whether the applicant will be considered by the joint selection committee;
• applicants must have a range of interests and hobbies relevant and supportive of the southern districts rugby club scholarship;
• applicants must be able and willing to participate in social activities at uow;
• applicants must be a registered playing member of the southern district rugby club (sdrc) for the duration of the scholarship,
• the successful applicant must display a blend of academic, sporting, personal and social skills which will best allow the scholar to fulfill the purpose and requirements of the scholarship;
• applicants must be able to act as an ambassador for the sdrc and uow during the period of the scholarship, including appearing at public events. the candidates personal presentation and ability to communicate well with other is therefore relevant;</t>
  </si>
  <si>
    <t>$3,
1 available</t>
  </si>
  <si>
    <t>• applicants must demonstrate involvement in rugby league via submission of a written statement
• the successful applicant must be enrolled full-time in an undergraduate degree at the university of wollongong in 2024;
• applicants must have competed in either the illawarra or south coast junior rugby league (helensburgh - milton/ulladulla) competitions during their hsc year</t>
  </si>
  <si>
    <t>• Be commencing full-time Honours year in Systems at UNSW Engineering in a:Bachelor of Computer Science (Honours)Bachelor of Advanced Computer Science (Honours)BE in Computer Engineering (Honours)BE in Software Engineering (Honours)BE in Bioinformatics (Honours)Have achieved an overall WAM of Distinction/75 or higherHigh Distinction average in systems coursesThesis in the area of Operating Systems
• Bachelor of Computer Science (Honours)
• Bachelor of Advanced Computer Science (Honours)BE in Computer Engineering (Honours)BE in Software Engineering (Honours)BE in Bioinformatics (Honours)
• BE in Computer Engineering (Honours)
• BE in Software Engineering (Honours)
• BE in Bioinformatics (Honours)
• Have achieved an overall WAM of Distinction/75 or higherHigh Distinction average in systems coursesThesis in the area of Operating Systems
• High Distinction average in systems coursesThesis in the area of Operating Systems
• Thesis in the area of Operating Systems</t>
  </si>
  <si>
    <t>$12,500</t>
  </si>
  <si>
    <t>• Be commencing in the Master of Law Degree Program in Term 1, 2025
• Have completed a Bachelor of Laws or a Juris Doctor degree.</t>
  </si>
  <si>
    <t>• Be commencing full-time enrolment in the Master of City Planning (8148) in Term 1, 2025.</t>
  </si>
  <si>
    <t>• Be a graduate of the UNSW undergraduate Architecture programBe commencing full-time postgraduate coursework study in the Master of Architecture (8143) in Term 1, 2025
• Be commencing full-time postgraduate coursework study in the Master of Architecture (8143) in Term 1, 2025</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</si>
  <si>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</si>
  <si>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</si>
  <si>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 N
• U
• L
• L</t>
  </si>
  <si>
    <t>• Be commencing or currently enrolled in an undergraduate or postgraduate coursework program (single or double degree) at UNSW Sydney.
• Sporting performance in their nominated sport and/or their potential to become an outstanding sports person based on their performances and ability as at the time of application/
• Be deemed an elite athlete representing at a minimum of state level (or similar).</t>
  </si>
  <si>
    <t>• Be commencing in a UNSW undergraduate or postgraduate coursework degree program; and
• Be a former or transitioning Australian Defence Force Personnel, or their dependent</t>
  </si>
  <si>
    <t>• Be female
• Have submitted an Educational Access Scheme or Equity Scholarships application via UAC
• Be commencing undergraduate coursework study in one of the following specialisations:Chemical EngineeringChemical Product EngineeringFood ScienceEnvironmental Engineering
• Chemical Engineering
• Chemical Product Engineering
• Food Science
• Environmental Engineering</t>
  </si>
  <si>
    <t>• 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The scholarship is available to students in most undergraduate degree programs, except for the BMed MD program. Only a very limited number of scholarships may be available to students enrolling in the BMed MD program.
•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 Australian Citizens undertaking an assessable international senior secondary qualification with an equivalent ATAR of 99.90 or above are also considered.Students who have completed the International Baccalaureate (IB) must achieve a score of 45 to be considered eligible.
• Students who have completed the International Baccalaureate (IB) must achieve a score of 45 to be considered eligible.
• Must have submitted aUAC Undergraduate Admission applicationand listed UNSW as one of their preferences by theDecember Round 2 offer round (18 December 2024).</t>
  </si>
  <si>
    <t>• 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completed an Australian Year 12 qualification in a NSW or ACT high school, excluding TAFE, in the year prior to commencing studies at UNSWBe commencing &amp; enrolled full-time in a UNSW undergraduate degree program
• Be commencing &amp; enrolled full-time in a UNSW undergraduate degree program</t>
  </si>
  <si>
    <t>• Must be commencing a Bachelor of Cyber Security at UNSW Canberra City campus in Term 1, 2025.Indigenous Australian (Aboriginal and/or Torres Strait Islander only) or,Be a woman, non-binary or gender-diverse student or,Be a former or transitioning Australian Defence Force Personnel
• Indigenous Australian (Aboriginal and/or Torres Strait Islander only) or,
• Be a woman, non-binary or gender-diverse student or,
• Be a former or transitioning Australian Defence Force Personnel</t>
  </si>
  <si>
    <t>• 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 Be classified as rural or remote (see below)
• Be applying to or have been offered a place to undertake full-time study in the first year of the Bachelor of Medical Studies-Doctor of Medicine (BMed/MD) at UNSW; and
• Be residing at Forster House</t>
  </si>
  <si>
    <t>$5,500</t>
  </si>
  <si>
    <t>• Bachelor of Applied Exercise Science/Master of Clinical Exercise Physiology; orBachelor of Exercise Science/Master of Physiotherapy and Exercise Physiology
• Bachelor of Exercise Science/Master of Physiotherapy and Exercise Physiology</t>
  </si>
  <si>
    <t>[]</t>
  </si>
  <si>
    <t>• Be commencing in a UNSW eligible program in Term 1, 2024:AGSM MBA (Executive) programAGSM MBAX programBe employed in the not-for-profit sector
• AGSM MBA (Executive) programAGSM MBAX program
• AGSM MBAX program
• Be employed in the not-for-profit sector</t>
  </si>
  <si>
    <t>• Future or Current UG&amp; PGC (Single or Double)
• Sydney AFLW or Sydney Swans Academy Athlete
• No Residency</t>
  </si>
  <si>
    <t>$12,000</t>
  </si>
  <si>
    <t>• Bachelor of CommerceBachelor of Commerce (International)Bachelor of EconomicsBachelor of Commerce (Co-op)
• Bachelor of Commerce (International)Bachelor of EconomicsBachelor of Commerce (Co-op)
• Bachelor of EconomicsBachelor of Commerce (Co-op)
• Bachelor of Commerce (Co-op)</t>
  </si>
  <si>
    <t>• Be commencing a UNSW eligible programBe a graduate of an undergraduate UNSW Engineering program
• Be a graduate of an undergraduate UNSW Engineering program
• Master of Business Administration (AGSM MBA)(8351)Master of Commerce (8404)Master of Engineering Science (MEngSc) in Manufacturing Engineering (MANFCS8338)Master of Engineering (8621)
• Master of Commerce (8404)Master of Engineering Science (MEngSc) in Manufacturing Engineering (MANFCS8338)Master of Engineering (8621)
• Master of Engineering Science (MEngSc) in Manufacturing Engineering (MANFCS8338)Master of Engineering (8621)
• Master of Engineering (8621)</t>
  </si>
  <si>
    <t>$35,000</t>
  </si>
  <si>
    <t>$120,000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</si>
  <si>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</si>
  <si>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 Have applied for theGateway Admissions Pathway (GAP)in 2024 in Round 1 or 2*
• Be commencing full-time in an undergraduate UNSW degree program in Term 1, 2025.
• Be from a low-SES background based on residential address at the time of application.Low-socioeconomic areas (bottom 25%) are based on IRSAD and IEO indexes ofSEIFA criteria.
• Low-socioeconomic areas (bottom 25%) are based on IRSAD and IEO indexes ofSEIFA criteria.</t>
  </si>
  <si>
    <t>• Be students proposing to undertake an Honours Year Program in Climate Change Research Centre,supervised by a researcher in the ARC Centre of Excellence</t>
  </si>
  <si>
    <t>• Be commencing an Honours Year in Science, in one of the following programs in Term 1,2025:Medicinal Chemistry (Honours)/LawPsychology (Honours)/LawAdvanced Science (Honours)/Law
• Medicinal Chemistry (Honours)/Law
• Psychology (Honours)/Law
• Advanced Science (Honours)/Law</t>
  </si>
  <si>
    <t>• Rural or Regional
• any year
• Financial hardship
• Academic merit</t>
  </si>
  <si>
    <t>5 years (MAX)</t>
  </si>
  <si>
    <t>• Academic merit 
• Disability
• Demonstrable difference to their communities through engagement or advocacy.</t>
  </si>
  <si>
    <t>• Written Statement
• Rural or Regional
• any year
• Academic merit</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</si>
  <si>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</si>
  <si>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</si>
  <si>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</si>
  <si>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</si>
  <si>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</si>
  <si>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</si>
  <si>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</si>
  <si>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</si>
  <si>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</si>
  <si>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</si>
  <si>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</si>
  <si>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</si>
  <si>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</si>
  <si>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</si>
  <si>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</si>
  <si>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Current or former member of the ADF
• applicant must not be receiving any funding from the department of defence
• applicant must reside in the dubbo local government area</t>
  </si>
  <si>
    <t xml:space="preserve">• Written statement
• Rural or Regional
• Resident of selected areas
• Selected Business, Science, Teaching and Computer Science programs. </t>
  </si>
  <si>
    <t>• Written statement 
• Academic merit</t>
  </si>
  <si>
    <t>• Resident of selected areas
• honours
•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</si>
  <si>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</si>
  <si>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</si>
  <si>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</si>
  <si>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</si>
  <si>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evidence where possible to be given of identified level in sport and commitment / participation in either representative university sport and/or sport clubs.
• preference will be given to athletes who are highly engaged with university sport with an understanding of the commitments required to continue this involvement.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</si>
  <si>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</si>
  <si>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</si>
  <si>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</si>
  <si>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</si>
  <si>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</si>
  <si>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</si>
  <si>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</si>
  <si>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</si>
  <si>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</si>
  <si>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</si>
  <si>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</si>
  <si>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</si>
  <si>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</si>
  <si>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</si>
  <si>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</si>
  <si>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</si>
  <si>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</si>
  <si>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</si>
  <si>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</si>
  <si>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</si>
  <si>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</si>
  <si>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</si>
  <si>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</si>
  <si>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</si>
  <si>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</si>
  <si>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</si>
  <si>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</si>
  <si>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</si>
  <si>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</si>
  <si>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</si>
  <si>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Selected HCA programs
• be able to demonstrate a love for 'creating' theatre and a passion for education in the dramatic arts which represents the legacy of professor john carroll.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</si>
  <si>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</si>
  <si>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</si>
  <si>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</si>
  <si>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</si>
  <si>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</si>
  <si>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</si>
  <si>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</si>
  <si>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</si>
  <si>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</si>
  <si>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</si>
  <si>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</si>
  <si>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</si>
  <si>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</si>
  <si>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</si>
  <si>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</si>
  <si>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</si>
  <si>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</si>
  <si>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</si>
  <si>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</si>
  <si>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</si>
  <si>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</si>
  <si>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</si>
  <si>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</si>
  <si>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</si>
  <si>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</si>
  <si>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</si>
  <si>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</si>
  <si>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</si>
  <si>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</si>
  <si>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</si>
  <si>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</si>
  <si>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</si>
  <si>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</si>
  <si>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Have successfully completed two years (160 credits) of a Bachelor of Engineering (Mining Transfer Program) at the University of Newcastle; and
• Be commencing the third year of undergraduate study (single or double degree) in Bachelor of Engineering (Honours) (Mining) at UNSW.</t>
  </si>
  <si>
    <t>• Must be working in the Not-for-Profit sector
• Master of Business Administration
• Master of Business Administration (Executive)</t>
  </si>
  <si>
    <t>• Be commencing full-time enrolment in the UNSW Juris Doctor program in Term 1, 2025.</t>
  </si>
  <si>
    <t>•  undergraduate UNSW dual Law degree program in Term 1, 2024.</t>
  </si>
  <si>
    <t>• Have applied and received an offer to reside at one of theKensington Collegesat UNSW
• Be from a regional or remote area*</t>
  </si>
  <si>
    <t xml:space="preserve">• Female
• in the previous two years prior to commencing at UNSW, provided no tertiary study was undertaken during this period.
• Bachelor of Construction Management and Property single degree </t>
  </si>
  <si>
    <t>• Master of Architecture</t>
  </si>
  <si>
    <t>• Major in either Mathematics, Chemistry or Physics.</t>
  </si>
  <si>
    <t xml:space="preserve">• Honours program in the School of Mathematics &amp; Statistics </t>
  </si>
  <si>
    <t>• Studying on an ageing related topic under the supervision of aCEPAR Chief Investigator,Associate InvestigatororResearch Fellow
• EconomicsActuarial StudiesPsychology
• Actuarial StudiesPsychology
• Psychology</t>
  </si>
  <si>
    <t>• 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Receive credit from your Exchange towards your UNSW degree;Satisfy the NCP Study component;Not be a previous recipient of a Scholarship under the NCP Scholarship Program;Not be an employee of the branch of DFAT that administers the NCP.
• Satisfy the NCP Study component;Not be a previous recipient of a Scholarship under the NCP Scholarship Program;Not be an employee of the branch of DFAT that administers the NCP.</t>
  </si>
  <si>
    <t xml:space="preserve">• Nuclear Engineering specialisation in the Master of Engineering Science </t>
  </si>
  <si>
    <t>• Honours study in an undergraduate degree in Built Environment</t>
  </si>
  <si>
    <t>• Academic merit (ATAR)
• Rural or Regional</t>
  </si>
  <si>
    <t>• Be commencing full-time undergraduate study in an eligible degree program</t>
  </si>
  <si>
    <t xml:space="preserve">• Be commencing full-time study in an undergraduate degree program (single or double) in one of the following programs offered by the School of Chemical Engineering:Bachelor of Engineering (Chemical Engineering)Bachelor of Engineering (Industrial Chemistry)Note: Applicants commencing the Bachelor of Science (Food Science and Technology) are not eligible for this scholarship.
</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</si>
  <si>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</si>
  <si>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</si>
  <si>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</si>
  <si>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</si>
  <si>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</si>
  <si>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</si>
  <si>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</si>
  <si>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</si>
  <si>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</si>
  <si>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</si>
  <si>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</si>
  <si>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</si>
  <si>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</si>
  <si>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</si>
  <si>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</si>
  <si>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</si>
  <si>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</si>
  <si>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</si>
  <si>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 xml:space="preserve">• applicants must be full-time in an on-campus course that can be fully delivered at one of the campuses listed above; and
• applicants must be enrolled in a bachelor, bachelor honours, graduate certificate, graduate diploma, master or doctoral degree.
• maintain ongoing residency in a regional area </t>
  </si>
  <si>
    <t>Various Durations</t>
  </si>
  <si>
    <t>6 months</t>
  </si>
  <si>
    <t>• Graduate Certificate in maritime studies 
• applicants must be willing to complete a pre and post scholarship survey aimed at monitoring the impact of the amsa scholarship
• applicants must demonstrate prior academic excellence</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</si>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</sst>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31"/>
  <sheetViews>
    <sheetView tabSelected="1" workbookViewId="0">
      <selection activeCell="B336" sqref="B336"/>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537</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570</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571</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572</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573</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672</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552</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553</v>
      </c>
      <c r="H9" t="s">
        <v>25</v>
      </c>
      <c r="I9" t="s">
        <v>25</v>
      </c>
    </row>
    <row r="10" spans="1:9" ht="105"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538</v>
      </c>
      <c r="F10" t="s">
        <v>13</v>
      </c>
      <c r="G10" s="12" t="s">
        <v>539</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540</v>
      </c>
      <c r="H11" t="s">
        <v>25</v>
      </c>
      <c r="I11" t="s">
        <v>25</v>
      </c>
    </row>
    <row r="12" spans="1:9" ht="90"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206</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207</v>
      </c>
      <c r="E13" t="s">
        <v>24</v>
      </c>
      <c r="F13" t="s">
        <v>35</v>
      </c>
      <c r="G13" s="12" t="s">
        <v>208</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209</v>
      </c>
      <c r="E14" t="s">
        <v>201</v>
      </c>
      <c r="F14" t="s">
        <v>35</v>
      </c>
      <c r="G14" s="12" t="s">
        <v>574</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210</v>
      </c>
      <c r="E15" t="s">
        <v>24</v>
      </c>
      <c r="F15" t="s">
        <v>35</v>
      </c>
      <c r="G15" s="12" t="s">
        <v>574</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541</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542</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211</v>
      </c>
      <c r="E18" t="s">
        <v>201</v>
      </c>
      <c r="F18" t="s">
        <v>35</v>
      </c>
      <c r="G18" s="12" t="s">
        <v>575</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543</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212</v>
      </c>
      <c r="E20" t="s">
        <v>24</v>
      </c>
      <c r="F20" t="s">
        <v>13</v>
      </c>
      <c r="G20" s="12" t="s">
        <v>544</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213</v>
      </c>
      <c r="E21" t="s">
        <v>201</v>
      </c>
      <c r="F21" t="s">
        <v>13</v>
      </c>
      <c r="G21" s="12" t="s">
        <v>545</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209</v>
      </c>
      <c r="E22" t="s">
        <v>201</v>
      </c>
      <c r="F22" t="s">
        <v>13</v>
      </c>
      <c r="G22" s="12" t="s">
        <v>546</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214</v>
      </c>
      <c r="E23" t="s">
        <v>24</v>
      </c>
      <c r="F23" t="s">
        <v>13</v>
      </c>
      <c r="G23" s="12" t="s">
        <v>208</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209</v>
      </c>
      <c r="E24" t="s">
        <v>201</v>
      </c>
      <c r="F24" t="s">
        <v>13</v>
      </c>
      <c r="G24" s="12" t="s">
        <v>215</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547</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548</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209</v>
      </c>
      <c r="E27" t="s">
        <v>201</v>
      </c>
      <c r="F27" t="s">
        <v>13</v>
      </c>
      <c r="G27" s="12" t="s">
        <v>549</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550</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216</v>
      </c>
      <c r="E29" t="s">
        <v>24</v>
      </c>
      <c r="F29" t="s">
        <v>197</v>
      </c>
      <c r="G29" s="12" t="s">
        <v>551</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217</v>
      </c>
      <c r="E30" t="s">
        <v>205</v>
      </c>
      <c r="F30" t="s">
        <v>13</v>
      </c>
      <c r="G30" s="12" t="s">
        <v>560</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554</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216</v>
      </c>
      <c r="E32" t="s">
        <v>24</v>
      </c>
      <c r="F32" t="s">
        <v>35</v>
      </c>
      <c r="G32" s="12" t="s">
        <v>555</v>
      </c>
      <c r="H32" t="s">
        <v>25</v>
      </c>
      <c r="I32" t="s">
        <v>25</v>
      </c>
    </row>
    <row r="33" spans="1:9" ht="15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209</v>
      </c>
      <c r="E33" t="s">
        <v>201</v>
      </c>
      <c r="F33" t="s">
        <v>197</v>
      </c>
      <c r="G33" s="12" t="s">
        <v>556</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218</v>
      </c>
      <c r="E34" t="s">
        <v>201</v>
      </c>
      <c r="F34" t="s">
        <v>13</v>
      </c>
      <c r="G34" s="12" t="s">
        <v>208</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557</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211</v>
      </c>
      <c r="E36" t="s">
        <v>24</v>
      </c>
      <c r="F36" t="s">
        <v>13</v>
      </c>
      <c r="G36" s="12" t="s">
        <v>219</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220</v>
      </c>
      <c r="E37" t="s">
        <v>201</v>
      </c>
      <c r="F37" t="s">
        <v>51</v>
      </c>
      <c r="G37" s="12" t="s">
        <v>558</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221</v>
      </c>
      <c r="E38" t="s">
        <v>24</v>
      </c>
      <c r="F38" t="s">
        <v>35</v>
      </c>
      <c r="G38" s="12" t="s">
        <v>559</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551</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211</v>
      </c>
      <c r="E40" t="s">
        <v>24</v>
      </c>
      <c r="F40" t="s">
        <v>13</v>
      </c>
      <c r="G40" s="12" t="s">
        <v>561</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216</v>
      </c>
      <c r="E41" t="s">
        <v>24</v>
      </c>
      <c r="F41" t="s">
        <v>13</v>
      </c>
      <c r="G41" s="12" t="s">
        <v>562</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563</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222</v>
      </c>
      <c r="E43" t="s">
        <v>24</v>
      </c>
      <c r="F43" t="s">
        <v>51</v>
      </c>
      <c r="G43" s="12" t="s">
        <v>223</v>
      </c>
      <c r="H43" t="s">
        <v>25</v>
      </c>
      <c r="I43" t="s">
        <v>25</v>
      </c>
    </row>
    <row r="44" spans="1:9" ht="270" x14ac:dyDescent="0.25">
      <c r="A44" s="2" t="s">
        <v>6</v>
      </c>
      <c r="B44" t="str">
        <f>HYPERLINK("https://www.csu.edu.au/scholarships/scholarships-grants/find-scholarship/foundation/continuing/charles-sturt-foundation-sports-council-scholarship", "SRC Sports Scholarship")</f>
        <v>SRC Sports Scholarship</v>
      </c>
      <c r="C44" t="s">
        <v>27</v>
      </c>
      <c r="D44" t="s">
        <v>216</v>
      </c>
      <c r="E44" t="s">
        <v>24</v>
      </c>
      <c r="F44" t="s">
        <v>51</v>
      </c>
      <c r="G44" s="12" t="s">
        <v>564</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224</v>
      </c>
      <c r="E45" t="s">
        <v>31</v>
      </c>
      <c r="F45" t="s">
        <v>13</v>
      </c>
      <c r="G45" s="12" t="s">
        <v>565</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566</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567</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568</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225</v>
      </c>
      <c r="E49" t="s">
        <v>24</v>
      </c>
      <c r="F49" t="s">
        <v>35</v>
      </c>
      <c r="G49" s="12" t="s">
        <v>569</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227</v>
      </c>
      <c r="E50" t="s">
        <v>24</v>
      </c>
      <c r="F50" t="s">
        <v>13</v>
      </c>
      <c r="G50" s="12" t="s">
        <v>228</v>
      </c>
      <c r="H50" t="s">
        <v>25</v>
      </c>
      <c r="I50" t="s">
        <v>25</v>
      </c>
    </row>
    <row r="51" spans="1:9" ht="409.5" x14ac:dyDescent="0.25">
      <c r="A51" s="2" t="s">
        <v>6</v>
      </c>
      <c r="B51" t="str">
        <f>HYPERLINK("https://www.csu.edu.au/scholarships/scholarships-grants/find-scholarship/foundation/continuing/staffgive-work-placement-prize", "Staffgive Work Placement Prize")</f>
        <v>Staffgive Work Placement Prize</v>
      </c>
      <c r="C51" t="s">
        <v>27</v>
      </c>
      <c r="D51" t="s">
        <v>216</v>
      </c>
      <c r="E51" t="s">
        <v>24</v>
      </c>
      <c r="F51" t="s">
        <v>13</v>
      </c>
      <c r="G51" s="12" t="s">
        <v>229</v>
      </c>
      <c r="H51" t="s">
        <v>25</v>
      </c>
      <c r="I51" t="s">
        <v>16</v>
      </c>
    </row>
    <row r="52" spans="1:9" ht="195"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230</v>
      </c>
      <c r="E52" t="s">
        <v>24</v>
      </c>
      <c r="F52" t="s">
        <v>13</v>
      </c>
      <c r="G52" s="12" t="s">
        <v>231</v>
      </c>
      <c r="H52" t="s">
        <v>25</v>
      </c>
      <c r="I52" t="s">
        <v>25</v>
      </c>
    </row>
    <row r="53" spans="1:9" ht="16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232</v>
      </c>
      <c r="H53" t="s">
        <v>25</v>
      </c>
      <c r="I53" t="s">
        <v>25</v>
      </c>
    </row>
    <row r="54" spans="1:9" ht="285"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233</v>
      </c>
      <c r="H54" t="s">
        <v>25</v>
      </c>
      <c r="I54" t="s">
        <v>25</v>
      </c>
    </row>
    <row r="55" spans="1:9" ht="195" x14ac:dyDescent="0.25">
      <c r="A55" s="2" t="s">
        <v>6</v>
      </c>
      <c r="B55" t="str">
        <f>HYPERLINK("https://www.csu.edu.au/scholarships/scholarships-grants/find-scholarship/foundation/any-year/lions-club-of-albury-inc.-scholarship", "Lions Club of Albury Inc. Scholarship")</f>
        <v>Lions Club of Albury Inc. Scholarship</v>
      </c>
      <c r="C55" t="s">
        <v>27</v>
      </c>
      <c r="D55" t="s">
        <v>234</v>
      </c>
      <c r="E55" t="s">
        <v>24</v>
      </c>
      <c r="F55" t="s">
        <v>13</v>
      </c>
      <c r="G55" s="12" t="s">
        <v>235</v>
      </c>
      <c r="H55" t="s">
        <v>25</v>
      </c>
      <c r="I55" t="s">
        <v>25</v>
      </c>
    </row>
    <row r="56" spans="1:9" ht="120"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236</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208</v>
      </c>
      <c r="H57" t="s">
        <v>25</v>
      </c>
      <c r="I57" t="s">
        <v>25</v>
      </c>
    </row>
    <row r="58" spans="1:9" ht="31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237</v>
      </c>
      <c r="H58" t="s">
        <v>25</v>
      </c>
      <c r="I58" t="s">
        <v>25</v>
      </c>
    </row>
    <row r="59" spans="1:9" ht="135" x14ac:dyDescent="0.25">
      <c r="A59" s="2" t="s">
        <v>6</v>
      </c>
      <c r="B59" t="str">
        <f>HYPERLINK("https://www.csu.edu.au/scholarships/scholarships-grants/find-scholarship/foundation/1st-year/ron-camplin-scholarship", "Dr Ron Camplin Scholarship OAM")</f>
        <v>Dr Ron Camplin Scholarship OAM</v>
      </c>
      <c r="C59" t="s">
        <v>27</v>
      </c>
      <c r="D59" t="s">
        <v>238</v>
      </c>
      <c r="E59" t="s">
        <v>201</v>
      </c>
      <c r="F59" t="s">
        <v>13</v>
      </c>
      <c r="G59" s="12" t="s">
        <v>239</v>
      </c>
      <c r="H59" t="s">
        <v>25</v>
      </c>
      <c r="I59" t="s">
        <v>25</v>
      </c>
    </row>
    <row r="60" spans="1:9" ht="16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240</v>
      </c>
      <c r="H60" t="s">
        <v>25</v>
      </c>
      <c r="I60" t="s">
        <v>25</v>
      </c>
    </row>
    <row r="61" spans="1:9" ht="345" x14ac:dyDescent="0.25">
      <c r="A61" s="2" t="s">
        <v>6</v>
      </c>
      <c r="B61" t="str">
        <f>HYPERLINK("https://www.csu.edu.au/scholarships/scholarships-grants/find-scholarship/foundation/any-year/bowcher-family-scholarship", "Bowcher Family Scholarship")</f>
        <v>Bowcher Family Scholarship</v>
      </c>
      <c r="C61" t="s">
        <v>14</v>
      </c>
      <c r="D61" t="s">
        <v>241</v>
      </c>
      <c r="E61" t="s">
        <v>24</v>
      </c>
      <c r="F61" t="s">
        <v>197</v>
      </c>
      <c r="G61" s="12" t="s">
        <v>242</v>
      </c>
      <c r="H61" t="s">
        <v>25</v>
      </c>
      <c r="I61" t="s">
        <v>25</v>
      </c>
    </row>
    <row r="62" spans="1:9" ht="409.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243</v>
      </c>
      <c r="H62" t="s">
        <v>25</v>
      </c>
      <c r="I62" t="s">
        <v>16</v>
      </c>
    </row>
    <row r="63" spans="1:9" ht="375"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216</v>
      </c>
      <c r="E63" t="s">
        <v>201</v>
      </c>
      <c r="F63" t="s">
        <v>35</v>
      </c>
      <c r="G63" s="12" t="s">
        <v>244</v>
      </c>
      <c r="H63" t="s">
        <v>25</v>
      </c>
      <c r="I63" t="s">
        <v>25</v>
      </c>
    </row>
    <row r="64" spans="1:9" ht="21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212</v>
      </c>
      <c r="E64" t="s">
        <v>24</v>
      </c>
      <c r="F64" t="s">
        <v>13</v>
      </c>
      <c r="G64" s="12" t="s">
        <v>245</v>
      </c>
      <c r="H64" t="s">
        <v>25</v>
      </c>
      <c r="I64" t="s">
        <v>25</v>
      </c>
    </row>
    <row r="65" spans="1:9" ht="315" x14ac:dyDescent="0.25">
      <c r="A65" s="2" t="s">
        <v>6</v>
      </c>
      <c r="B65" t="str">
        <f>HYPERLINK("https://www.csu.edu.au/scholarships/scholarships-grants/find-scholarship/foundation/continuing/daily-advertiser-scholarship", "Daily Advertiser Scholarship")</f>
        <v>Daily Advertiser Scholarship</v>
      </c>
      <c r="C65" t="s">
        <v>14</v>
      </c>
      <c r="D65" t="s">
        <v>246</v>
      </c>
      <c r="E65" t="s">
        <v>24</v>
      </c>
      <c r="F65" t="s">
        <v>13</v>
      </c>
      <c r="G65" s="12" t="s">
        <v>247</v>
      </c>
      <c r="H65" t="s">
        <v>25</v>
      </c>
      <c r="I65" t="s">
        <v>25</v>
      </c>
    </row>
    <row r="66" spans="1:9" ht="60"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248</v>
      </c>
      <c r="H66" t="s">
        <v>25</v>
      </c>
      <c r="I66" t="s">
        <v>25</v>
      </c>
    </row>
    <row r="67" spans="1:9" ht="60"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249</v>
      </c>
      <c r="H67" t="s">
        <v>25</v>
      </c>
      <c r="I67" t="s">
        <v>25</v>
      </c>
    </row>
    <row r="68" spans="1:9" ht="409.5" x14ac:dyDescent="0.25">
      <c r="A68" s="2" t="s">
        <v>6</v>
      </c>
      <c r="B68" t="str">
        <f>HYPERLINK("https://www.csu.edu.au/scholarships/scholarships-grants/find-scholarship/foundation/1st-year/the-carole-and-stan-droder-prize", "The Carole and Stan Droder Prize")</f>
        <v>The Carole and Stan Droder Prize</v>
      </c>
      <c r="C68" t="s">
        <v>14</v>
      </c>
      <c r="D68" t="s">
        <v>216</v>
      </c>
      <c r="E68" t="s">
        <v>24</v>
      </c>
      <c r="F68" t="s">
        <v>13</v>
      </c>
      <c r="G68" s="12" t="s">
        <v>250</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217</v>
      </c>
      <c r="E69" t="s">
        <v>201</v>
      </c>
      <c r="F69" t="s">
        <v>35</v>
      </c>
      <c r="G69" s="12" t="s">
        <v>576</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577</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578</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579</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209</v>
      </c>
      <c r="E73" t="s">
        <v>205</v>
      </c>
      <c r="F73" t="s">
        <v>13</v>
      </c>
      <c r="G73" s="12" t="s">
        <v>580</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581</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251</v>
      </c>
      <c r="E75" t="s">
        <v>201</v>
      </c>
      <c r="F75" t="s">
        <v>35</v>
      </c>
      <c r="G75" s="12" t="s">
        <v>582</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583</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221</v>
      </c>
      <c r="E77" t="s">
        <v>24</v>
      </c>
      <c r="F77" t="s">
        <v>13</v>
      </c>
      <c r="G77" s="12" t="s">
        <v>584</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241</v>
      </c>
      <c r="E78" t="s">
        <v>201</v>
      </c>
      <c r="F78" t="s">
        <v>13</v>
      </c>
      <c r="G78" s="12" t="s">
        <v>585</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586</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252</v>
      </c>
      <c r="E80" t="s">
        <v>201</v>
      </c>
      <c r="F80" t="s">
        <v>13</v>
      </c>
      <c r="G80" s="12" t="s">
        <v>587</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253</v>
      </c>
      <c r="E81" t="s">
        <v>201</v>
      </c>
      <c r="F81" t="s">
        <v>589</v>
      </c>
      <c r="G81" s="12" t="s">
        <v>588</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253</v>
      </c>
      <c r="E82" t="s">
        <v>201</v>
      </c>
      <c r="F82" t="s">
        <v>35</v>
      </c>
      <c r="G82" s="12" t="s">
        <v>590</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255</v>
      </c>
      <c r="E83" t="s">
        <v>205</v>
      </c>
      <c r="F83" t="s">
        <v>35</v>
      </c>
      <c r="G83" s="12" t="s">
        <v>591</v>
      </c>
      <c r="H83" t="s">
        <v>25</v>
      </c>
      <c r="I83" t="s">
        <v>25</v>
      </c>
    </row>
    <row r="84" spans="1:9" ht="165"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256</v>
      </c>
      <c r="H84" t="s">
        <v>25</v>
      </c>
      <c r="I84" t="s">
        <v>25</v>
      </c>
    </row>
    <row r="85" spans="1:9" ht="10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226</v>
      </c>
      <c r="E85" t="s">
        <v>24</v>
      </c>
      <c r="F85" t="s">
        <v>13</v>
      </c>
      <c r="G85" s="12" t="s">
        <v>257</v>
      </c>
      <c r="H85" t="s">
        <v>25</v>
      </c>
      <c r="I85" t="s">
        <v>25</v>
      </c>
    </row>
    <row r="86" spans="1:9" ht="255" x14ac:dyDescent="0.25">
      <c r="A86" s="2" t="s">
        <v>6</v>
      </c>
      <c r="B86" t="str">
        <f>HYPERLINK("https://www.csu.edu.au/scholarships/scholarships-grants/find-scholarship/foundation/any-year/the-hayes-scholarship", "The Hayes Scholarship")</f>
        <v>The Hayes Scholarship</v>
      </c>
      <c r="C86" t="s">
        <v>27</v>
      </c>
      <c r="D86" t="s">
        <v>209</v>
      </c>
      <c r="E86" t="s">
        <v>201</v>
      </c>
      <c r="F86" t="s">
        <v>197</v>
      </c>
      <c r="G86" s="12" t="s">
        <v>258</v>
      </c>
      <c r="H86" t="s">
        <v>25</v>
      </c>
      <c r="I86" t="s">
        <v>25</v>
      </c>
    </row>
    <row r="87" spans="1:9" ht="285" x14ac:dyDescent="0.25">
      <c r="A87" s="2" t="s">
        <v>6</v>
      </c>
      <c r="B87" t="str">
        <f>HYPERLINK("https://www.csu.edu.au/scholarships/scholarships-grants/find-scholarship/foundation/any-year/lionel-allen-memorial-scholarship", "Lionel Allen Memorial Scholarship")</f>
        <v>Lionel Allen Memorial Scholarship</v>
      </c>
      <c r="C87" t="s">
        <v>27</v>
      </c>
      <c r="D87" s="7" t="s">
        <v>211</v>
      </c>
      <c r="E87" t="s">
        <v>24</v>
      </c>
      <c r="F87" t="s">
        <v>13</v>
      </c>
      <c r="G87" s="12" t="s">
        <v>259</v>
      </c>
      <c r="H87" t="s">
        <v>25</v>
      </c>
      <c r="I87" t="s">
        <v>25</v>
      </c>
    </row>
    <row r="88" spans="1:9" ht="409.5"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260</v>
      </c>
      <c r="E88" t="s">
        <v>201</v>
      </c>
      <c r="F88" t="s">
        <v>35</v>
      </c>
      <c r="G88" s="12" t="s">
        <v>261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662</v>
      </c>
      <c r="E89" t="s">
        <v>331</v>
      </c>
      <c r="F89" t="s">
        <v>13</v>
      </c>
      <c r="G89" s="12" t="s">
        <v>656</v>
      </c>
      <c r="H89" t="s">
        <v>21</v>
      </c>
      <c r="I89" t="s">
        <v>25</v>
      </c>
    </row>
    <row r="90" spans="1:9" ht="90"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262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263</v>
      </c>
      <c r="H91" t="s">
        <v>25</v>
      </c>
      <c r="I91" t="s">
        <v>25</v>
      </c>
    </row>
    <row r="92" spans="1:9" ht="315" x14ac:dyDescent="0.25">
      <c r="A92" s="2" t="s">
        <v>6</v>
      </c>
      <c r="B92" t="str">
        <f>HYPERLINK("https://www.csu.edu.au/scholarships/scholarships-grants/find-scholarship/foundation/continuing/dare-to-know-paramedic-research-scholarship", "Dare to Know Paramedic Research Scholarship")</f>
        <v>Dare to Know Paramedic Research Scholarship</v>
      </c>
      <c r="C92" t="s">
        <v>27</v>
      </c>
      <c r="D92" t="s">
        <v>264</v>
      </c>
      <c r="E92" t="s">
        <v>201</v>
      </c>
      <c r="F92" t="s">
        <v>13</v>
      </c>
      <c r="G92" s="12" t="s">
        <v>265</v>
      </c>
      <c r="H92" t="s">
        <v>25</v>
      </c>
      <c r="I92" t="s">
        <v>25</v>
      </c>
    </row>
    <row r="93" spans="1:9" ht="345" x14ac:dyDescent="0.25">
      <c r="A93" s="2" t="s">
        <v>6</v>
      </c>
      <c r="B93" t="str">
        <f>HYPERLINK("https://www.csu.edu.au/scholarships/scholarships-grants/find-scholarship/foundation/any-year/rotary-club-of-liverpool-west-scholarship2", "Rotary Club of Liverpool West Scholarship")</f>
        <v>Rotary Club of Liverpool West Scholarship</v>
      </c>
      <c r="C93" t="s">
        <v>27</v>
      </c>
      <c r="D93" t="s">
        <v>266</v>
      </c>
      <c r="E93" t="s">
        <v>201</v>
      </c>
      <c r="F93" t="s">
        <v>13</v>
      </c>
      <c r="G93" s="12" t="s">
        <v>267</v>
      </c>
      <c r="H93" t="s">
        <v>25</v>
      </c>
      <c r="I93" t="s">
        <v>25</v>
      </c>
    </row>
    <row r="94" spans="1:9" ht="300" x14ac:dyDescent="0.25">
      <c r="A94" s="2" t="s">
        <v>6</v>
      </c>
      <c r="B94" t="str">
        <f>HYPERLINK("https://www.csu.edu.au/scholarships/scholarships-grants/find-scholarship/foundation/1st-year/the-dominos-pizza-business-and-leadership-scholarship", "The Domino's Pizza Business &amp; Leadership scholarship")</f>
        <v>The Domino's Pizza Business &amp; Leadership scholarship</v>
      </c>
      <c r="C94" t="s">
        <v>14</v>
      </c>
      <c r="D94" s="7" t="s">
        <v>211</v>
      </c>
      <c r="E94" t="s">
        <v>24</v>
      </c>
      <c r="F94" t="s">
        <v>13</v>
      </c>
      <c r="G94" s="12" t="s">
        <v>268</v>
      </c>
      <c r="H94" t="s">
        <v>25</v>
      </c>
      <c r="I94" t="s">
        <v>25</v>
      </c>
    </row>
    <row r="95" spans="1:9" ht="300" x14ac:dyDescent="0.25">
      <c r="A95" s="2" t="s">
        <v>6</v>
      </c>
      <c r="B95" s="14" t="str">
        <f>HYPERLINK("https://www.csu.edu.au/scholarships/scholarships-grants/find-scholarship/foundation/any-year/gordon-bullock-memorial-scholarship", "Gordon Bullock Memorial Scholarship")</f>
        <v>Gordon Bullock Memorial Scholarship</v>
      </c>
      <c r="C95" t="s">
        <v>27</v>
      </c>
      <c r="D95" s="7" t="s">
        <v>193</v>
      </c>
      <c r="E95" t="s">
        <v>24</v>
      </c>
      <c r="F95" t="s">
        <v>13</v>
      </c>
      <c r="G95" s="12" t="s">
        <v>269</v>
      </c>
      <c r="H95" t="s">
        <v>25</v>
      </c>
      <c r="I95" t="s">
        <v>25</v>
      </c>
    </row>
    <row r="96" spans="1:9" ht="150" x14ac:dyDescent="0.25">
      <c r="A96" s="2" t="s">
        <v>6</v>
      </c>
      <c r="B96" t="str">
        <f>HYPERLINK("https://www.csu.edu.au/scholarships/scholarships-grants/find-scholarship/foundation/continuing/boston-private-wealth-scholarship", "Boston Private Wealth Scholarship")</f>
        <v>Boston Private Wealth Scholarship</v>
      </c>
      <c r="C96" t="s">
        <v>27</v>
      </c>
      <c r="D96" t="s">
        <v>270</v>
      </c>
      <c r="E96" t="s">
        <v>24</v>
      </c>
      <c r="F96" t="s">
        <v>13</v>
      </c>
      <c r="G96" s="12" t="s">
        <v>271</v>
      </c>
      <c r="H96" t="s">
        <v>25</v>
      </c>
      <c r="I96" t="s">
        <v>25</v>
      </c>
    </row>
    <row r="97" spans="1:9" ht="345" x14ac:dyDescent="0.25">
      <c r="A97" s="2" t="s">
        <v>6</v>
      </c>
      <c r="B97" t="str">
        <f>HYPERLINK("https://www.csu.edu.au/scholarships/scholarships-grants/find-scholarship/foundation/any-year/precision-paper-coatings-pty-ltd-scholarship", "Precision Paper Coatings Pty Ltd Scholarship")</f>
        <v>Precision Paper Coatings Pty Ltd Scholarship</v>
      </c>
      <c r="C97" t="s">
        <v>27</v>
      </c>
      <c r="D97" t="s">
        <v>266</v>
      </c>
      <c r="E97" t="s">
        <v>201</v>
      </c>
      <c r="F97" t="s">
        <v>13</v>
      </c>
      <c r="G97" s="12" t="s">
        <v>267</v>
      </c>
      <c r="H97" t="s">
        <v>25</v>
      </c>
      <c r="I97" t="s">
        <v>25</v>
      </c>
    </row>
    <row r="98" spans="1:9" ht="150" x14ac:dyDescent="0.25">
      <c r="A98" s="2" t="s">
        <v>6</v>
      </c>
      <c r="B98" t="str">
        <f>HYPERLINK("https://www.csu.edu.au/scholarships/scholarships-grants/find-scholarship/foundation/any-year/nsw-public-libraries-association-scholarship", "NSW Public Libraries Association Scholarship")</f>
        <v>NSW Public Libraries Association Scholarship</v>
      </c>
      <c r="C98" t="s">
        <v>27</v>
      </c>
      <c r="D98" t="s">
        <v>209</v>
      </c>
      <c r="E98" t="s">
        <v>201</v>
      </c>
      <c r="F98" t="s">
        <v>13</v>
      </c>
      <c r="G98" s="12" t="s">
        <v>272</v>
      </c>
      <c r="H98" t="s">
        <v>25</v>
      </c>
      <c r="I98" t="s">
        <v>25</v>
      </c>
    </row>
    <row r="99" spans="1:9" ht="195" x14ac:dyDescent="0.25">
      <c r="A99" s="2" t="s">
        <v>6</v>
      </c>
      <c r="B99" t="str">
        <f>HYPERLINK("https://www.csu.edu.au/scholarships/scholarships-grants/find-scholarship/foundation/1st-year/albury-city-council-community-leadership-and-resilience-scholarship", "AlburyCity Council Community Leadership Scholarship")</f>
        <v>AlburyCity Council Community Leadership Scholarship</v>
      </c>
      <c r="C99" t="s">
        <v>27</v>
      </c>
      <c r="D99" t="s">
        <v>273</v>
      </c>
      <c r="E99" t="s">
        <v>201</v>
      </c>
      <c r="F99" t="s">
        <v>197</v>
      </c>
      <c r="G99" s="12" t="s">
        <v>274</v>
      </c>
      <c r="H99" t="s">
        <v>25</v>
      </c>
      <c r="I99" t="s">
        <v>25</v>
      </c>
    </row>
    <row r="100" spans="1:9" ht="195" x14ac:dyDescent="0.25">
      <c r="A100" s="2" t="s">
        <v>6</v>
      </c>
      <c r="B100" t="str">
        <f>HYPERLINK("https://www.csu.edu.au/scholarships/scholarships-grants/find-scholarship/foundation/any-year/rural-australia-foundation-scholarship", "Rural Australia Foundation Scholarship")</f>
        <v>Rural Australia Foundation Scholarship</v>
      </c>
      <c r="C100" t="s">
        <v>27</v>
      </c>
      <c r="D100" s="7" t="s">
        <v>209</v>
      </c>
      <c r="E100" t="s">
        <v>24</v>
      </c>
      <c r="F100" t="s">
        <v>13</v>
      </c>
      <c r="G100" s="12" t="s">
        <v>275</v>
      </c>
      <c r="H100" t="s">
        <v>25</v>
      </c>
      <c r="I100" t="s">
        <v>25</v>
      </c>
    </row>
    <row r="101" spans="1:9" ht="360" x14ac:dyDescent="0.25">
      <c r="A101" s="2" t="s">
        <v>6</v>
      </c>
      <c r="B101" t="str">
        <f>HYPERLINK("https://www.csu.edu.au/scholarships/scholarships-grants/find-scholarship/foundation/continuing/therapy-alliance-group-allied-health-scholarship", "Therapy Alliance Group Allied Health Scholarship")</f>
        <v>Therapy Alliance Group Allied Health Scholarship</v>
      </c>
      <c r="C101" t="s">
        <v>27</v>
      </c>
      <c r="D101" t="s">
        <v>203</v>
      </c>
      <c r="E101" t="s">
        <v>201</v>
      </c>
      <c r="F101" t="s">
        <v>35</v>
      </c>
      <c r="G101" s="12" t="s">
        <v>276</v>
      </c>
      <c r="H101" t="s">
        <v>25</v>
      </c>
      <c r="I101" t="s">
        <v>25</v>
      </c>
    </row>
    <row r="102" spans="1:9" ht="195" x14ac:dyDescent="0.25">
      <c r="A102" s="2" t="s">
        <v>6</v>
      </c>
      <c r="B102" t="str">
        <f>HYPERLINK("https://www.csu.edu.au/scholarships/scholarships-grants/find-scholarship/foundation/any-year/ann-gwynn-jones-memorial-scholarship", "Ann Gwynn-Jones Memorial Scholarship")</f>
        <v>Ann Gwynn-Jones Memorial Scholarship</v>
      </c>
      <c r="C102" t="s">
        <v>27</v>
      </c>
      <c r="D102" t="s">
        <v>218</v>
      </c>
      <c r="E102" t="s">
        <v>24</v>
      </c>
      <c r="F102" t="s">
        <v>197</v>
      </c>
      <c r="G102" s="12" t="s">
        <v>277</v>
      </c>
      <c r="H102" t="s">
        <v>25</v>
      </c>
      <c r="I102" t="s">
        <v>25</v>
      </c>
    </row>
    <row r="103" spans="1:9" ht="255" x14ac:dyDescent="0.25">
      <c r="A103" s="2" t="s">
        <v>6</v>
      </c>
      <c r="B103" t="str">
        <f>HYPERLINK("https://www.csu.edu.au/scholarships/scholarships-grants/find-scholarship/foundation/continuing/the-marila-kozdra-allied-health-excellence-scholarship", "The Marila Kozdra Allied Health Excellence Scholarship")</f>
        <v>The Marila Kozdra Allied Health Excellence Scholarship</v>
      </c>
      <c r="C103" t="s">
        <v>27</v>
      </c>
      <c r="D103" t="s">
        <v>203</v>
      </c>
      <c r="E103" t="s">
        <v>201</v>
      </c>
      <c r="F103" t="s">
        <v>35</v>
      </c>
      <c r="G103" s="12" t="s">
        <v>278</v>
      </c>
      <c r="H103" t="s">
        <v>25</v>
      </c>
      <c r="I103" t="s">
        <v>25</v>
      </c>
    </row>
    <row r="104" spans="1:9" ht="225" x14ac:dyDescent="0.25">
      <c r="A104" s="2" t="s">
        <v>6</v>
      </c>
      <c r="B104" t="str">
        <f>HYPERLINK("https://www.csu.edu.au/scholarships/scholarships-grants/find-scholarship/foundation/any-year/dawn-rigby-memorial-scholarship", "Dawn Rigby Memorial Scholarship")</f>
        <v>Dawn Rigby Memorial Scholarship</v>
      </c>
      <c r="C104" t="s">
        <v>14</v>
      </c>
      <c r="D104" s="7" t="s">
        <v>246</v>
      </c>
      <c r="E104" t="s">
        <v>24</v>
      </c>
      <c r="F104" t="s">
        <v>13</v>
      </c>
      <c r="G104" s="12" t="s">
        <v>279</v>
      </c>
      <c r="H104" t="s">
        <v>25</v>
      </c>
      <c r="I104" t="s">
        <v>25</v>
      </c>
    </row>
    <row r="105" spans="1:9" ht="210" x14ac:dyDescent="0.25">
      <c r="A105" s="2" t="s">
        <v>6</v>
      </c>
      <c r="B105" t="str">
        <f>HYPERLINK("https://www.csu.edu.au/scholarships/scholarships-grants/find-scholarship/foundation/1st-year/riverina-water-county-council-scholarship", "Riverina Water Scholarship")</f>
        <v>Riverina Water Scholarship</v>
      </c>
      <c r="C105" t="s">
        <v>27</v>
      </c>
      <c r="D105" t="s">
        <v>253</v>
      </c>
      <c r="E105" t="s">
        <v>201</v>
      </c>
      <c r="F105" t="s">
        <v>35</v>
      </c>
      <c r="G105" s="12" t="s">
        <v>280</v>
      </c>
      <c r="H105" t="s">
        <v>25</v>
      </c>
      <c r="I105" t="s">
        <v>25</v>
      </c>
    </row>
    <row r="106" spans="1:9" ht="345" x14ac:dyDescent="0.25">
      <c r="A106" s="2" t="s">
        <v>6</v>
      </c>
      <c r="B106" t="str">
        <f>HYPERLINK("https://www.csu.edu.au/scholarships/scholarships-grants/find-scholarship/foundation/continuing/white-family-scholarship", "White Family Scholarship")</f>
        <v>White Family Scholarship</v>
      </c>
      <c r="C106" t="s">
        <v>27</v>
      </c>
      <c r="D106" s="7" t="s">
        <v>212</v>
      </c>
      <c r="E106" t="s">
        <v>24</v>
      </c>
      <c r="F106" t="s">
        <v>13</v>
      </c>
      <c r="G106" s="12" t="s">
        <v>281</v>
      </c>
      <c r="H106" t="s">
        <v>25</v>
      </c>
      <c r="I106" t="s">
        <v>25</v>
      </c>
    </row>
    <row r="107" spans="1:9" ht="285" x14ac:dyDescent="0.25">
      <c r="A107" s="2" t="s">
        <v>6</v>
      </c>
      <c r="B107" t="str">
        <f>HYPERLINK("https://www.csu.edu.au/scholarships/scholarships-grants/find-scholarship/foundation/any-year/mr-oliver-and-mrs-heather-fiala-am-scholarship", "Dr Oliver &amp; Mrs Heather Fiala AM Scholarship")</f>
        <v>Dr Oliver &amp; Mrs Heather Fiala AM Scholarship</v>
      </c>
      <c r="C107" t="s">
        <v>27</v>
      </c>
      <c r="D107" t="s">
        <v>193</v>
      </c>
      <c r="E107" t="s">
        <v>24</v>
      </c>
      <c r="F107" t="s">
        <v>13</v>
      </c>
      <c r="G107" s="12" t="s">
        <v>282</v>
      </c>
      <c r="H107" t="s">
        <v>25</v>
      </c>
      <c r="I107" t="s">
        <v>25</v>
      </c>
    </row>
    <row r="108" spans="1:9" ht="75" x14ac:dyDescent="0.25">
      <c r="A108" s="2" t="s">
        <v>6</v>
      </c>
      <c r="B108"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8" t="s">
        <v>27</v>
      </c>
      <c r="D108" t="s">
        <v>283</v>
      </c>
      <c r="E108" t="s">
        <v>201</v>
      </c>
      <c r="F108" t="s">
        <v>35</v>
      </c>
      <c r="G108" s="12" t="s">
        <v>657</v>
      </c>
      <c r="H108" t="s">
        <v>25</v>
      </c>
      <c r="I108" t="s">
        <v>25</v>
      </c>
    </row>
    <row r="109" spans="1:9" ht="90" x14ac:dyDescent="0.25">
      <c r="A109" s="2" t="s">
        <v>6</v>
      </c>
      <c r="B109" t="str">
        <f>HYPERLINK("https://www.csu.edu.au/scholarships/scholarships-grants/find-scholarship/equity/three-rivers-drh-commencing-student-scholarship", "Three Rivers DRH Commencing Student Scholarship")</f>
        <v>Three Rivers DRH Commencing Student Scholarship</v>
      </c>
      <c r="C109" t="s">
        <v>27</v>
      </c>
      <c r="D109" s="7" t="s">
        <v>209</v>
      </c>
      <c r="E109" t="s">
        <v>201</v>
      </c>
      <c r="F109" t="s">
        <v>35</v>
      </c>
      <c r="G109" s="12" t="s">
        <v>658</v>
      </c>
      <c r="H109" t="s">
        <v>25</v>
      </c>
      <c r="I109" t="s">
        <v>25</v>
      </c>
    </row>
    <row r="110" spans="1:9" ht="75" x14ac:dyDescent="0.25">
      <c r="A110" s="2" t="s">
        <v>6</v>
      </c>
      <c r="B110" t="str">
        <f>HYPERLINK("https://www.csu.edu.au/scholarships/scholarships-grants/find-scholarship/equity/three-rivers-drh-aged-care-commencing-student-scholarship", "Three Rivers DRH Aged Care Commencing Student Scholarship")</f>
        <v>Three Rivers DRH Aged Care Commencing Student Scholarship</v>
      </c>
      <c r="C110" t="s">
        <v>27</v>
      </c>
      <c r="D110" t="s">
        <v>284</v>
      </c>
      <c r="E110" t="s">
        <v>285</v>
      </c>
      <c r="F110" t="s">
        <v>35</v>
      </c>
      <c r="G110" s="12" t="s">
        <v>657</v>
      </c>
      <c r="H110" t="s">
        <v>25</v>
      </c>
      <c r="I110" t="s">
        <v>25</v>
      </c>
    </row>
    <row r="111" spans="1:9" ht="270" x14ac:dyDescent="0.25">
      <c r="A111" s="2" t="s">
        <v>6</v>
      </c>
      <c r="B111" t="str">
        <f>HYPERLINK("https://www.csu.edu.au/scholarships/scholarships-grants/find-scholarship/foundation/any-year/jacob-berry-memorial-scholarship", "Jacob Berry Memorial Scholarship")</f>
        <v>Jacob Berry Memorial Scholarship</v>
      </c>
      <c r="C111" t="s">
        <v>27</v>
      </c>
      <c r="D111" t="s">
        <v>234</v>
      </c>
      <c r="E111" t="s">
        <v>201</v>
      </c>
      <c r="F111" t="s">
        <v>13</v>
      </c>
      <c r="G111" s="12" t="s">
        <v>286</v>
      </c>
      <c r="H111" t="s">
        <v>25</v>
      </c>
      <c r="I111" t="s">
        <v>25</v>
      </c>
    </row>
    <row r="112" spans="1:9" ht="75" x14ac:dyDescent="0.25">
      <c r="A112" s="2" t="s">
        <v>6</v>
      </c>
      <c r="B112"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2" t="s">
        <v>27</v>
      </c>
      <c r="D112" t="s">
        <v>287</v>
      </c>
      <c r="E112" t="s">
        <v>205</v>
      </c>
      <c r="F112" t="s">
        <v>35</v>
      </c>
      <c r="G112" s="12" t="s">
        <v>657</v>
      </c>
      <c r="H112" t="s">
        <v>25</v>
      </c>
      <c r="I112" t="s">
        <v>25</v>
      </c>
    </row>
    <row r="113" spans="1:9" ht="409.5" x14ac:dyDescent="0.25">
      <c r="A113" s="2" t="s">
        <v>6</v>
      </c>
      <c r="B113" t="str">
        <f>HYPERLINK("https://www.csu.edu.au/scholarships/scholarships-grants/find-scholarship/foundation/any-year/centacare-south-west-nsw-scholarship", "Centacare South West NSW Scholarship")</f>
        <v>Centacare South West NSW Scholarship</v>
      </c>
      <c r="C113" t="s">
        <v>27</v>
      </c>
      <c r="D113" t="s">
        <v>203</v>
      </c>
      <c r="E113" t="s">
        <v>24</v>
      </c>
      <c r="F113" t="s">
        <v>35</v>
      </c>
      <c r="G113" s="12" t="s">
        <v>288</v>
      </c>
      <c r="H113" t="s">
        <v>25</v>
      </c>
      <c r="I113" t="s">
        <v>25</v>
      </c>
    </row>
    <row r="114" spans="1:9" ht="75" x14ac:dyDescent="0.25">
      <c r="A114" s="2" t="s">
        <v>6</v>
      </c>
      <c r="B114"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4" t="s">
        <v>27</v>
      </c>
      <c r="D114" s="7" t="s">
        <v>193</v>
      </c>
      <c r="E114" t="s">
        <v>24</v>
      </c>
      <c r="F114" t="s">
        <v>13</v>
      </c>
      <c r="G114" s="12" t="s">
        <v>592</v>
      </c>
      <c r="H114" t="s">
        <v>25</v>
      </c>
      <c r="I114" t="s">
        <v>25</v>
      </c>
    </row>
    <row r="115" spans="1:9" ht="60" x14ac:dyDescent="0.25">
      <c r="A115" s="2" t="s">
        <v>6</v>
      </c>
      <c r="B115" t="str">
        <f>HYPERLINK("https://www.csu.edu.au/scholarships/scholarships-grants/find-scholarship/foundation/any-year/laurel-trinidad-research-grant", "Laurel-Trinidad Research Grant")</f>
        <v>Laurel-Trinidad Research Grant</v>
      </c>
      <c r="C115" t="s">
        <v>27</v>
      </c>
      <c r="D115" t="s">
        <v>203</v>
      </c>
      <c r="E115" t="s">
        <v>24</v>
      </c>
      <c r="F115" t="s">
        <v>137</v>
      </c>
      <c r="G115" s="12" t="s">
        <v>593</v>
      </c>
      <c r="H115" t="s">
        <v>25</v>
      </c>
      <c r="I115" t="s">
        <v>25</v>
      </c>
    </row>
    <row r="116" spans="1:9" ht="255" x14ac:dyDescent="0.25">
      <c r="A116" s="2" t="s">
        <v>6</v>
      </c>
      <c r="B116" t="str">
        <f>HYPERLINK("https://www.csu.edu.au/scholarships/scholarships-grants/find-scholarship/foundation/any-year/women-in-racing-canberra-prize", "Women in Racing Canberra Prize")</f>
        <v>Women in Racing Canberra Prize</v>
      </c>
      <c r="C116" t="s">
        <v>27</v>
      </c>
      <c r="D116" t="s">
        <v>218</v>
      </c>
      <c r="E116" t="s">
        <v>24</v>
      </c>
      <c r="F116" t="s">
        <v>13</v>
      </c>
      <c r="G116" s="12" t="s">
        <v>289</v>
      </c>
      <c r="H116" t="s">
        <v>25</v>
      </c>
      <c r="I116" t="s">
        <v>25</v>
      </c>
    </row>
    <row r="117" spans="1:9" ht="150" x14ac:dyDescent="0.25">
      <c r="A117" s="2" t="s">
        <v>6</v>
      </c>
      <c r="B117" t="str">
        <f>HYPERLINK("https://www.csu.edu.au/scholarships/scholarships-grants/find-scholarship/foundation/continuing/Sky-News-Australia-Ian-Cook-Memorial-Scholarship", "Sky News Australia - Ian Cook Memorial Scholarship")</f>
        <v>Sky News Australia - Ian Cook Memorial Scholarship</v>
      </c>
      <c r="C117" t="s">
        <v>27</v>
      </c>
      <c r="D117" s="7" t="s">
        <v>290</v>
      </c>
      <c r="E117" t="s">
        <v>24</v>
      </c>
      <c r="F117" t="s">
        <v>13</v>
      </c>
      <c r="G117" s="12" t="s">
        <v>291</v>
      </c>
      <c r="H117" t="s">
        <v>25</v>
      </c>
      <c r="I117" t="s">
        <v>25</v>
      </c>
    </row>
    <row r="118" spans="1:9" ht="330" x14ac:dyDescent="0.25">
      <c r="A118" s="2" t="s">
        <v>6</v>
      </c>
      <c r="B118"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8" t="s">
        <v>27</v>
      </c>
      <c r="D118" s="7" t="s">
        <v>241</v>
      </c>
      <c r="E118" t="s">
        <v>24</v>
      </c>
      <c r="F118" t="s">
        <v>13</v>
      </c>
      <c r="G118" s="12" t="s">
        <v>292</v>
      </c>
      <c r="H118" t="s">
        <v>25</v>
      </c>
      <c r="I118" t="s">
        <v>16</v>
      </c>
    </row>
    <row r="119" spans="1:9" ht="60" x14ac:dyDescent="0.25">
      <c r="A119" s="2" t="s">
        <v>6</v>
      </c>
      <c r="B119" t="str">
        <f>HYPERLINK("https://www.csu.edu.au/scholarships/scholarships-grants/find-scholarship/foundation/any-year/jess-mclennan-memorial-prize", "Jess McLennan Memorial Prize")</f>
        <v>Jess McLennan Memorial Prize</v>
      </c>
      <c r="C119" t="s">
        <v>27</v>
      </c>
      <c r="D119" t="s">
        <v>293</v>
      </c>
      <c r="E119" t="s">
        <v>201</v>
      </c>
      <c r="F119" t="s">
        <v>13</v>
      </c>
      <c r="G119" s="12" t="s">
        <v>594</v>
      </c>
      <c r="H119" t="s">
        <v>25</v>
      </c>
      <c r="I119" t="s">
        <v>25</v>
      </c>
    </row>
    <row r="120" spans="1:9" ht="180" x14ac:dyDescent="0.25">
      <c r="A120" s="2" t="s">
        <v>6</v>
      </c>
      <c r="B120" t="str">
        <f>HYPERLINK("https://www.csu.edu.au/scholarships/scholarships-grants/find-scholarship/foundation/continuing/professor-john-carroll-memorial-scholarship", "Professor John Carroll Memorial Scholarship")</f>
        <v>Professor John Carroll Memorial Scholarship</v>
      </c>
      <c r="C120" t="s">
        <v>27</v>
      </c>
      <c r="D120" s="7" t="s">
        <v>230</v>
      </c>
      <c r="E120" t="s">
        <v>24</v>
      </c>
      <c r="F120" t="s">
        <v>13</v>
      </c>
      <c r="G120" s="12" t="s">
        <v>595</v>
      </c>
      <c r="H120" t="s">
        <v>25</v>
      </c>
      <c r="I120" t="s">
        <v>25</v>
      </c>
    </row>
    <row r="121" spans="1:9" ht="60" x14ac:dyDescent="0.25">
      <c r="A121" s="2" t="s">
        <v>6</v>
      </c>
      <c r="B121" t="str">
        <f>HYPERLINK("https://www.csu.edu.au/scholarships/scholarships-grants/find-scholarship/foundation/continuing/gita-belin-fortitude-foundation-paramedicine-3rd-year", "Gita Belin Fortitude Foundation Paramedicine 3rd Year")</f>
        <v>Gita Belin Fortitude Foundation Paramedicine 3rd Year</v>
      </c>
      <c r="C121" t="s">
        <v>27</v>
      </c>
      <c r="D121" t="s">
        <v>209</v>
      </c>
      <c r="E121" t="s">
        <v>205</v>
      </c>
      <c r="F121" t="s">
        <v>13</v>
      </c>
      <c r="G121" s="12" t="s">
        <v>596</v>
      </c>
      <c r="H121" t="s">
        <v>25</v>
      </c>
      <c r="I121" t="s">
        <v>25</v>
      </c>
    </row>
    <row r="122" spans="1:9" ht="150" x14ac:dyDescent="0.25">
      <c r="A122" s="2" t="s">
        <v>6</v>
      </c>
      <c r="B122" t="str">
        <f>HYPERLINK("https://www.csu.edu.au/scholarships/scholarships-grants/find-scholarship/foundation/continuing/warakirri-cropping-scholarship2", "Warakirri Cropping Scholarship")</f>
        <v>Warakirri Cropping Scholarship</v>
      </c>
      <c r="C122" t="s">
        <v>27</v>
      </c>
      <c r="D122" t="s">
        <v>209</v>
      </c>
      <c r="E122" t="s">
        <v>201</v>
      </c>
      <c r="F122" t="s">
        <v>13</v>
      </c>
      <c r="G122" s="12" t="s">
        <v>597</v>
      </c>
      <c r="H122" t="s">
        <v>25</v>
      </c>
      <c r="I122" t="s">
        <v>25</v>
      </c>
    </row>
    <row r="123" spans="1:9" ht="75" x14ac:dyDescent="0.25">
      <c r="A123" s="2" t="s">
        <v>6</v>
      </c>
      <c r="B123" t="str">
        <f>HYPERLINK("https://www.csu.edu.au/scholarships/scholarships-grants/find-scholarship/foundation/any-year/charles-sturt-foundation-paramedics-scholarship", "Charles Sturt Foundation Paramedics Scholarship")</f>
        <v>Charles Sturt Foundation Paramedics Scholarship</v>
      </c>
      <c r="C123" t="s">
        <v>27</v>
      </c>
      <c r="D123" t="s">
        <v>193</v>
      </c>
      <c r="E123" t="s">
        <v>24</v>
      </c>
      <c r="F123" t="s">
        <v>13</v>
      </c>
      <c r="G123" s="12" t="s">
        <v>598</v>
      </c>
      <c r="H123" t="s">
        <v>25</v>
      </c>
      <c r="I123" t="s">
        <v>25</v>
      </c>
    </row>
    <row r="124" spans="1:9" ht="120" x14ac:dyDescent="0.25">
      <c r="A124" s="2" t="s">
        <v>6</v>
      </c>
      <c r="B124" t="str">
        <f>HYPERLINK("https://www.csu.edu.au/scholarships/scholarships-grants/find-scholarship/foundation/continuing/hv-mckay-scholarship", "HV McKay II Memorial Scholarship")</f>
        <v>HV McKay II Memorial Scholarship</v>
      </c>
      <c r="C124" t="s">
        <v>27</v>
      </c>
      <c r="D124" t="s">
        <v>294</v>
      </c>
      <c r="E124" t="s">
        <v>201</v>
      </c>
      <c r="F124" t="s">
        <v>13</v>
      </c>
      <c r="G124" s="12" t="s">
        <v>599</v>
      </c>
      <c r="H124" t="s">
        <v>25</v>
      </c>
      <c r="I124" t="s">
        <v>25</v>
      </c>
    </row>
    <row r="125" spans="1:9" ht="30" x14ac:dyDescent="0.25">
      <c r="A125" s="2" t="s">
        <v>6</v>
      </c>
      <c r="B125"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5" t="s">
        <v>27</v>
      </c>
      <c r="D125" t="s">
        <v>202</v>
      </c>
      <c r="E125" t="s">
        <v>205</v>
      </c>
      <c r="F125" t="s">
        <v>13</v>
      </c>
      <c r="G125" s="12" t="s">
        <v>600</v>
      </c>
      <c r="H125" t="s">
        <v>25</v>
      </c>
      <c r="I125" t="s">
        <v>25</v>
      </c>
    </row>
    <row r="126" spans="1:9" ht="60" x14ac:dyDescent="0.25">
      <c r="A126" s="2" t="s">
        <v>6</v>
      </c>
      <c r="B126" t="str">
        <f>HYPERLINK("https://www.csu.edu.au/scholarships/scholarships-grants/find-scholarship/foundation/1st-year/nutrien-ag-solutions-harvesting-the-future-scholarship", "Nutrien Ag Solutions - Harvesting the Future Scholarship")</f>
        <v>Nutrien Ag Solutions - Harvesting the Future Scholarship</v>
      </c>
      <c r="C126" t="s">
        <v>14</v>
      </c>
      <c r="D126" t="s">
        <v>284</v>
      </c>
      <c r="E126" t="s">
        <v>201</v>
      </c>
      <c r="F126" t="s">
        <v>13</v>
      </c>
      <c r="G126" s="12" t="s">
        <v>601</v>
      </c>
      <c r="H126" t="s">
        <v>25</v>
      </c>
      <c r="I126" t="s">
        <v>25</v>
      </c>
    </row>
    <row r="127" spans="1:9" ht="45" x14ac:dyDescent="0.25">
      <c r="A127" s="2" t="s">
        <v>6</v>
      </c>
      <c r="B127" t="str">
        <f>HYPERLINK("https://www.csu.edu.au/scholarships/scholarships-grants/find-scholarship/foundation/1st-year/gita-belin-fortitude-foundation-paramedicine-1st-year", "Gita Belin Fortitude Foundation Paramedicine 1st Year")</f>
        <v>Gita Belin Fortitude Foundation Paramedicine 1st Year</v>
      </c>
      <c r="C127" t="s">
        <v>27</v>
      </c>
      <c r="D127" t="s">
        <v>295</v>
      </c>
      <c r="E127" t="s">
        <v>205</v>
      </c>
      <c r="F127" t="s">
        <v>13</v>
      </c>
      <c r="G127" s="12" t="s">
        <v>602</v>
      </c>
      <c r="H127" t="s">
        <v>25</v>
      </c>
      <c r="I127" t="s">
        <v>25</v>
      </c>
    </row>
    <row r="128" spans="1:9" ht="120" x14ac:dyDescent="0.25">
      <c r="A128" s="2" t="s">
        <v>6</v>
      </c>
      <c r="B128" t="str">
        <f>HYPERLINK("https://www.csu.edu.au/scholarships/scholarships-grants/find-scholarship/foundation/any-year/bathurst-mitchell-student-representative-committee-scholarship/dawn-rigby-memorial-scholarship", "Dawn Rigby Memorial Scholarship")</f>
        <v>Dawn Rigby Memorial Scholarship</v>
      </c>
      <c r="C128" t="s">
        <v>27</v>
      </c>
      <c r="D128" t="s">
        <v>193</v>
      </c>
      <c r="E128" t="s">
        <v>24</v>
      </c>
      <c r="F128" t="s">
        <v>13</v>
      </c>
      <c r="G128" s="12" t="s">
        <v>659</v>
      </c>
      <c r="H128" t="s">
        <v>25</v>
      </c>
      <c r="I128" t="s">
        <v>25</v>
      </c>
    </row>
    <row r="129" spans="1:9" ht="165" x14ac:dyDescent="0.25">
      <c r="A129" s="2" t="s">
        <v>6</v>
      </c>
      <c r="B129" t="str">
        <f>HYPERLINK("https://www.csu.edu.au/scholarships/scholarships-grants/find-scholarship/foundation/any-year/wagga-wagga-teachers-alumni-scholarship/white-family-scholarship", "White Family Scholarship")</f>
        <v>White Family Scholarship</v>
      </c>
      <c r="C129" t="s">
        <v>27</v>
      </c>
      <c r="D129" t="s">
        <v>193</v>
      </c>
      <c r="E129" t="s">
        <v>24</v>
      </c>
      <c r="F129" t="s">
        <v>13</v>
      </c>
      <c r="G129" s="12" t="s">
        <v>603</v>
      </c>
      <c r="H129" t="s">
        <v>25</v>
      </c>
      <c r="I129" t="s">
        <v>25</v>
      </c>
    </row>
    <row r="130" spans="1:9" ht="60" x14ac:dyDescent="0.25">
      <c r="A130" s="2" t="s">
        <v>6</v>
      </c>
      <c r="B130" t="str">
        <f>HYPERLINK("https://www.csu.edu.au/scholarships/scholarships-grants/find-scholarship/foundation/continuing/gita-belin-fortitude-foundation-paramedicine-2nd-year", "Gita Belin Fortitude Foundation Paramedicine 2nd Year")</f>
        <v>Gita Belin Fortitude Foundation Paramedicine 2nd Year</v>
      </c>
      <c r="C130" t="s">
        <v>27</v>
      </c>
      <c r="D130" t="s">
        <v>202</v>
      </c>
      <c r="E130" t="s">
        <v>205</v>
      </c>
      <c r="F130" t="s">
        <v>13</v>
      </c>
      <c r="G130" s="12" t="s">
        <v>604</v>
      </c>
      <c r="H130" t="s">
        <v>25</v>
      </c>
      <c r="I130" t="s">
        <v>25</v>
      </c>
    </row>
    <row r="131" spans="1:9" ht="150" x14ac:dyDescent="0.25">
      <c r="A131" s="2" t="s">
        <v>6</v>
      </c>
      <c r="B131" t="str">
        <f>HYPERLINK("https://www.csu.edu.au/scholarships/scholarships-grants/find-scholarship/foundation/1st-year/Agcessibility-kickstart-scholarship", "AGcessibility Kickstart Scholarship")</f>
        <v>AGcessibility Kickstart Scholarship</v>
      </c>
      <c r="C131" t="s">
        <v>27</v>
      </c>
      <c r="D131" t="s">
        <v>296</v>
      </c>
      <c r="E131" t="s">
        <v>201</v>
      </c>
      <c r="F131" t="s">
        <v>13</v>
      </c>
      <c r="G131" s="12" t="s">
        <v>605</v>
      </c>
      <c r="H131" t="s">
        <v>25</v>
      </c>
      <c r="I131" t="s">
        <v>25</v>
      </c>
    </row>
    <row r="132" spans="1:9" ht="120" x14ac:dyDescent="0.25">
      <c r="A132" s="2" t="s">
        <v>6</v>
      </c>
      <c r="B132" t="str">
        <f>HYPERLINK("https://www.csu.edu.au/scholarships/scholarships-grants/find-scholarship/foundation/any-year/rotary-club-of-albury-scholarship", "Rotary Club of Albury Scholarship")</f>
        <v>Rotary Club of Albury Scholarship</v>
      </c>
      <c r="C132" t="s">
        <v>27</v>
      </c>
      <c r="D132" s="7" t="s">
        <v>211</v>
      </c>
      <c r="E132" t="s">
        <v>24</v>
      </c>
      <c r="F132" t="s">
        <v>13</v>
      </c>
      <c r="G132" s="12" t="s">
        <v>606</v>
      </c>
      <c r="H132" t="s">
        <v>25</v>
      </c>
      <c r="I132" t="s">
        <v>25</v>
      </c>
    </row>
    <row r="133" spans="1:9" ht="60" x14ac:dyDescent="0.25">
      <c r="A133" s="2" t="s">
        <v>6</v>
      </c>
      <c r="B133" t="str">
        <f>HYPERLINK("https://www.csu.edu.au/scholarships/scholarships-grants/find-scholarship/foundation/any-year/pay-it-forward-dentistry-scholarship", "Pay it Forward Dentistry Scholarship")</f>
        <v>Pay it Forward Dentistry Scholarship</v>
      </c>
      <c r="C133" t="s">
        <v>14</v>
      </c>
      <c r="D133" t="s">
        <v>202</v>
      </c>
      <c r="E133" t="s">
        <v>201</v>
      </c>
      <c r="F133" t="s">
        <v>13</v>
      </c>
      <c r="G133" s="12" t="s">
        <v>607</v>
      </c>
      <c r="H133" t="s">
        <v>25</v>
      </c>
      <c r="I133" t="s">
        <v>25</v>
      </c>
    </row>
    <row r="134" spans="1:9" ht="60" x14ac:dyDescent="0.25">
      <c r="A134" s="2" t="s">
        <v>6</v>
      </c>
      <c r="B134"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4" t="s">
        <v>14</v>
      </c>
      <c r="D134" s="7" t="s">
        <v>193</v>
      </c>
      <c r="E134" t="s">
        <v>24</v>
      </c>
      <c r="F134" t="s">
        <v>13</v>
      </c>
      <c r="G134" s="12" t="s">
        <v>608</v>
      </c>
      <c r="H134" t="s">
        <v>25</v>
      </c>
      <c r="I134" t="s">
        <v>25</v>
      </c>
    </row>
    <row r="135" spans="1:9" ht="105" x14ac:dyDescent="0.25">
      <c r="A135" s="2" t="s">
        <v>6</v>
      </c>
      <c r="B135" t="str">
        <f>HYPERLINK("https://www.csu.edu.au/scholarships/scholarships-grants/find-scholarship/foundation/continuing/rabobank-tertiary-pathways-scholarship", "Rabobank Tertiary Pathways Scholarship")</f>
        <v>Rabobank Tertiary Pathways Scholarship</v>
      </c>
      <c r="C135" t="s">
        <v>27</v>
      </c>
      <c r="D135" t="s">
        <v>296</v>
      </c>
      <c r="E135" t="s">
        <v>201</v>
      </c>
      <c r="F135" t="s">
        <v>13</v>
      </c>
      <c r="G135" s="12" t="s">
        <v>609</v>
      </c>
      <c r="H135" t="s">
        <v>25</v>
      </c>
      <c r="I135" t="s">
        <v>25</v>
      </c>
    </row>
    <row r="136" spans="1:9" ht="75" x14ac:dyDescent="0.25">
      <c r="A136" s="2" t="s">
        <v>6</v>
      </c>
      <c r="B136" t="str">
        <f>HYPERLINK("https://www.csu.edu.au/scholarships/scholarships-grants/find-scholarship/foundation/1st-year/dr-julia-howitt-legacy-scholarship", "Dr Julia Howitt Legacy Scholarship")</f>
        <v>Dr Julia Howitt Legacy Scholarship</v>
      </c>
      <c r="C136" t="s">
        <v>27</v>
      </c>
      <c r="D136" s="7" t="s">
        <v>193</v>
      </c>
      <c r="E136" t="s">
        <v>24</v>
      </c>
      <c r="F136" t="s">
        <v>197</v>
      </c>
      <c r="G136" s="12" t="s">
        <v>610</v>
      </c>
      <c r="H136" t="s">
        <v>25</v>
      </c>
      <c r="I136" t="s">
        <v>25</v>
      </c>
    </row>
    <row r="137" spans="1:9" ht="75" x14ac:dyDescent="0.25">
      <c r="A137" s="2" t="s">
        <v>6</v>
      </c>
      <c r="B137" t="str">
        <f>HYPERLINK("https://www.csu.edu.au/scholarships/scholarships-grants/find-scholarship/foundation/1st-year/angel-family-trust-scholarship", "The Angel Family Trust Scholarship")</f>
        <v>The Angel Family Trust Scholarship</v>
      </c>
      <c r="C137" t="s">
        <v>27</v>
      </c>
      <c r="D137" t="s">
        <v>193</v>
      </c>
      <c r="E137" t="s">
        <v>24</v>
      </c>
      <c r="F137" t="s">
        <v>13</v>
      </c>
      <c r="G137" s="12" t="s">
        <v>611</v>
      </c>
      <c r="H137" t="s">
        <v>25</v>
      </c>
      <c r="I137" t="s">
        <v>25</v>
      </c>
    </row>
    <row r="138" spans="1:9" ht="75" x14ac:dyDescent="0.25">
      <c r="A138" s="2" t="s">
        <v>6</v>
      </c>
      <c r="B138" t="str">
        <f>HYPERLINK("https://www.csu.edu.au/scholarships/scholarships-grants/find-scholarship/foundation/continuing/cal-scholarship", "CAL Scholarship")</f>
        <v>CAL Scholarship</v>
      </c>
      <c r="C138" t="s">
        <v>27</v>
      </c>
      <c r="D138" t="s">
        <v>246</v>
      </c>
      <c r="E138" t="s">
        <v>24</v>
      </c>
      <c r="F138" t="s">
        <v>13</v>
      </c>
      <c r="G138" s="12" t="s">
        <v>612</v>
      </c>
      <c r="H138" t="s">
        <v>25</v>
      </c>
      <c r="I138" t="s">
        <v>25</v>
      </c>
    </row>
    <row r="139" spans="1:9" ht="45" x14ac:dyDescent="0.25">
      <c r="A139" s="2" t="s">
        <v>6</v>
      </c>
      <c r="B139" t="str">
        <f>HYPERLINK("https://www.csu.edu.au/scholarships/scholarships-grants/find-scholarship/foundation/continuing/meller-and-hume-research-scholarship", "Meller Hume Research Scholarship")</f>
        <v>Meller Hume Research Scholarship</v>
      </c>
      <c r="C139" t="s">
        <v>27</v>
      </c>
      <c r="D139" t="s">
        <v>297</v>
      </c>
      <c r="E139" t="s">
        <v>201</v>
      </c>
      <c r="F139" t="s">
        <v>13</v>
      </c>
      <c r="G139" s="12" t="s">
        <v>613</v>
      </c>
      <c r="H139" t="s">
        <v>25</v>
      </c>
      <c r="I139" t="s">
        <v>25</v>
      </c>
    </row>
    <row r="140" spans="1:9" ht="120" x14ac:dyDescent="0.25">
      <c r="A140" s="2" t="s">
        <v>6</v>
      </c>
      <c r="B140" t="str">
        <f>HYPERLINK("https://www.csu.edu.au/scholarships/scholarships-grants/find-scholarship/foundation/continuing/hicks-family-agricultural-scholarship", "Hicks Family Agricultural Scholarship")</f>
        <v>Hicks Family Agricultural Scholarship</v>
      </c>
      <c r="C140" t="s">
        <v>14</v>
      </c>
      <c r="D140" t="s">
        <v>298</v>
      </c>
      <c r="E140" t="s">
        <v>205</v>
      </c>
      <c r="F140" t="s">
        <v>35</v>
      </c>
      <c r="G140" s="12" t="s">
        <v>614</v>
      </c>
      <c r="H140" t="s">
        <v>25</v>
      </c>
      <c r="I140" t="s">
        <v>25</v>
      </c>
    </row>
    <row r="141" spans="1:9" ht="75" x14ac:dyDescent="0.25">
      <c r="A141" s="2" t="s">
        <v>6</v>
      </c>
      <c r="B141" t="str">
        <f>HYPERLINK("https://www.csu.edu.au/scholarships/scholarships-grants/find-scholarship/foundation/continuing/the-kerin-physio-co-allied-health-scholarship", "The Kerin Health Allied Health Scholarship")</f>
        <v>The Kerin Health Allied Health Scholarship</v>
      </c>
      <c r="C141" t="s">
        <v>27</v>
      </c>
      <c r="D141" t="s">
        <v>203</v>
      </c>
      <c r="E141" t="s">
        <v>201</v>
      </c>
      <c r="F141" t="s">
        <v>35</v>
      </c>
      <c r="G141" s="12" t="s">
        <v>615</v>
      </c>
      <c r="H141" t="s">
        <v>25</v>
      </c>
      <c r="I141" t="s">
        <v>25</v>
      </c>
    </row>
    <row r="142" spans="1:9" ht="105" x14ac:dyDescent="0.25">
      <c r="A142" s="2" t="s">
        <v>6</v>
      </c>
      <c r="B142" t="str">
        <f>HYPERLINK("https://www.csu.edu.au/scholarships/scholarships-grants/find-scholarship/foundation/1st-year/valerie-cox-memorial-scholarship-commencing", "Valerie Cox Memorial Scholarship - Commencing")</f>
        <v>Valerie Cox Memorial Scholarship - Commencing</v>
      </c>
      <c r="C142" t="s">
        <v>14</v>
      </c>
      <c r="D142" t="s">
        <v>251</v>
      </c>
      <c r="E142" t="s">
        <v>205</v>
      </c>
      <c r="F142" t="s">
        <v>197</v>
      </c>
      <c r="G142" s="12" t="s">
        <v>616</v>
      </c>
      <c r="H142" t="s">
        <v>25</v>
      </c>
      <c r="I142" t="s">
        <v>25</v>
      </c>
    </row>
    <row r="143" spans="1:9" ht="75" x14ac:dyDescent="0.25">
      <c r="A143" s="2" t="s">
        <v>6</v>
      </c>
      <c r="B143" t="str">
        <f>HYPERLINK("https://www.csu.edu.au/scholarships/scholarships-grants/find-scholarship/foundation/accom/percy-allan-foundation-accommodation-scholarship", "Percy Allan Foundation Accommodation Scholarship")</f>
        <v>Percy Allan Foundation Accommodation Scholarship</v>
      </c>
      <c r="C143" t="s">
        <v>14</v>
      </c>
      <c r="D143" t="s">
        <v>299</v>
      </c>
      <c r="E143" t="s">
        <v>201</v>
      </c>
      <c r="F143" t="s">
        <v>13</v>
      </c>
      <c r="G143" s="12" t="s">
        <v>617</v>
      </c>
      <c r="H143" t="s">
        <v>25</v>
      </c>
      <c r="I143" t="s">
        <v>25</v>
      </c>
    </row>
    <row r="144" spans="1:9" ht="135" x14ac:dyDescent="0.25">
      <c r="A144" s="2" t="s">
        <v>6</v>
      </c>
      <c r="B144" t="str">
        <f>HYPERLINK("https://www.csu.edu.au/scholarships/scholarships-grants/find-scholarship/foundation/any-year/lainy-mcfarland-memorial-scholarship", "Lainy McFarland Memorial Scholarship")</f>
        <v>Lainy McFarland Memorial Scholarship</v>
      </c>
      <c r="C144" t="s">
        <v>14</v>
      </c>
      <c r="D144" t="s">
        <v>193</v>
      </c>
      <c r="E144" t="s">
        <v>24</v>
      </c>
      <c r="F144" t="s">
        <v>13</v>
      </c>
      <c r="G144" s="12" t="s">
        <v>618</v>
      </c>
      <c r="H144" t="s">
        <v>25</v>
      </c>
      <c r="I144" t="s">
        <v>25</v>
      </c>
    </row>
    <row r="145" spans="1:9" ht="90" x14ac:dyDescent="0.25">
      <c r="A145" s="2" t="s">
        <v>6</v>
      </c>
      <c r="B145" t="str">
        <f>HYPERLINK("https://www.csu.edu.au/scholarships/scholarships-grants/find-scholarship/foundation/continuing/sarg-waerawi-scholarship", "SARG Waerawi Scholarship")</f>
        <v>SARG Waerawi Scholarship</v>
      </c>
      <c r="C145" t="s">
        <v>27</v>
      </c>
      <c r="D145" t="s">
        <v>193</v>
      </c>
      <c r="E145" t="s">
        <v>201</v>
      </c>
      <c r="F145" t="s">
        <v>13</v>
      </c>
      <c r="G145" s="12" t="s">
        <v>619</v>
      </c>
      <c r="H145" t="s">
        <v>25</v>
      </c>
      <c r="I145" t="s">
        <v>25</v>
      </c>
    </row>
    <row r="146" spans="1:9" ht="105" x14ac:dyDescent="0.25">
      <c r="A146" s="2" t="s">
        <v>6</v>
      </c>
      <c r="B146" t="str">
        <f>HYPERLINK("https://www.csu.edu.au/scholarships/scholarships-grants/find-scholarship/foundation/1st-year/casella-wines-health-science-scholarship", "Casella Family Brands Health Scholarship")</f>
        <v>Casella Family Brands Health Scholarship</v>
      </c>
      <c r="C146" t="s">
        <v>27</v>
      </c>
      <c r="D146" t="s">
        <v>217</v>
      </c>
      <c r="E146" t="s">
        <v>201</v>
      </c>
      <c r="F146" t="s">
        <v>13</v>
      </c>
      <c r="G146" s="12" t="s">
        <v>620</v>
      </c>
      <c r="H146" t="s">
        <v>25</v>
      </c>
      <c r="I146" t="s">
        <v>25</v>
      </c>
    </row>
    <row r="147" spans="1:9" ht="75" x14ac:dyDescent="0.25">
      <c r="A147" s="2" t="s">
        <v>6</v>
      </c>
      <c r="B147" t="str">
        <f>HYPERLINK("https://www.csu.edu.au/scholarships/scholarships-grants/find-scholarship/foundation/continuing/aurora-dairies-scholarship", "Aurora Dairies Scholarship")</f>
        <v>Aurora Dairies Scholarship</v>
      </c>
      <c r="C147" t="s">
        <v>27</v>
      </c>
      <c r="D147" t="s">
        <v>213</v>
      </c>
      <c r="E147" t="s">
        <v>201</v>
      </c>
      <c r="F147" t="s">
        <v>13</v>
      </c>
      <c r="G147" s="12" t="s">
        <v>621</v>
      </c>
      <c r="H147" t="s">
        <v>25</v>
      </c>
      <c r="I147" t="s">
        <v>25</v>
      </c>
    </row>
    <row r="148" spans="1:9" ht="45" x14ac:dyDescent="0.25">
      <c r="A148" s="2" t="s">
        <v>6</v>
      </c>
      <c r="B148" t="str">
        <f>HYPERLINK("https://www.csu.edu.au/scholarships/scholarships-grants/find-scholarship/foundation/continuing/dr-judith-van-der-wal-award", "Dr Judith van der Wal Award")</f>
        <v>Dr Judith van der Wal Award</v>
      </c>
      <c r="C148" t="s">
        <v>27</v>
      </c>
      <c r="D148" t="s">
        <v>226</v>
      </c>
      <c r="E148" t="s">
        <v>24</v>
      </c>
      <c r="F148" t="s">
        <v>13</v>
      </c>
      <c r="G148" s="12" t="s">
        <v>622</v>
      </c>
      <c r="H148" t="s">
        <v>25</v>
      </c>
      <c r="I148" t="s">
        <v>25</v>
      </c>
    </row>
    <row r="149" spans="1:9" ht="75" x14ac:dyDescent="0.25">
      <c r="A149" s="2" t="s">
        <v>6</v>
      </c>
      <c r="B149" t="str">
        <f>HYPERLINK("https://www.csu.edu.au/scholarships/scholarships-grants/find-scholarship/foundation/1st-year/western-sydney-schools-agriculture-scholarship", "Western Sydney Schools Agriculture Scholarship")</f>
        <v>Western Sydney Schools Agriculture Scholarship</v>
      </c>
      <c r="C149" t="s">
        <v>27</v>
      </c>
      <c r="D149" t="s">
        <v>203</v>
      </c>
      <c r="E149" t="s">
        <v>201</v>
      </c>
      <c r="F149" t="s">
        <v>13</v>
      </c>
      <c r="G149" s="12" t="s">
        <v>623</v>
      </c>
      <c r="H149" t="s">
        <v>25</v>
      </c>
      <c r="I149" t="s">
        <v>25</v>
      </c>
    </row>
    <row r="150" spans="1:9" x14ac:dyDescent="0.25">
      <c r="A150" s="2" t="s">
        <v>6</v>
      </c>
      <c r="B150" t="str">
        <f>HYPERLINK("https://www.csu.edu.au/scholarships/scholarships-grants/find-scholarship/foundation/1st-year/gita-belin-fortitude-foundation-rural-doctors-scholarship", "Gita Belin Fortitude Foundation Rural Doctors Scholarship")</f>
        <v>Gita Belin Fortitude Foundation Rural Doctors Scholarship</v>
      </c>
      <c r="C150" t="s">
        <v>27</v>
      </c>
      <c r="D150" t="s">
        <v>300</v>
      </c>
      <c r="E150" t="s">
        <v>205</v>
      </c>
      <c r="F150" t="s">
        <v>13</v>
      </c>
      <c r="G150" s="12" t="s">
        <v>624</v>
      </c>
      <c r="H150" t="s">
        <v>25</v>
      </c>
      <c r="I150" t="s">
        <v>25</v>
      </c>
    </row>
    <row r="151" spans="1:9" ht="150" x14ac:dyDescent="0.25">
      <c r="A151" s="2" t="s">
        <v>6</v>
      </c>
      <c r="B151" t="str">
        <f>HYPERLINK("https://www.csu.edu.au/scholarships/scholarships-grants/find-scholarship/foundation/any-year/legacy-of-bob-and-pam-knight-of-noorat-scholarship", "Legacy of Bob and Pam Knight from Noorat Scholarship")</f>
        <v>Legacy of Bob and Pam Knight from Noorat Scholarship</v>
      </c>
      <c r="C151" t="s">
        <v>14</v>
      </c>
      <c r="D151" t="s">
        <v>203</v>
      </c>
      <c r="E151" t="s">
        <v>24</v>
      </c>
      <c r="F151" t="s">
        <v>13</v>
      </c>
      <c r="G151" s="12" t="s">
        <v>625</v>
      </c>
      <c r="H151" t="s">
        <v>25</v>
      </c>
      <c r="I151" t="s">
        <v>25</v>
      </c>
    </row>
    <row r="152" spans="1:9" ht="120" x14ac:dyDescent="0.25">
      <c r="A152" s="2" t="s">
        <v>6</v>
      </c>
      <c r="B152" t="str">
        <f>HYPERLINK("https://www.csu.edu.au/scholarships/scholarships-grants/find-scholarship/foundation/continuing/cerebral-palsy-alliance-allied-health-scholarship", "Cerebral Palsy Alliance Allied Health Scholarship")</f>
        <v>Cerebral Palsy Alliance Allied Health Scholarship</v>
      </c>
      <c r="C152" t="s">
        <v>14</v>
      </c>
      <c r="D152" t="s">
        <v>218</v>
      </c>
      <c r="E152" t="s">
        <v>24</v>
      </c>
      <c r="F152" t="s">
        <v>35</v>
      </c>
      <c r="G152" s="12" t="s">
        <v>626</v>
      </c>
      <c r="H152" t="s">
        <v>25</v>
      </c>
      <c r="I152" t="s">
        <v>25</v>
      </c>
    </row>
    <row r="153" spans="1:9" x14ac:dyDescent="0.25">
      <c r="A153" s="2" t="s">
        <v>6</v>
      </c>
      <c r="B153" t="str">
        <f>HYPERLINK("https://www.csu.edu.au/scholarships/scholarships-grants/find-scholarship/foundation/any-year/emma-accolade-scholarship", "EMMA Accolade Scholarship ")</f>
        <v xml:space="preserve">EMMA Accolade Scholarship </v>
      </c>
      <c r="C153" t="s">
        <v>27</v>
      </c>
      <c r="D153" t="s">
        <v>218</v>
      </c>
      <c r="E153" t="s">
        <v>24</v>
      </c>
      <c r="F153" t="s">
        <v>13</v>
      </c>
      <c r="G153" s="12" t="s">
        <v>627</v>
      </c>
      <c r="H153" t="s">
        <v>25</v>
      </c>
      <c r="I153" t="s">
        <v>25</v>
      </c>
    </row>
    <row r="154" spans="1:9" ht="315" x14ac:dyDescent="0.25">
      <c r="A154" s="2" t="s">
        <v>6</v>
      </c>
      <c r="B154" t="str">
        <f>HYPERLINK("https://www.csu.edu.au/scholarships/scholarships-grants/find-scholarship/foundation/accom/st-martins-college-accommodation-scholarship", "St Martins College Accommodation Scholarship")</f>
        <v>St Martins College Accommodation Scholarship</v>
      </c>
      <c r="C154" t="s">
        <v>27</v>
      </c>
      <c r="D154" t="s">
        <v>193</v>
      </c>
      <c r="E154" t="s">
        <v>24</v>
      </c>
      <c r="F154" t="s">
        <v>13</v>
      </c>
      <c r="G154" s="12" t="s">
        <v>301</v>
      </c>
      <c r="H154" t="s">
        <v>25</v>
      </c>
      <c r="I154" t="s">
        <v>25</v>
      </c>
    </row>
    <row r="155" spans="1:9" ht="75" x14ac:dyDescent="0.25">
      <c r="A155" s="2" t="s">
        <v>6</v>
      </c>
      <c r="B155" t="str">
        <f>HYPERLINK("https://www.csu.edu.au/scholarships/scholarships-grants/find-scholarship/foundation/continuing/rennylea-future-in-livestock-scholarship/vetprac-workshops-scholarship", "VetPrac Workshops Scholarship")</f>
        <v>VetPrac Workshops Scholarship</v>
      </c>
      <c r="C155" t="s">
        <v>27</v>
      </c>
      <c r="D155" t="s">
        <v>203</v>
      </c>
      <c r="E155" t="s">
        <v>24</v>
      </c>
      <c r="F155" t="s">
        <v>13</v>
      </c>
      <c r="G155" s="12" t="s">
        <v>660</v>
      </c>
      <c r="H155" t="s">
        <v>25</v>
      </c>
      <c r="I155" t="s">
        <v>25</v>
      </c>
    </row>
    <row r="156" spans="1:9" ht="90" x14ac:dyDescent="0.25">
      <c r="A156" s="2" t="s">
        <v>6</v>
      </c>
      <c r="B156" t="str">
        <f>HYPERLINK("https://www.csu.edu.au/scholarships/scholarships-grants/find-scholarship/equity/three-rivers-drh-aged-care-continuing-student-scholarship", "Three Rivers DRH Aged Care  Continuing Student Scholarship")</f>
        <v>Three Rivers DRH Aged Care  Continuing Student Scholarship</v>
      </c>
      <c r="C156" t="s">
        <v>27</v>
      </c>
      <c r="D156" t="s">
        <v>283</v>
      </c>
      <c r="E156" t="s">
        <v>201</v>
      </c>
      <c r="F156" t="s">
        <v>35</v>
      </c>
      <c r="G156" s="12" t="s">
        <v>658</v>
      </c>
      <c r="H156" t="s">
        <v>25</v>
      </c>
      <c r="I156" t="s">
        <v>25</v>
      </c>
    </row>
    <row r="157" spans="1:9" ht="300" x14ac:dyDescent="0.25">
      <c r="A157" s="2" t="s">
        <v>6</v>
      </c>
      <c r="B157"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7" t="s">
        <v>27</v>
      </c>
      <c r="D157" t="s">
        <v>216</v>
      </c>
      <c r="E157" t="s">
        <v>24</v>
      </c>
      <c r="F157" t="s">
        <v>13</v>
      </c>
      <c r="G157" s="12" t="s">
        <v>302</v>
      </c>
      <c r="H157" t="s">
        <v>25</v>
      </c>
      <c r="I157" t="s">
        <v>25</v>
      </c>
    </row>
    <row r="158" spans="1:9" ht="60" x14ac:dyDescent="0.25">
      <c r="A158" s="2" t="s">
        <v>6</v>
      </c>
      <c r="B158" t="str">
        <f>HYPERLINK("https://www.csu.edu.au/scholarships/scholarships-grants/find-scholarship/foundation/accom/colgate-accommodation-scholarship", "Colgate Accommodation Scholarship")</f>
        <v>Colgate Accommodation Scholarship</v>
      </c>
      <c r="C158" t="s">
        <v>27</v>
      </c>
      <c r="D158" t="s">
        <v>203</v>
      </c>
      <c r="E158" t="s">
        <v>201</v>
      </c>
      <c r="F158" t="s">
        <v>13</v>
      </c>
      <c r="G158" s="12" t="s">
        <v>303</v>
      </c>
      <c r="H158" t="s">
        <v>25</v>
      </c>
      <c r="I158" t="s">
        <v>25</v>
      </c>
    </row>
    <row r="159" spans="1:9" ht="150" x14ac:dyDescent="0.25">
      <c r="A159" s="2" t="s">
        <v>6</v>
      </c>
      <c r="B159" t="str">
        <f>HYPERLINK("https://www.csu.edu.au/scholarships/scholarships-grants/find-scholarship/foundation/any-year/rowe-scientific-chemistry-scholarship", "Rowe Scientific Chemistry Scholarship")</f>
        <v>Rowe Scientific Chemistry Scholarship</v>
      </c>
      <c r="C159" t="s">
        <v>27</v>
      </c>
      <c r="D159" t="s">
        <v>209</v>
      </c>
      <c r="E159" t="s">
        <v>201</v>
      </c>
      <c r="F159" t="s">
        <v>13</v>
      </c>
      <c r="G159" s="12" t="s">
        <v>628</v>
      </c>
      <c r="H159" t="s">
        <v>25</v>
      </c>
      <c r="I159" t="s">
        <v>25</v>
      </c>
    </row>
    <row r="160" spans="1:9" ht="409.5" x14ac:dyDescent="0.25">
      <c r="A160" s="2" t="s">
        <v>6</v>
      </c>
      <c r="B160" t="str">
        <f>HYPERLINK("https://www.csu.edu.au/scholarships/scholarships-grants/find-scholarship/foundation/continuing/rennylea-future-in-livestock-scholarship", "Rennylea - The Future in Livestock Scholarship")</f>
        <v>Rennylea - The Future in Livestock Scholarship</v>
      </c>
      <c r="C160" t="s">
        <v>14</v>
      </c>
      <c r="D160" t="s">
        <v>304</v>
      </c>
      <c r="E160" t="s">
        <v>201</v>
      </c>
      <c r="F160" t="s">
        <v>254</v>
      </c>
      <c r="G160" s="12" t="s">
        <v>305</v>
      </c>
      <c r="H160" t="s">
        <v>25</v>
      </c>
      <c r="I160" t="s">
        <v>25</v>
      </c>
    </row>
    <row r="161" spans="1:9" ht="75" x14ac:dyDescent="0.25">
      <c r="A161" s="2" t="s">
        <v>6</v>
      </c>
      <c r="B161" t="str">
        <f>HYPERLINK("https://www.csu.edu.au/scholarships/scholarships-grants/find-scholarship/foundation/continuing/valerie-cox-memorial-scholarship-continuing", "Valerie Cox Memorial Scholarship - Continuing")</f>
        <v>Valerie Cox Memorial Scholarship - Continuing</v>
      </c>
      <c r="C161" t="s">
        <v>27</v>
      </c>
      <c r="D161" t="s">
        <v>203</v>
      </c>
      <c r="E161" t="s">
        <v>24</v>
      </c>
      <c r="F161" t="s">
        <v>13</v>
      </c>
      <c r="G161" s="12" t="s">
        <v>655</v>
      </c>
      <c r="H161" t="s">
        <v>25</v>
      </c>
      <c r="I161" t="s">
        <v>25</v>
      </c>
    </row>
    <row r="162" spans="1:9" ht="60" x14ac:dyDescent="0.25">
      <c r="A162" s="2" t="s">
        <v>6</v>
      </c>
      <c r="B162" t="str">
        <f>HYPERLINK("https://www.csu.edu.au/scholarships/scholarships-grants/find-scholarship/equity/three-rivers-department-of-rural-health-honours-scholarship", "Three Rivers Department of Rural Health Honours Scholarship")</f>
        <v>Three Rivers Department of Rural Health Honours Scholarship</v>
      </c>
      <c r="C162" t="s">
        <v>27</v>
      </c>
      <c r="D162" s="7" t="s">
        <v>306</v>
      </c>
      <c r="E162" t="s">
        <v>201</v>
      </c>
      <c r="F162" t="s">
        <v>137</v>
      </c>
      <c r="G162" s="12" t="s">
        <v>661</v>
      </c>
      <c r="H162" t="s">
        <v>25</v>
      </c>
      <c r="I162" t="s">
        <v>25</v>
      </c>
    </row>
    <row r="163" spans="1:9" ht="105" x14ac:dyDescent="0.25">
      <c r="A163" s="2" t="s">
        <v>6</v>
      </c>
      <c r="B163" t="str">
        <f>HYPERLINK("https://www.csu.edu.au/scholarships/scholarships-grants/find-scholarship/foundation/1st-year/chris-and-gina-grubb-scholarship", "Chris and Gina Grubb Ornithology Scholarship")</f>
        <v>Chris and Gina Grubb Ornithology Scholarship</v>
      </c>
      <c r="C163" t="s">
        <v>27</v>
      </c>
      <c r="D163" s="7" t="s">
        <v>203</v>
      </c>
      <c r="E163" t="s">
        <v>24</v>
      </c>
      <c r="F163" t="s">
        <v>13</v>
      </c>
      <c r="G163" s="12" t="s">
        <v>307</v>
      </c>
      <c r="H163" t="s">
        <v>25</v>
      </c>
      <c r="I163" t="s">
        <v>25</v>
      </c>
    </row>
    <row r="164" spans="1:9" ht="255" x14ac:dyDescent="0.25">
      <c r="A164" s="2" t="s">
        <v>6</v>
      </c>
      <c r="B164" t="str">
        <f>HYPERLINK("https://www.csu.edu.au/scholarships/scholarships-grants/find-scholarship/foundation/1st-year/The-Roberton-Scholarship", "The Roberton Scholarship")</f>
        <v>The Roberton Scholarship</v>
      </c>
      <c r="C164" t="s">
        <v>27</v>
      </c>
      <c r="D164" t="s">
        <v>308</v>
      </c>
      <c r="E164" t="s">
        <v>201</v>
      </c>
      <c r="F164" t="s">
        <v>13</v>
      </c>
      <c r="G164" s="12" t="s">
        <v>309</v>
      </c>
      <c r="H164" t="s">
        <v>25</v>
      </c>
      <c r="I164" t="s">
        <v>25</v>
      </c>
    </row>
    <row r="165" spans="1:9" ht="345" x14ac:dyDescent="0.25">
      <c r="A165" s="2" t="s">
        <v>6</v>
      </c>
      <c r="B165" t="str">
        <f>HYPERLINK("https://www.csu.edu.au/scholarships/scholarships-grants/find-scholarship/foundation/continuing/calvary-health-care-riverina-scholarship", "Calvary Health Care Riverina Scholarship")</f>
        <v>Calvary Health Care Riverina Scholarship</v>
      </c>
      <c r="C165" t="s">
        <v>27</v>
      </c>
      <c r="D165" t="s">
        <v>216</v>
      </c>
      <c r="E165" t="s">
        <v>24</v>
      </c>
      <c r="F165" t="s">
        <v>13</v>
      </c>
      <c r="G165" s="12" t="s">
        <v>310</v>
      </c>
      <c r="H165" t="s">
        <v>25</v>
      </c>
      <c r="I165" t="s">
        <v>25</v>
      </c>
    </row>
    <row r="166" spans="1:9" ht="300" x14ac:dyDescent="0.25">
      <c r="A166" s="2" t="s">
        <v>6</v>
      </c>
      <c r="B166" t="str">
        <f>HYPERLINK("https://www.csu.edu.au/scholarships/scholarships-grants/find-scholarship/foundation/1st-year/csu-pharmacy-foundation-scholarship", "CSU Pharmacy Foundation Scholarship")</f>
        <v>CSU Pharmacy Foundation Scholarship</v>
      </c>
      <c r="C166" t="s">
        <v>27</v>
      </c>
      <c r="D166" t="s">
        <v>203</v>
      </c>
      <c r="E166" t="s">
        <v>24</v>
      </c>
      <c r="F166" t="s">
        <v>13</v>
      </c>
      <c r="G166" s="12" t="s">
        <v>311</v>
      </c>
      <c r="H166" t="s">
        <v>21</v>
      </c>
      <c r="I166" t="s">
        <v>25</v>
      </c>
    </row>
    <row r="167" spans="1:9" ht="90" x14ac:dyDescent="0.25">
      <c r="A167" s="2" t="s">
        <v>6</v>
      </c>
      <c r="B167" t="str">
        <f>HYPERLINK("https://www.csu.edu.au/scholarships/scholarships-grants/find-scholarship/foundation/continuing/geoff-quick-paramedicine-scholarship", "Geoff Quick Paramedicine Scholarship")</f>
        <v>Geoff Quick Paramedicine Scholarship</v>
      </c>
      <c r="C167" t="s">
        <v>14</v>
      </c>
      <c r="D167" t="s">
        <v>203</v>
      </c>
      <c r="E167" t="s">
        <v>201</v>
      </c>
      <c r="F167" t="s">
        <v>13</v>
      </c>
      <c r="G167" s="12" t="s">
        <v>312</v>
      </c>
      <c r="H167" t="s">
        <v>25</v>
      </c>
      <c r="I167" t="s">
        <v>25</v>
      </c>
    </row>
    <row r="168" spans="1:9" ht="285" x14ac:dyDescent="0.25">
      <c r="A168" s="2" t="s">
        <v>6</v>
      </c>
      <c r="B168" t="str">
        <f>HYPERLINK("https://www.csu.edu.au/scholarships/scholarships-grants/find-scholarship/foundation/any-year/rotary-club-of-wollundry-scholarship-wagga-wagga", "Rotary Club of Wollundry Scholarship, Wagga Wagga ")</f>
        <v xml:space="preserve">Rotary Club of Wollundry Scholarship, Wagga Wagga </v>
      </c>
      <c r="C168" t="s">
        <v>27</v>
      </c>
      <c r="D168" t="s">
        <v>295</v>
      </c>
      <c r="E168" t="s">
        <v>201</v>
      </c>
      <c r="F168" t="s">
        <v>13</v>
      </c>
      <c r="G168" s="12" t="s">
        <v>313</v>
      </c>
      <c r="H168" t="s">
        <v>25</v>
      </c>
      <c r="I168" t="s">
        <v>25</v>
      </c>
    </row>
    <row r="169" spans="1:9" ht="195" x14ac:dyDescent="0.25">
      <c r="A169" s="2" t="s">
        <v>6</v>
      </c>
      <c r="B169" t="str">
        <f>HYPERLINK("https://www.csu.edu.au/scholarships/scholarships-grants/find-scholarship/foundation/1st-year/rotary-club-of-liverpool-west-nursing-scholarship", "Rotary Club of Liverpool West Nursing Scholarship")</f>
        <v>Rotary Club of Liverpool West Nursing Scholarship</v>
      </c>
      <c r="C169" t="s">
        <v>14</v>
      </c>
      <c r="D169" t="s">
        <v>266</v>
      </c>
      <c r="E169" t="s">
        <v>201</v>
      </c>
      <c r="F169" t="s">
        <v>13</v>
      </c>
      <c r="G169" s="12" t="s">
        <v>314</v>
      </c>
      <c r="H169" t="s">
        <v>25</v>
      </c>
      <c r="I169" t="s">
        <v>25</v>
      </c>
    </row>
    <row r="170" spans="1:9" ht="150" x14ac:dyDescent="0.25">
      <c r="A170" s="2" t="s">
        <v>6</v>
      </c>
      <c r="B170" t="str">
        <f>HYPERLINK("https://www.csu.edu.au/scholarships/scholarships-grants/find-scholarship/foundation/1st-year/vp-bragg-bequest-trust-fund-scholarship", "VP Bragg Bequest Trust Fund Scholarship")</f>
        <v>VP Bragg Bequest Trust Fund Scholarship</v>
      </c>
      <c r="C170" t="s">
        <v>14</v>
      </c>
      <c r="D170" t="s">
        <v>193</v>
      </c>
      <c r="E170" t="s">
        <v>24</v>
      </c>
      <c r="F170" t="s">
        <v>13</v>
      </c>
      <c r="G170" s="12" t="s">
        <v>315</v>
      </c>
      <c r="H170" t="s">
        <v>25</v>
      </c>
      <c r="I170" t="s">
        <v>25</v>
      </c>
    </row>
    <row r="171" spans="1:9" ht="45" x14ac:dyDescent="0.25">
      <c r="A171" s="2" t="s">
        <v>6</v>
      </c>
      <c r="B171"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1" t="s">
        <v>27</v>
      </c>
      <c r="D171" t="s">
        <v>316</v>
      </c>
      <c r="E171" t="s">
        <v>201</v>
      </c>
      <c r="F171" t="s">
        <v>197</v>
      </c>
      <c r="G171" s="12" t="s">
        <v>317</v>
      </c>
      <c r="H171" t="s">
        <v>25</v>
      </c>
      <c r="I171" t="s">
        <v>25</v>
      </c>
    </row>
    <row r="172" spans="1:9" ht="225" x14ac:dyDescent="0.25">
      <c r="A172" s="2" t="s">
        <v>6</v>
      </c>
      <c r="B172" t="str">
        <f>HYPERLINK("https://www.csu.edu.au/scholarships/scholarships-grants/find-scholarship/foundation/any-year/widgiewa-school-scholarship", "Widgiewa School Scholarship ")</f>
        <v xml:space="preserve">Widgiewa School Scholarship </v>
      </c>
      <c r="C172" t="s">
        <v>27</v>
      </c>
      <c r="D172" t="s">
        <v>203</v>
      </c>
      <c r="E172" t="s">
        <v>24</v>
      </c>
      <c r="F172" t="s">
        <v>13</v>
      </c>
      <c r="G172" s="12" t="s">
        <v>318</v>
      </c>
      <c r="H172" t="s">
        <v>25</v>
      </c>
      <c r="I172" t="s">
        <v>25</v>
      </c>
    </row>
    <row r="173" spans="1:9" ht="90" x14ac:dyDescent="0.25">
      <c r="A173" s="2" t="s">
        <v>6</v>
      </c>
      <c r="B173" t="str">
        <f>HYPERLINK("https://www.csu.edu.au/scholarships/scholarships-grants/find-scholarship/foundation/1st-year/the-james-mcinerney-memorial-scholarship", "The James McInerney Memorial Scholarship")</f>
        <v>The James McInerney Memorial Scholarship</v>
      </c>
      <c r="C173" t="s">
        <v>14</v>
      </c>
      <c r="D173" t="s">
        <v>319</v>
      </c>
      <c r="E173" t="s">
        <v>201</v>
      </c>
      <c r="F173" t="s">
        <v>13</v>
      </c>
      <c r="G173" s="12" t="s">
        <v>320</v>
      </c>
      <c r="H173" t="s">
        <v>25</v>
      </c>
      <c r="I173" t="s">
        <v>25</v>
      </c>
    </row>
    <row r="174" spans="1:9" ht="195" x14ac:dyDescent="0.25">
      <c r="A174" s="2" t="s">
        <v>6</v>
      </c>
      <c r="B174" t="str">
        <f>HYPERLINK("https://www.csu.edu.au/scholarships/scholarships-grants/find-scholarship/foundation/1st-year/fc-pye-rural-australia-foundation", "FC Pye Rural Australia Foundation")</f>
        <v>FC Pye Rural Australia Foundation</v>
      </c>
      <c r="C174" t="s">
        <v>27</v>
      </c>
      <c r="D174" t="s">
        <v>216</v>
      </c>
      <c r="E174" t="s">
        <v>24</v>
      </c>
      <c r="F174" t="s">
        <v>13</v>
      </c>
      <c r="G174" s="12" t="s">
        <v>321</v>
      </c>
      <c r="H174" t="s">
        <v>25</v>
      </c>
      <c r="I174" t="s">
        <v>25</v>
      </c>
    </row>
    <row r="175" spans="1:9" ht="105" x14ac:dyDescent="0.25">
      <c r="A175" s="2" t="s">
        <v>6</v>
      </c>
      <c r="B175" t="str">
        <f>HYPERLINK("https://www.csu.edu.au/scholarships/scholarships-grants/find-scholarship/foundation/continuing/matron-hertzog-scholarship", "Matron Herzog Scholarship")</f>
        <v>Matron Herzog Scholarship</v>
      </c>
      <c r="C175" t="s">
        <v>14</v>
      </c>
      <c r="D175" s="7" t="s">
        <v>211</v>
      </c>
      <c r="E175" t="s">
        <v>24</v>
      </c>
      <c r="F175" t="s">
        <v>13</v>
      </c>
      <c r="G175" s="12" t="s">
        <v>322</v>
      </c>
      <c r="H175" t="s">
        <v>25</v>
      </c>
      <c r="I175" t="s">
        <v>25</v>
      </c>
    </row>
    <row r="176" spans="1:9" ht="345" x14ac:dyDescent="0.25">
      <c r="A176" s="2" t="s">
        <v>6</v>
      </c>
      <c r="B176"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6" t="s">
        <v>27</v>
      </c>
      <c r="D176" t="s">
        <v>226</v>
      </c>
      <c r="E176" t="s">
        <v>24</v>
      </c>
      <c r="F176" t="s">
        <v>13</v>
      </c>
      <c r="G176" s="12" t="s">
        <v>323</v>
      </c>
      <c r="H176" t="s">
        <v>25</v>
      </c>
      <c r="I176" t="s">
        <v>25</v>
      </c>
    </row>
    <row r="177" spans="1:9" ht="180" x14ac:dyDescent="0.25">
      <c r="A177" s="2" t="s">
        <v>6</v>
      </c>
      <c r="B177" t="str">
        <f>HYPERLINK("https://www.csu.edu.au/scholarships/scholarships-grants/find-scholarship/foundation/1st-year/ron-and-stephanie-camplin-oam-nursing-scholarship", "Ron and Stephanie Camplin OAM Nursing Scholarship")</f>
        <v>Ron and Stephanie Camplin OAM Nursing Scholarship</v>
      </c>
      <c r="C177" t="s">
        <v>27</v>
      </c>
      <c r="D177" t="s">
        <v>295</v>
      </c>
      <c r="E177" t="s">
        <v>201</v>
      </c>
      <c r="F177" t="s">
        <v>13</v>
      </c>
      <c r="G177" s="12" t="s">
        <v>324</v>
      </c>
      <c r="H177" t="s">
        <v>25</v>
      </c>
      <c r="I177" t="s">
        <v>25</v>
      </c>
    </row>
    <row r="178" spans="1:9" ht="360" x14ac:dyDescent="0.25">
      <c r="A178" s="2" t="s">
        <v>6</v>
      </c>
      <c r="B178"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8" t="s">
        <v>27</v>
      </c>
      <c r="D178" t="s">
        <v>216</v>
      </c>
      <c r="E178" t="s">
        <v>24</v>
      </c>
      <c r="F178" t="s">
        <v>13</v>
      </c>
      <c r="G178" s="12" t="s">
        <v>325</v>
      </c>
      <c r="H178" t="s">
        <v>25</v>
      </c>
      <c r="I178" t="s">
        <v>25</v>
      </c>
    </row>
    <row r="179" spans="1:9" ht="195" x14ac:dyDescent="0.25">
      <c r="A179" s="2" t="s">
        <v>6</v>
      </c>
      <c r="B179" t="str">
        <f>HYPERLINK("https://www.csu.edu.au/scholarships/scholarships-grants/find-scholarship/foundation/continuing/a-and-k-gestier-veterinary-scholarship2", "A&amp;K Gestier Veterinary Scholarship")</f>
        <v>A&amp;K Gestier Veterinary Scholarship</v>
      </c>
      <c r="C179" t="s">
        <v>14</v>
      </c>
      <c r="D179" t="s">
        <v>193</v>
      </c>
      <c r="E179" t="s">
        <v>24</v>
      </c>
      <c r="F179" t="s">
        <v>13</v>
      </c>
      <c r="G179" s="12" t="s">
        <v>326</v>
      </c>
      <c r="H179" t="s">
        <v>25</v>
      </c>
      <c r="I179" t="s">
        <v>25</v>
      </c>
    </row>
    <row r="180" spans="1:9" ht="135" x14ac:dyDescent="0.25">
      <c r="A180" s="2" t="s">
        <v>6</v>
      </c>
      <c r="B180" t="str">
        <f>HYPERLINK("https://www.csu.edu.au/scholarships/scholarships-grants/find-scholarship/foundation/continuing/the-ak-and-ia-sutherland-scholarship", "The AK &amp; IA Sutherland Scholarship")</f>
        <v>The AK &amp; IA Sutherland Scholarship</v>
      </c>
      <c r="C180" t="s">
        <v>14</v>
      </c>
      <c r="D180" t="s">
        <v>193</v>
      </c>
      <c r="E180" t="s">
        <v>24</v>
      </c>
      <c r="F180" t="s">
        <v>13</v>
      </c>
      <c r="G180" s="12" t="s">
        <v>327</v>
      </c>
      <c r="H180" t="s">
        <v>25</v>
      </c>
      <c r="I180" t="s">
        <v>25</v>
      </c>
    </row>
    <row r="181" spans="1:9" x14ac:dyDescent="0.25">
      <c r="A181" s="6" t="s">
        <v>5</v>
      </c>
      <c r="B181" s="8" t="str">
        <f>HYPERLINK("https://www.mq.edu.au/study/admissions-and-entry/scholarships/domestic/indigenous-education-costs-scholarship","Indigenous Education Costs Scholarship")</f>
        <v>Indigenous Education Costs Scholarship</v>
      </c>
      <c r="C181" s="7" t="s">
        <v>14</v>
      </c>
      <c r="D181" s="9">
        <v>3000</v>
      </c>
      <c r="E181" s="7">
        <v>4</v>
      </c>
      <c r="F181" s="7" t="s">
        <v>13</v>
      </c>
      <c r="G181" s="7" t="s">
        <v>17</v>
      </c>
      <c r="H181" t="s">
        <v>16</v>
      </c>
      <c r="I181" s="7" t="s">
        <v>25</v>
      </c>
    </row>
    <row r="182" spans="1:9" ht="30" x14ac:dyDescent="0.25">
      <c r="A182" s="6" t="s">
        <v>5</v>
      </c>
      <c r="B182" s="8" t="str">
        <f>HYPERLINK(" https://www.mq.edu.au/study/admissions-and-entry/scholarships/domestic/indigenous-commonwealth-assistance-scholarship", "Indigenous Commonwealth Assistance Scholarship")</f>
        <v>Indigenous Commonwealth Assistance Scholarship</v>
      </c>
      <c r="C182" s="7" t="s">
        <v>19</v>
      </c>
      <c r="D182" s="9">
        <v>6000</v>
      </c>
      <c r="E182" s="7">
        <v>4</v>
      </c>
      <c r="F182" s="7" t="s">
        <v>13</v>
      </c>
      <c r="G182" s="10" t="s">
        <v>18</v>
      </c>
      <c r="H182" t="s">
        <v>16</v>
      </c>
      <c r="I182" s="7" t="s">
        <v>25</v>
      </c>
    </row>
    <row r="183" spans="1:9" ht="45" x14ac:dyDescent="0.25">
      <c r="A183" s="6" t="s">
        <v>5</v>
      </c>
      <c r="B183" s="8" t="str">
        <f>HYPERLINK(" https://www.mq.edu.au/study/admissions-and-entry/scholarships/domestic/macquarie-regional-and-remote-support-scholarship", "Macquarie Regional and Remote Support Scholarship")</f>
        <v>Macquarie Regional and Remote Support Scholarship</v>
      </c>
      <c r="C183" s="7" t="s">
        <v>14</v>
      </c>
      <c r="D183" s="9">
        <v>10000</v>
      </c>
      <c r="E183" s="7">
        <v>4</v>
      </c>
      <c r="F183" s="7" t="s">
        <v>13</v>
      </c>
      <c r="G183" s="10" t="s">
        <v>20</v>
      </c>
      <c r="H183" s="7" t="s">
        <v>21</v>
      </c>
      <c r="I183" s="7" t="s">
        <v>25</v>
      </c>
    </row>
    <row r="184" spans="1:9" ht="60" x14ac:dyDescent="0.25">
      <c r="A184" s="6" t="s">
        <v>5</v>
      </c>
      <c r="B184" s="8" t="str">
        <f>HYPERLINK(" https://www.mq.edu.au/study/admissions-and-entry/scholarships/domestic/macquarie-education-costs-scholarship", "Macquarie Education Costs Scholarship")</f>
        <v>Macquarie Education Costs Scholarship</v>
      </c>
      <c r="C184" s="7" t="s">
        <v>14</v>
      </c>
      <c r="D184" s="9">
        <v>6000</v>
      </c>
      <c r="E184" s="7">
        <v>4</v>
      </c>
      <c r="F184" s="7" t="s">
        <v>13</v>
      </c>
      <c r="G184" s="10" t="s">
        <v>22</v>
      </c>
      <c r="H184" s="7" t="s">
        <v>21</v>
      </c>
      <c r="I184" s="7" t="s">
        <v>25</v>
      </c>
    </row>
    <row r="185" spans="1:9" ht="60" x14ac:dyDescent="0.25">
      <c r="A185" s="6" t="s">
        <v>5</v>
      </c>
      <c r="B185" s="8" t="str">
        <f>HYPERLINK(" https://www.mq.edu.au/study/admissions-and-entry/scholarships/domestic/tertiary-access-payment", "Tertiary Access Payment")</f>
        <v>Tertiary Access Payment</v>
      </c>
      <c r="C185" s="7" t="s">
        <v>14</v>
      </c>
      <c r="D185" s="7" t="s">
        <v>23</v>
      </c>
      <c r="E185" s="7" t="s">
        <v>24</v>
      </c>
      <c r="F185" s="7" t="s">
        <v>13</v>
      </c>
      <c r="G185" s="10" t="s">
        <v>26</v>
      </c>
      <c r="H185" s="7" t="s">
        <v>25</v>
      </c>
      <c r="I185" s="7" t="s">
        <v>25</v>
      </c>
    </row>
    <row r="186" spans="1:9" ht="45" x14ac:dyDescent="0.25">
      <c r="A186" s="6" t="s">
        <v>5</v>
      </c>
      <c r="B186" s="8" t="str">
        <f>HYPERLINK(" https://www.mq.edu.au/study/admissions-and-entry/scholarships/domestic/jennifer-barton-memorial-law-scholarship", "
Jennifer Barton Memorial Law Scholarship")</f>
        <v xml:space="preserve">
Jennifer Barton Memorial Law Scholarship</v>
      </c>
      <c r="C186" s="7" t="s">
        <v>27</v>
      </c>
      <c r="D186" s="9">
        <v>10000</v>
      </c>
      <c r="E186" s="7">
        <v>1</v>
      </c>
      <c r="F186" s="7" t="s">
        <v>13</v>
      </c>
      <c r="G186" s="10" t="s">
        <v>28</v>
      </c>
      <c r="H186" s="7" t="s">
        <v>25</v>
      </c>
      <c r="I186" s="7" t="s">
        <v>25</v>
      </c>
    </row>
    <row r="187" spans="1:9" ht="30" x14ac:dyDescent="0.25">
      <c r="A187" s="6" t="s">
        <v>5</v>
      </c>
      <c r="B187" s="8" t="str">
        <f>HYPERLINK("https://www.mq.edu.au/study/admissions-and-entry/scholarships/domestic/macquarie-business-school-academic-excellence-scholarship", "Macquarie Business School Academic Excellence Scholarship")</f>
        <v>Macquarie Business School Academic Excellence Scholarship</v>
      </c>
      <c r="C187" s="7" t="s">
        <v>27</v>
      </c>
      <c r="D187" s="7" t="s">
        <v>29</v>
      </c>
      <c r="E187" s="7">
        <v>4</v>
      </c>
      <c r="F187" s="7" t="s">
        <v>13</v>
      </c>
      <c r="G187" s="10" t="s">
        <v>30</v>
      </c>
      <c r="H187" s="7" t="s">
        <v>25</v>
      </c>
      <c r="I187" s="7" t="s">
        <v>25</v>
      </c>
    </row>
    <row r="188" spans="1:9" ht="30" x14ac:dyDescent="0.25">
      <c r="A188" s="6" t="s">
        <v>5</v>
      </c>
      <c r="B188"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8" s="7" t="s">
        <v>14</v>
      </c>
      <c r="D188" s="7" t="s">
        <v>31</v>
      </c>
      <c r="E188" s="7">
        <v>4</v>
      </c>
      <c r="F188" s="7" t="s">
        <v>13</v>
      </c>
      <c r="G188" s="10" t="s">
        <v>18</v>
      </c>
      <c r="H188" s="7" t="s">
        <v>21</v>
      </c>
      <c r="I188" s="7" t="s">
        <v>25</v>
      </c>
    </row>
    <row r="189" spans="1:9" ht="60" x14ac:dyDescent="0.25">
      <c r="A189" s="6" t="s">
        <v>5</v>
      </c>
      <c r="B189"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9" s="7" t="s">
        <v>14</v>
      </c>
      <c r="D189" s="7" t="s">
        <v>31</v>
      </c>
      <c r="E189" s="7">
        <v>1</v>
      </c>
      <c r="F189" s="7" t="s">
        <v>13</v>
      </c>
      <c r="G189" s="10" t="s">
        <v>32</v>
      </c>
      <c r="H189" s="7" t="s">
        <v>21</v>
      </c>
      <c r="I189" s="7" t="s">
        <v>25</v>
      </c>
    </row>
    <row r="190" spans="1:9" ht="60" x14ac:dyDescent="0.25">
      <c r="A190" s="6" t="s">
        <v>5</v>
      </c>
      <c r="B190" s="8" t="str">
        <f>HYPERLINK(" https://www.mq.edu.au/study/admissions-and-entry/scholarships/domestic/macquarie-leaders-and-achievers-scholarship", "Macquarie Leaders and Achievers Scholarship")</f>
        <v>Macquarie Leaders and Achievers Scholarship</v>
      </c>
      <c r="C190" s="7" t="s">
        <v>27</v>
      </c>
      <c r="D190" s="9">
        <v>10000</v>
      </c>
      <c r="E190" s="7">
        <v>5</v>
      </c>
      <c r="F190" s="7" t="s">
        <v>13</v>
      </c>
      <c r="G190" s="10" t="s">
        <v>33</v>
      </c>
      <c r="H190" s="7" t="s">
        <v>25</v>
      </c>
      <c r="I190" s="7" t="s">
        <v>25</v>
      </c>
    </row>
    <row r="191" spans="1:9" ht="45" x14ac:dyDescent="0.25">
      <c r="A191" s="6" t="s">
        <v>5</v>
      </c>
      <c r="B191" s="8" t="str">
        <f>HYPERLINK(" https://www.mq.edu.au/study/admissions-and-entry/scholarships/domestic/dr-arthur-pryor-scholarship", "Dr Arthur Pryor Scholarship")</f>
        <v>Dr Arthur Pryor Scholarship</v>
      </c>
      <c r="C191" s="7" t="s">
        <v>27</v>
      </c>
      <c r="D191" s="9">
        <v>5000</v>
      </c>
      <c r="E191" s="7">
        <v>3</v>
      </c>
      <c r="F191" s="7" t="s">
        <v>13</v>
      </c>
      <c r="G191" s="10" t="s">
        <v>34</v>
      </c>
      <c r="H191" s="7" t="s">
        <v>25</v>
      </c>
      <c r="I191" s="7" t="s">
        <v>25</v>
      </c>
    </row>
    <row r="192" spans="1:9" ht="45" x14ac:dyDescent="0.25">
      <c r="A192" s="6" t="s">
        <v>5</v>
      </c>
      <c r="B192" s="8" t="str">
        <f>HYPERLINK("https://www.mq.edu.au/study/admissions-and-entry/scholarships/domestic/faculty-of-science-and-engineering-sustainability-scholarship", "Faculty of Science and Engineering Sustainability Scholarship")</f>
        <v>Faculty of Science and Engineering Sustainability Scholarship</v>
      </c>
      <c r="C192" s="7" t="s">
        <v>27</v>
      </c>
      <c r="D192" s="9">
        <v>5000</v>
      </c>
      <c r="E192" s="7">
        <v>4</v>
      </c>
      <c r="F192" s="7" t="s">
        <v>35</v>
      </c>
      <c r="G192" s="10" t="s">
        <v>36</v>
      </c>
      <c r="H192" s="7" t="s">
        <v>25</v>
      </c>
      <c r="I192" s="7" t="s">
        <v>25</v>
      </c>
    </row>
    <row r="193" spans="1:9" ht="60" x14ac:dyDescent="0.25">
      <c r="A193" s="6" t="s">
        <v>5</v>
      </c>
      <c r="B193" s="8" t="str">
        <f>HYPERLINK(" https://www.mq.edu.au/study/admissions-and-entry/scholarships/domestic/faculty-of-science-and-engineering-women-in-stem-scholarship", "Faculty of Science and Engineering Women in STEM Scholarship")</f>
        <v>Faculty of Science and Engineering Women in STEM Scholarship</v>
      </c>
      <c r="C193" s="7" t="s">
        <v>27</v>
      </c>
      <c r="D193" s="9">
        <v>5000</v>
      </c>
      <c r="E193" s="7">
        <v>4</v>
      </c>
      <c r="F193" s="7" t="s">
        <v>35</v>
      </c>
      <c r="G193" s="10" t="s">
        <v>37</v>
      </c>
      <c r="H193" s="7" t="s">
        <v>25</v>
      </c>
      <c r="I193" s="7" t="s">
        <v>25</v>
      </c>
    </row>
    <row r="194" spans="1:9" ht="45" x14ac:dyDescent="0.25">
      <c r="A194" s="6" t="s">
        <v>5</v>
      </c>
      <c r="B194" s="8" t="str">
        <f>HYPERLINK("https://www.mq.edu.au/study/admissions-and-entry/scholarships/domestic/dr-melanie-beresford-scholarship", "Dr Melanie Beresford Scholarship")</f>
        <v>Dr Melanie Beresford Scholarship</v>
      </c>
      <c r="C194" s="7" t="s">
        <v>27</v>
      </c>
      <c r="D194" s="9">
        <v>7500</v>
      </c>
      <c r="E194" s="7" t="s">
        <v>24</v>
      </c>
      <c r="F194" s="7" t="s">
        <v>35</v>
      </c>
      <c r="G194" s="10" t="s">
        <v>38</v>
      </c>
      <c r="H194" s="7" t="s">
        <v>25</v>
      </c>
      <c r="I194" s="7" t="s">
        <v>25</v>
      </c>
    </row>
    <row r="195" spans="1:9" ht="45" x14ac:dyDescent="0.25">
      <c r="A195" s="6" t="s">
        <v>5</v>
      </c>
      <c r="B195"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5" s="7" t="s">
        <v>27</v>
      </c>
      <c r="D195" s="9">
        <v>10000</v>
      </c>
      <c r="E195" s="7" t="s">
        <v>24</v>
      </c>
      <c r="F195" s="7" t="s">
        <v>13</v>
      </c>
      <c r="G195" s="10" t="s">
        <v>39</v>
      </c>
      <c r="H195" s="7" t="s">
        <v>25</v>
      </c>
      <c r="I195" s="7" t="s">
        <v>25</v>
      </c>
    </row>
    <row r="196" spans="1:9" ht="30" x14ac:dyDescent="0.25">
      <c r="A196" s="6" t="s">
        <v>5</v>
      </c>
      <c r="B196" s="8" t="str">
        <f>HYPERLINK("https://www.mq.edu.au/study/admissions-and-entry/scholarships/domestic/sports-scholarship", "Sports Scholarship")</f>
        <v>Sports Scholarship</v>
      </c>
      <c r="C196" s="7" t="s">
        <v>27</v>
      </c>
      <c r="D196" s="7" t="s">
        <v>40</v>
      </c>
      <c r="E196" s="7">
        <v>1</v>
      </c>
      <c r="F196" s="7" t="s">
        <v>35</v>
      </c>
      <c r="G196" s="10" t="s">
        <v>176</v>
      </c>
      <c r="H196" s="7" t="s">
        <v>25</v>
      </c>
      <c r="I196" s="7" t="s">
        <v>25</v>
      </c>
    </row>
    <row r="197" spans="1:9" ht="45" x14ac:dyDescent="0.25">
      <c r="A197" s="6" t="s">
        <v>5</v>
      </c>
      <c r="B197" s="8" t="str">
        <f>HYPERLINK(" https://www.mq.edu.au/study/admissions-and-entry/scholarships/domestic/the-mark-pezzano-memorial-scholarship-in-law", "The Mark Pezzano Memorial Scholarship in Law")</f>
        <v>The Mark Pezzano Memorial Scholarship in Law</v>
      </c>
      <c r="C197" s="7" t="s">
        <v>14</v>
      </c>
      <c r="D197" s="9">
        <v>10000</v>
      </c>
      <c r="E197" s="7" t="s">
        <v>41</v>
      </c>
      <c r="F197" s="7" t="s">
        <v>13</v>
      </c>
      <c r="G197" s="10" t="s">
        <v>42</v>
      </c>
      <c r="H197" s="7" t="s">
        <v>25</v>
      </c>
      <c r="I197" s="7" t="s">
        <v>25</v>
      </c>
    </row>
    <row r="198" spans="1:9" ht="60" x14ac:dyDescent="0.25">
      <c r="A198" s="6" t="s">
        <v>5</v>
      </c>
      <c r="B198" s="8" t="str">
        <f>HYPERLINK(" https://www.mq.edu.au/study/admissions-and-entry/scholarships/domestic/macquarie-university-accommodation-sustainability-scholarship", "Macquarie University Accommodation Sustainability Scholarship")</f>
        <v>Macquarie University Accommodation Sustainability Scholarship</v>
      </c>
      <c r="C198" s="7" t="s">
        <v>14</v>
      </c>
      <c r="D198" s="7" t="s">
        <v>31</v>
      </c>
      <c r="E198" s="7">
        <v>3</v>
      </c>
      <c r="F198" s="7" t="s">
        <v>13</v>
      </c>
      <c r="G198" s="10" t="s">
        <v>22</v>
      </c>
      <c r="H198" s="7" t="s">
        <v>25</v>
      </c>
      <c r="I198" s="7" t="s">
        <v>25</v>
      </c>
    </row>
    <row r="199" spans="1:9" x14ac:dyDescent="0.25">
      <c r="A199" s="6" t="s">
        <v>5</v>
      </c>
      <c r="B199" s="8" t="str">
        <f>HYPERLINK("https://www.mq.edu.au/study/admissions-and-entry/scholarships/domestic/sqa-undergraduate-research-scholarship", "
SQA Undergraduate Research Scholarship")</f>
        <v xml:space="preserve">
SQA Undergraduate Research Scholarship</v>
      </c>
      <c r="C199" s="7" t="s">
        <v>27</v>
      </c>
      <c r="D199" s="9">
        <v>3333</v>
      </c>
      <c r="E199" s="7" t="s">
        <v>24</v>
      </c>
      <c r="F199" s="7" t="s">
        <v>13</v>
      </c>
      <c r="G199" s="7" t="s">
        <v>43</v>
      </c>
      <c r="H199" s="7" t="s">
        <v>25</v>
      </c>
      <c r="I199" s="7" t="s">
        <v>25</v>
      </c>
    </row>
    <row r="200" spans="1:9" ht="45" x14ac:dyDescent="0.25">
      <c r="A200" s="6" t="s">
        <v>5</v>
      </c>
      <c r="B200" s="8" t="str">
        <f>HYPERLINK(" https://www.mq.edu.au/study/admissions-and-entry/scholarships/domestic/knox-grammar-school-teacher-education-scholarship", "Knox Grammar School Teacher Education Scholarship")</f>
        <v>Knox Grammar School Teacher Education Scholarship</v>
      </c>
      <c r="C200" s="7" t="s">
        <v>27</v>
      </c>
      <c r="D200" s="9">
        <v>8000</v>
      </c>
      <c r="E200" s="7">
        <v>1</v>
      </c>
      <c r="F200" s="7" t="s">
        <v>35</v>
      </c>
      <c r="G200" s="10" t="s">
        <v>44</v>
      </c>
      <c r="H200" s="7" t="s">
        <v>25</v>
      </c>
      <c r="I200" s="7" t="s">
        <v>25</v>
      </c>
    </row>
    <row r="201" spans="1:9" ht="45" x14ac:dyDescent="0.25">
      <c r="A201" s="6" t="s">
        <v>5</v>
      </c>
      <c r="B201" s="8" t="str">
        <f>HYPERLINK("https://www.mq.edu.au/study/admissions-and-entry/scholarships/domestic/the-goodacre-scholarship", "The Goodacre Scholarship")</f>
        <v>The Goodacre Scholarship</v>
      </c>
      <c r="C201" s="7" t="s">
        <v>14</v>
      </c>
      <c r="D201" s="9">
        <v>10000</v>
      </c>
      <c r="E201" s="7">
        <v>1</v>
      </c>
      <c r="F201" s="7" t="s">
        <v>13</v>
      </c>
      <c r="G201" s="10" t="s">
        <v>45</v>
      </c>
      <c r="H201" t="s">
        <v>16</v>
      </c>
      <c r="I201" s="7" t="s">
        <v>25</v>
      </c>
    </row>
    <row r="202" spans="1:9" ht="30" x14ac:dyDescent="0.25">
      <c r="A202" s="6" t="s">
        <v>5</v>
      </c>
      <c r="B202" s="8" t="str">
        <f>HYPERLINK(" https://www.mq.edu.au/study/admissions-and-entry/scholarships/domestic/commonwealth-teaching-scholarships", "Commonwealth Teaching Scholarships")</f>
        <v>Commonwealth Teaching Scholarships</v>
      </c>
      <c r="C202" s="7" t="s">
        <v>27</v>
      </c>
      <c r="D202" s="11" t="s">
        <v>46</v>
      </c>
      <c r="E202" s="7" t="s">
        <v>41</v>
      </c>
      <c r="F202" s="7" t="s">
        <v>35</v>
      </c>
      <c r="G202" s="7" t="s">
        <v>47</v>
      </c>
      <c r="H202" s="7" t="s">
        <v>25</v>
      </c>
      <c r="I202" s="7" t="s">
        <v>25</v>
      </c>
    </row>
    <row r="203" spans="1:9" ht="45" x14ac:dyDescent="0.25">
      <c r="A203" s="6" t="s">
        <v>5</v>
      </c>
      <c r="B203" s="8" t="str">
        <f>HYPERLINK(" https://www.mq.edu.au/study/admissions-and-entry/scholarships/domestic/bertha-mckenzie-endowment-scholarship", "Bertha McKenzie Endowment Scholarship")</f>
        <v>Bertha McKenzie Endowment Scholarship</v>
      </c>
      <c r="C203" s="7" t="s">
        <v>14</v>
      </c>
      <c r="D203" s="9">
        <v>5058</v>
      </c>
      <c r="E203" s="7" t="s">
        <v>24</v>
      </c>
      <c r="F203" s="7" t="s">
        <v>13</v>
      </c>
      <c r="G203" s="10" t="s">
        <v>48</v>
      </c>
      <c r="H203" s="7" t="s">
        <v>25</v>
      </c>
      <c r="I203" s="7" t="s">
        <v>25</v>
      </c>
    </row>
    <row r="204" spans="1:9" x14ac:dyDescent="0.25">
      <c r="A204" s="6" t="s">
        <v>5</v>
      </c>
      <c r="B204" s="8" t="str">
        <f>HYPERLINK(" https://www.mq.edu.au/study/admissions-and-entry/scholarships/domestic/dr-john-waters-equity-scholarship", "Dr John Waters Equity Scholarship")</f>
        <v>Dr John Waters Equity Scholarship</v>
      </c>
      <c r="C204" s="7" t="s">
        <v>14</v>
      </c>
      <c r="D204" s="9">
        <v>10000</v>
      </c>
      <c r="E204" s="7" t="s">
        <v>24</v>
      </c>
      <c r="F204" s="7" t="s">
        <v>13</v>
      </c>
      <c r="G204" s="7" t="s">
        <v>17</v>
      </c>
      <c r="H204" s="7" t="s">
        <v>25</v>
      </c>
      <c r="I204" s="7" t="s">
        <v>25</v>
      </c>
    </row>
    <row r="205" spans="1:9" ht="45" x14ac:dyDescent="0.25">
      <c r="A205" s="6" t="s">
        <v>5</v>
      </c>
      <c r="B205" s="8" t="str">
        <f>HYPERLINK(" https://www.mq.edu.au/study/admissions-and-entry/scholarships/domestic/macquarie-university-higher-study-scholarship-full-time-rate", "Macquarie University Higher Study Scholarship - Full time rate")</f>
        <v>Macquarie University Higher Study Scholarship - Full time rate</v>
      </c>
      <c r="C205" s="7" t="s">
        <v>14</v>
      </c>
      <c r="D205" s="9">
        <v>12000</v>
      </c>
      <c r="E205" s="7" t="s">
        <v>41</v>
      </c>
      <c r="F205" s="7" t="s">
        <v>50</v>
      </c>
      <c r="G205" s="10" t="s">
        <v>49</v>
      </c>
      <c r="H205" t="s">
        <v>21</v>
      </c>
      <c r="I205" s="7" t="s">
        <v>25</v>
      </c>
    </row>
    <row r="206" spans="1:9" ht="30" x14ac:dyDescent="0.25">
      <c r="A206" s="6" t="s">
        <v>5</v>
      </c>
      <c r="B206"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6" s="7" t="s">
        <v>27</v>
      </c>
      <c r="D206" s="7" t="s">
        <v>52</v>
      </c>
      <c r="E206" s="7" t="s">
        <v>41</v>
      </c>
      <c r="F206" s="7" t="s">
        <v>51</v>
      </c>
      <c r="G206" s="10" t="s">
        <v>53</v>
      </c>
      <c r="H206" t="s">
        <v>25</v>
      </c>
      <c r="I206" s="7" t="s">
        <v>25</v>
      </c>
    </row>
    <row r="207" spans="1:9" x14ac:dyDescent="0.25">
      <c r="A207" s="6" t="s">
        <v>5</v>
      </c>
      <c r="B207" s="8" t="str">
        <f>HYPERLINK(" https://www.mq.edu.au/study/admissions-and-entry/scholarships/domestic/macquarie-university-higher-study-scholarship-part-time-rate", "Macquarie University Higher Study Scholarship - Part time rate")</f>
        <v>Macquarie University Higher Study Scholarship - Part time rate</v>
      </c>
      <c r="C207" s="7" t="s">
        <v>14</v>
      </c>
      <c r="D207" s="9">
        <v>6000</v>
      </c>
      <c r="E207" s="7" t="s">
        <v>41</v>
      </c>
      <c r="F207" s="7" t="s">
        <v>50</v>
      </c>
      <c r="G207" s="7" t="s">
        <v>17</v>
      </c>
      <c r="H207" t="s">
        <v>25</v>
      </c>
      <c r="I207" s="7" t="s">
        <v>25</v>
      </c>
    </row>
    <row r="208" spans="1:9" ht="30" x14ac:dyDescent="0.25">
      <c r="A208" s="6" t="s">
        <v>5</v>
      </c>
      <c r="B208" s="8" t="str">
        <f>HYPERLINK(" https://www.mq.edu.au/study/admissions-and-entry/scholarships/domestic/macquarie-university-anu-alumni-postgraduate-support-scheme", "Macquarie University-ANU Alumni Postgraduate Support Scheme")</f>
        <v>Macquarie University-ANU Alumni Postgraduate Support Scheme</v>
      </c>
      <c r="C208" s="7" t="s">
        <v>27</v>
      </c>
      <c r="D208" s="7" t="s">
        <v>54</v>
      </c>
      <c r="E208" s="7" t="s">
        <v>41</v>
      </c>
      <c r="F208" s="7" t="s">
        <v>51</v>
      </c>
      <c r="G208" s="10" t="s">
        <v>53</v>
      </c>
      <c r="H208" t="s">
        <v>25</v>
      </c>
      <c r="I208" s="7" t="s">
        <v>25</v>
      </c>
    </row>
    <row r="209" spans="1:9" ht="30" x14ac:dyDescent="0.25">
      <c r="A209" s="6" t="s">
        <v>5</v>
      </c>
      <c r="B209" s="8" t="str">
        <f>HYPERLINK(" https://www.mq.edu.au/study/admissions-and-entry/scholarships/domestic/the-sir-theo-kelly-sustainable-leadership-scholarship", "The Sir Theo Kelly Sustainable Leadership Scholarship")</f>
        <v>The Sir Theo Kelly Sustainable Leadership Scholarship</v>
      </c>
      <c r="C209" s="7" t="s">
        <v>27</v>
      </c>
      <c r="D209" s="9" t="s">
        <v>55</v>
      </c>
      <c r="E209" s="7">
        <v>3</v>
      </c>
      <c r="F209" s="7" t="s">
        <v>51</v>
      </c>
      <c r="G209" s="10" t="s">
        <v>56</v>
      </c>
      <c r="H209" t="s">
        <v>25</v>
      </c>
      <c r="I209" s="7" t="s">
        <v>25</v>
      </c>
    </row>
    <row r="210" spans="1:9" ht="105" x14ac:dyDescent="0.25">
      <c r="A210" s="5" t="s">
        <v>9</v>
      </c>
      <c r="B210" s="8" t="str">
        <f>HYPERLINK("https://www.newcastle.edu.au/scholarships/CESE_04", "College of Engineering, Science and Environment Relocation Scholarship")</f>
        <v>College of Engineering, Science and Environment Relocation Scholarship</v>
      </c>
      <c r="C210" s="7" t="s">
        <v>27</v>
      </c>
      <c r="D210" s="9">
        <v>5000</v>
      </c>
      <c r="E210" s="7">
        <v>2</v>
      </c>
      <c r="F210" s="7" t="s">
        <v>13</v>
      </c>
      <c r="G210" s="10" t="s">
        <v>152</v>
      </c>
      <c r="H210" t="s">
        <v>21</v>
      </c>
      <c r="I210" t="s">
        <v>25</v>
      </c>
    </row>
    <row r="211" spans="1:9" ht="90" x14ac:dyDescent="0.25">
      <c r="A211" s="5" t="s">
        <v>9</v>
      </c>
      <c r="B211" s="8" t="str">
        <f>HYPERLINK("https://www.newcastle.edu.au/scholarships/BUSLAW_012", "Neville Sawyer AM Scholarship")</f>
        <v>Neville Sawyer AM Scholarship</v>
      </c>
      <c r="C211" s="7" t="s">
        <v>27</v>
      </c>
      <c r="D211" s="9">
        <v>10000</v>
      </c>
      <c r="E211" s="7">
        <v>1</v>
      </c>
      <c r="F211" s="7" t="s">
        <v>51</v>
      </c>
      <c r="G211" s="10" t="s">
        <v>153</v>
      </c>
      <c r="H211" t="s">
        <v>25</v>
      </c>
      <c r="I211" t="s">
        <v>25</v>
      </c>
    </row>
    <row r="212" spans="1:9" ht="60" x14ac:dyDescent="0.25">
      <c r="A212" s="5" t="s">
        <v>9</v>
      </c>
      <c r="B212" s="8" t="str">
        <f>HYPERLINK("https://www.newcastle.edu.au/scholarships/ENGB_070", "CSIRO Women in Energy Scholarship")</f>
        <v>CSIRO Women in Energy Scholarship</v>
      </c>
      <c r="C212" s="7" t="s">
        <v>27</v>
      </c>
      <c r="D212" s="9">
        <v>10000</v>
      </c>
      <c r="E212" s="7">
        <v>4</v>
      </c>
      <c r="F212" s="7" t="s">
        <v>13</v>
      </c>
      <c r="G212" s="10" t="s">
        <v>154</v>
      </c>
      <c r="H212" t="s">
        <v>25</v>
      </c>
      <c r="I212" t="s">
        <v>25</v>
      </c>
    </row>
    <row r="213" spans="1:9" ht="60" x14ac:dyDescent="0.25">
      <c r="A213" s="5" t="s">
        <v>9</v>
      </c>
      <c r="B213" s="8" t="str">
        <f>HYPERLINK("https://www.newcastle.edu.au/scholarships/EXT_068", "Lewis Ewart Lewis Physiotherapy Scholarship")</f>
        <v>Lewis Ewart Lewis Physiotherapy Scholarship</v>
      </c>
      <c r="C213" s="7" t="s">
        <v>14</v>
      </c>
      <c r="D213" s="7" t="s">
        <v>151</v>
      </c>
      <c r="E213" s="7" t="s">
        <v>155</v>
      </c>
      <c r="F213" s="7" t="s">
        <v>13</v>
      </c>
      <c r="G213" s="10" t="s">
        <v>156</v>
      </c>
      <c r="H213" t="s">
        <v>25</v>
      </c>
      <c r="I213" t="s">
        <v>25</v>
      </c>
    </row>
    <row r="214" spans="1:9" ht="60" x14ac:dyDescent="0.25">
      <c r="A214" s="5" t="s">
        <v>9</v>
      </c>
      <c r="B214" s="8" t="str">
        <f>HYPERLINK("https://www.newcastle.edu.au/scholarships/EXT_131", "Ingrid and Ryszard Knopf Podiatric Medicine Scholarship")</f>
        <v>Ingrid and Ryszard Knopf Podiatric Medicine Scholarship</v>
      </c>
      <c r="C214" s="7" t="s">
        <v>14</v>
      </c>
      <c r="D214" s="9">
        <v>5000</v>
      </c>
      <c r="E214" s="7" t="s">
        <v>155</v>
      </c>
      <c r="F214" s="7" t="s">
        <v>13</v>
      </c>
      <c r="G214" s="10" t="s">
        <v>157</v>
      </c>
      <c r="H214" t="s">
        <v>25</v>
      </c>
      <c r="I214" t="s">
        <v>25</v>
      </c>
    </row>
    <row r="215" spans="1:9" ht="30" x14ac:dyDescent="0.25">
      <c r="A215" s="5" t="s">
        <v>9</v>
      </c>
      <c r="B215" s="8" t="str">
        <f>HYPERLINK("https://www.newcastle.edu.au/scholarships/EXT_140", "Shaping Futures Scholarships")</f>
        <v>Shaping Futures Scholarships</v>
      </c>
      <c r="C215" s="7" t="s">
        <v>14</v>
      </c>
      <c r="D215" s="7" t="s">
        <v>151</v>
      </c>
      <c r="E215" s="7" t="s">
        <v>155</v>
      </c>
      <c r="F215" s="7" t="s">
        <v>13</v>
      </c>
      <c r="G215" s="10" t="s">
        <v>58</v>
      </c>
      <c r="H215" t="s">
        <v>25</v>
      </c>
      <c r="I215" t="s">
        <v>25</v>
      </c>
    </row>
    <row r="216" spans="1:9" ht="90" x14ac:dyDescent="0.25">
      <c r="A216" s="5" t="s">
        <v>9</v>
      </c>
      <c r="B216" s="8" t="str">
        <f>HYPERLINK("https://www.newcastle.edu.au/scholarships/EXT_238", "MBC Group Construction Management Scholarship")</f>
        <v>MBC Group Construction Management Scholarship</v>
      </c>
      <c r="C216" s="7" t="s">
        <v>14</v>
      </c>
      <c r="D216" s="9">
        <v>5000</v>
      </c>
      <c r="E216" s="7">
        <v>2</v>
      </c>
      <c r="F216" s="7" t="s">
        <v>13</v>
      </c>
      <c r="G216" s="10" t="s">
        <v>160</v>
      </c>
      <c r="H216" t="s">
        <v>25</v>
      </c>
      <c r="I216" t="s">
        <v>25</v>
      </c>
    </row>
    <row r="217" spans="1:9" ht="75" x14ac:dyDescent="0.25">
      <c r="A217" s="5" t="s">
        <v>9</v>
      </c>
      <c r="B217" s="8" t="str">
        <f>HYPERLINK("https://www.newcastle.edu.au/scholarships/EXT_241", "The Bloomfield Group Foundation Scholarship")</f>
        <v>The Bloomfield Group Foundation Scholarship</v>
      </c>
      <c r="C217" s="7" t="s">
        <v>14</v>
      </c>
      <c r="D217" s="9">
        <v>5000</v>
      </c>
      <c r="E217" s="7">
        <v>1</v>
      </c>
      <c r="F217" s="7" t="s">
        <v>13</v>
      </c>
      <c r="G217" s="10" t="s">
        <v>161</v>
      </c>
      <c r="H217" t="s">
        <v>25</v>
      </c>
      <c r="I217" t="s">
        <v>25</v>
      </c>
    </row>
    <row r="218" spans="1:9" ht="45" x14ac:dyDescent="0.25">
      <c r="A218" s="5" t="s">
        <v>9</v>
      </c>
      <c r="B218" s="8" t="str">
        <f>HYPERLINK("https://www.newcastle.edu.au/scholarships/EXT_196", "Valasi Bleazard Memorial Scholarship in Music")</f>
        <v>Valasi Bleazard Memorial Scholarship in Music</v>
      </c>
      <c r="C218" s="7" t="s">
        <v>27</v>
      </c>
      <c r="D218" s="9">
        <v>12500</v>
      </c>
      <c r="E218" s="7">
        <v>1</v>
      </c>
      <c r="F218" s="7" t="s">
        <v>13</v>
      </c>
      <c r="G218" s="10" t="s">
        <v>158</v>
      </c>
      <c r="H218" t="s">
        <v>25</v>
      </c>
      <c r="I218" t="s">
        <v>25</v>
      </c>
    </row>
    <row r="219" spans="1:9" ht="45" x14ac:dyDescent="0.25">
      <c r="A219" s="5" t="s">
        <v>9</v>
      </c>
      <c r="B219" s="8" t="str">
        <f>HYPERLINK("https://www.newcastle.edu.au/scholarships/EXT_199", "Friends of the University Sport Scholarship")</f>
        <v>Friends of the University Sport Scholarship</v>
      </c>
      <c r="C219" s="7" t="s">
        <v>27</v>
      </c>
      <c r="D219" s="9">
        <v>5000</v>
      </c>
      <c r="E219" s="7" t="s">
        <v>155</v>
      </c>
      <c r="F219" s="7" t="s">
        <v>13</v>
      </c>
      <c r="G219" s="10" t="s">
        <v>159</v>
      </c>
      <c r="H219" t="s">
        <v>25</v>
      </c>
      <c r="I219" t="s">
        <v>25</v>
      </c>
    </row>
    <row r="220" spans="1:9" ht="60" x14ac:dyDescent="0.25">
      <c r="A220" s="5" t="s">
        <v>9</v>
      </c>
      <c r="B220" s="8" t="str">
        <f>HYPERLINK("https://www.newcastle.edu.au/scholarships/EXT_251", "Student Residences Scholarship")</f>
        <v>Student Residences Scholarship</v>
      </c>
      <c r="C220" s="7" t="s">
        <v>14</v>
      </c>
      <c r="D220" s="9">
        <v>5000</v>
      </c>
      <c r="E220" s="7" t="s">
        <v>155</v>
      </c>
      <c r="F220" s="7" t="s">
        <v>13</v>
      </c>
      <c r="G220" s="10" t="s">
        <v>163</v>
      </c>
      <c r="H220" t="s">
        <v>25</v>
      </c>
      <c r="I220" t="s">
        <v>25</v>
      </c>
    </row>
    <row r="221" spans="1:9" ht="30" x14ac:dyDescent="0.25">
      <c r="A221" s="5" t="s">
        <v>9</v>
      </c>
      <c r="B221" s="8" t="str">
        <f>HYPERLINK("https://www.newcastle.edu.au/scholarships/EXT_252", "LGBTQIA+ Shaping Futures Scholarship")</f>
        <v>LGBTQIA+ Shaping Futures Scholarship</v>
      </c>
      <c r="C221" s="7" t="s">
        <v>14</v>
      </c>
      <c r="D221" s="9">
        <v>5000</v>
      </c>
      <c r="E221" s="7" t="s">
        <v>155</v>
      </c>
      <c r="F221" s="7" t="s">
        <v>13</v>
      </c>
      <c r="G221" s="10" t="s">
        <v>162</v>
      </c>
      <c r="H221" t="s">
        <v>25</v>
      </c>
      <c r="I221" t="s">
        <v>25</v>
      </c>
    </row>
    <row r="222" spans="1:9" ht="60" x14ac:dyDescent="0.25">
      <c r="A222" s="5" t="s">
        <v>9</v>
      </c>
      <c r="B222" s="8" t="str">
        <f>HYPERLINK("https://www.newcastle.edu.au/scholarships/EXT_257", "Betty Josephine Fyffe Rural Medical Excellence Scholarship")</f>
        <v>Betty Josephine Fyffe Rural Medical Excellence Scholarship</v>
      </c>
      <c r="C222" s="7" t="s">
        <v>27</v>
      </c>
      <c r="D222" s="9">
        <v>10000</v>
      </c>
      <c r="E222" s="7">
        <v>5</v>
      </c>
      <c r="F222" s="7" t="s">
        <v>13</v>
      </c>
      <c r="G222" s="10" t="s">
        <v>164</v>
      </c>
      <c r="H222" t="s">
        <v>25</v>
      </c>
      <c r="I222" t="s">
        <v>25</v>
      </c>
    </row>
    <row r="223" spans="1:9" ht="60" x14ac:dyDescent="0.25">
      <c r="A223" s="5" t="s">
        <v>9</v>
      </c>
      <c r="B223" s="8" t="str">
        <f>HYPERLINK("https://www.newcastle.edu.au/scholarships/EXT_258", "Betty Josephine Fyffe Rural Equity Scholarships")</f>
        <v>Betty Josephine Fyffe Rural Equity Scholarships</v>
      </c>
      <c r="C223" s="7" t="s">
        <v>14</v>
      </c>
      <c r="D223" s="9">
        <v>10000</v>
      </c>
      <c r="E223" s="7">
        <v>5</v>
      </c>
      <c r="F223" s="7" t="s">
        <v>13</v>
      </c>
      <c r="G223" s="10" t="s">
        <v>165</v>
      </c>
      <c r="H223" t="s">
        <v>25</v>
      </c>
      <c r="I223" t="s">
        <v>25</v>
      </c>
    </row>
    <row r="224" spans="1:9" ht="45" x14ac:dyDescent="0.25">
      <c r="A224" s="5" t="s">
        <v>9</v>
      </c>
      <c r="B224" s="8" t="str">
        <f>HYPERLINK("https://www.newcastle.edu.au/scholarships/EXT_262", "Idemitsu Australia Scholarship")</f>
        <v>Idemitsu Australia Scholarship</v>
      </c>
      <c r="C224" s="7" t="s">
        <v>14</v>
      </c>
      <c r="D224" s="9">
        <v>10000</v>
      </c>
      <c r="E224" s="7">
        <v>1</v>
      </c>
      <c r="F224" s="7" t="s">
        <v>13</v>
      </c>
      <c r="G224" s="10" t="s">
        <v>166</v>
      </c>
      <c r="H224" t="s">
        <v>25</v>
      </c>
      <c r="I224" t="s">
        <v>25</v>
      </c>
    </row>
    <row r="225" spans="1:9" x14ac:dyDescent="0.25">
      <c r="A225" s="5" t="s">
        <v>9</v>
      </c>
      <c r="B225" s="8" t="str">
        <f>HYPERLINK("https://www.newcastle.edu.au/scholarships/EXT_272", "Shaping Futures Postgraduate Scholarship")</f>
        <v>Shaping Futures Postgraduate Scholarship</v>
      </c>
      <c r="C225" s="7" t="s">
        <v>14</v>
      </c>
      <c r="D225" s="9">
        <v>5000</v>
      </c>
      <c r="E225" s="7" t="s">
        <v>155</v>
      </c>
      <c r="F225" s="7" t="s">
        <v>51</v>
      </c>
      <c r="G225" s="10" t="s">
        <v>132</v>
      </c>
      <c r="H225" t="s">
        <v>25</v>
      </c>
      <c r="I225" t="s">
        <v>25</v>
      </c>
    </row>
    <row r="226" spans="1:9" ht="60" x14ac:dyDescent="0.25">
      <c r="A226" s="5" t="s">
        <v>9</v>
      </c>
      <c r="B226" s="8" t="str">
        <f>HYPERLINK("https://www.newcastle.edu.au/scholarships/EXT_283", "Crystalbrook Kingsley Environmental Scholarship")</f>
        <v>Crystalbrook Kingsley Environmental Scholarship</v>
      </c>
      <c r="C226" s="7" t="s">
        <v>27</v>
      </c>
      <c r="D226" s="9">
        <v>5000</v>
      </c>
      <c r="E226" s="7" t="s">
        <v>155</v>
      </c>
      <c r="F226" s="7" t="s">
        <v>107</v>
      </c>
      <c r="G226" s="10" t="s">
        <v>167</v>
      </c>
      <c r="H226" t="s">
        <v>25</v>
      </c>
      <c r="I226" t="s">
        <v>25</v>
      </c>
    </row>
    <row r="227" spans="1:9" ht="60" x14ac:dyDescent="0.25">
      <c r="A227" s="5" t="s">
        <v>9</v>
      </c>
      <c r="B227" s="8" t="str">
        <f>HYPERLINK("https://www.newcastle.edu.au/scholarships/EXT_311", "Friends of the University Lorna George Memorial Scholarship for Allied Health and Psychology")</f>
        <v>Friends of the University Lorna George Memorial Scholarship for Allied Health and Psychology</v>
      </c>
      <c r="C227" s="7" t="s">
        <v>14</v>
      </c>
      <c r="D227" s="9">
        <v>5000</v>
      </c>
      <c r="E227" s="7">
        <v>1</v>
      </c>
      <c r="F227" s="7" t="s">
        <v>13</v>
      </c>
      <c r="G227" s="10" t="s">
        <v>168</v>
      </c>
      <c r="H227" t="s">
        <v>25</v>
      </c>
      <c r="I227" t="s">
        <v>25</v>
      </c>
    </row>
    <row r="228" spans="1:9" ht="105" x14ac:dyDescent="0.25">
      <c r="A228" s="5" t="s">
        <v>9</v>
      </c>
      <c r="B228" s="8" t="str">
        <f>HYPERLINK("https://www.newcastle.edu.au/scholarships/EXT_318", "Western Earthmoving Scholarship for Construction and Engineering")</f>
        <v>Western Earthmoving Scholarship for Construction and Engineering</v>
      </c>
      <c r="C228" s="7" t="s">
        <v>27</v>
      </c>
      <c r="D228" s="9">
        <v>15000</v>
      </c>
      <c r="E228" s="7">
        <v>1</v>
      </c>
      <c r="F228" s="7" t="s">
        <v>13</v>
      </c>
      <c r="G228" s="10" t="s">
        <v>169</v>
      </c>
      <c r="H228" t="s">
        <v>25</v>
      </c>
      <c r="I228" t="s">
        <v>25</v>
      </c>
    </row>
    <row r="229" spans="1:9" ht="30" x14ac:dyDescent="0.25">
      <c r="A229" s="5" t="s">
        <v>9</v>
      </c>
      <c r="B229" s="8" t="str">
        <f>HYPERLINK("https://www.newcastle.edu.au/scholarships/EXT_332", "Greater Charitable Foundation Equity Scholarship")</f>
        <v>Greater Charitable Foundation Equity Scholarship</v>
      </c>
      <c r="C229" s="7" t="s">
        <v>14</v>
      </c>
      <c r="D229" s="9">
        <v>10000</v>
      </c>
      <c r="E229" s="7">
        <v>3</v>
      </c>
      <c r="F229" s="7" t="s">
        <v>13</v>
      </c>
      <c r="G229" s="10" t="s">
        <v>170</v>
      </c>
      <c r="H229" t="s">
        <v>25</v>
      </c>
      <c r="I229" t="s">
        <v>25</v>
      </c>
    </row>
    <row r="230" spans="1:9" x14ac:dyDescent="0.25">
      <c r="A230" s="5" t="s">
        <v>9</v>
      </c>
      <c r="B230" s="8" t="str">
        <f>HYPERLINK("https://www.newcastle.edu.au/scholarships/EXT_333", "Shamila, Ravendra and Roneal Naidu Scholarship")</f>
        <v>Shamila, Ravendra and Roneal Naidu Scholarship</v>
      </c>
      <c r="C230" s="7" t="s">
        <v>14</v>
      </c>
      <c r="D230" s="9">
        <v>8000</v>
      </c>
      <c r="E230" s="7">
        <v>4</v>
      </c>
      <c r="F230" s="7" t="s">
        <v>13</v>
      </c>
      <c r="G230" s="10" t="s">
        <v>132</v>
      </c>
      <c r="H230" t="s">
        <v>21</v>
      </c>
      <c r="I230" t="s">
        <v>25</v>
      </c>
    </row>
    <row r="231" spans="1:9" ht="30" x14ac:dyDescent="0.25">
      <c r="A231" s="5" t="s">
        <v>9</v>
      </c>
      <c r="B231" s="8" t="str">
        <f>HYPERLINK(" https://www.newcastle.edu.au/scholarships/ESSUN_3000", "Equity Scholarships Scheme University of Newcastle (ESSUN)")</f>
        <v>Equity Scholarships Scheme University of Newcastle (ESSUN)</v>
      </c>
      <c r="C231" s="7" t="s">
        <v>14</v>
      </c>
      <c r="D231" s="11" t="s">
        <v>172</v>
      </c>
      <c r="E231" s="7">
        <v>1</v>
      </c>
      <c r="F231" s="7" t="s">
        <v>13</v>
      </c>
      <c r="G231" s="10" t="s">
        <v>171</v>
      </c>
      <c r="H231" t="s">
        <v>25</v>
      </c>
      <c r="I231" t="s">
        <v>25</v>
      </c>
    </row>
    <row r="232" spans="1:9" ht="60" x14ac:dyDescent="0.25">
      <c r="A232" s="5" t="s">
        <v>9</v>
      </c>
      <c r="B232" s="8" t="str">
        <f>HYPERLINK("https://www.newcastle.edu.au/scholarships/EXT_336", "Sparke Helmore Law Scholarship")</f>
        <v>Sparke Helmore Law Scholarship</v>
      </c>
      <c r="C232" s="7" t="s">
        <v>14</v>
      </c>
      <c r="D232" s="9">
        <v>5000</v>
      </c>
      <c r="E232" s="7" t="s">
        <v>155</v>
      </c>
      <c r="F232" s="7" t="s">
        <v>137</v>
      </c>
      <c r="G232" s="10" t="s">
        <v>173</v>
      </c>
      <c r="H232" t="s">
        <v>25</v>
      </c>
      <c r="I232" t="s">
        <v>25</v>
      </c>
    </row>
    <row r="233" spans="1:9" ht="30" x14ac:dyDescent="0.25">
      <c r="A233" s="5" t="s">
        <v>9</v>
      </c>
      <c r="B233" s="8" t="str">
        <f>HYPERLINK("https://www.newcastle.edu.au/scholarships/EXT_348", "Evelyn Brown Scholarship in Nursing")</f>
        <v>Evelyn Brown Scholarship in Nursing</v>
      </c>
      <c r="C233" s="7" t="s">
        <v>14</v>
      </c>
      <c r="D233" s="9">
        <v>6000</v>
      </c>
      <c r="E233" s="7" t="s">
        <v>155</v>
      </c>
      <c r="F233" s="7" t="s">
        <v>13</v>
      </c>
      <c r="G233" s="10" t="s">
        <v>174</v>
      </c>
      <c r="H233" t="s">
        <v>25</v>
      </c>
      <c r="I233" t="s">
        <v>25</v>
      </c>
    </row>
    <row r="234" spans="1:9" ht="30" x14ac:dyDescent="0.25">
      <c r="A234" s="5" t="s">
        <v>9</v>
      </c>
      <c r="B234" s="8" t="str">
        <f>HYPERLINK("https://www.newcastle.edu.au/scholarships/UNI_025", "University of Newcastle Sports Scholarships")</f>
        <v>University of Newcastle Sports Scholarships</v>
      </c>
      <c r="C234" s="7" t="s">
        <v>27</v>
      </c>
      <c r="D234" s="11" t="s">
        <v>175</v>
      </c>
      <c r="E234" s="7" t="s">
        <v>155</v>
      </c>
      <c r="F234" s="7" t="s">
        <v>13</v>
      </c>
      <c r="G234" s="10" t="s">
        <v>176</v>
      </c>
      <c r="H234" t="s">
        <v>25</v>
      </c>
      <c r="I234" t="s">
        <v>25</v>
      </c>
    </row>
    <row r="235" spans="1:9" ht="60" x14ac:dyDescent="0.25">
      <c r="A235" s="5" t="s">
        <v>9</v>
      </c>
      <c r="B235" s="8" t="str">
        <f>HYPERLINK("https://www.newcastle.edu.au/scholarships/CESE_02", "College of Engineering, Science and Environment High Achiever Scholarship")</f>
        <v>College of Engineering, Science and Environment High Achiever Scholarship</v>
      </c>
      <c r="C235" s="7" t="s">
        <v>27</v>
      </c>
      <c r="D235" s="11" t="s">
        <v>177</v>
      </c>
      <c r="E235" s="7">
        <v>1</v>
      </c>
      <c r="F235" s="7" t="s">
        <v>13</v>
      </c>
      <c r="G235" s="10" t="s">
        <v>178</v>
      </c>
      <c r="H235" t="s">
        <v>25</v>
      </c>
      <c r="I235" t="s">
        <v>25</v>
      </c>
    </row>
    <row r="236" spans="1:9" ht="90" x14ac:dyDescent="0.25">
      <c r="A236" s="5" t="s">
        <v>9</v>
      </c>
      <c r="B236" s="8" t="str">
        <f>HYPERLINK("https://www.newcastle.edu.au/scholarships/CESE_03", "College of Engineering, Science and Environment Gender Equity Scholarship")</f>
        <v>College of Engineering, Science and Environment Gender Equity Scholarship</v>
      </c>
      <c r="C236" s="7" t="s">
        <v>14</v>
      </c>
      <c r="D236" s="11" t="s">
        <v>179</v>
      </c>
      <c r="E236" s="7">
        <v>1</v>
      </c>
      <c r="F236" s="7" t="s">
        <v>13</v>
      </c>
      <c r="G236" s="10" t="s">
        <v>180</v>
      </c>
      <c r="H236" t="s">
        <v>25</v>
      </c>
      <c r="I236" t="s">
        <v>25</v>
      </c>
    </row>
    <row r="237" spans="1:9" ht="45" x14ac:dyDescent="0.25">
      <c r="A237" s="5" t="s">
        <v>9</v>
      </c>
      <c r="B237" s="8" t="str">
        <f>HYPERLINK("https://www.newcastle.edu.au/scholarships/EXT_029", "Port Waratah Coal Services Undergraduate Engineering Scholarship")</f>
        <v>Port Waratah Coal Services Undergraduate Engineering Scholarship</v>
      </c>
      <c r="C237" s="7" t="s">
        <v>14</v>
      </c>
      <c r="D237" s="11" t="s">
        <v>181</v>
      </c>
      <c r="E237" s="7">
        <v>3</v>
      </c>
      <c r="F237" s="7" t="s">
        <v>13</v>
      </c>
      <c r="G237" s="10" t="s">
        <v>182</v>
      </c>
      <c r="H237" t="s">
        <v>21</v>
      </c>
      <c r="I237" t="s">
        <v>25</v>
      </c>
    </row>
    <row r="238" spans="1:9" ht="45" x14ac:dyDescent="0.25">
      <c r="A238" s="5" t="s">
        <v>9</v>
      </c>
      <c r="B238" s="8" t="str">
        <f>HYPERLINK("https://www.newcastle.edu.au/scholarships/EXT_177", "Catherine and Peter Tay High Achiever Engineering Undergraduate Scholarship")</f>
        <v>Catherine and Peter Tay High Achiever Engineering Undergraduate Scholarship</v>
      </c>
      <c r="C238" s="7" t="s">
        <v>27</v>
      </c>
      <c r="D238" s="9">
        <v>8000</v>
      </c>
      <c r="E238" s="7">
        <v>4</v>
      </c>
      <c r="F238" s="7" t="s">
        <v>13</v>
      </c>
      <c r="G238" s="10" t="s">
        <v>183</v>
      </c>
      <c r="H238" t="s">
        <v>25</v>
      </c>
      <c r="I238" t="s">
        <v>25</v>
      </c>
    </row>
    <row r="239" spans="1:9" ht="60" x14ac:dyDescent="0.25">
      <c r="A239" s="5" t="s">
        <v>9</v>
      </c>
      <c r="B239" s="8" t="str">
        <f>HYPERLINK("https://www.newcastle.edu.au/scholarships/EXT_185", "Professor Beryl Nashar Scholarship for Excellence in Geology")</f>
        <v>Professor Beryl Nashar Scholarship for Excellence in Geology</v>
      </c>
      <c r="C239" s="7" t="s">
        <v>27</v>
      </c>
      <c r="D239" s="9">
        <v>1000</v>
      </c>
      <c r="E239" s="7" t="s">
        <v>155</v>
      </c>
      <c r="F239" s="7" t="s">
        <v>137</v>
      </c>
      <c r="G239" s="10" t="s">
        <v>184</v>
      </c>
      <c r="H239" t="s">
        <v>25</v>
      </c>
      <c r="I239" t="s">
        <v>25</v>
      </c>
    </row>
    <row r="240" spans="1:9" ht="75" x14ac:dyDescent="0.25">
      <c r="A240" s="5" t="s">
        <v>9</v>
      </c>
      <c r="B240" s="8" t="str">
        <f>HYPERLINK("https://www.newcastle.edu.au/scholarships/EXT_229", "Boeing Engineering and IT Scholarship for Women")</f>
        <v>Boeing Engineering and IT Scholarship for Women</v>
      </c>
      <c r="C240" s="7" t="s">
        <v>27</v>
      </c>
      <c r="D240" s="9">
        <v>5000</v>
      </c>
      <c r="E240" s="7">
        <v>1</v>
      </c>
      <c r="F240" s="7" t="s">
        <v>13</v>
      </c>
      <c r="G240" s="10" t="s">
        <v>185</v>
      </c>
      <c r="H240" t="s">
        <v>25</v>
      </c>
      <c r="I240" t="s">
        <v>25</v>
      </c>
    </row>
    <row r="241" spans="1:9" ht="90" x14ac:dyDescent="0.25">
      <c r="A241" s="5" t="s">
        <v>9</v>
      </c>
      <c r="B241" s="8" t="str">
        <f>HYPERLINK("https://www.newcastle.edu.au/scholarships/EXT_240", "Malcolm Benaud Smith Construction Management (Building) Scholarship")</f>
        <v>Malcolm Benaud Smith Construction Management (Building) Scholarship</v>
      </c>
      <c r="C241" s="7" t="s">
        <v>27</v>
      </c>
      <c r="D241" s="9">
        <v>10000</v>
      </c>
      <c r="E241" s="7">
        <v>1</v>
      </c>
      <c r="F241" s="7" t="s">
        <v>13</v>
      </c>
      <c r="G241" s="10" t="s">
        <v>186</v>
      </c>
      <c r="H241" t="s">
        <v>25</v>
      </c>
      <c r="I241" t="s">
        <v>25</v>
      </c>
    </row>
    <row r="242" spans="1:9" ht="60" x14ac:dyDescent="0.25">
      <c r="A242" s="5" t="s">
        <v>9</v>
      </c>
      <c r="B242" s="8" t="str">
        <f>HYPERLINK("https://www.newcastle.edu.au/scholarships/EXT_320", "Boeing IT and Computer Systems Scholarship")</f>
        <v>Boeing IT and Computer Systems Scholarship</v>
      </c>
      <c r="C242" s="7" t="s">
        <v>27</v>
      </c>
      <c r="D242" s="9">
        <v>5000</v>
      </c>
      <c r="E242" s="7">
        <v>1</v>
      </c>
      <c r="F242" s="7" t="s">
        <v>13</v>
      </c>
      <c r="G242" s="10" t="s">
        <v>187</v>
      </c>
      <c r="H242" t="s">
        <v>25</v>
      </c>
      <c r="I242" t="s">
        <v>25</v>
      </c>
    </row>
    <row r="243" spans="1:9" ht="45" x14ac:dyDescent="0.25">
      <c r="A243" s="5" t="s">
        <v>9</v>
      </c>
      <c r="B243" s="8" t="str">
        <f>HYPERLINK("https://www.newcastle.edu.au/scholarships/EXT_322", "Boeing Environmental Sustainability in STEM Scholarship")</f>
        <v>Boeing Environmental Sustainability in STEM Scholarship</v>
      </c>
      <c r="C243" s="7" t="s">
        <v>27</v>
      </c>
      <c r="D243" s="9">
        <v>5000</v>
      </c>
      <c r="E243" s="7">
        <v>1</v>
      </c>
      <c r="F243" s="7" t="s">
        <v>13</v>
      </c>
      <c r="G243" s="10" t="s">
        <v>188</v>
      </c>
      <c r="H243" t="s">
        <v>25</v>
      </c>
      <c r="I243" t="s">
        <v>25</v>
      </c>
    </row>
    <row r="244" spans="1:9" ht="45" x14ac:dyDescent="0.25">
      <c r="A244" s="5" t="s">
        <v>9</v>
      </c>
      <c r="B244" s="8" t="str">
        <f>HYPERLINK("https://www.newcastle.edu.au/scholarships/EXT_328", "HunterWiSE Scholarship for Women in STEM")</f>
        <v>HunterWiSE Scholarship for Women in STEM</v>
      </c>
      <c r="C244" s="7" t="s">
        <v>27</v>
      </c>
      <c r="D244" s="9">
        <v>5000</v>
      </c>
      <c r="E244" s="7" t="s">
        <v>155</v>
      </c>
      <c r="F244" s="7" t="s">
        <v>13</v>
      </c>
      <c r="G244" s="10" t="s">
        <v>189</v>
      </c>
      <c r="H244" t="s">
        <v>25</v>
      </c>
      <c r="I244" t="s">
        <v>25</v>
      </c>
    </row>
    <row r="245" spans="1:9" ht="45" x14ac:dyDescent="0.25">
      <c r="A245" s="5" t="s">
        <v>9</v>
      </c>
      <c r="B245" s="8" t="str">
        <f>HYPERLINK("https://www.newcastle.edu.au/scholarships/EXT_330", "Valley Industries Speech Pathology Scholarship")</f>
        <v>Valley Industries Speech Pathology Scholarship</v>
      </c>
      <c r="C245" s="7" t="s">
        <v>14</v>
      </c>
      <c r="D245" s="9">
        <v>5000</v>
      </c>
      <c r="E245" s="7" t="s">
        <v>155</v>
      </c>
      <c r="F245" s="7" t="s">
        <v>13</v>
      </c>
      <c r="G245" s="10" t="s">
        <v>190</v>
      </c>
      <c r="H245" t="s">
        <v>25</v>
      </c>
      <c r="I245" t="s">
        <v>25</v>
      </c>
    </row>
    <row r="246" spans="1:9" ht="75" x14ac:dyDescent="0.25">
      <c r="A246" s="5" t="s">
        <v>9</v>
      </c>
      <c r="B246" s="8" t="str">
        <f>HYPERLINK("https://www.newcastle.edu.au/scholarships/EXT_338", "AGL Bayswater Power Station Scholarships for Females in Engineering")</f>
        <v>AGL Bayswater Power Station Scholarships for Females in Engineering</v>
      </c>
      <c r="C246" s="7" t="s">
        <v>27</v>
      </c>
      <c r="D246" s="9">
        <v>15000</v>
      </c>
      <c r="E246" s="7">
        <v>3</v>
      </c>
      <c r="F246" s="7" t="s">
        <v>13</v>
      </c>
      <c r="G246" s="10" t="s">
        <v>191</v>
      </c>
      <c r="H246" t="s">
        <v>25</v>
      </c>
      <c r="I246" t="s">
        <v>25</v>
      </c>
    </row>
    <row r="247" spans="1:9" ht="30" x14ac:dyDescent="0.25">
      <c r="A247" s="5" t="s">
        <v>9</v>
      </c>
      <c r="B247" s="8" t="str">
        <f>HYPERLINK("https://www.newcastle.edu.au/scholarships/EXT_350", "Boeing Disability Scholarship")</f>
        <v>Boeing Disability Scholarship</v>
      </c>
      <c r="C247" s="7" t="s">
        <v>14</v>
      </c>
      <c r="D247" s="9">
        <v>5000</v>
      </c>
      <c r="E247" s="7" t="s">
        <v>155</v>
      </c>
      <c r="F247" s="7" t="s">
        <v>13</v>
      </c>
      <c r="G247" s="10" t="s">
        <v>192</v>
      </c>
      <c r="H247" t="s">
        <v>25</v>
      </c>
      <c r="I247" t="s">
        <v>25</v>
      </c>
    </row>
    <row r="248" spans="1:9" ht="409.5" x14ac:dyDescent="0.25">
      <c r="A248" s="3" t="s">
        <v>7</v>
      </c>
      <c r="B248" t="str">
        <f>HYPERLINK("https://scholarships.uow.edu.au/scholarships/search?scholarship=3121", "Business Undergraduate Academic Excellence Scholarship")</f>
        <v>Business Undergraduate Academic Excellence Scholarship</v>
      </c>
      <c r="C248" t="s">
        <v>328</v>
      </c>
      <c r="D248" s="12" t="s">
        <v>283</v>
      </c>
      <c r="E248" t="s">
        <v>201</v>
      </c>
      <c r="F248" t="s">
        <v>13</v>
      </c>
      <c r="G248" s="12" t="s">
        <v>329</v>
      </c>
      <c r="H248" t="s">
        <v>25</v>
      </c>
      <c r="I248" t="s">
        <v>25</v>
      </c>
    </row>
    <row r="249" spans="1:9" ht="90" x14ac:dyDescent="0.25">
      <c r="A249" s="3" t="s">
        <v>7</v>
      </c>
      <c r="B249" t="str">
        <f>HYPERLINK("https://scholarships.uow.edu.au/scholarships/search?scholarship=2881", "Vice-Chancellor's Leadership Scholarship – South Western Sydney")</f>
        <v>Vice-Chancellor's Leadership Scholarship – South Western Sydney</v>
      </c>
      <c r="C249" t="s">
        <v>328</v>
      </c>
      <c r="D249" s="12" t="s">
        <v>330</v>
      </c>
      <c r="E249" t="s">
        <v>331</v>
      </c>
      <c r="F249" t="s">
        <v>13</v>
      </c>
      <c r="G249" s="12" t="s">
        <v>673</v>
      </c>
      <c r="H249" t="s">
        <v>25</v>
      </c>
      <c r="I249" t="s">
        <v>25</v>
      </c>
    </row>
    <row r="250" spans="1:9" ht="60" x14ac:dyDescent="0.25">
      <c r="A250" s="3" t="s">
        <v>7</v>
      </c>
      <c r="B250" t="str">
        <f>HYPERLINK("https://scholarships.uow.edu.au/scholarships/search?scholarship=1581", "UOW Liverpool Undergraduate Scholarship")</f>
        <v>UOW Liverpool Undergraduate Scholarship</v>
      </c>
      <c r="C250" t="s">
        <v>328</v>
      </c>
      <c r="D250" s="12" t="s">
        <v>332</v>
      </c>
      <c r="E250" t="s">
        <v>201</v>
      </c>
      <c r="F250" t="s">
        <v>13</v>
      </c>
      <c r="G250" s="12" t="s">
        <v>674</v>
      </c>
      <c r="H250" t="s">
        <v>25</v>
      </c>
      <c r="I250" t="s">
        <v>25</v>
      </c>
    </row>
    <row r="251" spans="1:9" ht="45" x14ac:dyDescent="0.25">
      <c r="A251" s="3" t="s">
        <v>7</v>
      </c>
      <c r="B251" t="str">
        <f>HYPERLINK("https://scholarships.uow.edu.au/scholarships/search?scholarship=2321", "Illawarra Principal's Recommendation Scholarship")</f>
        <v>Illawarra Principal's Recommendation Scholarship</v>
      </c>
      <c r="C251" t="s">
        <v>328</v>
      </c>
      <c r="D251" s="12" t="s">
        <v>333</v>
      </c>
      <c r="E251" t="s">
        <v>201</v>
      </c>
      <c r="F251" t="s">
        <v>13</v>
      </c>
      <c r="G251" s="12" t="s">
        <v>675</v>
      </c>
      <c r="H251" t="s">
        <v>25</v>
      </c>
      <c r="I251" t="s">
        <v>25</v>
      </c>
    </row>
    <row r="252" spans="1:9" ht="45" x14ac:dyDescent="0.25">
      <c r="A252" s="3" t="s">
        <v>7</v>
      </c>
      <c r="B252" t="str">
        <f>HYPERLINK("https://scholarships.uow.edu.au/scholarships/search?scholarship=2322", "Sutherland Shire Principal's Recommendation Scholarship")</f>
        <v>Sutherland Shire Principal's Recommendation Scholarship</v>
      </c>
      <c r="C252" t="s">
        <v>328</v>
      </c>
      <c r="D252" s="12" t="s">
        <v>334</v>
      </c>
      <c r="E252" t="s">
        <v>201</v>
      </c>
      <c r="F252" t="s">
        <v>13</v>
      </c>
      <c r="G252" s="12" t="s">
        <v>675</v>
      </c>
      <c r="H252" t="s">
        <v>25</v>
      </c>
      <c r="I252" t="s">
        <v>25</v>
      </c>
    </row>
    <row r="253" spans="1:9" ht="45" x14ac:dyDescent="0.25">
      <c r="A253" s="3" t="s">
        <v>7</v>
      </c>
      <c r="B253" t="str">
        <f>HYPERLINK("https://scholarships.uow.edu.au/scholarships/search?scholarship=2481", "Macarthur Principal's Recommendation Scholarship")</f>
        <v>Macarthur Principal's Recommendation Scholarship</v>
      </c>
      <c r="C253" t="s">
        <v>328</v>
      </c>
      <c r="D253" s="12" t="s">
        <v>335</v>
      </c>
      <c r="E253" t="s">
        <v>201</v>
      </c>
      <c r="F253" t="s">
        <v>13</v>
      </c>
      <c r="G253" s="12" t="s">
        <v>675</v>
      </c>
      <c r="H253" t="s">
        <v>25</v>
      </c>
      <c r="I253" t="s">
        <v>25</v>
      </c>
    </row>
    <row r="254" spans="1:9" ht="270" x14ac:dyDescent="0.25">
      <c r="A254" s="3" t="s">
        <v>7</v>
      </c>
      <c r="B254" t="str">
        <f>HYPERLINK("https://scholarships.uow.edu.au/scholarships/search?scholarship=401", "The Edna Campbell Scholarship for Women")</f>
        <v>The Edna Campbell Scholarship for Women</v>
      </c>
      <c r="C254" t="s">
        <v>336</v>
      </c>
      <c r="D254" s="12" t="s">
        <v>337</v>
      </c>
      <c r="E254" t="s">
        <v>338</v>
      </c>
      <c r="F254" t="s">
        <v>13</v>
      </c>
      <c r="G254" s="12" t="s">
        <v>339</v>
      </c>
      <c r="H254" t="s">
        <v>25</v>
      </c>
      <c r="I254" t="s">
        <v>25</v>
      </c>
    </row>
    <row r="255" spans="1:9" ht="195" x14ac:dyDescent="0.25">
      <c r="A255" s="3" t="s">
        <v>7</v>
      </c>
      <c r="B255" t="str">
        <f>HYPERLINK("https://scholarships.uow.edu.au/scholarships/search?scholarship=654", "John, Belle &amp; Richard Miller, Bridgewater Scholarships for Opportunity")</f>
        <v>John, Belle &amp; Richard Miller, Bridgewater Scholarships for Opportunity</v>
      </c>
      <c r="C255" t="s">
        <v>336</v>
      </c>
      <c r="D255" s="12" t="s">
        <v>340</v>
      </c>
      <c r="E255" t="s">
        <v>201</v>
      </c>
      <c r="F255" t="s">
        <v>13</v>
      </c>
      <c r="G255" s="12" t="s">
        <v>341</v>
      </c>
      <c r="H255" t="s">
        <v>25</v>
      </c>
      <c r="I255" t="s">
        <v>25</v>
      </c>
    </row>
    <row r="256" spans="1:9" ht="105" x14ac:dyDescent="0.25">
      <c r="A256" s="3" t="s">
        <v>7</v>
      </c>
      <c r="B256" t="str">
        <f>HYPERLINK("https://scholarships.uow.edu.au/scholarships/search?scholarship=2021", "Transforming Futures Scholarship - Future Students")</f>
        <v>Transforming Futures Scholarship - Future Students</v>
      </c>
      <c r="C256" t="s">
        <v>336</v>
      </c>
      <c r="D256" s="12" t="s">
        <v>342</v>
      </c>
      <c r="E256" t="s">
        <v>338</v>
      </c>
      <c r="F256" t="s">
        <v>13</v>
      </c>
      <c r="G256" s="12" t="s">
        <v>343</v>
      </c>
      <c r="H256" t="s">
        <v>25</v>
      </c>
      <c r="I256" t="s">
        <v>25</v>
      </c>
    </row>
    <row r="257" spans="1:9" ht="409.5" x14ac:dyDescent="0.25">
      <c r="A257" s="3" t="s">
        <v>7</v>
      </c>
      <c r="B257" t="str">
        <f>HYPERLINK("https://scholarships.uow.edu.au/scholarships/search?scholarship=1181", "Liverpool City Council Opportunity Scholarship")</f>
        <v>Liverpool City Council Opportunity Scholarship</v>
      </c>
      <c r="C257" t="s">
        <v>336</v>
      </c>
      <c r="D257" s="12" t="s">
        <v>344</v>
      </c>
      <c r="E257" t="s">
        <v>201</v>
      </c>
      <c r="F257" t="s">
        <v>13</v>
      </c>
      <c r="G257" s="12" t="s">
        <v>345</v>
      </c>
      <c r="H257" t="s">
        <v>25</v>
      </c>
      <c r="I257" t="s">
        <v>25</v>
      </c>
    </row>
    <row r="258" spans="1:9" ht="105" x14ac:dyDescent="0.25">
      <c r="A258" s="3" t="s">
        <v>7</v>
      </c>
      <c r="B258" t="str">
        <f>HYPERLINK("https://scholarships.uow.edu.au/scholarships/search?scholarship=1641", "The Salvestrin Sartor Jones Scholarship")</f>
        <v>The Salvestrin Sartor Jones Scholarship</v>
      </c>
      <c r="C258" t="s">
        <v>336</v>
      </c>
      <c r="D258" s="12" t="s">
        <v>346</v>
      </c>
      <c r="E258" t="s">
        <v>41</v>
      </c>
      <c r="F258" t="s">
        <v>13</v>
      </c>
      <c r="G258" s="12" t="s">
        <v>347</v>
      </c>
      <c r="H258" t="s">
        <v>25</v>
      </c>
      <c r="I258" t="s">
        <v>25</v>
      </c>
    </row>
    <row r="259" spans="1:9" ht="45" x14ac:dyDescent="0.25">
      <c r="A259" s="3" t="s">
        <v>7</v>
      </c>
      <c r="B259" t="str">
        <f>HYPERLINK("https://scholarships.uow.edu.au/scholarships/search?scholarship=2642", "De Dominicis Foundation Opportunity Scholarship for STEM Students")</f>
        <v>De Dominicis Foundation Opportunity Scholarship for STEM Students</v>
      </c>
      <c r="C259" t="s">
        <v>336</v>
      </c>
      <c r="D259" s="12" t="s">
        <v>348</v>
      </c>
      <c r="E259" t="s">
        <v>338</v>
      </c>
      <c r="F259" t="s">
        <v>13</v>
      </c>
      <c r="G259" s="12" t="s">
        <v>349</v>
      </c>
      <c r="H259" t="s">
        <v>25</v>
      </c>
      <c r="I259" t="s">
        <v>25</v>
      </c>
    </row>
    <row r="260" spans="1:9" ht="409.5" x14ac:dyDescent="0.25">
      <c r="A260" s="3" t="s">
        <v>7</v>
      </c>
      <c r="B260" t="str">
        <f>HYPERLINK("https://scholarships.uow.edu.au/scholarships/search?scholarship=2761", "Wollongong Chapter No. 59 Order of the Eastern Star Nursing Opportunity Scholarship")</f>
        <v>Wollongong Chapter No. 59 Order of the Eastern Star Nursing Opportunity Scholarship</v>
      </c>
      <c r="C260" t="s">
        <v>336</v>
      </c>
      <c r="D260" s="12" t="s">
        <v>350</v>
      </c>
      <c r="E260" t="s">
        <v>338</v>
      </c>
      <c r="F260" t="s">
        <v>13</v>
      </c>
      <c r="G260" s="12" t="s">
        <v>351</v>
      </c>
      <c r="H260" t="s">
        <v>25</v>
      </c>
      <c r="I260" t="s">
        <v>25</v>
      </c>
    </row>
    <row r="261" spans="1:9" ht="330" x14ac:dyDescent="0.25">
      <c r="A261" s="3" t="s">
        <v>7</v>
      </c>
      <c r="B261" t="str">
        <f>HYPERLINK("https://scholarships.uow.edu.au/scholarships/search?scholarship=361", "The Stevenson Family Scholarship in Social Work")</f>
        <v>The Stevenson Family Scholarship in Social Work</v>
      </c>
      <c r="C261" t="s">
        <v>336</v>
      </c>
      <c r="D261" s="12" t="s">
        <v>352</v>
      </c>
      <c r="E261" t="s">
        <v>41</v>
      </c>
      <c r="F261" t="s">
        <v>13</v>
      </c>
      <c r="G261" s="12" t="s">
        <v>353</v>
      </c>
      <c r="H261" t="s">
        <v>25</v>
      </c>
      <c r="I261" t="s">
        <v>25</v>
      </c>
    </row>
    <row r="262" spans="1:9" ht="300" x14ac:dyDescent="0.25">
      <c r="A262" s="3" t="s">
        <v>7</v>
      </c>
      <c r="B262" t="str">
        <f>HYPERLINK("https://scholarships.uow.edu.au/scholarships/search?scholarship=640", "St Georges Basin Community Scholarship")</f>
        <v>St Georges Basin Community Scholarship</v>
      </c>
      <c r="C262" t="s">
        <v>336</v>
      </c>
      <c r="D262" s="12" t="s">
        <v>354</v>
      </c>
      <c r="E262" t="s">
        <v>201</v>
      </c>
      <c r="F262" t="s">
        <v>13</v>
      </c>
      <c r="G262" s="12" t="s">
        <v>355</v>
      </c>
      <c r="H262" t="s">
        <v>25</v>
      </c>
      <c r="I262" t="s">
        <v>25</v>
      </c>
    </row>
    <row r="263" spans="1:9" ht="409.5" x14ac:dyDescent="0.25">
      <c r="A263" s="3" t="s">
        <v>7</v>
      </c>
      <c r="B263" t="str">
        <f>HYPERLINK("https://scholarships.uow.edu.au/scholarships/search?scholarship=321", "The Illawarra Centenary of ANZAC Scholarship")</f>
        <v>The Illawarra Centenary of ANZAC Scholarship</v>
      </c>
      <c r="C263" t="s">
        <v>336</v>
      </c>
      <c r="D263" s="12" t="s">
        <v>356</v>
      </c>
      <c r="E263" t="s">
        <v>338</v>
      </c>
      <c r="F263" t="s">
        <v>13</v>
      </c>
      <c r="G263" s="12" t="s">
        <v>357</v>
      </c>
      <c r="H263" t="s">
        <v>25</v>
      </c>
      <c r="I263" t="s">
        <v>25</v>
      </c>
    </row>
    <row r="264" spans="1:9" ht="360" x14ac:dyDescent="0.25">
      <c r="A264" s="3" t="s">
        <v>7</v>
      </c>
      <c r="B264" t="str">
        <f>HYPERLINK("https://scholarships.uow.edu.au/scholarships/search?scholarship=630", "Ivan Bandur Master of Teaching Scholarship")</f>
        <v>Ivan Bandur Master of Teaching Scholarship</v>
      </c>
      <c r="C264" t="s">
        <v>336</v>
      </c>
      <c r="D264" s="12" t="s">
        <v>346</v>
      </c>
      <c r="E264" t="s">
        <v>205</v>
      </c>
      <c r="F264" t="s">
        <v>51</v>
      </c>
      <c r="G264" s="12" t="s">
        <v>358</v>
      </c>
      <c r="H264" t="s">
        <v>25</v>
      </c>
      <c r="I264" t="s">
        <v>25</v>
      </c>
    </row>
    <row r="265" spans="1:9" ht="255" x14ac:dyDescent="0.25">
      <c r="A265" s="3" t="s">
        <v>7</v>
      </c>
      <c r="B265" s="14" t="str">
        <f>HYPERLINK("https://scholarships.uow.edu.au/scholarships/search?scholarship=2203", "Destination Australia Scholarship (Domestic Students)")</f>
        <v>Destination Australia Scholarship (Domestic Students)</v>
      </c>
      <c r="C265" t="s">
        <v>359</v>
      </c>
      <c r="D265" s="10" t="s">
        <v>295</v>
      </c>
      <c r="E265" t="s">
        <v>664</v>
      </c>
      <c r="F265" t="s">
        <v>35</v>
      </c>
      <c r="G265" s="12" t="s">
        <v>663</v>
      </c>
      <c r="H265" t="s">
        <v>25</v>
      </c>
      <c r="I265" t="s">
        <v>25</v>
      </c>
    </row>
    <row r="266" spans="1:9" ht="330" x14ac:dyDescent="0.25">
      <c r="A266" s="3" t="s">
        <v>7</v>
      </c>
      <c r="B266" t="str">
        <f>HYPERLINK("https://scholarships.uow.edu.au/scholarships/search?scholarship=1681", "Club Liverpool Community Scholarship")</f>
        <v>Club Liverpool Community Scholarship</v>
      </c>
      <c r="C266" t="s">
        <v>336</v>
      </c>
      <c r="D266" s="12" t="s">
        <v>360</v>
      </c>
      <c r="E266" t="s">
        <v>201</v>
      </c>
      <c r="F266" t="s">
        <v>13</v>
      </c>
      <c r="G266" s="12" t="s">
        <v>361</v>
      </c>
      <c r="H266" t="s">
        <v>25</v>
      </c>
      <c r="I266" t="s">
        <v>25</v>
      </c>
    </row>
    <row r="267" spans="1:9" ht="165" x14ac:dyDescent="0.25">
      <c r="A267" s="3" t="s">
        <v>7</v>
      </c>
      <c r="B267" t="str">
        <f>HYPERLINK("https://scholarships.uow.edu.au/scholarships/search?scholarship=2161", "Rural and Regional Agricultural Scholarship")</f>
        <v>Rural and Regional Agricultural Scholarship</v>
      </c>
      <c r="C267" t="s">
        <v>336</v>
      </c>
      <c r="D267" s="12" t="s">
        <v>362</v>
      </c>
      <c r="E267" t="s">
        <v>331</v>
      </c>
      <c r="F267" t="s">
        <v>13</v>
      </c>
      <c r="G267" s="12" t="s">
        <v>363</v>
      </c>
      <c r="H267" t="s">
        <v>25</v>
      </c>
      <c r="I267" t="s">
        <v>25</v>
      </c>
    </row>
    <row r="268" spans="1:9" ht="409.5" x14ac:dyDescent="0.25">
      <c r="A268" s="3" t="s">
        <v>7</v>
      </c>
      <c r="B268" t="str">
        <f>HYPERLINK("https://scholarships.uow.edu.au/scholarships/search?scholarship=1121", "The Movement Disorder Foundation Scholarship")</f>
        <v>The Movement Disorder Foundation Scholarship</v>
      </c>
      <c r="C268" t="s">
        <v>336</v>
      </c>
      <c r="D268" s="12" t="s">
        <v>364</v>
      </c>
      <c r="E268" t="s">
        <v>331</v>
      </c>
      <c r="F268" t="s">
        <v>35</v>
      </c>
      <c r="G268" s="12" t="s">
        <v>365</v>
      </c>
      <c r="H268" t="s">
        <v>25</v>
      </c>
      <c r="I268" t="s">
        <v>25</v>
      </c>
    </row>
    <row r="269" spans="1:9" ht="345" x14ac:dyDescent="0.25">
      <c r="A269" s="3" t="s">
        <v>7</v>
      </c>
      <c r="B269" t="str">
        <f>HYPERLINK("https://scholarships.uow.edu.au/scholarships/search?scholarship=1302", "Mudgee Region Community Scholarship")</f>
        <v>Mudgee Region Community Scholarship</v>
      </c>
      <c r="C269" t="s">
        <v>336</v>
      </c>
      <c r="D269" s="12" t="s">
        <v>352</v>
      </c>
      <c r="E269" t="s">
        <v>41</v>
      </c>
      <c r="F269" t="s">
        <v>13</v>
      </c>
      <c r="G269" s="12" t="s">
        <v>366</v>
      </c>
      <c r="H269" t="s">
        <v>25</v>
      </c>
      <c r="I269" t="s">
        <v>25</v>
      </c>
    </row>
    <row r="270" spans="1:9" ht="409.5" x14ac:dyDescent="0.25">
      <c r="A270" s="3" t="s">
        <v>7</v>
      </c>
      <c r="B270" t="str">
        <f>HYPERLINK("https://scholarships.uow.edu.au/scholarships/search?scholarship=3202", "Dylan Alcott Foundation Scholarship")</f>
        <v>Dylan Alcott Foundation Scholarship</v>
      </c>
      <c r="C270" t="s">
        <v>336</v>
      </c>
      <c r="D270" s="12" t="s">
        <v>367</v>
      </c>
      <c r="E270" t="s">
        <v>338</v>
      </c>
      <c r="F270" t="s">
        <v>13</v>
      </c>
      <c r="G270" s="12" t="s">
        <v>368</v>
      </c>
      <c r="H270" t="s">
        <v>25</v>
      </c>
      <c r="I270" t="s">
        <v>25</v>
      </c>
    </row>
    <row r="271" spans="1:9" ht="345" x14ac:dyDescent="0.25">
      <c r="A271" s="3" t="s">
        <v>7</v>
      </c>
      <c r="B271" t="str">
        <f>HYPERLINK("https://scholarships.uow.edu.au/scholarships/search?scholarship=2961", "Housing Trust Opportunity Scholarship")</f>
        <v>Housing Trust Opportunity Scholarship</v>
      </c>
      <c r="C271" t="s">
        <v>336</v>
      </c>
      <c r="D271" s="12" t="s">
        <v>352</v>
      </c>
      <c r="E271" t="s">
        <v>338</v>
      </c>
      <c r="F271" t="s">
        <v>13</v>
      </c>
      <c r="G271" s="12" t="s">
        <v>369</v>
      </c>
      <c r="H271" t="s">
        <v>25</v>
      </c>
      <c r="I271" t="s">
        <v>25</v>
      </c>
    </row>
    <row r="272" spans="1:9" ht="45" x14ac:dyDescent="0.25">
      <c r="A272" s="3" t="s">
        <v>7</v>
      </c>
      <c r="B272" t="str">
        <f>HYPERLINK("https://scholarships.uow.edu.au/scholarships/search?scholarship=2941", "Regional Kick Start Scholarships")</f>
        <v>Regional Kick Start Scholarships</v>
      </c>
      <c r="C272" t="s">
        <v>336</v>
      </c>
      <c r="D272" s="12" t="s">
        <v>370</v>
      </c>
      <c r="E272" t="s">
        <v>201</v>
      </c>
      <c r="F272" t="s">
        <v>35</v>
      </c>
      <c r="G272" s="12" t="s">
        <v>677</v>
      </c>
      <c r="H272" t="s">
        <v>25</v>
      </c>
      <c r="I272" t="s">
        <v>25</v>
      </c>
    </row>
    <row r="273" spans="1:9" ht="360" x14ac:dyDescent="0.25">
      <c r="A273" s="3" t="s">
        <v>7</v>
      </c>
      <c r="B273" t="str">
        <f>HYPERLINK("https://scholarships.uow.edu.au/scholarships/search?scholarship=2821", "The City of Wollongong RSL Sub-Branch ANZAC Scholarship")</f>
        <v>The City of Wollongong RSL Sub-Branch ANZAC Scholarship</v>
      </c>
      <c r="C273" t="s">
        <v>336</v>
      </c>
      <c r="D273" s="12" t="s">
        <v>352</v>
      </c>
      <c r="E273" t="s">
        <v>338</v>
      </c>
      <c r="F273" t="s">
        <v>13</v>
      </c>
      <c r="G273" s="12" t="s">
        <v>371</v>
      </c>
      <c r="H273" t="s">
        <v>25</v>
      </c>
      <c r="I273" t="s">
        <v>25</v>
      </c>
    </row>
    <row r="274" spans="1:9" ht="409.5" x14ac:dyDescent="0.25">
      <c r="A274" s="3" t="s">
        <v>7</v>
      </c>
      <c r="B274" t="str">
        <f>HYPERLINK("https://scholarships.uow.edu.au/scholarships/search?scholarship=2522", "The Tibra Foundation Scholarship in Mathematics")</f>
        <v>The Tibra Foundation Scholarship in Mathematics</v>
      </c>
      <c r="C274" t="s">
        <v>336</v>
      </c>
      <c r="D274" s="12" t="s">
        <v>350</v>
      </c>
      <c r="E274" t="s">
        <v>205</v>
      </c>
      <c r="F274" t="s">
        <v>13</v>
      </c>
      <c r="G274" s="12" t="s">
        <v>372</v>
      </c>
      <c r="H274" t="s">
        <v>25</v>
      </c>
      <c r="I274" t="s">
        <v>25</v>
      </c>
    </row>
    <row r="275" spans="1:9" ht="375" x14ac:dyDescent="0.25">
      <c r="A275" s="3" t="s">
        <v>7</v>
      </c>
      <c r="B275" t="str">
        <f>HYPERLINK("https://scholarships.uow.edu.au/scholarships/search?scholarship=2981", "Risland Community Scholarship in Engineering")</f>
        <v>Risland Community Scholarship in Engineering</v>
      </c>
      <c r="C275" t="s">
        <v>336</v>
      </c>
      <c r="D275" s="12" t="s">
        <v>352</v>
      </c>
      <c r="E275" t="s">
        <v>338</v>
      </c>
      <c r="F275" t="s">
        <v>13</v>
      </c>
      <c r="G275" s="12" t="s">
        <v>373</v>
      </c>
      <c r="H275" t="s">
        <v>25</v>
      </c>
      <c r="I275" t="s">
        <v>25</v>
      </c>
    </row>
    <row r="276" spans="1:9" ht="409.5" x14ac:dyDescent="0.25">
      <c r="A276" s="3" t="s">
        <v>7</v>
      </c>
      <c r="B276" t="str">
        <f>HYPERLINK("https://scholarships.uow.edu.au/scholarships/search?scholarship=2061", "UOW Ramsay Scholarship")</f>
        <v>UOW Ramsay Scholarship</v>
      </c>
      <c r="C276" t="s">
        <v>336</v>
      </c>
      <c r="D276" s="12" t="s">
        <v>374</v>
      </c>
      <c r="E276" t="s">
        <v>285</v>
      </c>
      <c r="F276" t="s">
        <v>13</v>
      </c>
      <c r="G276" s="12" t="s">
        <v>375</v>
      </c>
      <c r="H276" t="s">
        <v>25</v>
      </c>
      <c r="I276" t="s">
        <v>25</v>
      </c>
    </row>
    <row r="277" spans="1:9" ht="120" x14ac:dyDescent="0.25">
      <c r="A277" s="3" t="s">
        <v>7</v>
      </c>
      <c r="B277" t="str">
        <f>HYPERLINK("https://scholarships.uow.edu.au/scholarships/search?scholarship=2543", "Rhondda and Margaret Williams Scholarship for Rural Medicine")</f>
        <v>Rhondda and Margaret Williams Scholarship for Rural Medicine</v>
      </c>
      <c r="C277" t="s">
        <v>336</v>
      </c>
      <c r="D277" s="12" t="s">
        <v>376</v>
      </c>
      <c r="E277" t="s">
        <v>331</v>
      </c>
      <c r="F277" t="s">
        <v>51</v>
      </c>
      <c r="G277" s="12" t="s">
        <v>377</v>
      </c>
      <c r="H277" t="s">
        <v>25</v>
      </c>
      <c r="I277" t="s">
        <v>25</v>
      </c>
    </row>
    <row r="278" spans="1:9" ht="409.5" x14ac:dyDescent="0.25">
      <c r="A278" s="3" t="s">
        <v>7</v>
      </c>
      <c r="B278" t="str">
        <f>HYPERLINK("https://scholarships.uow.edu.au/scholarships/search?scholarship=1381", "The George Alexander Foundation Scholarship")</f>
        <v>The George Alexander Foundation Scholarship</v>
      </c>
      <c r="C278" t="s">
        <v>336</v>
      </c>
      <c r="D278" s="12" t="s">
        <v>378</v>
      </c>
      <c r="E278" t="s">
        <v>338</v>
      </c>
      <c r="F278" t="s">
        <v>13</v>
      </c>
      <c r="G278" s="12" t="s">
        <v>379</v>
      </c>
      <c r="H278" t="s">
        <v>25</v>
      </c>
      <c r="I278" t="s">
        <v>25</v>
      </c>
    </row>
    <row r="279" spans="1:9" ht="409.5" x14ac:dyDescent="0.25">
      <c r="A279" s="3" t="s">
        <v>7</v>
      </c>
      <c r="B279" t="str">
        <f>HYPERLINK("https://scholarships.uow.edu.au/scholarships/search?scholarship=301", "Westpac Young Technologists Scholarship")</f>
        <v>Westpac Young Technologists Scholarship</v>
      </c>
      <c r="C279" t="s">
        <v>380</v>
      </c>
      <c r="D279" s="12" t="s">
        <v>381</v>
      </c>
      <c r="E279" t="s">
        <v>338</v>
      </c>
      <c r="F279" t="s">
        <v>13</v>
      </c>
      <c r="G279" s="12" t="s">
        <v>382</v>
      </c>
      <c r="H279" t="s">
        <v>25</v>
      </c>
      <c r="I279" t="s">
        <v>25</v>
      </c>
    </row>
    <row r="280" spans="1:9" ht="225" x14ac:dyDescent="0.25">
      <c r="A280" s="3" t="s">
        <v>7</v>
      </c>
      <c r="B280" t="str">
        <f>HYPERLINK("https://scholarships.uow.edu.au/scholarships/search?scholarship=3101", "McLoughlin Minerva Scholarship for Sportswomen")</f>
        <v>McLoughlin Minerva Scholarship for Sportswomen</v>
      </c>
      <c r="C280" t="s">
        <v>336</v>
      </c>
      <c r="D280" s="12" t="s">
        <v>383</v>
      </c>
      <c r="E280" t="s">
        <v>338</v>
      </c>
      <c r="F280" t="s">
        <v>13</v>
      </c>
      <c r="G280" s="12" t="s">
        <v>384</v>
      </c>
      <c r="H280" t="s">
        <v>25</v>
      </c>
      <c r="I280" t="s">
        <v>25</v>
      </c>
    </row>
    <row r="281" spans="1:9" ht="225" x14ac:dyDescent="0.25">
      <c r="A281" s="3" t="s">
        <v>7</v>
      </c>
      <c r="B281" t="str">
        <f>HYPERLINK("https://scholarships.uow.edu.au/scholarships/search?scholarship=1761", "Women in Pure Mathematics Honours Scholarship")</f>
        <v>Women in Pure Mathematics Honours Scholarship</v>
      </c>
      <c r="C281" t="s">
        <v>27</v>
      </c>
      <c r="D281" s="12" t="s">
        <v>354</v>
      </c>
      <c r="E281" t="s">
        <v>201</v>
      </c>
      <c r="F281" t="s">
        <v>13</v>
      </c>
      <c r="G281" s="12" t="s">
        <v>385</v>
      </c>
      <c r="H281" t="s">
        <v>25</v>
      </c>
      <c r="I281" t="s">
        <v>25</v>
      </c>
    </row>
    <row r="282" spans="1:9" ht="255" x14ac:dyDescent="0.25">
      <c r="A282" s="3" t="s">
        <v>7</v>
      </c>
      <c r="B282" t="str">
        <f>HYPERLINK("https://scholarships.uow.edu.au/scholarships/search?scholarship=3301", "Antong Jiang Master of Computer Science Excellence Scholarship")</f>
        <v>Antong Jiang Master of Computer Science Excellence Scholarship</v>
      </c>
      <c r="C282" t="s">
        <v>328</v>
      </c>
      <c r="D282" s="12" t="s">
        <v>386</v>
      </c>
      <c r="E282" t="s">
        <v>201</v>
      </c>
      <c r="F282" t="s">
        <v>51</v>
      </c>
      <c r="G282" s="12" t="s">
        <v>387</v>
      </c>
      <c r="H282" t="s">
        <v>25</v>
      </c>
      <c r="I282" t="s">
        <v>25</v>
      </c>
    </row>
    <row r="283" spans="1:9" ht="30" x14ac:dyDescent="0.25">
      <c r="A283" s="3" t="s">
        <v>7</v>
      </c>
      <c r="B283" t="str">
        <f>HYPERLINK("https://scholarships.uow.edu.au/scholarships/search?scholarship=1661", "UOW Equity Scholarships")</f>
        <v>UOW Equity Scholarships</v>
      </c>
      <c r="C283" t="s">
        <v>14</v>
      </c>
      <c r="D283" s="12" t="s">
        <v>388</v>
      </c>
      <c r="E283" t="s">
        <v>201</v>
      </c>
      <c r="F283" t="s">
        <v>13</v>
      </c>
      <c r="G283" s="12" t="s">
        <v>676</v>
      </c>
      <c r="H283" t="s">
        <v>25</v>
      </c>
      <c r="I283" t="s">
        <v>25</v>
      </c>
    </row>
    <row r="284" spans="1:9" ht="409.5" x14ac:dyDescent="0.25">
      <c r="A284" s="3" t="s">
        <v>7</v>
      </c>
      <c r="B284" t="str">
        <f>HYPERLINK("https://scholarships.uow.edu.au/scholarships/search?scholarship=659", "Veolia Mulwaree Trust Community Equity Scholarship")</f>
        <v>Veolia Mulwaree Trust Community Equity Scholarship</v>
      </c>
      <c r="C284" t="s">
        <v>336</v>
      </c>
      <c r="D284" s="12" t="s">
        <v>354</v>
      </c>
      <c r="E284" t="s">
        <v>201</v>
      </c>
      <c r="F284" t="s">
        <v>13</v>
      </c>
      <c r="G284" s="12" t="s">
        <v>389</v>
      </c>
      <c r="H284" t="s">
        <v>25</v>
      </c>
      <c r="I284" t="s">
        <v>25</v>
      </c>
    </row>
    <row r="285" spans="1:9" ht="409.5" x14ac:dyDescent="0.25">
      <c r="A285" s="3" t="s">
        <v>7</v>
      </c>
      <c r="B285" t="str">
        <f>HYPERLINK("https://scholarships.uow.edu.au/scholarships/search?scholarship=624", "Graduate School of Medicine Phase 4 Rural Placement Scholarship")</f>
        <v>Graduate School of Medicine Phase 4 Rural Placement Scholarship</v>
      </c>
      <c r="C285" t="s">
        <v>336</v>
      </c>
      <c r="D285" s="12" t="s">
        <v>390</v>
      </c>
      <c r="E285" t="s">
        <v>201</v>
      </c>
      <c r="F285" t="s">
        <v>51</v>
      </c>
      <c r="G285" s="12" t="s">
        <v>391</v>
      </c>
      <c r="H285" t="s">
        <v>25</v>
      </c>
      <c r="I285" t="s">
        <v>16</v>
      </c>
    </row>
    <row r="286" spans="1:9" ht="255" x14ac:dyDescent="0.25">
      <c r="A286" s="3" t="s">
        <v>7</v>
      </c>
      <c r="B286" t="str">
        <f>HYPERLINK("https://scholarships.uow.edu.au/scholarships/search?scholarship=601", "Graduate School of Medicine Phase 3 Community Funded Scholarship")</f>
        <v>Graduate School of Medicine Phase 3 Community Funded Scholarship</v>
      </c>
      <c r="C286" t="s">
        <v>336</v>
      </c>
      <c r="D286" s="12" t="s">
        <v>392</v>
      </c>
      <c r="E286" t="s">
        <v>201</v>
      </c>
      <c r="F286" t="s">
        <v>51</v>
      </c>
      <c r="G286" s="12" t="s">
        <v>393</v>
      </c>
      <c r="H286" t="s">
        <v>25</v>
      </c>
      <c r="I286" t="s">
        <v>25</v>
      </c>
    </row>
    <row r="287" spans="1:9" ht="165" x14ac:dyDescent="0.25">
      <c r="A287" s="3" t="s">
        <v>7</v>
      </c>
      <c r="B287" t="str">
        <f>HYPERLINK("https://scholarships.uow.edu.au/scholarships/search?scholarship=602", "UOW Alumni Bookshop Scholarship")</f>
        <v>UOW Alumni Bookshop Scholarship</v>
      </c>
      <c r="C287" t="s">
        <v>336</v>
      </c>
      <c r="D287" s="12" t="s">
        <v>394</v>
      </c>
      <c r="E287" t="s">
        <v>338</v>
      </c>
      <c r="F287" t="s">
        <v>13</v>
      </c>
      <c r="G287" s="12" t="s">
        <v>395</v>
      </c>
      <c r="H287" t="s">
        <v>25</v>
      </c>
      <c r="I287" t="s">
        <v>25</v>
      </c>
    </row>
    <row r="288" spans="1:9" ht="409.5" x14ac:dyDescent="0.25">
      <c r="A288" s="3" t="s">
        <v>7</v>
      </c>
      <c r="B288" t="str">
        <f>HYPERLINK("https://scholarships.uow.edu.au/scholarships/search?scholarship=1181", "Liverpool City Council Opportunity Scholarship")</f>
        <v>Liverpool City Council Opportunity Scholarship</v>
      </c>
      <c r="C288" t="s">
        <v>336</v>
      </c>
      <c r="D288" s="12" t="s">
        <v>344</v>
      </c>
      <c r="E288" t="s">
        <v>201</v>
      </c>
      <c r="F288" t="s">
        <v>13</v>
      </c>
      <c r="G288" s="12" t="s">
        <v>345</v>
      </c>
      <c r="H288" t="s">
        <v>25</v>
      </c>
      <c r="I288" t="s">
        <v>25</v>
      </c>
    </row>
    <row r="289" spans="1:9" ht="409.5" x14ac:dyDescent="0.25">
      <c r="A289" s="3" t="s">
        <v>7</v>
      </c>
      <c r="B289" t="str">
        <f>HYPERLINK("https://scholarships.uow.edu.au/scholarships/search?scholarship=2081", "The Holt Estate Environmental Science Scholarship")</f>
        <v>The Holt Estate Environmental Science Scholarship</v>
      </c>
      <c r="C289" t="s">
        <v>336</v>
      </c>
      <c r="D289" s="12" t="s">
        <v>386</v>
      </c>
      <c r="E289" t="s">
        <v>338</v>
      </c>
      <c r="F289" t="s">
        <v>13</v>
      </c>
      <c r="G289" s="12" t="s">
        <v>396</v>
      </c>
      <c r="H289" t="s">
        <v>25</v>
      </c>
      <c r="I289" t="s">
        <v>25</v>
      </c>
    </row>
    <row r="290" spans="1:9" ht="180" x14ac:dyDescent="0.25">
      <c r="A290" s="3" t="s">
        <v>7</v>
      </c>
      <c r="B290" t="str">
        <f>HYPERLINK("https://scholarships.uow.edu.au/scholarships/search?scholarship=1821", "Transforming Futures Scholarship- Current Students")</f>
        <v>Transforming Futures Scholarship- Current Students</v>
      </c>
      <c r="C290" t="s">
        <v>336</v>
      </c>
      <c r="D290" s="12" t="s">
        <v>342</v>
      </c>
      <c r="E290" t="s">
        <v>338</v>
      </c>
      <c r="F290" t="s">
        <v>13</v>
      </c>
      <c r="G290" s="12" t="s">
        <v>397</v>
      </c>
      <c r="H290" t="s">
        <v>25</v>
      </c>
      <c r="I290" t="s">
        <v>25</v>
      </c>
    </row>
    <row r="291" spans="1:9" ht="409.5" x14ac:dyDescent="0.25">
      <c r="A291" s="3" t="s">
        <v>7</v>
      </c>
      <c r="B291" t="str">
        <f>HYPERLINK("https://scholarships.uow.edu.au/scholarships/search?scholarship=3021", "The Robert Sidhwani Memorial Scholarship in Medicine")</f>
        <v>The Robert Sidhwani Memorial Scholarship in Medicine</v>
      </c>
      <c r="C291" t="s">
        <v>336</v>
      </c>
      <c r="D291" s="12" t="s">
        <v>352</v>
      </c>
      <c r="E291" t="s">
        <v>201</v>
      </c>
      <c r="F291" t="s">
        <v>51</v>
      </c>
      <c r="G291" s="12" t="s">
        <v>398</v>
      </c>
      <c r="H291" t="s">
        <v>25</v>
      </c>
      <c r="I291" t="s">
        <v>25</v>
      </c>
    </row>
    <row r="292" spans="1:9" ht="360" x14ac:dyDescent="0.25">
      <c r="A292" s="3" t="s">
        <v>7</v>
      </c>
      <c r="B292" t="str">
        <f>HYPERLINK("https://scholarships.uow.edu.au/scholarships/search?scholarship=2501", "Motion Asia Pacific Opportunity Scholarship")</f>
        <v>Motion Asia Pacific Opportunity Scholarship</v>
      </c>
      <c r="C292" t="s">
        <v>336</v>
      </c>
      <c r="D292" s="12" t="s">
        <v>352</v>
      </c>
      <c r="E292" t="s">
        <v>331</v>
      </c>
      <c r="F292" t="s">
        <v>13</v>
      </c>
      <c r="G292" s="12" t="s">
        <v>399</v>
      </c>
      <c r="H292" t="s">
        <v>25</v>
      </c>
      <c r="I292" t="s">
        <v>25</v>
      </c>
    </row>
    <row r="293" spans="1:9" ht="195" x14ac:dyDescent="0.25">
      <c r="A293" s="3" t="s">
        <v>7</v>
      </c>
      <c r="B293" t="str">
        <f>HYPERLINK("https://scholarships.uow.edu.au/scholarships/search?scholarship=3221", "Bomaderry Bowling Club Opportunity Scholarship")</f>
        <v>Bomaderry Bowling Club Opportunity Scholarship</v>
      </c>
      <c r="C293" t="s">
        <v>336</v>
      </c>
      <c r="D293" s="12" t="s">
        <v>400</v>
      </c>
      <c r="E293" t="s">
        <v>201</v>
      </c>
      <c r="F293" t="s">
        <v>13</v>
      </c>
      <c r="G293" s="12" t="s">
        <v>401</v>
      </c>
      <c r="H293" t="s">
        <v>25</v>
      </c>
      <c r="I293" t="s">
        <v>25</v>
      </c>
    </row>
    <row r="294" spans="1:9" ht="409.5" x14ac:dyDescent="0.25">
      <c r="A294" s="3" t="s">
        <v>7</v>
      </c>
      <c r="B294" t="str">
        <f>HYPERLINK("https://scholarships.uow.edu.au/scholarships/search?scholarship=2922", "St Georges Basin Country Club Opportunity Scholarship")</f>
        <v>St Georges Basin Country Club Opportunity Scholarship</v>
      </c>
      <c r="C294" t="s">
        <v>336</v>
      </c>
      <c r="D294" s="12" t="s">
        <v>400</v>
      </c>
      <c r="E294" t="s">
        <v>201</v>
      </c>
      <c r="F294" t="s">
        <v>13</v>
      </c>
      <c r="G294" s="12" t="s">
        <v>402</v>
      </c>
      <c r="H294" t="s">
        <v>25</v>
      </c>
      <c r="I294" t="s">
        <v>25</v>
      </c>
    </row>
    <row r="295" spans="1:9" ht="195" x14ac:dyDescent="0.25">
      <c r="A295" s="3" t="s">
        <v>7</v>
      </c>
      <c r="B295" t="str">
        <f>HYPERLINK("https://scholarships.uow.edu.au/scholarships/search?scholarship=3281", "Albion Park RSL Memorial Club Scholarship")</f>
        <v>Albion Park RSL Memorial Club Scholarship</v>
      </c>
      <c r="C295" t="s">
        <v>336</v>
      </c>
      <c r="D295" s="10" t="s">
        <v>403</v>
      </c>
      <c r="E295" t="s">
        <v>201</v>
      </c>
      <c r="F295" t="s">
        <v>13</v>
      </c>
      <c r="G295" s="12" t="s">
        <v>404</v>
      </c>
      <c r="H295" t="s">
        <v>25</v>
      </c>
      <c r="I295" t="s">
        <v>25</v>
      </c>
    </row>
    <row r="296" spans="1:9" ht="225" x14ac:dyDescent="0.25">
      <c r="A296" s="3" t="s">
        <v>7</v>
      </c>
      <c r="B296" t="str">
        <f>HYPERLINK("https://scholarships.uow.edu.au/scholarships/search?scholarship=461", "The Patterson Family Scholarship")</f>
        <v>The Patterson Family Scholarship</v>
      </c>
      <c r="C296" t="s">
        <v>336</v>
      </c>
      <c r="D296" s="12" t="s">
        <v>405</v>
      </c>
      <c r="E296" t="s">
        <v>201</v>
      </c>
      <c r="F296" t="s">
        <v>13</v>
      </c>
      <c r="G296" s="12" t="s">
        <v>406</v>
      </c>
      <c r="H296" t="s">
        <v>25</v>
      </c>
      <c r="I296" t="s">
        <v>25</v>
      </c>
    </row>
    <row r="297" spans="1:9" ht="270" x14ac:dyDescent="0.25">
      <c r="A297" s="3" t="s">
        <v>7</v>
      </c>
      <c r="B297" t="str">
        <f>HYPERLINK("https://scholarships.uow.edu.au/scholarships/search?scholarship=3061", "Clever Care Now Nursing Opportunity Scholarship")</f>
        <v>Clever Care Now Nursing Opportunity Scholarship</v>
      </c>
      <c r="C297" t="s">
        <v>336</v>
      </c>
      <c r="D297" s="12" t="s">
        <v>403</v>
      </c>
      <c r="E297" t="s">
        <v>201</v>
      </c>
      <c r="F297" t="s">
        <v>13</v>
      </c>
      <c r="G297" s="12" t="s">
        <v>407</v>
      </c>
      <c r="H297" t="s">
        <v>25</v>
      </c>
      <c r="I297" t="s">
        <v>25</v>
      </c>
    </row>
    <row r="298" spans="1:9" ht="240" x14ac:dyDescent="0.25">
      <c r="A298" s="3" t="s">
        <v>7</v>
      </c>
      <c r="B298" t="str">
        <f>HYPERLINK("https://scholarships.uow.edu.au/scholarships/search?scholarship=2461", "Nursing Clinical Placement Scholarship")</f>
        <v>Nursing Clinical Placement Scholarship</v>
      </c>
      <c r="C298" t="s">
        <v>336</v>
      </c>
      <c r="D298" s="12" t="s">
        <v>408</v>
      </c>
      <c r="E298" t="s">
        <v>201</v>
      </c>
      <c r="F298" t="s">
        <v>13</v>
      </c>
      <c r="G298" s="12" t="s">
        <v>409</v>
      </c>
      <c r="H298" t="s">
        <v>25</v>
      </c>
      <c r="I298" t="s">
        <v>16</v>
      </c>
    </row>
    <row r="299" spans="1:9" ht="409.5" x14ac:dyDescent="0.25">
      <c r="A299" s="3" t="s">
        <v>7</v>
      </c>
      <c r="B299" t="str">
        <f>HYPERLINK("https://scholarships.uow.edu.au/scholarships/search?scholarship=2742", "Women in Finance and Economics Scholarship Program (Postgraduate)")</f>
        <v>Women in Finance and Economics Scholarship Program (Postgraduate)</v>
      </c>
      <c r="C299" t="s">
        <v>336</v>
      </c>
      <c r="D299" s="12" t="s">
        <v>410</v>
      </c>
      <c r="E299" t="s">
        <v>201</v>
      </c>
      <c r="F299" t="s">
        <v>51</v>
      </c>
      <c r="G299" s="12" t="s">
        <v>411</v>
      </c>
      <c r="H299" t="s">
        <v>25</v>
      </c>
      <c r="I299" t="s">
        <v>25</v>
      </c>
    </row>
    <row r="300" spans="1:9" ht="240" x14ac:dyDescent="0.25">
      <c r="A300" s="3" t="s">
        <v>7</v>
      </c>
      <c r="B300" t="str">
        <f>HYPERLINK("https://scholarships.uow.edu.au/scholarships/search?scholarship=3063", "Sustainable Futures Opportunity Scholarship")</f>
        <v>Sustainable Futures Opportunity Scholarship</v>
      </c>
      <c r="C300" t="s">
        <v>336</v>
      </c>
      <c r="D300" s="12" t="s">
        <v>412</v>
      </c>
      <c r="E300" t="s">
        <v>338</v>
      </c>
      <c r="F300" t="s">
        <v>13</v>
      </c>
      <c r="G300" s="12" t="s">
        <v>413</v>
      </c>
      <c r="H300" t="s">
        <v>25</v>
      </c>
      <c r="I300" t="s">
        <v>25</v>
      </c>
    </row>
    <row r="301" spans="1:9" ht="225" x14ac:dyDescent="0.25">
      <c r="A301" s="3" t="s">
        <v>7</v>
      </c>
      <c r="B301" t="str">
        <f>HYPERLINK("https://scholarships.uow.edu.au/scholarships/search?scholarship=658", "Tom Maguire Memorial Scholarship for Law")</f>
        <v>Tom Maguire Memorial Scholarship for Law</v>
      </c>
      <c r="C301" t="s">
        <v>336</v>
      </c>
      <c r="D301" s="12" t="s">
        <v>352</v>
      </c>
      <c r="E301" t="s">
        <v>201</v>
      </c>
      <c r="F301" t="s">
        <v>13</v>
      </c>
      <c r="G301" s="12" t="s">
        <v>414</v>
      </c>
      <c r="H301" t="s">
        <v>25</v>
      </c>
      <c r="I301" t="s">
        <v>25</v>
      </c>
    </row>
    <row r="302" spans="1:9" ht="195" x14ac:dyDescent="0.25">
      <c r="A302" s="3" t="s">
        <v>7</v>
      </c>
      <c r="B302" t="str">
        <f>HYPERLINK("https://scholarships.uow.edu.au/scholarships/search?scholarship=3103", "ZML Foundation Opportunity Scholarship")</f>
        <v>ZML Foundation Opportunity Scholarship</v>
      </c>
      <c r="C302" t="s">
        <v>336</v>
      </c>
      <c r="D302" s="12" t="s">
        <v>403</v>
      </c>
      <c r="E302" t="s">
        <v>201</v>
      </c>
      <c r="F302" t="s">
        <v>13</v>
      </c>
      <c r="G302" s="12" t="s">
        <v>415</v>
      </c>
      <c r="H302" t="s">
        <v>25</v>
      </c>
      <c r="I302" t="s">
        <v>25</v>
      </c>
    </row>
    <row r="303" spans="1:9" ht="270" x14ac:dyDescent="0.25">
      <c r="A303" s="3" t="s">
        <v>7</v>
      </c>
      <c r="B303" t="str">
        <f>HYPERLINK("https://scholarships.uow.edu.au/scholarships/search?scholarship=2462", "Recovery Camp Nursing Scholarship")</f>
        <v>Recovery Camp Nursing Scholarship</v>
      </c>
      <c r="C303" t="s">
        <v>336</v>
      </c>
      <c r="D303" s="12" t="s">
        <v>416</v>
      </c>
      <c r="E303" t="s">
        <v>338</v>
      </c>
      <c r="F303" t="s">
        <v>13</v>
      </c>
      <c r="G303" s="12" t="s">
        <v>417</v>
      </c>
      <c r="H303" t="s">
        <v>25</v>
      </c>
      <c r="I303" t="s">
        <v>25</v>
      </c>
    </row>
    <row r="304" spans="1:9" ht="409.5" x14ac:dyDescent="0.25">
      <c r="A304" s="3" t="s">
        <v>7</v>
      </c>
      <c r="B304" t="str">
        <f>HYPERLINK("https://scholarships.uow.edu.au/scholarships/search?scholarship=3162", "UOW Medical and Health Society Opportunity Scholarship")</f>
        <v>UOW Medical and Health Society Opportunity Scholarship</v>
      </c>
      <c r="C304" t="s">
        <v>336</v>
      </c>
      <c r="D304" s="12" t="s">
        <v>418</v>
      </c>
      <c r="E304" t="s">
        <v>201</v>
      </c>
      <c r="F304" t="s">
        <v>13</v>
      </c>
      <c r="G304" s="12" t="s">
        <v>419</v>
      </c>
      <c r="H304" t="s">
        <v>25</v>
      </c>
      <c r="I304" t="s">
        <v>25</v>
      </c>
    </row>
    <row r="305" spans="1:9" ht="135" x14ac:dyDescent="0.25">
      <c r="A305" s="3" t="s">
        <v>7</v>
      </c>
      <c r="B305" t="str">
        <f>HYPERLINK("https://scholarships.uow.edu.au/scholarships/search?scholarship=3341", "Andrew Ferrier Scholarship in Technology &amp; Engineering")</f>
        <v>Andrew Ferrier Scholarship in Technology &amp; Engineering</v>
      </c>
      <c r="C305" t="s">
        <v>336</v>
      </c>
      <c r="D305" s="12" t="s">
        <v>352</v>
      </c>
      <c r="E305" t="s">
        <v>338</v>
      </c>
      <c r="F305" t="s">
        <v>13</v>
      </c>
      <c r="G305" s="12" t="s">
        <v>420</v>
      </c>
      <c r="H305" t="s">
        <v>25</v>
      </c>
      <c r="I305" t="s">
        <v>25</v>
      </c>
    </row>
    <row r="306" spans="1:9" ht="165" x14ac:dyDescent="0.25">
      <c r="A306" s="3" t="s">
        <v>7</v>
      </c>
      <c r="B306" t="str">
        <f>HYPERLINK("https://scholarships.uow.edu.au/scholarships/search?scholarship=3102", "Delivering 4 Customers (D4C) Opportunity Scholarship for Engineering")</f>
        <v>Delivering 4 Customers (D4C) Opportunity Scholarship for Engineering</v>
      </c>
      <c r="C306" t="s">
        <v>336</v>
      </c>
      <c r="D306" s="12" t="s">
        <v>421</v>
      </c>
      <c r="E306" t="s">
        <v>201</v>
      </c>
      <c r="F306" t="s">
        <v>13</v>
      </c>
      <c r="G306" s="12" t="s">
        <v>422</v>
      </c>
      <c r="H306" t="s">
        <v>25</v>
      </c>
      <c r="I306" t="s">
        <v>25</v>
      </c>
    </row>
    <row r="307" spans="1:9" ht="409.5" x14ac:dyDescent="0.25">
      <c r="A307" s="3" t="s">
        <v>7</v>
      </c>
      <c r="B307" t="str">
        <f>HYPERLINK("https://scholarships.uow.edu.au/scholarships/search?scholarship=2741", "Women in Finance and Economics Scholarship Program (Undergraduate)")</f>
        <v>Women in Finance and Economics Scholarship Program (Undergraduate)</v>
      </c>
      <c r="C307" t="s">
        <v>336</v>
      </c>
      <c r="D307" s="12" t="s">
        <v>352</v>
      </c>
      <c r="E307" t="s">
        <v>201</v>
      </c>
      <c r="F307" t="s">
        <v>13</v>
      </c>
      <c r="G307" s="12" t="s">
        <v>423</v>
      </c>
      <c r="H307" t="s">
        <v>25</v>
      </c>
      <c r="I307" t="s">
        <v>25</v>
      </c>
    </row>
    <row r="308" spans="1:9" ht="375" x14ac:dyDescent="0.25">
      <c r="A308" s="3" t="s">
        <v>7</v>
      </c>
      <c r="B308" t="str">
        <f>HYPERLINK("https://scholarships.uow.edu.au/scholarships/search?scholarship=2541", "Doris Matlok Law Scholarship")</f>
        <v>Doris Matlok Law Scholarship</v>
      </c>
      <c r="C308" t="s">
        <v>336</v>
      </c>
      <c r="D308" s="12" t="s">
        <v>352</v>
      </c>
      <c r="E308" t="s">
        <v>201</v>
      </c>
      <c r="F308" t="s">
        <v>13</v>
      </c>
      <c r="G308" s="12" t="s">
        <v>424</v>
      </c>
      <c r="H308" t="s">
        <v>25</v>
      </c>
      <c r="I308" t="s">
        <v>25</v>
      </c>
    </row>
    <row r="309" spans="1:9" ht="150" x14ac:dyDescent="0.25">
      <c r="A309" s="3" t="s">
        <v>7</v>
      </c>
      <c r="B309" t="str">
        <f>HYPERLINK("https://scholarships.uow.edu.au/scholarships/search?scholarship=2681", "Ray and Peggy Allen Graduate School of Medicine Scholarship")</f>
        <v>Ray and Peggy Allen Graduate School of Medicine Scholarship</v>
      </c>
      <c r="C309" t="s">
        <v>336</v>
      </c>
      <c r="D309" s="12" t="s">
        <v>386</v>
      </c>
      <c r="E309" t="s">
        <v>201</v>
      </c>
      <c r="F309" t="s">
        <v>51</v>
      </c>
      <c r="G309" s="12" t="s">
        <v>425</v>
      </c>
      <c r="H309" t="s">
        <v>25</v>
      </c>
      <c r="I309" t="s">
        <v>25</v>
      </c>
    </row>
    <row r="310" spans="1:9" ht="120" x14ac:dyDescent="0.25">
      <c r="A310" s="3" t="s">
        <v>7</v>
      </c>
      <c r="B310" t="str">
        <f>HYPERLINK("https://scholarships.uow.edu.au/scholarships/search?scholarship=3261", "Advanced Buildings Opportunity Scholarship in OHS")</f>
        <v>Advanced Buildings Opportunity Scholarship in OHS</v>
      </c>
      <c r="C310" t="s">
        <v>336</v>
      </c>
      <c r="D310" s="10" t="s">
        <v>426</v>
      </c>
      <c r="E310" t="s">
        <v>201</v>
      </c>
      <c r="F310" t="s">
        <v>51</v>
      </c>
      <c r="G310" s="12" t="s">
        <v>427</v>
      </c>
      <c r="H310" t="s">
        <v>25</v>
      </c>
      <c r="I310" t="s">
        <v>25</v>
      </c>
    </row>
    <row r="311" spans="1:9" ht="105" x14ac:dyDescent="0.25">
      <c r="A311" s="3" t="s">
        <v>7</v>
      </c>
      <c r="B311" t="str">
        <f>HYPERLINK("https://scholarships.uow.edu.au/scholarships/search?scholarship=1822", "Honorary Chapter Scholarship Program")</f>
        <v>Honorary Chapter Scholarship Program</v>
      </c>
      <c r="C311" t="s">
        <v>336</v>
      </c>
      <c r="D311" s="12" t="s">
        <v>354</v>
      </c>
      <c r="E311" t="s">
        <v>201</v>
      </c>
      <c r="F311" t="s">
        <v>13</v>
      </c>
      <c r="G311" s="12" t="s">
        <v>428</v>
      </c>
      <c r="H311" t="s">
        <v>25</v>
      </c>
      <c r="I311" t="s">
        <v>25</v>
      </c>
    </row>
    <row r="312" spans="1:9" ht="330" x14ac:dyDescent="0.25">
      <c r="A312" s="3" t="s">
        <v>7</v>
      </c>
      <c r="B312" t="str">
        <f>HYPERLINK("https://scholarships.uow.edu.au/scholarships/search?scholarship=361", "The Stevenson Family Scholarship in Social Work")</f>
        <v>The Stevenson Family Scholarship in Social Work</v>
      </c>
      <c r="C312" t="s">
        <v>336</v>
      </c>
      <c r="D312" s="12" t="s">
        <v>352</v>
      </c>
      <c r="E312" t="s">
        <v>41</v>
      </c>
      <c r="F312" t="s">
        <v>13</v>
      </c>
      <c r="G312" s="12" t="s">
        <v>353</v>
      </c>
      <c r="H312" t="s">
        <v>25</v>
      </c>
      <c r="I312" t="s">
        <v>25</v>
      </c>
    </row>
    <row r="313" spans="1:9" ht="409.5" x14ac:dyDescent="0.25">
      <c r="A313" s="3" t="s">
        <v>7</v>
      </c>
      <c r="B313" t="str">
        <f>HYPERLINK("https://scholarships.uow.edu.au/scholarships/search?scholarship=561", "Jack Goldring Memorial Scholarship")</f>
        <v>Jack Goldring Memorial Scholarship</v>
      </c>
      <c r="C313" t="s">
        <v>336</v>
      </c>
      <c r="D313" s="12" t="s">
        <v>386</v>
      </c>
      <c r="E313" t="s">
        <v>201</v>
      </c>
      <c r="F313" t="s">
        <v>13</v>
      </c>
      <c r="G313" s="12" t="s">
        <v>429</v>
      </c>
      <c r="H313" t="s">
        <v>25</v>
      </c>
      <c r="I313" t="s">
        <v>25</v>
      </c>
    </row>
    <row r="314" spans="1:9" ht="225" x14ac:dyDescent="0.25">
      <c r="A314" s="3" t="s">
        <v>7</v>
      </c>
      <c r="B314" t="str">
        <f>HYPERLINK("https://scholarships.uow.edu.au/scholarships/search?scholarship=633", "M.J Wraight Scholarship for Women in Medicine")</f>
        <v>M.J Wraight Scholarship for Women in Medicine</v>
      </c>
      <c r="C314" t="s">
        <v>27</v>
      </c>
      <c r="D314" s="12" t="s">
        <v>430</v>
      </c>
      <c r="E314" t="s">
        <v>338</v>
      </c>
      <c r="F314" t="s">
        <v>13</v>
      </c>
      <c r="G314" s="12" t="s">
        <v>431</v>
      </c>
      <c r="H314" t="s">
        <v>25</v>
      </c>
      <c r="I314" t="s">
        <v>25</v>
      </c>
    </row>
    <row r="315" spans="1:9" ht="225" x14ac:dyDescent="0.25">
      <c r="A315" s="3" t="s">
        <v>7</v>
      </c>
      <c r="B315" t="str">
        <f>HYPERLINK("https://scholarships.uow.edu.au/scholarships/search?scholarship=634", "Mollymook Golf Club Community Scholarship")</f>
        <v>Mollymook Golf Club Community Scholarship</v>
      </c>
      <c r="C315" t="s">
        <v>336</v>
      </c>
      <c r="D315" s="12" t="s">
        <v>346</v>
      </c>
      <c r="E315" t="s">
        <v>201</v>
      </c>
      <c r="F315" t="s">
        <v>13</v>
      </c>
      <c r="G315" s="12" t="s">
        <v>432</v>
      </c>
      <c r="H315" t="s">
        <v>25</v>
      </c>
      <c r="I315" t="s">
        <v>25</v>
      </c>
    </row>
    <row r="316" spans="1:9" ht="255" x14ac:dyDescent="0.25">
      <c r="A316" s="3" t="s">
        <v>7</v>
      </c>
      <c r="B316" t="str">
        <f>HYPERLINK("https://scholarships.uow.edu.au/scholarships/search?scholarship=635", "Mumbulla Foundation Community Scholarships")</f>
        <v>Mumbulla Foundation Community Scholarships</v>
      </c>
      <c r="C316" t="s">
        <v>336</v>
      </c>
      <c r="D316" s="12" t="s">
        <v>433</v>
      </c>
      <c r="E316" t="s">
        <v>201</v>
      </c>
      <c r="F316" t="s">
        <v>13</v>
      </c>
      <c r="G316" s="12" t="s">
        <v>434</v>
      </c>
      <c r="H316" t="s">
        <v>25</v>
      </c>
      <c r="I316" t="s">
        <v>25</v>
      </c>
    </row>
    <row r="317" spans="1:9" ht="180" x14ac:dyDescent="0.25">
      <c r="A317" s="3" t="s">
        <v>7</v>
      </c>
      <c r="B317" t="str">
        <f>HYPERLINK("https://scholarships.uow.edu.au/scholarships/search?scholarship=637", "Rotary Club of Bega Commerce Scholarship")</f>
        <v>Rotary Club of Bega Commerce Scholarship</v>
      </c>
      <c r="C317" t="s">
        <v>336</v>
      </c>
      <c r="D317" s="12" t="s">
        <v>435</v>
      </c>
      <c r="E317" t="s">
        <v>201</v>
      </c>
      <c r="F317" t="s">
        <v>13</v>
      </c>
      <c r="G317" s="12" t="s">
        <v>436</v>
      </c>
      <c r="H317" t="s">
        <v>25</v>
      </c>
      <c r="I317" t="s">
        <v>25</v>
      </c>
    </row>
    <row r="318" spans="1:9" ht="300" x14ac:dyDescent="0.25">
      <c r="A318" s="3" t="s">
        <v>7</v>
      </c>
      <c r="B318" t="str">
        <f>HYPERLINK("https://scholarships.uow.edu.au/scholarships/search?scholarship=638", "Rotary Club of West Wollongong John Chaplin Memorial Scholarship")</f>
        <v>Rotary Club of West Wollongong John Chaplin Memorial Scholarship</v>
      </c>
      <c r="C318" t="s">
        <v>336</v>
      </c>
      <c r="D318" s="12" t="s">
        <v>354</v>
      </c>
      <c r="E318" t="s">
        <v>205</v>
      </c>
      <c r="F318" t="s">
        <v>13</v>
      </c>
      <c r="G318" s="12" t="s">
        <v>437</v>
      </c>
      <c r="H318" t="s">
        <v>25</v>
      </c>
      <c r="I318" t="s">
        <v>25</v>
      </c>
    </row>
    <row r="319" spans="1:9" ht="180" x14ac:dyDescent="0.25">
      <c r="A319" s="3" t="s">
        <v>7</v>
      </c>
      <c r="B319" t="str">
        <f>HYPERLINK("https://scholarships.uow.edu.au/scholarships/search?scholarship=648", "UOW Bega Alumni Business Scholarship")</f>
        <v>UOW Bega Alumni Business Scholarship</v>
      </c>
      <c r="C319" t="s">
        <v>336</v>
      </c>
      <c r="D319" s="12" t="s">
        <v>435</v>
      </c>
      <c r="E319" t="s">
        <v>201</v>
      </c>
      <c r="F319" t="s">
        <v>13</v>
      </c>
      <c r="G319" s="12" t="s">
        <v>438</v>
      </c>
      <c r="H319" t="s">
        <v>25</v>
      </c>
      <c r="I319" t="s">
        <v>25</v>
      </c>
    </row>
    <row r="320" spans="1:9" ht="409.5" x14ac:dyDescent="0.25">
      <c r="A320" s="3" t="s">
        <v>7</v>
      </c>
      <c r="B320" t="str">
        <f>HYPERLINK("https://scholarships.uow.edu.au/scholarships/search?scholarship=649", "World Transformation Scholarship")</f>
        <v>World Transformation Scholarship</v>
      </c>
      <c r="C320" t="s">
        <v>336</v>
      </c>
      <c r="D320" s="12" t="s">
        <v>439</v>
      </c>
      <c r="E320" t="s">
        <v>201</v>
      </c>
      <c r="F320" t="s">
        <v>35</v>
      </c>
      <c r="G320" s="12" t="s">
        <v>440</v>
      </c>
      <c r="H320" t="s">
        <v>25</v>
      </c>
      <c r="I320" t="s">
        <v>25</v>
      </c>
    </row>
    <row r="321" spans="1:9" ht="409.5" x14ac:dyDescent="0.25">
      <c r="A321" s="3" t="s">
        <v>7</v>
      </c>
      <c r="B321" t="str">
        <f>HYPERLINK("https://scholarships.uow.edu.au/scholarships/search?scholarship=702", "Rowe Scientific Chemistry Scholarship")</f>
        <v>Rowe Scientific Chemistry Scholarship</v>
      </c>
      <c r="C321" t="s">
        <v>336</v>
      </c>
      <c r="D321" s="12" t="s">
        <v>352</v>
      </c>
      <c r="E321" t="s">
        <v>201</v>
      </c>
      <c r="F321" t="s">
        <v>13</v>
      </c>
      <c r="G321" s="12" t="s">
        <v>441</v>
      </c>
      <c r="H321" t="s">
        <v>25</v>
      </c>
      <c r="I321" t="s">
        <v>25</v>
      </c>
    </row>
    <row r="322" spans="1:9" ht="345" x14ac:dyDescent="0.25">
      <c r="A322" s="3" t="s">
        <v>7</v>
      </c>
      <c r="B322" t="str">
        <f>HYPERLINK("https://scholarships.uow.edu.au/scholarships/search?scholarship=1701", "Cunningham D'Souza Family Scholarship")</f>
        <v>Cunningham D'Souza Family Scholarship</v>
      </c>
      <c r="C322" t="s">
        <v>336</v>
      </c>
      <c r="D322" s="12" t="s">
        <v>352</v>
      </c>
      <c r="E322" t="s">
        <v>201</v>
      </c>
      <c r="F322" t="s">
        <v>13</v>
      </c>
      <c r="G322" s="12" t="s">
        <v>442</v>
      </c>
      <c r="H322" t="s">
        <v>25</v>
      </c>
      <c r="I322" t="s">
        <v>25</v>
      </c>
    </row>
    <row r="323" spans="1:9" ht="285" x14ac:dyDescent="0.25">
      <c r="A323" s="3" t="s">
        <v>7</v>
      </c>
      <c r="B323" t="str">
        <f>HYPERLINK("https://scholarships.uow.edu.au/scholarships/search?scholarship=1061", "Bupa International Student Scholarship")</f>
        <v>Bupa International Student Scholarship</v>
      </c>
      <c r="C323" t="s">
        <v>27</v>
      </c>
      <c r="D323" s="10" t="s">
        <v>443</v>
      </c>
      <c r="E323" t="s">
        <v>24</v>
      </c>
      <c r="F323" t="s">
        <v>35</v>
      </c>
      <c r="G323" s="12" t="s">
        <v>444</v>
      </c>
      <c r="H323" t="s">
        <v>25</v>
      </c>
      <c r="I323" t="s">
        <v>25</v>
      </c>
    </row>
    <row r="324" spans="1:9" ht="315" x14ac:dyDescent="0.25">
      <c r="A324" s="3" t="s">
        <v>7</v>
      </c>
      <c r="B324" t="str">
        <f>HYPERLINK("https://scholarships.uow.edu.au/scholarships/search?scholarship=583", "The Rotary Club of Pambula John Moffatt Memorial Scholarship")</f>
        <v>The Rotary Club of Pambula John Moffatt Memorial Scholarship</v>
      </c>
      <c r="C324" t="s">
        <v>336</v>
      </c>
      <c r="D324" s="10" t="s">
        <v>346</v>
      </c>
      <c r="E324" t="s">
        <v>24</v>
      </c>
      <c r="F324" t="s">
        <v>51</v>
      </c>
      <c r="G324" s="12" t="s">
        <v>445</v>
      </c>
      <c r="H324" t="s">
        <v>25</v>
      </c>
      <c r="I324" t="s">
        <v>25</v>
      </c>
    </row>
    <row r="325" spans="1:9" ht="409.5" x14ac:dyDescent="0.25">
      <c r="A325" s="3" t="s">
        <v>7</v>
      </c>
      <c r="B325" t="str">
        <f>HYPERLINK("https://scholarships.uow.edu.au/scholarships/search?scholarship=584", "Troy Pocock Meningococcal Scholarship for Medicine")</f>
        <v>Troy Pocock Meningococcal Scholarship for Medicine</v>
      </c>
      <c r="C325" t="s">
        <v>27</v>
      </c>
      <c r="D325" s="12" t="s">
        <v>346</v>
      </c>
      <c r="E325" t="s">
        <v>201</v>
      </c>
      <c r="F325" t="s">
        <v>35</v>
      </c>
      <c r="G325" s="12" t="s">
        <v>446</v>
      </c>
      <c r="H325" t="s">
        <v>25</v>
      </c>
      <c r="I325" t="s">
        <v>25</v>
      </c>
    </row>
    <row r="326" spans="1:9" ht="315" x14ac:dyDescent="0.25">
      <c r="A326" s="3" t="s">
        <v>7</v>
      </c>
      <c r="B326" t="str">
        <f>HYPERLINK("https://scholarships.uow.edu.au/scholarships/search?scholarship=585", "Winifred Smith Scholarship for Excellence in Nursing")</f>
        <v>Winifred Smith Scholarship for Excellence in Nursing</v>
      </c>
      <c r="C326" t="s">
        <v>336</v>
      </c>
      <c r="D326" s="12" t="s">
        <v>403</v>
      </c>
      <c r="E326" t="s">
        <v>205</v>
      </c>
      <c r="F326" t="s">
        <v>13</v>
      </c>
      <c r="G326" s="12" t="s">
        <v>447</v>
      </c>
      <c r="H326" t="s">
        <v>25</v>
      </c>
      <c r="I326" t="s">
        <v>25</v>
      </c>
    </row>
    <row r="327" spans="1:9" ht="180" x14ac:dyDescent="0.25">
      <c r="A327" s="3" t="s">
        <v>7</v>
      </c>
      <c r="B327" t="str">
        <f>HYPERLINK("https://scholarships.uow.edu.au/scholarships/search?scholarship=609", "Bega Cheese Community Scholarship")</f>
        <v>Bega Cheese Community Scholarship</v>
      </c>
      <c r="C327" t="s">
        <v>336</v>
      </c>
      <c r="D327" s="12" t="s">
        <v>435</v>
      </c>
      <c r="E327" t="s">
        <v>201</v>
      </c>
      <c r="F327" t="s">
        <v>13</v>
      </c>
      <c r="G327" s="12" t="s">
        <v>448</v>
      </c>
      <c r="H327" t="s">
        <v>25</v>
      </c>
      <c r="I327" t="s">
        <v>25</v>
      </c>
    </row>
    <row r="328" spans="1:9" ht="165" x14ac:dyDescent="0.25">
      <c r="A328" s="3" t="s">
        <v>7</v>
      </c>
      <c r="B328" t="str">
        <f>HYPERLINK("https://scholarships.uow.edu.au/scholarships/search?scholarship=610", "Bega Lions Club Trevor Prescott Memorial Scholarship")</f>
        <v>Bega Lions Club Trevor Prescott Memorial Scholarship</v>
      </c>
      <c r="C328" t="s">
        <v>336</v>
      </c>
      <c r="D328" s="12" t="s">
        <v>435</v>
      </c>
      <c r="E328" t="s">
        <v>41</v>
      </c>
      <c r="F328" t="s">
        <v>13</v>
      </c>
      <c r="G328" s="12" t="s">
        <v>449</v>
      </c>
      <c r="H328" t="s">
        <v>25</v>
      </c>
      <c r="I328" t="s">
        <v>25</v>
      </c>
    </row>
    <row r="329" spans="1:9" ht="240" x14ac:dyDescent="0.25">
      <c r="A329" s="3" t="s">
        <v>7</v>
      </c>
      <c r="B329" t="str">
        <f>HYPERLINK("https://scholarships.uow.edu.au/scholarships/search?scholarship=611", "Bega RSL Sub Branch Christine Farrow Nursing Scholarship")</f>
        <v>Bega RSL Sub Branch Christine Farrow Nursing Scholarship</v>
      </c>
      <c r="C329" t="s">
        <v>336</v>
      </c>
      <c r="D329" s="12" t="s">
        <v>435</v>
      </c>
      <c r="E329" t="s">
        <v>201</v>
      </c>
      <c r="F329" t="s">
        <v>13</v>
      </c>
      <c r="G329" s="12" t="s">
        <v>450</v>
      </c>
      <c r="H329" t="s">
        <v>25</v>
      </c>
      <c r="I329" t="s">
        <v>25</v>
      </c>
    </row>
    <row r="330" spans="1:9" ht="255" x14ac:dyDescent="0.25">
      <c r="A330" s="3" t="s">
        <v>7</v>
      </c>
      <c r="B330" t="str">
        <f>HYPERLINK("https://scholarships.uow.edu.au/scholarships/search?scholarship=612", "Bendigo Bank's Bruce Hetherington Memorial Community Scholarship")</f>
        <v>Bendigo Bank's Bruce Hetherington Memorial Community Scholarship</v>
      </c>
      <c r="C330" t="s">
        <v>336</v>
      </c>
      <c r="D330" s="12" t="s">
        <v>394</v>
      </c>
      <c r="E330" t="s">
        <v>201</v>
      </c>
      <c r="F330" t="s">
        <v>13</v>
      </c>
      <c r="G330" s="12" t="s">
        <v>451</v>
      </c>
      <c r="H330" t="s">
        <v>25</v>
      </c>
      <c r="I330" t="s">
        <v>25</v>
      </c>
    </row>
    <row r="331" spans="1:9" ht="270" x14ac:dyDescent="0.25">
      <c r="A331" s="3" t="s">
        <v>7</v>
      </c>
      <c r="B331" t="str">
        <f>HYPERLINK("https://scholarships.uow.edu.au/scholarships/search?scholarship=614", "Bomaderry Bowling Club Community Scholarship")</f>
        <v>Bomaderry Bowling Club Community Scholarship</v>
      </c>
      <c r="C331" t="s">
        <v>336</v>
      </c>
      <c r="D331" s="12" t="s">
        <v>416</v>
      </c>
      <c r="E331" t="s">
        <v>338</v>
      </c>
      <c r="F331" t="s">
        <v>13</v>
      </c>
      <c r="G331" s="12" t="s">
        <v>452</v>
      </c>
      <c r="H331" t="s">
        <v>25</v>
      </c>
      <c r="I331" t="s">
        <v>25</v>
      </c>
    </row>
    <row r="332" spans="1:9" ht="300" x14ac:dyDescent="0.25">
      <c r="A332" s="3" t="s">
        <v>7</v>
      </c>
      <c r="B332" t="str">
        <f>HYPERLINK("https://scholarships.uow.edu.au/scholarships/search?scholarship=615", "Christopher Zweerman Memorial Scholarship")</f>
        <v>Christopher Zweerman Memorial Scholarship</v>
      </c>
      <c r="C332" t="s">
        <v>336</v>
      </c>
      <c r="D332" s="12" t="s">
        <v>346</v>
      </c>
      <c r="E332" t="s">
        <v>201</v>
      </c>
      <c r="F332" t="s">
        <v>51</v>
      </c>
      <c r="G332" s="12" t="s">
        <v>453</v>
      </c>
      <c r="H332" t="s">
        <v>25</v>
      </c>
      <c r="I332" t="s">
        <v>25</v>
      </c>
    </row>
    <row r="333" spans="1:9" ht="150" x14ac:dyDescent="0.25">
      <c r="A333" s="3" t="s">
        <v>7</v>
      </c>
      <c r="B333" t="str">
        <f>HYPERLINK("https://scholarships.uow.edu.au/scholarships/search?scholarship=618", "Collins Nursing Scholarship")</f>
        <v>Collins Nursing Scholarship</v>
      </c>
      <c r="C333" t="s">
        <v>336</v>
      </c>
      <c r="D333" s="12" t="s">
        <v>435</v>
      </c>
      <c r="E333" t="s">
        <v>201</v>
      </c>
      <c r="F333" t="s">
        <v>13</v>
      </c>
      <c r="G333" s="12" t="s">
        <v>454</v>
      </c>
      <c r="H333" t="s">
        <v>25</v>
      </c>
      <c r="I333" t="s">
        <v>25</v>
      </c>
    </row>
    <row r="334" spans="1:9" ht="150" x14ac:dyDescent="0.25">
      <c r="A334" s="3" t="s">
        <v>7</v>
      </c>
      <c r="B334" t="str">
        <f>HYPERLINK("https://scholarships.uow.edu.au/scholarships/search?scholarship=621", "Rotary Club of Bega - Dr Blomfield Memorial Nursing Scholarship")</f>
        <v>Rotary Club of Bega - Dr Blomfield Memorial Nursing Scholarship</v>
      </c>
      <c r="C334" t="s">
        <v>336</v>
      </c>
      <c r="D334" s="12" t="s">
        <v>435</v>
      </c>
      <c r="E334" t="s">
        <v>201</v>
      </c>
      <c r="F334" t="s">
        <v>13</v>
      </c>
      <c r="G334" s="12" t="s">
        <v>455</v>
      </c>
      <c r="H334" t="s">
        <v>25</v>
      </c>
      <c r="I334" t="s">
        <v>25</v>
      </c>
    </row>
    <row r="335" spans="1:9" ht="375" x14ac:dyDescent="0.25">
      <c r="A335" s="3" t="s">
        <v>7</v>
      </c>
      <c r="B335" t="str">
        <f>HYPERLINK("https://scholarships.uow.edu.au/scholarships/search?scholarship=627", "Hazel Holmwood Scholarship for Excellence in Leadership and Quality Teaching")</f>
        <v>Hazel Holmwood Scholarship for Excellence in Leadership and Quality Teaching</v>
      </c>
      <c r="C335" t="s">
        <v>336</v>
      </c>
      <c r="D335" s="12" t="s">
        <v>416</v>
      </c>
      <c r="E335" t="s">
        <v>201</v>
      </c>
      <c r="F335" t="s">
        <v>13</v>
      </c>
      <c r="G335" s="12" t="s">
        <v>456</v>
      </c>
      <c r="H335" t="s">
        <v>25</v>
      </c>
      <c r="I335" t="s">
        <v>25</v>
      </c>
    </row>
    <row r="336" spans="1:9" ht="30" x14ac:dyDescent="0.25">
      <c r="A336" s="3" t="s">
        <v>7</v>
      </c>
      <c r="B336" t="str">
        <f>HYPERLINK("https://scholarships.uow.edu.au/scholarships/search?scholarship=628", "Howard Worner Memorial Scholarship")</f>
        <v>Howard Worner Memorial Scholarship</v>
      </c>
      <c r="C336" t="s">
        <v>336</v>
      </c>
      <c r="D336" s="12" t="s">
        <v>350</v>
      </c>
      <c r="E336" t="s">
        <v>331</v>
      </c>
      <c r="F336" t="s">
        <v>13</v>
      </c>
      <c r="G336" s="12" t="s">
        <v>678</v>
      </c>
      <c r="H336" t="s">
        <v>25</v>
      </c>
      <c r="I336" t="s">
        <v>25</v>
      </c>
    </row>
    <row r="337" spans="1:9" ht="360" x14ac:dyDescent="0.25">
      <c r="A337" s="3" t="s">
        <v>7</v>
      </c>
      <c r="B337" t="str">
        <f>HYPERLINK("https://scholarships.uow.edu.au/scholarships/search?scholarship=630", "Ivan Bandur Master of Teaching Scholarship")</f>
        <v>Ivan Bandur Master of Teaching Scholarship</v>
      </c>
      <c r="C337" t="s">
        <v>336</v>
      </c>
      <c r="D337" s="12" t="s">
        <v>346</v>
      </c>
      <c r="E337" t="s">
        <v>205</v>
      </c>
      <c r="F337" t="s">
        <v>51</v>
      </c>
      <c r="G337" s="12" t="s">
        <v>358</v>
      </c>
      <c r="H337" t="s">
        <v>25</v>
      </c>
      <c r="I337" t="s">
        <v>25</v>
      </c>
    </row>
    <row r="338" spans="1:9" ht="315" x14ac:dyDescent="0.25">
      <c r="A338" s="3" t="s">
        <v>7</v>
      </c>
      <c r="B338" t="str">
        <f>HYPERLINK("https://scholarships.uow.edu.au/scholarships/search?scholarship=581", "Mumbulla Foundation Community Scholarship (Master of Teaching)")</f>
        <v>Mumbulla Foundation Community Scholarship (Master of Teaching)</v>
      </c>
      <c r="C338" t="s">
        <v>336</v>
      </c>
      <c r="D338" s="12" t="s">
        <v>457</v>
      </c>
      <c r="E338" t="s">
        <v>201</v>
      </c>
      <c r="F338" t="s">
        <v>51</v>
      </c>
      <c r="G338" s="12" t="s">
        <v>458</v>
      </c>
      <c r="H338" t="s">
        <v>25</v>
      </c>
      <c r="I338" t="s">
        <v>25</v>
      </c>
    </row>
    <row r="339" spans="1:9" ht="409.5" x14ac:dyDescent="0.25">
      <c r="A339" s="3" t="s">
        <v>7</v>
      </c>
      <c r="B339" t="str">
        <f>HYPERLINK("https://scholarships.uow.edu.au/scholarships/search?scholarship=2181", "Australian Maritime Safety Authority Excellence in Maritime Policy Postgraduate Scholarship")</f>
        <v>Australian Maritime Safety Authority Excellence in Maritime Policy Postgraduate Scholarship</v>
      </c>
      <c r="C339" t="s">
        <v>336</v>
      </c>
      <c r="D339" s="12" t="s">
        <v>386</v>
      </c>
      <c r="E339" t="s">
        <v>201</v>
      </c>
      <c r="F339" t="s">
        <v>51</v>
      </c>
      <c r="G339" s="12" t="s">
        <v>459</v>
      </c>
      <c r="H339" t="s">
        <v>25</v>
      </c>
      <c r="I339" t="s">
        <v>25</v>
      </c>
    </row>
    <row r="340" spans="1:9" ht="180" x14ac:dyDescent="0.25">
      <c r="A340" s="3" t="s">
        <v>7</v>
      </c>
      <c r="B340" t="str">
        <f>HYPERLINK("https://scholarships.uow.edu.au/scholarships/search?scholarship=2182", "Australian Maritime Safety Authority Excellence in Maritime Studies Postgraduate Scholarship")</f>
        <v>Australian Maritime Safety Authority Excellence in Maritime Studies Postgraduate Scholarship</v>
      </c>
      <c r="C340" t="s">
        <v>336</v>
      </c>
      <c r="D340" s="10" t="s">
        <v>386</v>
      </c>
      <c r="E340" t="s">
        <v>665</v>
      </c>
      <c r="F340" t="s">
        <v>51</v>
      </c>
      <c r="G340" s="12" t="s">
        <v>666</v>
      </c>
      <c r="H340" t="s">
        <v>25</v>
      </c>
      <c r="I340" t="s">
        <v>25</v>
      </c>
    </row>
    <row r="341" spans="1:9" ht="330" x14ac:dyDescent="0.25">
      <c r="A341" s="3" t="s">
        <v>7</v>
      </c>
      <c r="B341" t="str">
        <f>HYPERLINK("https://scholarships.uow.edu.au/scholarships/search?scholarship=1681", "Club Liverpool Community Scholarship")</f>
        <v>Club Liverpool Community Scholarship</v>
      </c>
      <c r="C341" t="s">
        <v>336</v>
      </c>
      <c r="D341" s="12" t="s">
        <v>360</v>
      </c>
      <c r="E341" t="s">
        <v>201</v>
      </c>
      <c r="F341" t="s">
        <v>13</v>
      </c>
      <c r="G341" s="12" t="s">
        <v>361</v>
      </c>
      <c r="H341" t="s">
        <v>25</v>
      </c>
      <c r="I341" t="s">
        <v>25</v>
      </c>
    </row>
    <row r="342" spans="1:9" ht="210" x14ac:dyDescent="0.25">
      <c r="A342" s="3" t="s">
        <v>7</v>
      </c>
      <c r="B342" t="str">
        <f>HYPERLINK("https://scholarships.uow.edu.au/scholarships/search?scholarship=1961", "Graduate School of Medicine Critical Care Scholarship")</f>
        <v>Graduate School of Medicine Critical Care Scholarship</v>
      </c>
      <c r="C342" t="s">
        <v>336</v>
      </c>
      <c r="D342" s="12" t="s">
        <v>457</v>
      </c>
      <c r="E342" t="s">
        <v>201</v>
      </c>
      <c r="F342" t="s">
        <v>51</v>
      </c>
      <c r="G342" s="12" t="s">
        <v>460</v>
      </c>
      <c r="H342" t="s">
        <v>25</v>
      </c>
      <c r="I342" t="s">
        <v>25</v>
      </c>
    </row>
    <row r="343" spans="1:9" ht="165" x14ac:dyDescent="0.25">
      <c r="A343" s="3" t="s">
        <v>7</v>
      </c>
      <c r="B343" t="str">
        <f>HYPERLINK("https://scholarships.uow.edu.au/scholarships/search?scholarship=2161", "Rural and Regional Agricultural Scholarship")</f>
        <v>Rural and Regional Agricultural Scholarship</v>
      </c>
      <c r="C343" t="s">
        <v>336</v>
      </c>
      <c r="D343" s="12" t="s">
        <v>362</v>
      </c>
      <c r="E343" t="s">
        <v>331</v>
      </c>
      <c r="F343" t="s">
        <v>13</v>
      </c>
      <c r="G343" s="12" t="s">
        <v>363</v>
      </c>
      <c r="H343" t="s">
        <v>25</v>
      </c>
      <c r="I343" t="s">
        <v>25</v>
      </c>
    </row>
    <row r="344" spans="1:9" ht="409.5" x14ac:dyDescent="0.25">
      <c r="A344" s="3" t="s">
        <v>7</v>
      </c>
      <c r="B344" t="str">
        <f>HYPERLINK("https://scholarships.uow.edu.au/scholarships/search?scholarship=1121", "The Movement Disorder Foundation Scholarship")</f>
        <v>The Movement Disorder Foundation Scholarship</v>
      </c>
      <c r="C344" t="s">
        <v>336</v>
      </c>
      <c r="D344" s="12" t="s">
        <v>364</v>
      </c>
      <c r="E344" t="s">
        <v>331</v>
      </c>
      <c r="F344" t="s">
        <v>35</v>
      </c>
      <c r="G344" s="12" t="s">
        <v>365</v>
      </c>
      <c r="H344" t="s">
        <v>25</v>
      </c>
      <c r="I344" t="s">
        <v>25</v>
      </c>
    </row>
    <row r="345" spans="1:9" ht="405" x14ac:dyDescent="0.25">
      <c r="A345" s="3" t="s">
        <v>7</v>
      </c>
      <c r="B345" t="str">
        <f>HYPERLINK("https://scholarships.uow.edu.au/scholarships/search?scholarship=1101", "Zonta Club of Wollongong Community Scholarship")</f>
        <v>Zonta Club of Wollongong Community Scholarship</v>
      </c>
      <c r="C345" t="s">
        <v>336</v>
      </c>
      <c r="D345" s="12" t="s">
        <v>346</v>
      </c>
      <c r="E345" t="s">
        <v>201</v>
      </c>
      <c r="F345" t="s">
        <v>13</v>
      </c>
      <c r="G345" s="12" t="s">
        <v>461</v>
      </c>
      <c r="H345" t="s">
        <v>25</v>
      </c>
      <c r="I345" t="s">
        <v>25</v>
      </c>
    </row>
    <row r="346" spans="1:9" ht="90" x14ac:dyDescent="0.25">
      <c r="A346" s="3" t="s">
        <v>7</v>
      </c>
      <c r="B346" t="str">
        <f>HYPERLINK("https://scholarships.uow.edu.au/scholarships/search?scholarship=1481", "The Do Your Thing Scholarship for Female Developers")</f>
        <v>The Do Your Thing Scholarship for Female Developers</v>
      </c>
      <c r="C346" t="s">
        <v>336</v>
      </c>
      <c r="D346" s="12" t="s">
        <v>346</v>
      </c>
      <c r="E346" t="s">
        <v>201</v>
      </c>
      <c r="F346" t="s">
        <v>13</v>
      </c>
      <c r="G346" s="12" t="s">
        <v>462</v>
      </c>
      <c r="H346" t="s">
        <v>25</v>
      </c>
      <c r="I346" t="s">
        <v>25</v>
      </c>
    </row>
    <row r="347" spans="1:9" ht="409.5" x14ac:dyDescent="0.25">
      <c r="A347" s="3" t="s">
        <v>7</v>
      </c>
      <c r="B347" t="str">
        <f>HYPERLINK("https://scholarships.uow.edu.au/scholarships/search?scholarship=541", "Emeritus Professor John Hogg Memorial Scholarship")</f>
        <v>Emeritus Professor John Hogg Memorial Scholarship</v>
      </c>
      <c r="C347" t="s">
        <v>336</v>
      </c>
      <c r="D347" s="12" t="s">
        <v>354</v>
      </c>
      <c r="E347" t="s">
        <v>201</v>
      </c>
      <c r="F347" t="s">
        <v>51</v>
      </c>
      <c r="G347" s="12" t="s">
        <v>463</v>
      </c>
      <c r="H347" t="s">
        <v>25</v>
      </c>
      <c r="I347" t="s">
        <v>25</v>
      </c>
    </row>
    <row r="348" spans="1:9" ht="409.5" x14ac:dyDescent="0.25">
      <c r="A348" s="3" t="s">
        <v>7</v>
      </c>
      <c r="B348" t="str">
        <f>HYPERLINK("https://scholarships.uow.edu.au/scholarships/search?scholarship=3041", "The Acorn Lawyers Scholarship")</f>
        <v>The Acorn Lawyers Scholarship</v>
      </c>
      <c r="C348" t="s">
        <v>336</v>
      </c>
      <c r="D348" s="12" t="s">
        <v>352</v>
      </c>
      <c r="E348" t="s">
        <v>201</v>
      </c>
      <c r="F348" t="s">
        <v>13</v>
      </c>
      <c r="G348" s="12" t="s">
        <v>464</v>
      </c>
      <c r="H348" t="s">
        <v>25</v>
      </c>
      <c r="I348" t="s">
        <v>25</v>
      </c>
    </row>
    <row r="349" spans="1:9" ht="409.5" x14ac:dyDescent="0.25">
      <c r="A349" s="3" t="s">
        <v>7</v>
      </c>
      <c r="B349" t="str">
        <f>HYPERLINK("https://scholarships.uow.edu.au/scholarships/search?scholarship=623", "Dr SC &amp; SL Loomba Commitment to Medicine Scholarship")</f>
        <v>Dr SC &amp; SL Loomba Commitment to Medicine Scholarship</v>
      </c>
      <c r="C349" t="s">
        <v>336</v>
      </c>
      <c r="D349" s="12" t="s">
        <v>346</v>
      </c>
      <c r="E349" t="s">
        <v>201</v>
      </c>
      <c r="F349" t="s">
        <v>51</v>
      </c>
      <c r="G349" s="12" t="s">
        <v>465</v>
      </c>
      <c r="H349" t="s">
        <v>25</v>
      </c>
      <c r="I349" t="s">
        <v>25</v>
      </c>
    </row>
    <row r="350" spans="1:9" ht="409.5" x14ac:dyDescent="0.25">
      <c r="A350" s="3" t="s">
        <v>7</v>
      </c>
      <c r="B350" t="str">
        <f>HYPERLINK("https://scholarships.uow.edu.au/scholarships/search?scholarship=3202", "Dylan Alcott Foundation Scholarship")</f>
        <v>Dylan Alcott Foundation Scholarship</v>
      </c>
      <c r="C350" t="s">
        <v>336</v>
      </c>
      <c r="D350" s="12" t="s">
        <v>367</v>
      </c>
      <c r="E350" t="s">
        <v>338</v>
      </c>
      <c r="F350" t="s">
        <v>13</v>
      </c>
      <c r="G350" s="12" t="s">
        <v>368</v>
      </c>
      <c r="H350" t="s">
        <v>25</v>
      </c>
      <c r="I350" t="s">
        <v>25</v>
      </c>
    </row>
    <row r="351" spans="1:9" ht="45" x14ac:dyDescent="0.25">
      <c r="A351" s="3" t="s">
        <v>7</v>
      </c>
      <c r="B351" t="str">
        <f>HYPERLINK("https://scholarships.uow.edu.au/scholarships/search?scholarship=3001", "The Wand Scholarship")</f>
        <v>The Wand Scholarship</v>
      </c>
      <c r="C351" t="s">
        <v>336</v>
      </c>
      <c r="D351" s="12" t="s">
        <v>416</v>
      </c>
      <c r="E351" t="s">
        <v>201</v>
      </c>
      <c r="F351" t="s">
        <v>13</v>
      </c>
      <c r="G351" s="12" t="s">
        <v>466</v>
      </c>
      <c r="H351" t="s">
        <v>25</v>
      </c>
      <c r="I351" t="s">
        <v>25</v>
      </c>
    </row>
    <row r="352" spans="1:9" ht="255" x14ac:dyDescent="0.25">
      <c r="A352" s="3" t="s">
        <v>7</v>
      </c>
      <c r="B352" t="str">
        <f>HYPERLINK("https://scholarships.uow.edu.au/scholarships/search?scholarship=2561", "Motion Asia Pacific Community Scholarship")</f>
        <v>Motion Asia Pacific Community Scholarship</v>
      </c>
      <c r="C352" t="s">
        <v>336</v>
      </c>
      <c r="D352" s="12" t="s">
        <v>352</v>
      </c>
      <c r="E352" t="s">
        <v>331</v>
      </c>
      <c r="F352" t="s">
        <v>13</v>
      </c>
      <c r="G352" s="12" t="s">
        <v>467</v>
      </c>
      <c r="H352" t="s">
        <v>25</v>
      </c>
      <c r="I352" t="s">
        <v>25</v>
      </c>
    </row>
    <row r="353" spans="1:9" ht="409.5" x14ac:dyDescent="0.25">
      <c r="A353" s="3" t="s">
        <v>7</v>
      </c>
      <c r="B353" t="str">
        <f>HYPERLINK("https://scholarships.uow.edu.au/scholarships/search?scholarship=2601", "Pamela Jane Nye Working Nurse Scholarship")</f>
        <v>Pamela Jane Nye Working Nurse Scholarship</v>
      </c>
      <c r="C353" t="s">
        <v>336</v>
      </c>
      <c r="D353" s="12" t="s">
        <v>468</v>
      </c>
      <c r="E353" t="s">
        <v>201</v>
      </c>
      <c r="F353" t="s">
        <v>51</v>
      </c>
      <c r="G353" s="12" t="s">
        <v>469</v>
      </c>
      <c r="H353" t="s">
        <v>25</v>
      </c>
      <c r="I353" t="s">
        <v>25</v>
      </c>
    </row>
    <row r="354" spans="1:9" ht="195" x14ac:dyDescent="0.25">
      <c r="A354" s="3" t="s">
        <v>7</v>
      </c>
      <c r="B354" t="str">
        <f>HYPERLINK("https://scholarships.uow.edu.au/scholarships/search?scholarship=2341", "Lions Club of Tathra Nursing Scholarship")</f>
        <v>Lions Club of Tathra Nursing Scholarship</v>
      </c>
      <c r="C354" t="s">
        <v>336</v>
      </c>
      <c r="D354" s="12" t="s">
        <v>435</v>
      </c>
      <c r="E354" t="s">
        <v>201</v>
      </c>
      <c r="F354" t="s">
        <v>13</v>
      </c>
      <c r="G354" s="12" t="s">
        <v>470</v>
      </c>
      <c r="H354" t="s">
        <v>25</v>
      </c>
      <c r="I354" t="s">
        <v>25</v>
      </c>
    </row>
    <row r="355" spans="1:9" ht="345" x14ac:dyDescent="0.25">
      <c r="A355" s="3" t="s">
        <v>7</v>
      </c>
      <c r="B355" t="str">
        <f>HYPERLINK("https://scholarships.uow.edu.au/scholarships/search?scholarship=582", "The John Ryan Memorial Scholarship")</f>
        <v>The John Ryan Memorial Scholarship</v>
      </c>
      <c r="C355" t="s">
        <v>336</v>
      </c>
      <c r="D355" s="12" t="s">
        <v>403</v>
      </c>
      <c r="E355" t="s">
        <v>201</v>
      </c>
      <c r="F355" t="s">
        <v>51</v>
      </c>
      <c r="G355" s="12" t="s">
        <v>471</v>
      </c>
      <c r="H355" t="s">
        <v>25</v>
      </c>
      <c r="I355" t="s">
        <v>25</v>
      </c>
    </row>
    <row r="356" spans="1:9" ht="360" x14ac:dyDescent="0.25">
      <c r="A356" s="3" t="s">
        <v>7</v>
      </c>
      <c r="B356" t="str">
        <f>HYPERLINK("https://scholarships.uow.edu.au/scholarships/search?scholarship=2821", "The City of Wollongong RSL Sub-Branch ANZAC Scholarship")</f>
        <v>The City of Wollongong RSL Sub-Branch ANZAC Scholarship</v>
      </c>
      <c r="C356" t="s">
        <v>336</v>
      </c>
      <c r="D356" s="12" t="s">
        <v>352</v>
      </c>
      <c r="E356" t="s">
        <v>338</v>
      </c>
      <c r="F356" t="s">
        <v>13</v>
      </c>
      <c r="G356" s="12" t="s">
        <v>371</v>
      </c>
      <c r="H356" t="s">
        <v>25</v>
      </c>
      <c r="I356" t="s">
        <v>25</v>
      </c>
    </row>
    <row r="357" spans="1:9" ht="409.5" x14ac:dyDescent="0.25">
      <c r="A357" s="3" t="s">
        <v>7</v>
      </c>
      <c r="B357" t="str">
        <f>HYPERLINK("https://scholarships.uow.edu.au/scholarships/search?scholarship=2401", "Tynan Family Molecular Horizons Honours Scholarship")</f>
        <v>Tynan Family Molecular Horizons Honours Scholarship</v>
      </c>
      <c r="C357" t="s">
        <v>336</v>
      </c>
      <c r="D357" s="12" t="s">
        <v>472</v>
      </c>
      <c r="E357" t="s">
        <v>201</v>
      </c>
      <c r="F357" t="s">
        <v>13</v>
      </c>
      <c r="G357" s="12" t="s">
        <v>473</v>
      </c>
      <c r="H357" t="s">
        <v>25</v>
      </c>
      <c r="I357" t="s">
        <v>25</v>
      </c>
    </row>
    <row r="358" spans="1:9" ht="240" x14ac:dyDescent="0.25">
      <c r="A358" s="3" t="s">
        <v>7</v>
      </c>
      <c r="B358" t="str">
        <f>HYPERLINK("https://scholarships.uow.edu.au/scholarships/search?scholarship=2441", "The Wang Family Scholarship in Civil Engineering")</f>
        <v>The Wang Family Scholarship in Civil Engineering</v>
      </c>
      <c r="C358" t="s">
        <v>336</v>
      </c>
      <c r="D358" s="12" t="s">
        <v>386</v>
      </c>
      <c r="E358" t="s">
        <v>41</v>
      </c>
      <c r="F358" t="s">
        <v>13</v>
      </c>
      <c r="G358" s="12" t="s">
        <v>474</v>
      </c>
      <c r="H358" t="s">
        <v>25</v>
      </c>
      <c r="I358" t="s">
        <v>25</v>
      </c>
    </row>
    <row r="359" spans="1:9" ht="409.5" x14ac:dyDescent="0.25">
      <c r="A359" s="3" t="s">
        <v>7</v>
      </c>
      <c r="B359" t="str">
        <f>HYPERLINK("https://scholarships.uow.edu.au/scholarships/search?scholarship=2281", "Graduate School of Medicine Phase 4 Clarence Valley Placement Scholarship")</f>
        <v>Graduate School of Medicine Phase 4 Clarence Valley Placement Scholarship</v>
      </c>
      <c r="C359" t="s">
        <v>336</v>
      </c>
      <c r="D359" s="12" t="s">
        <v>390</v>
      </c>
      <c r="E359" t="s">
        <v>201</v>
      </c>
      <c r="F359" t="s">
        <v>51</v>
      </c>
      <c r="G359" s="12" t="s">
        <v>475</v>
      </c>
      <c r="H359" t="s">
        <v>25</v>
      </c>
      <c r="I359" t="s">
        <v>16</v>
      </c>
    </row>
    <row r="360" spans="1:9" ht="45" x14ac:dyDescent="0.25">
      <c r="A360" s="3" t="s">
        <v>7</v>
      </c>
      <c r="B360" t="str">
        <f>HYPERLINK("https://scholarships.uow.edu.au/scholarships/search?scholarship=2644", "The Bega Valley Medical Student Scholarship")</f>
        <v>The Bega Valley Medical Student Scholarship</v>
      </c>
      <c r="C360" t="s">
        <v>336</v>
      </c>
      <c r="D360" s="10" t="s">
        <v>352</v>
      </c>
      <c r="E360" t="s">
        <v>201</v>
      </c>
      <c r="F360" t="s">
        <v>51</v>
      </c>
      <c r="G360" s="12" t="s">
        <v>667</v>
      </c>
      <c r="H360" t="s">
        <v>25</v>
      </c>
      <c r="I360" t="s">
        <v>25</v>
      </c>
    </row>
    <row r="361" spans="1:9" ht="409.5" x14ac:dyDescent="0.25">
      <c r="A361" s="3" t="s">
        <v>7</v>
      </c>
      <c r="B361" t="str">
        <f>HYPERLINK("https://scholarships.uow.edu.au/scholarships/search?scholarship=3161", "Clarence Valley Orchestra Medical Student Scholarship")</f>
        <v>Clarence Valley Orchestra Medical Student Scholarship</v>
      </c>
      <c r="C361" t="s">
        <v>336</v>
      </c>
      <c r="D361" s="12" t="s">
        <v>352</v>
      </c>
      <c r="E361" t="s">
        <v>201</v>
      </c>
      <c r="F361" t="s">
        <v>51</v>
      </c>
      <c r="G361" s="12" t="s">
        <v>476</v>
      </c>
      <c r="H361" t="s">
        <v>25</v>
      </c>
      <c r="I361" t="s">
        <v>25</v>
      </c>
    </row>
    <row r="362" spans="1:9" ht="409.5" x14ac:dyDescent="0.25">
      <c r="A362" s="3" t="s">
        <v>7</v>
      </c>
      <c r="B362" t="str">
        <f>HYPERLINK("https://scholarships.uow.edu.au/scholarships/search?scholarship=2722", "Illawarra Quota Speech and Hearing Scholarship")</f>
        <v>Illawarra Quota Speech and Hearing Scholarship</v>
      </c>
      <c r="C362" t="s">
        <v>336</v>
      </c>
      <c r="D362" s="12" t="s">
        <v>416</v>
      </c>
      <c r="E362" t="s">
        <v>338</v>
      </c>
      <c r="F362" t="s">
        <v>13</v>
      </c>
      <c r="G362" s="12" t="s">
        <v>477</v>
      </c>
      <c r="H362" t="s">
        <v>25</v>
      </c>
      <c r="I362" t="s">
        <v>25</v>
      </c>
    </row>
    <row r="363" spans="1:9" ht="375" x14ac:dyDescent="0.25">
      <c r="A363" s="3" t="s">
        <v>7</v>
      </c>
      <c r="B363" t="str">
        <f>HYPERLINK("https://scholarships.uow.edu.au/scholarships/search?scholarship=619", "Connie Gamble Community Scholarship")</f>
        <v>Connie Gamble Community Scholarship</v>
      </c>
      <c r="C363" t="s">
        <v>336</v>
      </c>
      <c r="D363" s="12" t="s">
        <v>352</v>
      </c>
      <c r="E363" t="s">
        <v>338</v>
      </c>
      <c r="F363" t="s">
        <v>13</v>
      </c>
      <c r="G363" s="12" t="s">
        <v>478</v>
      </c>
      <c r="H363" t="s">
        <v>25</v>
      </c>
      <c r="I363" t="s">
        <v>25</v>
      </c>
    </row>
    <row r="364" spans="1:9" ht="375" x14ac:dyDescent="0.25">
      <c r="A364" s="3" t="s">
        <v>7</v>
      </c>
      <c r="B364" t="str">
        <f>HYPERLINK("https://scholarships.uow.edu.au/scholarships/search?scholarship=2981", "Risland Community Scholarship in Engineering")</f>
        <v>Risland Community Scholarship in Engineering</v>
      </c>
      <c r="C364" t="s">
        <v>336</v>
      </c>
      <c r="D364" s="12" t="s">
        <v>352</v>
      </c>
      <c r="E364" t="s">
        <v>338</v>
      </c>
      <c r="F364" t="s">
        <v>13</v>
      </c>
      <c r="G364" s="12" t="s">
        <v>373</v>
      </c>
      <c r="H364" t="s">
        <v>25</v>
      </c>
      <c r="I364" t="s">
        <v>25</v>
      </c>
    </row>
    <row r="365" spans="1:9" ht="345" x14ac:dyDescent="0.25">
      <c r="A365" s="3" t="s">
        <v>7</v>
      </c>
      <c r="B365" t="str">
        <f>HYPERLINK("https://scholarships.uow.edu.au/scholarships/search?scholarship=3204", "Burri Burri Scholarship")</f>
        <v>Burri Burri Scholarship</v>
      </c>
      <c r="C365" t="s">
        <v>336</v>
      </c>
      <c r="D365" s="12" t="s">
        <v>352</v>
      </c>
      <c r="E365" t="s">
        <v>201</v>
      </c>
      <c r="F365" t="s">
        <v>13</v>
      </c>
      <c r="G365" s="12" t="s">
        <v>479</v>
      </c>
      <c r="H365" t="s">
        <v>25</v>
      </c>
      <c r="I365" t="s">
        <v>25</v>
      </c>
    </row>
    <row r="366" spans="1:9" ht="409.5" x14ac:dyDescent="0.25">
      <c r="A366" s="3" t="s">
        <v>7</v>
      </c>
      <c r="B366" t="str">
        <f>HYPERLINK("https://scholarships.uow.edu.au/scholarships/search?scholarship=743", "Glencore Corporate Scholarship")</f>
        <v>Glencore Corporate Scholarship</v>
      </c>
      <c r="C366" t="s">
        <v>380</v>
      </c>
      <c r="D366" s="12" t="s">
        <v>386</v>
      </c>
      <c r="E366" t="s">
        <v>41</v>
      </c>
      <c r="F366" t="s">
        <v>13</v>
      </c>
      <c r="G366" s="12" t="s">
        <v>480</v>
      </c>
      <c r="H366" t="s">
        <v>25</v>
      </c>
      <c r="I366" t="s">
        <v>25</v>
      </c>
    </row>
    <row r="367" spans="1:9" ht="225" x14ac:dyDescent="0.25">
      <c r="A367" s="3" t="s">
        <v>7</v>
      </c>
      <c r="B367" t="str">
        <f>HYPERLINK("https://scholarships.uow.edu.au/scholarships/search?scholarship=2201", "South32 David Crawford Scholarship")</f>
        <v>South32 David Crawford Scholarship</v>
      </c>
      <c r="C367" t="s">
        <v>380</v>
      </c>
      <c r="D367" s="12" t="s">
        <v>386</v>
      </c>
      <c r="E367" t="s">
        <v>201</v>
      </c>
      <c r="F367" t="s">
        <v>13</v>
      </c>
      <c r="G367" s="12" t="s">
        <v>481</v>
      </c>
      <c r="H367" t="s">
        <v>25</v>
      </c>
      <c r="I367" t="s">
        <v>25</v>
      </c>
    </row>
    <row r="368" spans="1:9" ht="240" x14ac:dyDescent="0.25">
      <c r="A368" s="3" t="s">
        <v>7</v>
      </c>
      <c r="B368" t="str">
        <f>HYPERLINK("https://scholarships.uow.edu.au/scholarships/search?scholarship=2202", "Yancoal Mining Engineering Scholarship")</f>
        <v>Yancoal Mining Engineering Scholarship</v>
      </c>
      <c r="C368" t="s">
        <v>380</v>
      </c>
      <c r="D368" s="12" t="s">
        <v>386</v>
      </c>
      <c r="E368" t="s">
        <v>205</v>
      </c>
      <c r="F368" t="s">
        <v>13</v>
      </c>
      <c r="G368" s="12" t="s">
        <v>482</v>
      </c>
      <c r="H368" t="s">
        <v>25</v>
      </c>
      <c r="I368" t="s">
        <v>25</v>
      </c>
    </row>
    <row r="369" spans="1:9" ht="195" x14ac:dyDescent="0.25">
      <c r="A369" s="3" t="s">
        <v>7</v>
      </c>
      <c r="B369" t="str">
        <f>HYPERLINK("https://scholarships.uow.edu.au/scholarships/search?scholarship=981", "Mainfreight Group Corporate Scholarship")</f>
        <v>Mainfreight Group Corporate Scholarship</v>
      </c>
      <c r="C369" t="s">
        <v>380</v>
      </c>
      <c r="D369" s="12" t="s">
        <v>483</v>
      </c>
      <c r="E369" t="s">
        <v>201</v>
      </c>
      <c r="F369" t="s">
        <v>13</v>
      </c>
      <c r="G369" s="12" t="s">
        <v>484</v>
      </c>
      <c r="H369" t="s">
        <v>25</v>
      </c>
      <c r="I369" t="s">
        <v>25</v>
      </c>
    </row>
    <row r="370" spans="1:9" ht="330" x14ac:dyDescent="0.25">
      <c r="A370" s="3" t="s">
        <v>7</v>
      </c>
      <c r="B370" t="str">
        <f>HYPERLINK("https://scholarships.uow.edu.au/scholarships/search?scholarship=3062", "Clever Care Now Nursing Corporate Scholarship")</f>
        <v>Clever Care Now Nursing Corporate Scholarship</v>
      </c>
      <c r="C370" t="s">
        <v>380</v>
      </c>
      <c r="D370" s="12" t="s">
        <v>485</v>
      </c>
      <c r="E370" t="s">
        <v>201</v>
      </c>
      <c r="F370" t="s">
        <v>13</v>
      </c>
      <c r="G370" s="12" t="s">
        <v>486</v>
      </c>
      <c r="H370" t="s">
        <v>25</v>
      </c>
      <c r="I370" t="s">
        <v>25</v>
      </c>
    </row>
    <row r="371" spans="1:9" ht="409.5" x14ac:dyDescent="0.25">
      <c r="A371" s="3" t="s">
        <v>7</v>
      </c>
      <c r="B371" t="str">
        <f>HYPERLINK("https://scholarships.uow.edu.au/scholarships/search?scholarship=3141", "Westpac Scholars Trust Asian Exchange Scholarship")</f>
        <v>Westpac Scholars Trust Asian Exchange Scholarship</v>
      </c>
      <c r="C371" t="s">
        <v>380</v>
      </c>
      <c r="D371" s="12" t="s">
        <v>487</v>
      </c>
      <c r="E371" t="s">
        <v>201</v>
      </c>
      <c r="F371" t="s">
        <v>13</v>
      </c>
      <c r="G371" s="12" t="s">
        <v>488</v>
      </c>
      <c r="H371" t="s">
        <v>25</v>
      </c>
      <c r="I371" t="s">
        <v>25</v>
      </c>
    </row>
    <row r="372" spans="1:9" ht="409.5" x14ac:dyDescent="0.25">
      <c r="A372" s="3" t="s">
        <v>7</v>
      </c>
      <c r="B372" t="str">
        <f>HYPERLINK("https://scholarships.uow.edu.au/scholarships/search?scholarship=2841", "CEA Technologies Corporate Scholarship")</f>
        <v>CEA Technologies Corporate Scholarship</v>
      </c>
      <c r="C372" t="s">
        <v>380</v>
      </c>
      <c r="D372" s="12" t="s">
        <v>485</v>
      </c>
      <c r="E372" t="s">
        <v>201</v>
      </c>
      <c r="F372" t="s">
        <v>13</v>
      </c>
      <c r="G372" s="12" t="s">
        <v>489</v>
      </c>
      <c r="H372" t="s">
        <v>25</v>
      </c>
      <c r="I372" t="s">
        <v>25</v>
      </c>
    </row>
    <row r="373" spans="1:9" ht="409.5" x14ac:dyDescent="0.25">
      <c r="A373" s="3" t="s">
        <v>7</v>
      </c>
      <c r="B373" t="str">
        <f>HYPERLINK("https://scholarships.uow.edu.au/scholarships/search?scholarship=2721", "Scalapay Next Generation Scholarship")</f>
        <v>Scalapay Next Generation Scholarship</v>
      </c>
      <c r="C373" t="s">
        <v>380</v>
      </c>
      <c r="D373" s="12" t="s">
        <v>386</v>
      </c>
      <c r="E373" t="s">
        <v>201</v>
      </c>
      <c r="F373" t="s">
        <v>13</v>
      </c>
      <c r="G373" s="12" t="s">
        <v>490</v>
      </c>
      <c r="H373" t="s">
        <v>25</v>
      </c>
      <c r="I373" t="s">
        <v>25</v>
      </c>
    </row>
    <row r="374" spans="1:9" ht="409.5" x14ac:dyDescent="0.25">
      <c r="A374" s="3" t="s">
        <v>7</v>
      </c>
      <c r="B374" t="str">
        <f>HYPERLINK("https://scholarships.uow.edu.au/scholarships/search?scholarship=603", "WMD Law Work Integrated Learning Scholarship")</f>
        <v>WMD Law Work Integrated Learning Scholarship</v>
      </c>
      <c r="C374" t="s">
        <v>491</v>
      </c>
      <c r="D374" s="12" t="s">
        <v>386</v>
      </c>
      <c r="E374" t="s">
        <v>201</v>
      </c>
      <c r="F374" t="s">
        <v>13</v>
      </c>
      <c r="G374" s="12" t="s">
        <v>492</v>
      </c>
      <c r="H374" t="s">
        <v>25</v>
      </c>
      <c r="I374" t="s">
        <v>16</v>
      </c>
    </row>
    <row r="375" spans="1:9" ht="409.5" x14ac:dyDescent="0.25">
      <c r="A375" s="3" t="s">
        <v>7</v>
      </c>
      <c r="B375" t="str">
        <f>HYPERLINK("https://scholarships.uow.edu.au/scholarships/search?scholarship=604", "Wollongong City Council Work Integrated Learning Scholarship")</f>
        <v>Wollongong City Council Work Integrated Learning Scholarship</v>
      </c>
      <c r="C375" t="s">
        <v>491</v>
      </c>
      <c r="D375" s="12" t="s">
        <v>386</v>
      </c>
      <c r="E375" t="s">
        <v>201</v>
      </c>
      <c r="F375" t="s">
        <v>13</v>
      </c>
      <c r="G375" s="12" t="s">
        <v>493</v>
      </c>
      <c r="H375" t="s">
        <v>25</v>
      </c>
      <c r="I375" t="s">
        <v>16</v>
      </c>
    </row>
    <row r="376" spans="1:9" ht="315" x14ac:dyDescent="0.25">
      <c r="A376" s="3" t="s">
        <v>7</v>
      </c>
      <c r="B376" t="str">
        <f>HYPERLINK("https://scholarships.uow.edu.au/scholarships/search?scholarship=961", "Huon Contractors Civil Engineering Work Integrated Learning Scholarship")</f>
        <v>Huon Contractors Civil Engineering Work Integrated Learning Scholarship</v>
      </c>
      <c r="C376" t="s">
        <v>491</v>
      </c>
      <c r="D376" s="12" t="s">
        <v>494</v>
      </c>
      <c r="E376" t="s">
        <v>205</v>
      </c>
      <c r="F376" t="s">
        <v>13</v>
      </c>
      <c r="G376" s="12" t="s">
        <v>495</v>
      </c>
      <c r="H376" t="s">
        <v>25</v>
      </c>
      <c r="I376" t="s">
        <v>16</v>
      </c>
    </row>
    <row r="377" spans="1:9" ht="409.5" x14ac:dyDescent="0.25">
      <c r="A377" s="3" t="s">
        <v>7</v>
      </c>
      <c r="B377" t="str">
        <f>HYPERLINK("https://scholarships.uow.edu.au/scholarships/search?scholarship=1521", "Sir William Tyree Engineering Scholarship")</f>
        <v>Sir William Tyree Engineering Scholarship</v>
      </c>
      <c r="C377" t="s">
        <v>491</v>
      </c>
      <c r="D377" s="12" t="s">
        <v>496</v>
      </c>
      <c r="E377" t="s">
        <v>41</v>
      </c>
      <c r="F377" t="s">
        <v>13</v>
      </c>
      <c r="G377" s="12" t="s">
        <v>497</v>
      </c>
      <c r="H377" t="s">
        <v>25</v>
      </c>
      <c r="I377" t="s">
        <v>25</v>
      </c>
    </row>
    <row r="378" spans="1:9" ht="285" x14ac:dyDescent="0.25">
      <c r="A378" s="3" t="s">
        <v>7</v>
      </c>
      <c r="B378" t="str">
        <f>HYPERLINK("https://scholarships.uow.edu.au/scholarships/search?scholarship=2921", "Whale Logistics Work Integrated Learning Scholarship")</f>
        <v>Whale Logistics Work Integrated Learning Scholarship</v>
      </c>
      <c r="C378" t="s">
        <v>491</v>
      </c>
      <c r="D378" s="12" t="s">
        <v>386</v>
      </c>
      <c r="E378" t="s">
        <v>201</v>
      </c>
      <c r="F378" t="s">
        <v>13</v>
      </c>
      <c r="G378" s="12" t="s">
        <v>498</v>
      </c>
      <c r="H378" t="s">
        <v>25</v>
      </c>
      <c r="I378" t="s">
        <v>16</v>
      </c>
    </row>
    <row r="379" spans="1:9" ht="409.5" x14ac:dyDescent="0.25">
      <c r="A379" s="3" t="s">
        <v>7</v>
      </c>
      <c r="B379" t="str">
        <f>HYPERLINK("https://scholarships.uow.edu.au/scholarships/search?scholarship=2682", "Morrisons Law Work Integrated Learning Scholarship")</f>
        <v>Morrisons Law Work Integrated Learning Scholarship</v>
      </c>
      <c r="C379" t="s">
        <v>491</v>
      </c>
      <c r="D379" s="12" t="s">
        <v>386</v>
      </c>
      <c r="E379" t="s">
        <v>201</v>
      </c>
      <c r="F379" t="s">
        <v>13</v>
      </c>
      <c r="G379" s="12" t="s">
        <v>499</v>
      </c>
      <c r="H379" t="s">
        <v>25</v>
      </c>
      <c r="I379" t="s">
        <v>16</v>
      </c>
    </row>
    <row r="380" spans="1:9" ht="409.5" x14ac:dyDescent="0.25">
      <c r="A380" s="3" t="s">
        <v>7</v>
      </c>
      <c r="B380" t="str">
        <f>HYPERLINK("https://scholarships.uow.edu.au/scholarships/search?scholarship=3081", "IGS Limited Work Integrated Learning Scholarship in Engineering")</f>
        <v>IGS Limited Work Integrated Learning Scholarship in Engineering</v>
      </c>
      <c r="C380" t="s">
        <v>491</v>
      </c>
      <c r="D380" s="12" t="s">
        <v>348</v>
      </c>
      <c r="E380" t="s">
        <v>201</v>
      </c>
      <c r="F380" t="s">
        <v>13</v>
      </c>
      <c r="G380" s="12" t="s">
        <v>500</v>
      </c>
      <c r="H380" t="s">
        <v>25</v>
      </c>
      <c r="I380" t="s">
        <v>16</v>
      </c>
    </row>
    <row r="381" spans="1:9" ht="409.5" x14ac:dyDescent="0.25">
      <c r="A381" s="3" t="s">
        <v>7</v>
      </c>
      <c r="B381" t="str">
        <f>HYPERLINK("https://scholarships.uow.edu.au/scholarships/search?scholarship=3082", "SJL Consulting Engineers Work Integrated Learning Scholarship")</f>
        <v>SJL Consulting Engineers Work Integrated Learning Scholarship</v>
      </c>
      <c r="C381" t="s">
        <v>491</v>
      </c>
      <c r="D381" s="12" t="s">
        <v>386</v>
      </c>
      <c r="E381" t="s">
        <v>201</v>
      </c>
      <c r="F381" t="s">
        <v>13</v>
      </c>
      <c r="G381" s="12" t="s">
        <v>501</v>
      </c>
      <c r="H381" t="s">
        <v>25</v>
      </c>
      <c r="I381" t="s">
        <v>16</v>
      </c>
    </row>
    <row r="382" spans="1:9" ht="409.5" x14ac:dyDescent="0.25">
      <c r="A382" s="3" t="s">
        <v>7</v>
      </c>
      <c r="B382" t="str">
        <f>HYPERLINK("https://scholarships.uow.edu.au/scholarships/search?scholarship=2781", "542 Partners Work Integrated Learning Scholarship in Accounting")</f>
        <v>542 Partners Work Integrated Learning Scholarship in Accounting</v>
      </c>
      <c r="C382" t="s">
        <v>491</v>
      </c>
      <c r="D382" s="12" t="s">
        <v>386</v>
      </c>
      <c r="E382" t="s">
        <v>201</v>
      </c>
      <c r="F382" t="s">
        <v>13</v>
      </c>
      <c r="G382" s="12" t="s">
        <v>502</v>
      </c>
      <c r="H382" t="s">
        <v>25</v>
      </c>
      <c r="I382" t="s">
        <v>16</v>
      </c>
    </row>
    <row r="383" spans="1:9" ht="300" x14ac:dyDescent="0.25">
      <c r="A383" s="3" t="s">
        <v>7</v>
      </c>
      <c r="B383" t="str">
        <f>HYPERLINK("https://scholarships.uow.edu.au/scholarships/search?scholarship=2502", "Motion Asia Pacific Work Integrated Learning Scholarship in Engineering")</f>
        <v>Motion Asia Pacific Work Integrated Learning Scholarship in Engineering</v>
      </c>
      <c r="C383" t="s">
        <v>491</v>
      </c>
      <c r="D383" s="12" t="s">
        <v>496</v>
      </c>
      <c r="E383" t="s">
        <v>201</v>
      </c>
      <c r="F383" t="s">
        <v>13</v>
      </c>
      <c r="G383" s="12" t="s">
        <v>503</v>
      </c>
      <c r="H383" t="s">
        <v>25</v>
      </c>
      <c r="I383" t="s">
        <v>16</v>
      </c>
    </row>
    <row r="384" spans="1:9" ht="409.5" x14ac:dyDescent="0.25">
      <c r="A384" s="3" t="s">
        <v>7</v>
      </c>
      <c r="B384" t="str">
        <f>HYPERLINK("https://scholarships.uow.edu.au/scholarships/search?scholarship=1001", "Southern Districts Rugby Club Scholarship")</f>
        <v>Southern Districts Rugby Club Scholarship</v>
      </c>
      <c r="C384" t="s">
        <v>504</v>
      </c>
      <c r="D384" s="12" t="s">
        <v>360</v>
      </c>
      <c r="E384" t="s">
        <v>201</v>
      </c>
      <c r="F384" t="s">
        <v>35</v>
      </c>
      <c r="G384" s="12" t="s">
        <v>505</v>
      </c>
      <c r="H384" t="s">
        <v>25</v>
      </c>
      <c r="I384" t="s">
        <v>25</v>
      </c>
    </row>
    <row r="385" spans="1:9" ht="300" x14ac:dyDescent="0.25">
      <c r="A385" s="3" t="s">
        <v>7</v>
      </c>
      <c r="B385" t="str">
        <f>HYPERLINK("https://scholarships.uow.edu.au/scholarships/search?scholarship=281", "Col Purcell Illawarra Rugby League Centenary Scholarship")</f>
        <v>Col Purcell Illawarra Rugby League Centenary Scholarship</v>
      </c>
      <c r="C385" t="s">
        <v>504</v>
      </c>
      <c r="D385" s="12" t="s">
        <v>506</v>
      </c>
      <c r="E385" t="s">
        <v>201</v>
      </c>
      <c r="F385" t="s">
        <v>13</v>
      </c>
      <c r="G385" s="12" t="s">
        <v>507</v>
      </c>
      <c r="H385" t="s">
        <v>25</v>
      </c>
      <c r="I385" t="s">
        <v>25</v>
      </c>
    </row>
    <row r="386" spans="1:9" ht="225" x14ac:dyDescent="0.25">
      <c r="A386" s="3" t="s">
        <v>7</v>
      </c>
      <c r="B386" t="str">
        <f>HYPERLINK("https://scholarships.uow.edu.au/scholarships/search?scholarship=3101", "McLoughlin Minerva Scholarship for Sportswomen")</f>
        <v>McLoughlin Minerva Scholarship for Sportswomen</v>
      </c>
      <c r="C386" t="s">
        <v>336</v>
      </c>
      <c r="D386" s="12" t="s">
        <v>383</v>
      </c>
      <c r="E386" t="s">
        <v>338</v>
      </c>
      <c r="F386" t="s">
        <v>13</v>
      </c>
      <c r="G386" s="12" t="s">
        <v>384</v>
      </c>
      <c r="H386" t="s">
        <v>25</v>
      </c>
      <c r="I386" t="s">
        <v>25</v>
      </c>
    </row>
    <row r="387" spans="1:9" ht="409.5" x14ac:dyDescent="0.25">
      <c r="A387" s="13" t="s">
        <v>10</v>
      </c>
      <c r="B387" t="str">
        <f>HYPERLINK("https://www.scholarships.unsw.edu.au/scholarships/id/1757/6557", "John Lions Computer Science Honours Award")</f>
        <v>John Lions Computer Science Honours Award</v>
      </c>
      <c r="C387" t="s">
        <v>27</v>
      </c>
      <c r="D387" t="s">
        <v>295</v>
      </c>
      <c r="E387" t="s">
        <v>201</v>
      </c>
      <c r="F387" t="s">
        <v>13</v>
      </c>
      <c r="G387" s="12" t="s">
        <v>508</v>
      </c>
      <c r="H387" t="s">
        <v>25</v>
      </c>
      <c r="I387" t="s">
        <v>25</v>
      </c>
    </row>
    <row r="388" spans="1:9" ht="225" x14ac:dyDescent="0.25">
      <c r="A388" s="13" t="s">
        <v>10</v>
      </c>
      <c r="B388" t="str">
        <f>HYPERLINK("https://www.scholarships.unsw.edu.au/scholarships/id/981/6540", "NSWMC Newcastle Mining Engineering Transfer Program")</f>
        <v>NSWMC Newcastle Mining Engineering Transfer Program</v>
      </c>
      <c r="C388" t="s">
        <v>27</v>
      </c>
      <c r="D388" t="s">
        <v>295</v>
      </c>
      <c r="E388" t="s">
        <v>41</v>
      </c>
      <c r="F388" t="s">
        <v>13</v>
      </c>
      <c r="G388" s="12" t="s">
        <v>629</v>
      </c>
      <c r="H388" t="s">
        <v>25</v>
      </c>
      <c r="I388" t="s">
        <v>25</v>
      </c>
    </row>
    <row r="389" spans="1:9" ht="120" x14ac:dyDescent="0.25">
      <c r="A389" s="13" t="s">
        <v>10</v>
      </c>
      <c r="B389" t="str">
        <f>HYPERLINK("https://www.scholarships.unsw.edu.au/scholarships/id/537/6535", "Andrew Thyne Reid Scholarship")</f>
        <v>Andrew Thyne Reid Scholarship</v>
      </c>
      <c r="C389" t="s">
        <v>27</v>
      </c>
      <c r="D389" t="s">
        <v>509</v>
      </c>
      <c r="E389" t="s">
        <v>41</v>
      </c>
      <c r="F389" t="s">
        <v>51</v>
      </c>
      <c r="G389" s="12" t="s">
        <v>630</v>
      </c>
      <c r="H389" t="s">
        <v>25</v>
      </c>
      <c r="I389" t="s">
        <v>25</v>
      </c>
    </row>
    <row r="390" spans="1:9" ht="105" x14ac:dyDescent="0.25">
      <c r="A390" s="13" t="s">
        <v>10</v>
      </c>
      <c r="B390" t="str">
        <f>HYPERLINK("https://www.scholarships.unsw.edu.au/scholarships/id/1005/6542", "UNSW Law Postgraduate Coursework Academic Excellence Scholarship")</f>
        <v>UNSW Law Postgraduate Coursework Academic Excellence Scholarship</v>
      </c>
      <c r="C390" t="s">
        <v>27</v>
      </c>
      <c r="D390" t="s">
        <v>202</v>
      </c>
      <c r="E390" t="s">
        <v>201</v>
      </c>
      <c r="F390" t="s">
        <v>35</v>
      </c>
      <c r="G390" s="12" t="s">
        <v>510</v>
      </c>
      <c r="H390" t="s">
        <v>25</v>
      </c>
      <c r="I390" t="s">
        <v>25</v>
      </c>
    </row>
    <row r="391" spans="1:9" ht="75" x14ac:dyDescent="0.25">
      <c r="A391" s="13" t="s">
        <v>10</v>
      </c>
      <c r="B391" t="str">
        <f>HYPERLINK("https://www.scholarships.unsw.edu.au/scholarships/id/701/6533", "The Faculty of Law Juris Doctor Scholarship for Academic Excellence")</f>
        <v>The Faculty of Law Juris Doctor Scholarship for Academic Excellence</v>
      </c>
      <c r="C391" t="s">
        <v>27</v>
      </c>
      <c r="D391" t="s">
        <v>253</v>
      </c>
      <c r="E391" t="s">
        <v>41</v>
      </c>
      <c r="F391" t="s">
        <v>197</v>
      </c>
      <c r="G391" s="12" t="s">
        <v>631</v>
      </c>
      <c r="H391" t="s">
        <v>25</v>
      </c>
      <c r="I391" t="s">
        <v>25</v>
      </c>
    </row>
    <row r="392" spans="1:9" ht="75" x14ac:dyDescent="0.25">
      <c r="A392" s="13" t="s">
        <v>10</v>
      </c>
      <c r="B392" t="str">
        <f>HYPERLINK("https://www.scholarships.unsw.edu.au/scholarships/id/1839/6561", "Commissioner Hoffman Scholarship")</f>
        <v>Commissioner Hoffman Scholarship</v>
      </c>
      <c r="C392" t="s">
        <v>27</v>
      </c>
      <c r="D392" t="s">
        <v>209</v>
      </c>
      <c r="E392" t="s">
        <v>41</v>
      </c>
      <c r="F392" t="s">
        <v>51</v>
      </c>
      <c r="G392" s="12" t="s">
        <v>511</v>
      </c>
      <c r="H392" t="s">
        <v>25</v>
      </c>
      <c r="I392" t="s">
        <v>25</v>
      </c>
    </row>
    <row r="393" spans="1:9" ht="240" x14ac:dyDescent="0.25">
      <c r="A393" s="13" t="s">
        <v>10</v>
      </c>
      <c r="B393" t="str">
        <f>HYPERLINK("https://www.scholarships.unsw.edu.au/scholarships/id/906/6534", "John Haskell Scholarship")</f>
        <v>John Haskell Scholarship</v>
      </c>
      <c r="C393" t="s">
        <v>27</v>
      </c>
      <c r="D393" t="s">
        <v>209</v>
      </c>
      <c r="E393" t="s">
        <v>41</v>
      </c>
      <c r="F393" t="s">
        <v>35</v>
      </c>
      <c r="G393" s="12" t="s">
        <v>512</v>
      </c>
      <c r="H393" t="s">
        <v>25</v>
      </c>
      <c r="I393" t="s">
        <v>25</v>
      </c>
    </row>
    <row r="394" spans="1:9" ht="409.5" x14ac:dyDescent="0.25">
      <c r="A394" s="13" t="s">
        <v>10</v>
      </c>
      <c r="B394" t="str">
        <f>HYPERLINK("https://www.scholarships.unsw.edu.au/scholarships/id/1583/6523", "Sanctuary Scholarship for People Seeking Asylum and Refugees with Temporary Protection")</f>
        <v>Sanctuary Scholarship for People Seeking Asylum and Refugees with Temporary Protection</v>
      </c>
      <c r="C394" t="s">
        <v>148</v>
      </c>
      <c r="D394" t="s">
        <v>209</v>
      </c>
      <c r="E394" t="s">
        <v>41</v>
      </c>
      <c r="F394" t="s">
        <v>13</v>
      </c>
      <c r="G394" s="12" t="s">
        <v>513</v>
      </c>
      <c r="H394" t="s">
        <v>25</v>
      </c>
      <c r="I394" t="s">
        <v>25</v>
      </c>
    </row>
    <row r="395" spans="1:9" ht="409.5" x14ac:dyDescent="0.25">
      <c r="A395" s="13" t="s">
        <v>10</v>
      </c>
      <c r="B395" t="str">
        <f>HYPERLINK("https://www.scholarships.unsw.edu.au/scholarships/id/1582/6524", "Welcome Scholarship for Students from Refugee Backgrounds")</f>
        <v>Welcome Scholarship for Students from Refugee Backgrounds</v>
      </c>
      <c r="C395" t="s">
        <v>148</v>
      </c>
      <c r="D395" t="s">
        <v>202</v>
      </c>
      <c r="E395" t="s">
        <v>41</v>
      </c>
      <c r="F395" t="s">
        <v>13</v>
      </c>
      <c r="G395" s="12" t="s">
        <v>514</v>
      </c>
      <c r="H395" t="s">
        <v>25</v>
      </c>
      <c r="I395" t="s">
        <v>25</v>
      </c>
    </row>
    <row r="396" spans="1:9" ht="60" x14ac:dyDescent="0.25">
      <c r="A396" s="13" t="s">
        <v>10</v>
      </c>
      <c r="B396" t="str">
        <f>HYPERLINK("https://www.scholarships.unsw.edu.au/scholarships/id/1821/6433", "UNSW Scholarships for International Students Commencing Term 1, 2025")</f>
        <v>UNSW Scholarships for International Students Commencing Term 1, 2025</v>
      </c>
      <c r="C396" t="s">
        <v>27</v>
      </c>
      <c r="D396" t="s">
        <v>209</v>
      </c>
      <c r="E396" t="s">
        <v>201</v>
      </c>
      <c r="F396" t="s">
        <v>197</v>
      </c>
      <c r="G396" s="12" t="s">
        <v>515</v>
      </c>
      <c r="H396" t="s">
        <v>25</v>
      </c>
      <c r="I396" t="s">
        <v>25</v>
      </c>
    </row>
    <row r="397" spans="1:9" ht="330" x14ac:dyDescent="0.25">
      <c r="A397" s="13" t="s">
        <v>10</v>
      </c>
      <c r="B397" t="str">
        <f>HYPERLINK("https://www.scholarships.unsw.edu.au/scholarships/id/1817/6403", "UNSW Sport Scholarships Term 1, 2025")</f>
        <v>UNSW Sport Scholarships Term 1, 2025</v>
      </c>
      <c r="C397" t="s">
        <v>504</v>
      </c>
      <c r="D397" t="s">
        <v>209</v>
      </c>
      <c r="E397" t="s">
        <v>201</v>
      </c>
      <c r="F397" t="s">
        <v>35</v>
      </c>
      <c r="G397" s="12" t="s">
        <v>516</v>
      </c>
      <c r="H397" t="s">
        <v>25</v>
      </c>
      <c r="I397" t="s">
        <v>25</v>
      </c>
    </row>
    <row r="398" spans="1:9" ht="150" x14ac:dyDescent="0.25">
      <c r="A398" s="13" t="s">
        <v>10</v>
      </c>
      <c r="B398" t="str">
        <f>HYPERLINK("https://www.scholarships.unsw.edu.au/scholarships/id/1328/6409", "UNSW Veterans Scholarship")</f>
        <v>UNSW Veterans Scholarship</v>
      </c>
      <c r="C398" t="s">
        <v>14</v>
      </c>
      <c r="D398" t="s">
        <v>209</v>
      </c>
      <c r="E398" t="s">
        <v>41</v>
      </c>
      <c r="F398" t="s">
        <v>35</v>
      </c>
      <c r="G398" s="12" t="s">
        <v>517</v>
      </c>
      <c r="H398" t="s">
        <v>25</v>
      </c>
      <c r="I398" t="s">
        <v>25</v>
      </c>
    </row>
    <row r="399" spans="1:9" ht="360" x14ac:dyDescent="0.25">
      <c r="A399" s="13" t="s">
        <v>10</v>
      </c>
      <c r="B399" t="str">
        <f>HYPERLINK("https://www.scholarships.unsw.edu.au/scholarships/id/1820/6428", "Mike Brungs Scholarship for Women in Chemical Engineering")</f>
        <v>Mike Brungs Scholarship for Women in Chemical Engineering</v>
      </c>
      <c r="C399" t="s">
        <v>14</v>
      </c>
      <c r="D399" t="s">
        <v>202</v>
      </c>
      <c r="E399" t="s">
        <v>41</v>
      </c>
      <c r="F399" t="s">
        <v>13</v>
      </c>
      <c r="G399" s="12" t="s">
        <v>518</v>
      </c>
      <c r="H399" t="s">
        <v>25</v>
      </c>
      <c r="I399" t="s">
        <v>25</v>
      </c>
    </row>
    <row r="400" spans="1:9" ht="60" x14ac:dyDescent="0.25">
      <c r="A400" s="13" t="s">
        <v>10</v>
      </c>
      <c r="B400" t="str">
        <f>HYPERLINK("https://www.scholarships.unsw.edu.au/scholarships/id/1815/6408", "2025 Equity Scholarships for Commencing Undergraduate Students")</f>
        <v>2025 Equity Scholarships for Commencing Undergraduate Students</v>
      </c>
      <c r="C400" t="s">
        <v>27</v>
      </c>
      <c r="D400" t="s">
        <v>209</v>
      </c>
      <c r="E400" t="s">
        <v>41</v>
      </c>
      <c r="F400" t="s">
        <v>197</v>
      </c>
      <c r="G400" s="12" t="s">
        <v>515</v>
      </c>
      <c r="H400" t="s">
        <v>25</v>
      </c>
      <c r="I400" t="s">
        <v>25</v>
      </c>
    </row>
    <row r="401" spans="1:9" ht="409.5" x14ac:dyDescent="0.25">
      <c r="A401" s="13" t="s">
        <v>10</v>
      </c>
      <c r="B401" t="str">
        <f>HYPERLINK("https://www.scholarships.unsw.edu.au/scholarships/id/102/6399", "Scientia Scholarship")</f>
        <v>Scientia Scholarship</v>
      </c>
      <c r="C401" t="s">
        <v>14</v>
      </c>
      <c r="D401" t="s">
        <v>202</v>
      </c>
      <c r="E401" t="s">
        <v>41</v>
      </c>
      <c r="F401" t="s">
        <v>13</v>
      </c>
      <c r="G401" s="12" t="s">
        <v>519</v>
      </c>
      <c r="H401" t="s">
        <v>25</v>
      </c>
      <c r="I401" t="s">
        <v>25</v>
      </c>
    </row>
    <row r="402" spans="1:9" ht="409.5" x14ac:dyDescent="0.25">
      <c r="A402" s="13" t="s">
        <v>10</v>
      </c>
      <c r="B402" t="str">
        <f>HYPERLINK("https://www.scholarships.unsw.edu.au/scholarships/id/1/6398", "Academic Achievement Award (AAA)")</f>
        <v>Academic Achievement Award (AAA)</v>
      </c>
      <c r="C402" t="s">
        <v>14</v>
      </c>
      <c r="D402" t="s">
        <v>209</v>
      </c>
      <c r="E402" t="s">
        <v>201</v>
      </c>
      <c r="F402" t="s">
        <v>13</v>
      </c>
      <c r="G402" s="12" t="s">
        <v>520</v>
      </c>
      <c r="H402" t="s">
        <v>25</v>
      </c>
      <c r="I402" t="s">
        <v>25</v>
      </c>
    </row>
    <row r="403" spans="1:9" ht="405" x14ac:dyDescent="0.25">
      <c r="A403" s="13" t="s">
        <v>10</v>
      </c>
      <c r="B403" t="str">
        <f>HYPERLINK("https://www.scholarships.unsw.edu.au/scholarships/id/1824/6563", "UNSW Cyber Security Award")</f>
        <v>UNSW Cyber Security Award</v>
      </c>
      <c r="C403" t="s">
        <v>14</v>
      </c>
      <c r="D403" t="s">
        <v>209</v>
      </c>
      <c r="E403" t="s">
        <v>201</v>
      </c>
      <c r="F403" t="s">
        <v>13</v>
      </c>
      <c r="G403" s="12" t="s">
        <v>521</v>
      </c>
      <c r="H403" t="s">
        <v>21</v>
      </c>
      <c r="I403" t="s">
        <v>25</v>
      </c>
    </row>
    <row r="404" spans="1:9" ht="60" x14ac:dyDescent="0.25">
      <c r="A404" s="13" t="s">
        <v>10</v>
      </c>
      <c r="B404" t="str">
        <f>HYPERLINK("https://www.scholarships.unsw.edu.au/scholarships/id/1822/6554", "2025 Equity Scholarships for Current Students")</f>
        <v>2025 Equity Scholarships for Current Students</v>
      </c>
      <c r="C404" t="s">
        <v>27</v>
      </c>
      <c r="D404" t="s">
        <v>209</v>
      </c>
      <c r="E404" t="s">
        <v>201</v>
      </c>
      <c r="F404" t="s">
        <v>197</v>
      </c>
      <c r="G404" s="12" t="s">
        <v>515</v>
      </c>
      <c r="H404" t="s">
        <v>25</v>
      </c>
      <c r="I404" t="s">
        <v>25</v>
      </c>
    </row>
    <row r="405" spans="1:9" ht="60" x14ac:dyDescent="0.25">
      <c r="A405" s="13" t="s">
        <v>10</v>
      </c>
      <c r="B405" t="str">
        <f>HYPERLINK("https://www.scholarships.unsw.edu.au/scholarships/id/1835/6553", "2025 Equity Scholarships for Postgraduate Coursework Students")</f>
        <v>2025 Equity Scholarships for Postgraduate Coursework Students</v>
      </c>
      <c r="C405" t="s">
        <v>27</v>
      </c>
      <c r="D405" t="s">
        <v>209</v>
      </c>
      <c r="E405" t="s">
        <v>201</v>
      </c>
      <c r="F405" t="s">
        <v>197</v>
      </c>
      <c r="G405" s="12" t="s">
        <v>515</v>
      </c>
      <c r="H405" t="s">
        <v>25</v>
      </c>
      <c r="I405" t="s">
        <v>25</v>
      </c>
    </row>
    <row r="406" spans="1:9" ht="409.5" x14ac:dyDescent="0.25">
      <c r="A406" s="13" t="s">
        <v>10</v>
      </c>
      <c r="B406" t="str">
        <f>HYPERLINK("https://www.scholarships.unsw.edu.au/scholarships/id/1462/6402", "Daniel and Helen Gauchat Port Macquarie Award for Rural Medical Students")</f>
        <v>Daniel and Helen Gauchat Port Macquarie Award for Rural Medical Students</v>
      </c>
      <c r="C406" t="s">
        <v>14</v>
      </c>
      <c r="D406" t="s">
        <v>209</v>
      </c>
      <c r="E406" t="s">
        <v>201</v>
      </c>
      <c r="F406" t="s">
        <v>13</v>
      </c>
      <c r="G406" s="12" t="s">
        <v>522</v>
      </c>
      <c r="H406" t="s">
        <v>25</v>
      </c>
      <c r="I406" t="s">
        <v>25</v>
      </c>
    </row>
    <row r="407" spans="1:9" ht="60" x14ac:dyDescent="0.25">
      <c r="A407" s="13" t="s">
        <v>10</v>
      </c>
      <c r="B407" t="str">
        <f>HYPERLINK("https://www.scholarships.unsw.edu.au/scholarships/id/1706/6556", "UNSW Exchange Scholarships &amp; Awards for 2025")</f>
        <v>UNSW Exchange Scholarships &amp; Awards for 2025</v>
      </c>
      <c r="C407" t="s">
        <v>27</v>
      </c>
      <c r="D407" t="s">
        <v>230</v>
      </c>
      <c r="E407" t="s">
        <v>201</v>
      </c>
      <c r="F407" t="s">
        <v>197</v>
      </c>
      <c r="G407" s="12" t="s">
        <v>515</v>
      </c>
      <c r="H407" t="s">
        <v>25</v>
      </c>
      <c r="I407" t="s">
        <v>25</v>
      </c>
    </row>
    <row r="408" spans="1:9" ht="105" x14ac:dyDescent="0.25">
      <c r="A408" s="13" t="s">
        <v>10</v>
      </c>
      <c r="B408" t="str">
        <f>HYPERLINK("https://www.scholarships.unsw.edu.au/scholarships/id/1656", "David Nunan Rural Residential Scholarship")</f>
        <v>David Nunan Rural Residential Scholarship</v>
      </c>
      <c r="C408" t="s">
        <v>27</v>
      </c>
      <c r="D408" t="s">
        <v>204</v>
      </c>
      <c r="E408" t="s">
        <v>331</v>
      </c>
      <c r="F408" t="s">
        <v>13</v>
      </c>
      <c r="G408" s="12" t="s">
        <v>633</v>
      </c>
      <c r="H408" t="s">
        <v>25</v>
      </c>
      <c r="I408" t="s">
        <v>25</v>
      </c>
    </row>
    <row r="409" spans="1:9" ht="60" x14ac:dyDescent="0.25">
      <c r="A409" s="13" t="s">
        <v>10</v>
      </c>
      <c r="B409" t="str">
        <f>HYPERLINK("https://www.scholarships.unsw.edu.au/scholarships/id/1223", "Vanessa Hardman Memorial Endowed Scholarship")</f>
        <v>Vanessa Hardman Memorial Endowed Scholarship</v>
      </c>
      <c r="C409" t="s">
        <v>27</v>
      </c>
      <c r="D409" t="s">
        <v>523</v>
      </c>
      <c r="E409" t="s">
        <v>41</v>
      </c>
      <c r="F409" t="s">
        <v>13</v>
      </c>
      <c r="G409" s="12" t="s">
        <v>632</v>
      </c>
      <c r="H409" t="s">
        <v>25</v>
      </c>
      <c r="I409" t="s">
        <v>25</v>
      </c>
    </row>
    <row r="410" spans="1:9" ht="195" x14ac:dyDescent="0.25">
      <c r="A410" s="13" t="s">
        <v>10</v>
      </c>
      <c r="B410" t="str">
        <f>HYPERLINK("https://www.scholarships.unsw.edu.au/scholarships/id/158", "David Garlick Memorial Scholarship")</f>
        <v>David Garlick Memorial Scholarship</v>
      </c>
      <c r="C410" t="s">
        <v>27</v>
      </c>
      <c r="D410" t="s">
        <v>209</v>
      </c>
      <c r="E410" t="s">
        <v>41</v>
      </c>
      <c r="F410" t="s">
        <v>35</v>
      </c>
      <c r="G410" s="12" t="s">
        <v>524</v>
      </c>
      <c r="H410" t="s">
        <v>25</v>
      </c>
      <c r="I410" t="s">
        <v>25</v>
      </c>
    </row>
    <row r="411" spans="1:9" ht="180" x14ac:dyDescent="0.25">
      <c r="A411" s="13" t="s">
        <v>10</v>
      </c>
      <c r="B411" t="str">
        <f>HYPERLINK("https://www.scholarships.unsw.edu.au/scholarships/id/1259", "Roberts Co Women in Built Environment Scholarship")</f>
        <v>Roberts Co Women in Built Environment Scholarship</v>
      </c>
      <c r="C411" t="s">
        <v>27</v>
      </c>
      <c r="D411" t="s">
        <v>209</v>
      </c>
      <c r="E411" t="s">
        <v>41</v>
      </c>
      <c r="F411" t="s">
        <v>13</v>
      </c>
      <c r="G411" s="12" t="s">
        <v>634</v>
      </c>
      <c r="H411" t="s">
        <v>25</v>
      </c>
      <c r="I411" t="s">
        <v>25</v>
      </c>
    </row>
    <row r="412" spans="1:9" ht="30" x14ac:dyDescent="0.25">
      <c r="A412" s="13" t="s">
        <v>10</v>
      </c>
      <c r="B412" t="str">
        <f>HYPERLINK("https://www.scholarships.unsw.edu.au/scholarships/id/1408", "Berk Family Scholarship")</f>
        <v>Berk Family Scholarship</v>
      </c>
      <c r="C412" t="s">
        <v>27</v>
      </c>
      <c r="D412" t="s">
        <v>209</v>
      </c>
      <c r="E412" t="s">
        <v>41</v>
      </c>
      <c r="F412" t="s">
        <v>51</v>
      </c>
      <c r="G412" s="12" t="s">
        <v>635</v>
      </c>
      <c r="H412" t="s">
        <v>25</v>
      </c>
      <c r="I412" t="s">
        <v>25</v>
      </c>
    </row>
    <row r="413" spans="1:9" ht="90" x14ac:dyDescent="0.25">
      <c r="A413" s="13" t="s">
        <v>10</v>
      </c>
      <c r="B413" t="str">
        <f>HYPERLINK("https://www.scholarships.unsw.edu.au/scholarships/id/1530", "Tertiary Access Payment (TAP) Program")</f>
        <v>Tertiary Access Payment (TAP) Program</v>
      </c>
      <c r="C413" t="s">
        <v>14</v>
      </c>
      <c r="D413" s="7" t="s">
        <v>668</v>
      </c>
      <c r="E413" t="s">
        <v>201</v>
      </c>
      <c r="F413" t="s">
        <v>68</v>
      </c>
      <c r="G413" s="12" t="s">
        <v>669</v>
      </c>
      <c r="H413" t="s">
        <v>25</v>
      </c>
      <c r="I413" t="s">
        <v>25</v>
      </c>
    </row>
    <row r="414" spans="1:9" ht="255" x14ac:dyDescent="0.25">
      <c r="A414" s="13" t="s">
        <v>10</v>
      </c>
      <c r="B414" t="str">
        <f>HYPERLINK("https://www.scholarships.unsw.edu.au/scholarships/id/555", "AGSM Alumni Community Leader Scholarship")</f>
        <v>AGSM Alumni Community Leader Scholarship</v>
      </c>
      <c r="C414" t="s">
        <v>27</v>
      </c>
      <c r="D414" t="s">
        <v>525</v>
      </c>
      <c r="E414" t="s">
        <v>41</v>
      </c>
      <c r="F414" t="s">
        <v>51</v>
      </c>
      <c r="G414" s="12" t="s">
        <v>526</v>
      </c>
      <c r="H414" t="s">
        <v>25</v>
      </c>
      <c r="I414" t="s">
        <v>25</v>
      </c>
    </row>
    <row r="415" spans="1:9" ht="105" x14ac:dyDescent="0.25">
      <c r="A415" s="13" t="s">
        <v>10</v>
      </c>
      <c r="B415" t="str">
        <f>HYPERLINK("https://www.scholarships.unsw.edu.au/scholarships/id/1674", "UNSW Sydney Swans AFLW/ Academy Award (T1, 2024)")</f>
        <v>UNSW Sydney Swans AFLW/ Academy Award (T1, 2024)</v>
      </c>
      <c r="C415" t="s">
        <v>504</v>
      </c>
      <c r="D415" t="s">
        <v>202</v>
      </c>
      <c r="E415" t="s">
        <v>201</v>
      </c>
      <c r="F415" t="s">
        <v>35</v>
      </c>
      <c r="G415" s="12" t="s">
        <v>527</v>
      </c>
      <c r="H415" t="s">
        <v>25</v>
      </c>
      <c r="I415" t="s">
        <v>25</v>
      </c>
    </row>
    <row r="416" spans="1:9" ht="45" x14ac:dyDescent="0.25">
      <c r="A416" s="13" t="s">
        <v>10</v>
      </c>
      <c r="B416" t="str">
        <f>HYPERLINK("https://www.scholarships.unsw.edu.au/scholarships/id/850", "Late Stephen Robjohns Science Scholarship")</f>
        <v>Late Stephen Robjohns Science Scholarship</v>
      </c>
      <c r="C416" t="s">
        <v>27</v>
      </c>
      <c r="D416" t="s">
        <v>528</v>
      </c>
      <c r="E416" t="s">
        <v>331</v>
      </c>
      <c r="F416" t="s">
        <v>13</v>
      </c>
      <c r="G416" s="12" t="s">
        <v>636</v>
      </c>
      <c r="H416" t="s">
        <v>25</v>
      </c>
      <c r="I416" t="s">
        <v>25</v>
      </c>
    </row>
    <row r="417" spans="1:9" ht="60" x14ac:dyDescent="0.25">
      <c r="A417" s="13" t="s">
        <v>10</v>
      </c>
      <c r="B417" t="str">
        <f>HYPERLINK("https://www.scholarships.unsw.edu.au/scholarships/id/1792", "Moses Honours Year Scholarship")</f>
        <v>Moses Honours Year Scholarship</v>
      </c>
      <c r="C417" t="s">
        <v>27</v>
      </c>
      <c r="D417" t="s">
        <v>202</v>
      </c>
      <c r="E417" t="s">
        <v>201</v>
      </c>
      <c r="F417" t="s">
        <v>137</v>
      </c>
      <c r="G417" s="12" t="s">
        <v>637</v>
      </c>
      <c r="H417" t="s">
        <v>25</v>
      </c>
      <c r="I417" t="s">
        <v>25</v>
      </c>
    </row>
    <row r="418" spans="1:9" ht="270" x14ac:dyDescent="0.25">
      <c r="A418" s="13" t="s">
        <v>10</v>
      </c>
      <c r="B418" t="str">
        <f>HYPERLINK("https://www.scholarships.unsw.edu.au/scholarships/id/1788", "Pinnacle Investment Management Women in Finance Scholarship")</f>
        <v>Pinnacle Investment Management Women in Finance Scholarship</v>
      </c>
      <c r="C418" t="s">
        <v>27</v>
      </c>
      <c r="D418" t="s">
        <v>202</v>
      </c>
      <c r="E418" t="s">
        <v>201</v>
      </c>
      <c r="F418" t="s">
        <v>13</v>
      </c>
      <c r="G418" s="12" t="s">
        <v>529</v>
      </c>
      <c r="H418" t="s">
        <v>25</v>
      </c>
      <c r="I418" t="s">
        <v>25</v>
      </c>
    </row>
    <row r="419" spans="1:9" ht="180" x14ac:dyDescent="0.25">
      <c r="A419" s="13" t="s">
        <v>10</v>
      </c>
      <c r="B419" t="str">
        <f>HYPERLINK("https://www.scholarships.unsw.edu.au/scholarships/id/871", "CEPAR Honours Scholarship")</f>
        <v>CEPAR Honours Scholarship</v>
      </c>
      <c r="C419" t="s">
        <v>27</v>
      </c>
      <c r="D419" t="s">
        <v>209</v>
      </c>
      <c r="E419" t="s">
        <v>201</v>
      </c>
      <c r="F419" t="s">
        <v>137</v>
      </c>
      <c r="G419" s="12" t="s">
        <v>638</v>
      </c>
      <c r="H419" t="s">
        <v>25</v>
      </c>
      <c r="I419" t="s">
        <v>25</v>
      </c>
    </row>
    <row r="420" spans="1:9" ht="60" x14ac:dyDescent="0.25">
      <c r="A420" s="13" t="s">
        <v>10</v>
      </c>
      <c r="B420" t="str">
        <f>HYPERLINK("https://www.scholarships.unsw.edu.au/scholarships/id/1762", "Faculty of Engineering Honours Scholarships")</f>
        <v>Faculty of Engineering Honours Scholarships</v>
      </c>
      <c r="C420" t="s">
        <v>27</v>
      </c>
      <c r="D420" t="s">
        <v>209</v>
      </c>
      <c r="E420" t="s">
        <v>201</v>
      </c>
      <c r="F420" t="s">
        <v>197</v>
      </c>
      <c r="G420" s="12" t="s">
        <v>515</v>
      </c>
      <c r="H420" t="s">
        <v>25</v>
      </c>
      <c r="I420" t="s">
        <v>25</v>
      </c>
    </row>
    <row r="421" spans="1:9" ht="60" x14ac:dyDescent="0.25">
      <c r="A421" s="13" t="s">
        <v>10</v>
      </c>
      <c r="B421" t="str">
        <f>HYPERLINK("https://www.scholarships.unsw.edu.au/scholarships/id/1764", "UNSW Faculty of Medicine Honours Scholarships 2024")</f>
        <v>UNSW Faculty of Medicine Honours Scholarships 2024</v>
      </c>
      <c r="C421" t="s">
        <v>27</v>
      </c>
      <c r="D421" t="s">
        <v>209</v>
      </c>
      <c r="E421" t="s">
        <v>201</v>
      </c>
      <c r="F421" t="s">
        <v>197</v>
      </c>
      <c r="G421" s="12" t="s">
        <v>515</v>
      </c>
      <c r="H421" t="s">
        <v>25</v>
      </c>
      <c r="I421" t="s">
        <v>25</v>
      </c>
    </row>
    <row r="422" spans="1:9" ht="60" x14ac:dyDescent="0.25">
      <c r="A422" s="13" t="s">
        <v>10</v>
      </c>
      <c r="B422" t="str">
        <f>HYPERLINK("https://www.scholarships.unsw.edu.au/scholarships/id/1795", "UNSW Women Electrical Engineering Scholarships")</f>
        <v>UNSW Women Electrical Engineering Scholarships</v>
      </c>
      <c r="C422" t="s">
        <v>27</v>
      </c>
      <c r="D422" t="s">
        <v>202</v>
      </c>
      <c r="E422" t="s">
        <v>331</v>
      </c>
      <c r="F422" t="s">
        <v>197</v>
      </c>
      <c r="G422" s="12" t="s">
        <v>515</v>
      </c>
      <c r="H422" t="s">
        <v>25</v>
      </c>
      <c r="I422" t="s">
        <v>25</v>
      </c>
    </row>
    <row r="423" spans="1:9" ht="60" x14ac:dyDescent="0.25">
      <c r="A423" s="13" t="s">
        <v>10</v>
      </c>
      <c r="B423" t="str">
        <f>HYPERLINK("https://www.scholarships.unsw.edu.au/scholarships/id/1161", "AFGW NSW Joan Bielski AO Memorial Scholarship")</f>
        <v>AFGW NSW Joan Bielski AO Memorial Scholarship</v>
      </c>
      <c r="C423" t="s">
        <v>14</v>
      </c>
      <c r="D423" s="9" t="s">
        <v>670</v>
      </c>
      <c r="E423" t="s">
        <v>338</v>
      </c>
      <c r="F423" t="s">
        <v>13</v>
      </c>
      <c r="G423" s="12" t="s">
        <v>671</v>
      </c>
      <c r="H423" t="s">
        <v>25</v>
      </c>
      <c r="I423" t="s">
        <v>25</v>
      </c>
    </row>
    <row r="424" spans="1:9" ht="409.5" x14ac:dyDescent="0.25">
      <c r="A424" s="13" t="s">
        <v>10</v>
      </c>
      <c r="B424" t="str">
        <f>HYPERLINK("https://www.scholarships.unsw.edu.au/scholarships/id/255", "Joseph Barling Fellowship")</f>
        <v>Joseph Barling Fellowship</v>
      </c>
      <c r="C424" t="s">
        <v>27</v>
      </c>
      <c r="D424" t="s">
        <v>330</v>
      </c>
      <c r="E424" t="s">
        <v>41</v>
      </c>
      <c r="F424" t="s">
        <v>35</v>
      </c>
      <c r="G424" s="12" t="s">
        <v>530</v>
      </c>
      <c r="H424" t="s">
        <v>25</v>
      </c>
      <c r="I424" t="s">
        <v>25</v>
      </c>
    </row>
    <row r="425" spans="1:9" ht="409.5" x14ac:dyDescent="0.25">
      <c r="A425" s="13" t="s">
        <v>10</v>
      </c>
      <c r="B425" t="str">
        <f>HYPERLINK("https://www.scholarships.unsw.edu.au/scholarships/id/954", "New Colombo Plan Scholarship")</f>
        <v>New Colombo Plan Scholarship</v>
      </c>
      <c r="C425" t="s">
        <v>27</v>
      </c>
      <c r="D425" t="s">
        <v>531</v>
      </c>
      <c r="E425" t="s">
        <v>201</v>
      </c>
      <c r="F425" t="s">
        <v>13</v>
      </c>
      <c r="G425" s="12" t="s">
        <v>639</v>
      </c>
      <c r="H425" t="s">
        <v>21</v>
      </c>
      <c r="I425" t="s">
        <v>25</v>
      </c>
    </row>
    <row r="426" spans="1:9" ht="60" x14ac:dyDescent="0.25">
      <c r="A426" s="13" t="s">
        <v>10</v>
      </c>
      <c r="B426" t="str">
        <f>HYPERLINK("https://www.scholarships.unsw.edu.au/scholarships/id/1707", "UNSW Touch Football Leadership Award")</f>
        <v>UNSW Touch Football Leadership Award</v>
      </c>
      <c r="C426" t="s">
        <v>27</v>
      </c>
      <c r="D426" t="s">
        <v>209</v>
      </c>
      <c r="E426" t="s">
        <v>201</v>
      </c>
      <c r="F426" t="s">
        <v>197</v>
      </c>
      <c r="G426" s="12" t="s">
        <v>515</v>
      </c>
      <c r="H426" t="s">
        <v>25</v>
      </c>
      <c r="I426" t="s">
        <v>25</v>
      </c>
    </row>
    <row r="427" spans="1:9" ht="60" x14ac:dyDescent="0.25">
      <c r="A427" s="13" t="s">
        <v>10</v>
      </c>
      <c r="B427" t="str">
        <f>HYPERLINK("https://www.scholarships.unsw.edu.au/scholarships/id/1727", "Westpac Future Leaders Scholarship")</f>
        <v>Westpac Future Leaders Scholarship</v>
      </c>
      <c r="C427" t="s">
        <v>27</v>
      </c>
      <c r="D427" t="s">
        <v>532</v>
      </c>
      <c r="E427" t="s">
        <v>338</v>
      </c>
      <c r="F427" t="s">
        <v>197</v>
      </c>
      <c r="G427" s="12" t="s">
        <v>515</v>
      </c>
      <c r="H427" t="s">
        <v>25</v>
      </c>
      <c r="I427" t="s">
        <v>25</v>
      </c>
    </row>
    <row r="428" spans="1:9" ht="60" x14ac:dyDescent="0.25">
      <c r="A428" s="13" t="s">
        <v>10</v>
      </c>
      <c r="B428" t="str">
        <f>HYPERLINK("https://www.scholarships.unsw.edu.au/scholarships/id/912", "Danielle Sirmai Memorial Award")</f>
        <v>Danielle Sirmai Memorial Award</v>
      </c>
      <c r="C428" t="s">
        <v>27</v>
      </c>
      <c r="D428" t="s">
        <v>304</v>
      </c>
      <c r="E428" t="s">
        <v>24</v>
      </c>
      <c r="F428" t="s">
        <v>197</v>
      </c>
      <c r="G428" s="12" t="s">
        <v>515</v>
      </c>
      <c r="H428" t="s">
        <v>25</v>
      </c>
      <c r="I428" t="s">
        <v>25</v>
      </c>
    </row>
    <row r="429" spans="1:9" ht="60" x14ac:dyDescent="0.25">
      <c r="A429" s="13" t="s">
        <v>10</v>
      </c>
      <c r="B429" t="str">
        <f>HYPERLINK("https://www.scholarships.unsw.edu.au/scholarships/id/1593", "Tyree Nuclear Masters by Coursework Scholarship")</f>
        <v>Tyree Nuclear Masters by Coursework Scholarship</v>
      </c>
      <c r="C429" t="s">
        <v>27</v>
      </c>
      <c r="D429" t="s">
        <v>204</v>
      </c>
      <c r="E429" t="s">
        <v>41</v>
      </c>
      <c r="F429" t="s">
        <v>51</v>
      </c>
      <c r="G429" s="12" t="s">
        <v>640</v>
      </c>
      <c r="H429" t="s">
        <v>25</v>
      </c>
      <c r="I429" t="s">
        <v>25</v>
      </c>
    </row>
    <row r="430" spans="1:9" ht="45" x14ac:dyDescent="0.25">
      <c r="A430" s="13" t="s">
        <v>10</v>
      </c>
      <c r="B430" t="str">
        <f>HYPERLINK("https://www.scholarships.unsw.edu.au/scholarships/id/1102", "Elias Duek-Cohen Urban Design Award")</f>
        <v>Elias Duek-Cohen Urban Design Award</v>
      </c>
      <c r="C430" t="s">
        <v>27</v>
      </c>
      <c r="D430" t="s">
        <v>209</v>
      </c>
      <c r="E430" t="s">
        <v>201</v>
      </c>
      <c r="F430" t="s">
        <v>13</v>
      </c>
      <c r="G430" s="12" t="s">
        <v>641</v>
      </c>
      <c r="H430" t="s">
        <v>25</v>
      </c>
      <c r="I430" t="s">
        <v>25</v>
      </c>
    </row>
    <row r="431" spans="1:9" ht="409.5" x14ac:dyDescent="0.25">
      <c r="A431" s="13" t="s">
        <v>10</v>
      </c>
      <c r="B431" t="str">
        <f>HYPERLINK("https://www.scholarships.unsw.edu.au/scholarships/id/1797", "RODE Microphones")</f>
        <v>RODE Microphones</v>
      </c>
      <c r="C431" t="s">
        <v>27</v>
      </c>
      <c r="D431" t="s">
        <v>202</v>
      </c>
      <c r="E431" t="s">
        <v>205</v>
      </c>
      <c r="F431" t="s">
        <v>197</v>
      </c>
      <c r="G431" s="12" t="s">
        <v>533</v>
      </c>
      <c r="H431" t="s">
        <v>25</v>
      </c>
      <c r="I431" t="s">
        <v>25</v>
      </c>
    </row>
    <row r="432" spans="1:9" ht="45" x14ac:dyDescent="0.25">
      <c r="A432" s="13" t="s">
        <v>10</v>
      </c>
      <c r="B432" t="str">
        <f>HYPERLINK("https://www.scholarships.unsw.edu.au/scholarships/id/112", "John Niland Scholarship")</f>
        <v>John Niland Scholarship</v>
      </c>
      <c r="C432" t="s">
        <v>27</v>
      </c>
      <c r="D432" t="s">
        <v>528</v>
      </c>
      <c r="E432" t="s">
        <v>201</v>
      </c>
      <c r="F432" t="s">
        <v>13</v>
      </c>
      <c r="G432" s="12" t="s">
        <v>642</v>
      </c>
      <c r="H432" t="s">
        <v>25</v>
      </c>
      <c r="I432" t="s">
        <v>25</v>
      </c>
    </row>
    <row r="433" spans="1:9" ht="60" x14ac:dyDescent="0.25">
      <c r="A433" s="13" t="s">
        <v>10</v>
      </c>
      <c r="B433" t="str">
        <f>HYPERLINK("https://www.scholarships.unsw.edu.au/scholarships/id/1813", "2025 General Merit Undergraduate Scholarships for Commencing Students")</f>
        <v>2025 General Merit Undergraduate Scholarships for Commencing Students</v>
      </c>
      <c r="C433" t="s">
        <v>27</v>
      </c>
      <c r="D433" t="s">
        <v>209</v>
      </c>
      <c r="E433" t="s">
        <v>41</v>
      </c>
      <c r="F433" t="s">
        <v>13</v>
      </c>
      <c r="G433" s="12" t="s">
        <v>643</v>
      </c>
      <c r="H433" t="s">
        <v>25</v>
      </c>
      <c r="I433" t="s">
        <v>25</v>
      </c>
    </row>
    <row r="434" spans="1:9" ht="345" x14ac:dyDescent="0.25">
      <c r="A434" s="13" t="s">
        <v>10</v>
      </c>
      <c r="B434" t="str">
        <f>HYPERLINK("https://www.scholarships.unsw.edu.au/scholarships/id/1633", "School of Chemical Engineering High Achiever Award")</f>
        <v>School of Chemical Engineering High Achiever Award</v>
      </c>
      <c r="C434" t="s">
        <v>27</v>
      </c>
      <c r="D434" t="s">
        <v>209</v>
      </c>
      <c r="E434" t="s">
        <v>201</v>
      </c>
      <c r="F434" t="s">
        <v>13</v>
      </c>
      <c r="G434" s="12" t="s">
        <v>644</v>
      </c>
      <c r="H434" t="s">
        <v>25</v>
      </c>
      <c r="I434" t="s">
        <v>25</v>
      </c>
    </row>
    <row r="435" spans="1:9" ht="60" x14ac:dyDescent="0.25">
      <c r="A435" s="13" t="s">
        <v>10</v>
      </c>
      <c r="B435" t="str">
        <f>HYPERLINK("https://www.scholarships.unsw.edu.au/scholarships/id/1635", "School of Computer Science &amp; Engineering Scholarships for Students Commencing Term 1, 2025")</f>
        <v>School of Computer Science &amp; Engineering Scholarships for Students Commencing Term 1, 2025</v>
      </c>
      <c r="C435" t="s">
        <v>27</v>
      </c>
      <c r="D435" t="s">
        <v>209</v>
      </c>
      <c r="E435" t="s">
        <v>201</v>
      </c>
      <c r="F435" t="s">
        <v>197</v>
      </c>
      <c r="G435" s="12" t="s">
        <v>515</v>
      </c>
      <c r="H435" t="s">
        <v>25</v>
      </c>
      <c r="I435" t="s">
        <v>25</v>
      </c>
    </row>
    <row r="436" spans="1:9" ht="60" x14ac:dyDescent="0.25">
      <c r="A436" s="13" t="s">
        <v>10</v>
      </c>
      <c r="B436" t="str">
        <f>HYPERLINK("https://www.scholarships.unsw.edu.au/scholarships/id/1816", "UNSW Engineering Rural Scholarships Program for Students Commencing Term 1, 2025")</f>
        <v>UNSW Engineering Rural Scholarships Program for Students Commencing Term 1, 2025</v>
      </c>
      <c r="C436" t="s">
        <v>27</v>
      </c>
      <c r="D436" t="s">
        <v>295</v>
      </c>
      <c r="E436" t="s">
        <v>41</v>
      </c>
      <c r="F436" t="s">
        <v>197</v>
      </c>
      <c r="G436" s="12" t="s">
        <v>515</v>
      </c>
      <c r="H436" t="s">
        <v>25</v>
      </c>
      <c r="I436" t="s">
        <v>25</v>
      </c>
    </row>
    <row r="437" spans="1:9" ht="30" x14ac:dyDescent="0.25">
      <c r="A437" s="13" t="s">
        <v>10</v>
      </c>
      <c r="B437" t="str">
        <f>HYPERLINK("https://www.scholarships.unsw.edu.au/scholarships/id/1818", "UNSW Minerals and Energy Resources Engineering Scholarships for Students Commencing Term 1, 2025")</f>
        <v>UNSW Minerals and Energy Resources Engineering Scholarships for Students Commencing Term 1, 2025</v>
      </c>
      <c r="C437" t="s">
        <v>27</v>
      </c>
      <c r="D437" t="s">
        <v>295</v>
      </c>
      <c r="E437" t="s">
        <v>41</v>
      </c>
      <c r="F437" t="s">
        <v>13</v>
      </c>
      <c r="G437" s="12" t="s">
        <v>645</v>
      </c>
      <c r="H437" t="s">
        <v>25</v>
      </c>
      <c r="I437" t="s">
        <v>25</v>
      </c>
    </row>
    <row r="438" spans="1:9" ht="60" x14ac:dyDescent="0.25">
      <c r="A438" s="13" t="s">
        <v>10</v>
      </c>
      <c r="B438" t="str">
        <f>HYPERLINK("https://www.scholarships.unsw.edu.au/scholarships/id/1814", "UNSW Women in Engineering Scholarship Program for Students Commencing Term 1, 2025")</f>
        <v>UNSW Women in Engineering Scholarship Program for Students Commencing Term 1, 2025</v>
      </c>
      <c r="C438" t="s">
        <v>27</v>
      </c>
      <c r="D438" t="s">
        <v>528</v>
      </c>
      <c r="E438" t="s">
        <v>41</v>
      </c>
      <c r="F438" t="s">
        <v>197</v>
      </c>
      <c r="G438" s="12" t="s">
        <v>515</v>
      </c>
      <c r="H438" t="s">
        <v>25</v>
      </c>
      <c r="I438" t="s">
        <v>25</v>
      </c>
    </row>
    <row r="439" spans="1:9" x14ac:dyDescent="0.25">
      <c r="A439" s="13" t="s">
        <v>10</v>
      </c>
      <c r="B439" t="str">
        <f>HYPERLINK("https://www.scholarships.unsw.edu.au/scholarships/id/1735", "Gail Kelly Young Women Leaders Scholarship")</f>
        <v>Gail Kelly Young Women Leaders Scholarship</v>
      </c>
      <c r="C439" t="s">
        <v>27</v>
      </c>
      <c r="D439" t="s">
        <v>202</v>
      </c>
      <c r="E439" t="s">
        <v>331</v>
      </c>
      <c r="F439" t="s">
        <v>13</v>
      </c>
      <c r="G439" s="12" t="s">
        <v>646</v>
      </c>
      <c r="H439" t="s">
        <v>25</v>
      </c>
      <c r="I439" t="s">
        <v>25</v>
      </c>
    </row>
    <row r="440" spans="1:9" ht="75" x14ac:dyDescent="0.25">
      <c r="A440" s="13" t="s">
        <v>10</v>
      </c>
      <c r="B440" t="str">
        <f>HYPERLINK("https://www.scholarships.unsw.edu.au/scholarships/id/1490", "Mike Cannon-Brookes Endowed Scholarship")</f>
        <v>Mike Cannon-Brookes Endowed Scholarship</v>
      </c>
      <c r="C440" t="s">
        <v>27</v>
      </c>
      <c r="D440" t="s">
        <v>202</v>
      </c>
      <c r="E440" t="s">
        <v>41</v>
      </c>
      <c r="F440" t="s">
        <v>13</v>
      </c>
      <c r="G440" s="12" t="s">
        <v>647</v>
      </c>
      <c r="H440" t="s">
        <v>25</v>
      </c>
      <c r="I440" t="s">
        <v>25</v>
      </c>
    </row>
    <row r="441" spans="1:9" ht="60" x14ac:dyDescent="0.25">
      <c r="A441" s="13" t="s">
        <v>10</v>
      </c>
      <c r="B441" t="str">
        <f>HYPERLINK("https://www.scholarships.unsw.edu.au/scholarships/id/1806", "UNSW Business School Merit Scholarships Program for Students Commencing Term 1, 2025")</f>
        <v>UNSW Business School Merit Scholarships Program for Students Commencing Term 1, 2025</v>
      </c>
      <c r="C441" t="s">
        <v>27</v>
      </c>
      <c r="D441" t="s">
        <v>304</v>
      </c>
      <c r="E441" t="s">
        <v>41</v>
      </c>
      <c r="F441" t="s">
        <v>197</v>
      </c>
      <c r="G441" s="12" t="s">
        <v>515</v>
      </c>
      <c r="H441" t="s">
        <v>25</v>
      </c>
      <c r="I441" t="s">
        <v>25</v>
      </c>
    </row>
    <row r="442" spans="1:9" ht="75" x14ac:dyDescent="0.25">
      <c r="A442" s="13" t="s">
        <v>10</v>
      </c>
      <c r="B442" t="str">
        <f>HYPERLINK("https://www.scholarships.unsw.edu.au/scholarships/id/898", "Ian Somervaille Scholarship")</f>
        <v>Ian Somervaille Scholarship</v>
      </c>
      <c r="C442" t="s">
        <v>27</v>
      </c>
      <c r="D442" t="s">
        <v>209</v>
      </c>
      <c r="E442" t="s">
        <v>41</v>
      </c>
      <c r="F442" t="s">
        <v>13</v>
      </c>
      <c r="G442" s="12" t="s">
        <v>648</v>
      </c>
      <c r="H442" t="s">
        <v>25</v>
      </c>
      <c r="I442" t="s">
        <v>25</v>
      </c>
    </row>
    <row r="443" spans="1:9" ht="60" x14ac:dyDescent="0.25">
      <c r="A443" s="13" t="s">
        <v>10</v>
      </c>
      <c r="B443" t="str">
        <f>HYPERLINK("https://www.scholarships.unsw.edu.au/scholarships/id/1810", "UNSW Arts, Design &amp; Architecture Undergraduate Scholarships for Students Commencing Term 1, 2025")</f>
        <v>UNSW Arts, Design &amp; Architecture Undergraduate Scholarships for Students Commencing Term 1, 2025</v>
      </c>
      <c r="C443" t="s">
        <v>27</v>
      </c>
      <c r="D443" t="s">
        <v>209</v>
      </c>
      <c r="E443" t="s">
        <v>201</v>
      </c>
      <c r="F443" t="s">
        <v>197</v>
      </c>
      <c r="G443" s="12" t="s">
        <v>515</v>
      </c>
      <c r="H443" t="s">
        <v>25</v>
      </c>
      <c r="I443" t="s">
        <v>25</v>
      </c>
    </row>
    <row r="444" spans="1:9" ht="45" x14ac:dyDescent="0.25">
      <c r="A444" s="13" t="s">
        <v>10</v>
      </c>
      <c r="B444" t="str">
        <f>HYPERLINK("https://www.scholarships.unsw.edu.au/scholarships/id/1664", "UNSW Law &amp; Justice Undergraduate Criminology and Criminal Justice Excellence Award")</f>
        <v>UNSW Law &amp; Justice Undergraduate Criminology and Criminal Justice Excellence Award</v>
      </c>
      <c r="C444" t="s">
        <v>27</v>
      </c>
      <c r="D444" t="s">
        <v>209</v>
      </c>
      <c r="E444" t="s">
        <v>201</v>
      </c>
      <c r="F444" t="s">
        <v>13</v>
      </c>
      <c r="G444" s="12" t="s">
        <v>649</v>
      </c>
      <c r="H444" t="s">
        <v>25</v>
      </c>
      <c r="I444" t="s">
        <v>25</v>
      </c>
    </row>
    <row r="445" spans="1:9" ht="60" x14ac:dyDescent="0.25">
      <c r="A445" s="13" t="s">
        <v>10</v>
      </c>
      <c r="B445"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45" t="s">
        <v>27</v>
      </c>
      <c r="D445" t="s">
        <v>209</v>
      </c>
      <c r="E445" t="s">
        <v>41</v>
      </c>
      <c r="F445" t="s">
        <v>197</v>
      </c>
      <c r="G445" s="12" t="s">
        <v>515</v>
      </c>
      <c r="H445" t="s">
        <v>25</v>
      </c>
      <c r="I445" t="s">
        <v>25</v>
      </c>
    </row>
    <row r="446" spans="1:9" ht="60" x14ac:dyDescent="0.25">
      <c r="A446" s="13" t="s">
        <v>10</v>
      </c>
      <c r="B446" t="str">
        <f>HYPERLINK("https://www.scholarships.unsw.edu.au/scholarships/id/1812", "UNSW Science Undergraduate Scholarships for Students Commencing Term 1, 2025")</f>
        <v>UNSW Science Undergraduate Scholarships for Students Commencing Term 1, 2025</v>
      </c>
      <c r="C446" t="s">
        <v>27</v>
      </c>
      <c r="D446" t="s">
        <v>209</v>
      </c>
      <c r="E446" t="s">
        <v>41</v>
      </c>
      <c r="F446" t="s">
        <v>197</v>
      </c>
      <c r="G446" s="12" t="s">
        <v>515</v>
      </c>
      <c r="H446" t="s">
        <v>25</v>
      </c>
      <c r="I446" t="s">
        <v>25</v>
      </c>
    </row>
    <row r="447" spans="1:9" ht="135" x14ac:dyDescent="0.25">
      <c r="A447" s="13" t="s">
        <v>10</v>
      </c>
      <c r="B447" t="str">
        <f>HYPERLINK("https://www.scholarships.unsw.edu.au/scholarships/id/1840", "Yiu-Cheung Medical Gateway Scholarship")</f>
        <v>Yiu-Cheung Medical Gateway Scholarship</v>
      </c>
      <c r="C447" t="s">
        <v>27</v>
      </c>
      <c r="D447" t="s">
        <v>202</v>
      </c>
      <c r="E447" t="s">
        <v>41</v>
      </c>
      <c r="F447" t="s">
        <v>13</v>
      </c>
      <c r="G447" s="12" t="s">
        <v>650</v>
      </c>
      <c r="H447" t="s">
        <v>25</v>
      </c>
      <c r="I447" t="s">
        <v>25</v>
      </c>
    </row>
    <row r="448" spans="1:9" ht="375" x14ac:dyDescent="0.25">
      <c r="A448" s="13" t="s">
        <v>10</v>
      </c>
      <c r="B448" t="str">
        <f>HYPERLINK("https://www.scholarships.unsw.edu.au/scholarships/id/1809", "UNSW Community Plus Scholarship")</f>
        <v>UNSW Community Plus Scholarship</v>
      </c>
      <c r="C448" t="s">
        <v>14</v>
      </c>
      <c r="D448" t="s">
        <v>300</v>
      </c>
      <c r="E448" t="s">
        <v>41</v>
      </c>
      <c r="F448" t="s">
        <v>13</v>
      </c>
      <c r="G448" s="12" t="s">
        <v>534</v>
      </c>
      <c r="H448" t="s">
        <v>25</v>
      </c>
      <c r="I448" t="s">
        <v>25</v>
      </c>
    </row>
    <row r="449" spans="1:9" ht="150" x14ac:dyDescent="0.25">
      <c r="A449" s="13" t="s">
        <v>10</v>
      </c>
      <c r="B449" t="str">
        <f>HYPERLINK("https://www.scholarships.unsw.edu.au/scholarships/id/1841", "ARC Centre of Excellence for Weather of the 21st Century Honours Research Award")</f>
        <v>ARC Centre of Excellence for Weather of the 21st Century Honours Research Award</v>
      </c>
      <c r="C449" t="s">
        <v>27</v>
      </c>
      <c r="D449" t="s">
        <v>213</v>
      </c>
      <c r="E449" t="s">
        <v>201</v>
      </c>
      <c r="F449" t="s">
        <v>137</v>
      </c>
      <c r="G449" s="12" t="s">
        <v>535</v>
      </c>
      <c r="H449" t="s">
        <v>25</v>
      </c>
      <c r="I449" t="s">
        <v>25</v>
      </c>
    </row>
    <row r="450" spans="1:9" ht="60" x14ac:dyDescent="0.25">
      <c r="A450" s="13" t="s">
        <v>10</v>
      </c>
      <c r="B450" t="str">
        <f>HYPERLINK("https://www.scholarships.unsw.edu.au/scholarships/id/1845", "Faculty of Science Honours Scholarships - Term 1, 2025")</f>
        <v>Faculty of Science Honours Scholarships - Term 1, 2025</v>
      </c>
      <c r="C450" t="s">
        <v>27</v>
      </c>
      <c r="D450" t="s">
        <v>209</v>
      </c>
      <c r="E450" t="s">
        <v>201</v>
      </c>
      <c r="F450" t="s">
        <v>197</v>
      </c>
      <c r="G450" s="12" t="s">
        <v>515</v>
      </c>
      <c r="H450" t="s">
        <v>25</v>
      </c>
      <c r="I450" t="s">
        <v>25</v>
      </c>
    </row>
    <row r="451" spans="1:9" ht="45" x14ac:dyDescent="0.25">
      <c r="A451" s="13" t="s">
        <v>10</v>
      </c>
      <c r="B451" t="str">
        <f>HYPERLINK("https://www.scholarships.unsw.edu.au/scholarships/id/142", "Lee Whitmont Scholarship")</f>
        <v>Lee Whitmont Scholarship</v>
      </c>
      <c r="C451" t="s">
        <v>27</v>
      </c>
      <c r="D451" t="s">
        <v>209</v>
      </c>
      <c r="E451" t="s">
        <v>201</v>
      </c>
      <c r="F451" t="s">
        <v>13</v>
      </c>
      <c r="G451" s="12" t="s">
        <v>651</v>
      </c>
      <c r="H451" t="s">
        <v>25</v>
      </c>
      <c r="I451" t="s">
        <v>25</v>
      </c>
    </row>
    <row r="452" spans="1:9" ht="60" x14ac:dyDescent="0.25">
      <c r="A452" s="13" t="s">
        <v>10</v>
      </c>
      <c r="B452" t="str">
        <f>HYPERLINK("https://www.scholarships.unsw.edu.au/scholarships/id/1844", "Retinal Research Group Honours Award for Innovation")</f>
        <v>Retinal Research Group Honours Award for Innovation</v>
      </c>
      <c r="C452" t="s">
        <v>27</v>
      </c>
      <c r="D452" t="s">
        <v>209</v>
      </c>
      <c r="E452" t="s">
        <v>201</v>
      </c>
      <c r="F452" t="s">
        <v>137</v>
      </c>
      <c r="G452" s="12" t="s">
        <v>652</v>
      </c>
      <c r="H452" t="s">
        <v>25</v>
      </c>
      <c r="I452" t="s">
        <v>25</v>
      </c>
    </row>
    <row r="453" spans="1:9" ht="255" x14ac:dyDescent="0.25">
      <c r="A453" s="13" t="s">
        <v>10</v>
      </c>
      <c r="B453" t="str">
        <f>HYPERLINK("https://www.scholarships.unsw.edu.au/scholarships/id/1484", "Samar Memorial Honours Award")</f>
        <v>Samar Memorial Honours Award</v>
      </c>
      <c r="C453" t="s">
        <v>27</v>
      </c>
      <c r="D453" t="s">
        <v>209</v>
      </c>
      <c r="E453" t="s">
        <v>201</v>
      </c>
      <c r="F453" t="s">
        <v>137</v>
      </c>
      <c r="G453" s="12" t="s">
        <v>536</v>
      </c>
      <c r="H453" t="s">
        <v>25</v>
      </c>
      <c r="I453" t="s">
        <v>25</v>
      </c>
    </row>
    <row r="454" spans="1:9" ht="60" x14ac:dyDescent="0.25">
      <c r="A454" s="13" t="s">
        <v>10</v>
      </c>
      <c r="B454" t="str">
        <f>HYPERLINK("https://www.scholarships.unsw.edu.au/scholarships/id/1838", "Synergy Protection Agency Award")</f>
        <v>Synergy Protection Agency Award</v>
      </c>
      <c r="C454" t="s">
        <v>27</v>
      </c>
      <c r="D454" t="s">
        <v>209</v>
      </c>
      <c r="E454" t="s">
        <v>201</v>
      </c>
      <c r="F454" t="s">
        <v>51</v>
      </c>
      <c r="G454" s="12" t="s">
        <v>653</v>
      </c>
      <c r="H454" t="s">
        <v>25</v>
      </c>
      <c r="I454" t="s">
        <v>25</v>
      </c>
    </row>
    <row r="455" spans="1:9" ht="60" x14ac:dyDescent="0.25">
      <c r="A455" s="13" t="s">
        <v>10</v>
      </c>
      <c r="B455" t="str">
        <f>HYPERLINK("https://www.scholarships.unsw.edu.au/scholarships/id/1843", "UNSW Arts, Design &amp; Architecture Honours Scholarships - Commencing Term 1, 2025")</f>
        <v>UNSW Arts, Design &amp; Architecture Honours Scholarships - Commencing Term 1, 2025</v>
      </c>
      <c r="C455" t="s">
        <v>27</v>
      </c>
      <c r="D455" t="s">
        <v>209</v>
      </c>
      <c r="E455" t="s">
        <v>201</v>
      </c>
      <c r="F455" t="s">
        <v>197</v>
      </c>
      <c r="G455" s="12" t="s">
        <v>515</v>
      </c>
      <c r="H455" t="s">
        <v>25</v>
      </c>
      <c r="I455" t="s">
        <v>25</v>
      </c>
    </row>
    <row r="456" spans="1:9" ht="60" x14ac:dyDescent="0.25">
      <c r="A456" s="13" t="s">
        <v>10</v>
      </c>
      <c r="B456" t="str">
        <f>HYPERLINK("https://www.scholarships.unsw.edu.au/scholarships/id/1668", "UNSW Business School Honours Scholarships")</f>
        <v>UNSW Business School Honours Scholarships</v>
      </c>
      <c r="C456" t="s">
        <v>27</v>
      </c>
      <c r="D456" t="s">
        <v>209</v>
      </c>
      <c r="E456" t="s">
        <v>201</v>
      </c>
      <c r="F456" t="s">
        <v>197</v>
      </c>
      <c r="G456" s="12" t="s">
        <v>515</v>
      </c>
      <c r="H456" t="s">
        <v>25</v>
      </c>
      <c r="I456" t="s">
        <v>25</v>
      </c>
    </row>
    <row r="457" spans="1:9" ht="195" x14ac:dyDescent="0.25">
      <c r="A457" s="13" t="s">
        <v>10</v>
      </c>
      <c r="B457" t="str">
        <f>HYPERLINK("https://www.scholarships.unsw.edu.au/scholarships/id/1741", "Women in Construction Honours &amp; Postgraduate Award")</f>
        <v>Women in Construction Honours &amp; Postgraduate Award</v>
      </c>
      <c r="C457" t="s">
        <v>27</v>
      </c>
      <c r="D457" t="s">
        <v>209</v>
      </c>
      <c r="E457" t="s">
        <v>201</v>
      </c>
      <c r="F457" t="s">
        <v>35</v>
      </c>
      <c r="G457" s="12" t="s">
        <v>654</v>
      </c>
      <c r="H457" t="s">
        <v>25</v>
      </c>
      <c r="I457" t="s">
        <v>25</v>
      </c>
    </row>
    <row r="458" spans="1:9" ht="60" x14ac:dyDescent="0.25">
      <c r="A458" s="13" t="s">
        <v>10</v>
      </c>
      <c r="B458" t="str">
        <f>HYPERLINK("https://www.scholarships.unsw.edu.au/scholarships/id/1526", "Phillip Goldwyn Matraville High School Scholarship")</f>
        <v>Phillip Goldwyn Matraville High School Scholarship</v>
      </c>
      <c r="C458" t="s">
        <v>27</v>
      </c>
      <c r="D458" t="s">
        <v>209</v>
      </c>
      <c r="E458" t="s">
        <v>285</v>
      </c>
      <c r="F458" t="s">
        <v>197</v>
      </c>
      <c r="G458" s="12" t="s">
        <v>515</v>
      </c>
      <c r="H458" t="s">
        <v>25</v>
      </c>
      <c r="I458" t="s">
        <v>25</v>
      </c>
    </row>
    <row r="459" spans="1:9" ht="75" x14ac:dyDescent="0.25">
      <c r="A459" s="4" t="s">
        <v>8</v>
      </c>
      <c r="B459" s="8" t="str">
        <f>HYPERLINK(" https://www.uts.edu.au/scholarship/wanago-access-scholarship-young-women", "The Wanago Access Scholarship for Young Women")</f>
        <v>The Wanago Access Scholarship for Young Women</v>
      </c>
      <c r="C459" s="7" t="s">
        <v>14</v>
      </c>
      <c r="D459" s="9">
        <v>10000</v>
      </c>
      <c r="E459" s="7">
        <v>5</v>
      </c>
      <c r="F459" s="7" t="s">
        <v>13</v>
      </c>
      <c r="G459" s="10" t="s">
        <v>57</v>
      </c>
      <c r="H459" t="s">
        <v>25</v>
      </c>
      <c r="I459" s="7" t="s">
        <v>25</v>
      </c>
    </row>
    <row r="460" spans="1:9" ht="30" x14ac:dyDescent="0.25">
      <c r="A460" s="4" t="s">
        <v>8</v>
      </c>
      <c r="B460" s="8" t="str">
        <f>HYPERLINK(" https://www.uts.edu.au/scholarship/business-deans-scholarship", "Business Dean's Scholarship")</f>
        <v>Business Dean's Scholarship</v>
      </c>
      <c r="C460" s="7" t="s">
        <v>27</v>
      </c>
      <c r="D460" s="9">
        <v>10000</v>
      </c>
      <c r="E460" s="7">
        <v>3</v>
      </c>
      <c r="F460" s="7" t="s">
        <v>13</v>
      </c>
      <c r="G460" s="10" t="s">
        <v>30</v>
      </c>
      <c r="H460" t="s">
        <v>25</v>
      </c>
      <c r="I460" s="7" t="s">
        <v>25</v>
      </c>
    </row>
    <row r="461" spans="1:9" ht="30" x14ac:dyDescent="0.25">
      <c r="A461" s="4" t="s">
        <v>8</v>
      </c>
      <c r="B461" s="8" t="str">
        <f>HYPERLINK("https://www.uts.edu.au/scholarship/faculty-arts-and-social-sciences-undergraduate-student-merit-scholarship", "Faculty of Arts and Social Sciences Undergraduate Student Merit Scholarship")</f>
        <v>Faculty of Arts and Social Sciences Undergraduate Student Merit Scholarship</v>
      </c>
      <c r="C461" s="7" t="s">
        <v>14</v>
      </c>
      <c r="D461" s="9">
        <v>5000</v>
      </c>
      <c r="E461" s="7">
        <v>1</v>
      </c>
      <c r="F461" s="7" t="s">
        <v>13</v>
      </c>
      <c r="G461" s="10" t="s">
        <v>58</v>
      </c>
      <c r="H461" t="s">
        <v>21</v>
      </c>
      <c r="I461" s="7" t="s">
        <v>25</v>
      </c>
    </row>
    <row r="462" spans="1:9" ht="75" x14ac:dyDescent="0.25">
      <c r="A462" s="4" t="s">
        <v>8</v>
      </c>
      <c r="B462" s="8" t="str">
        <f>HYPERLINK(" https://www.uts.edu.au/scholarship/hansen-yuncken-scholarship-women-construction-and-engineering", "Hansen Yuncken Scholarship for Women in Construction and Engineering")</f>
        <v>Hansen Yuncken Scholarship for Women in Construction and Engineering</v>
      </c>
      <c r="C462" s="7" t="s">
        <v>27</v>
      </c>
      <c r="D462" s="7" t="s">
        <v>59</v>
      </c>
      <c r="E462" s="7">
        <v>1</v>
      </c>
      <c r="F462" s="7" t="s">
        <v>13</v>
      </c>
      <c r="G462" s="10" t="s">
        <v>60</v>
      </c>
      <c r="H462" t="s">
        <v>25</v>
      </c>
      <c r="I462" s="7" t="s">
        <v>16</v>
      </c>
    </row>
    <row r="463" spans="1:9" ht="60" x14ac:dyDescent="0.25">
      <c r="A463" s="4" t="s">
        <v>8</v>
      </c>
      <c r="B463" s="8" t="str">
        <f>HYPERLINK(" https://www.uts.edu.au/scholarship/essence-project-management-scholarship", "Essence Project Management Scholarship")</f>
        <v>Essence Project Management Scholarship</v>
      </c>
      <c r="C463" s="7" t="s">
        <v>27</v>
      </c>
      <c r="D463" s="9">
        <v>10000</v>
      </c>
      <c r="E463" s="7">
        <v>1</v>
      </c>
      <c r="F463" s="7" t="s">
        <v>13</v>
      </c>
      <c r="G463" s="10" t="s">
        <v>61</v>
      </c>
      <c r="H463" t="s">
        <v>25</v>
      </c>
      <c r="I463" t="s">
        <v>16</v>
      </c>
    </row>
    <row r="464" spans="1:9" ht="30" x14ac:dyDescent="0.25">
      <c r="A464" s="4" t="s">
        <v>8</v>
      </c>
      <c r="B464" s="8" t="str">
        <f>HYPERLINK(" https://www.uts.edu.au/scholarship/carl-nielsen-professional-development-scholarship", "Carl Nielsen Professional Development Scholarship")</f>
        <v>Carl Nielsen Professional Development Scholarship</v>
      </c>
      <c r="C464" s="7" t="s">
        <v>27</v>
      </c>
      <c r="D464" s="9">
        <v>5000</v>
      </c>
      <c r="E464" s="7">
        <v>1</v>
      </c>
      <c r="F464" s="7" t="s">
        <v>13</v>
      </c>
      <c r="G464" s="10" t="s">
        <v>62</v>
      </c>
      <c r="H464" t="s">
        <v>25</v>
      </c>
      <c r="I464" t="s">
        <v>25</v>
      </c>
    </row>
    <row r="465" spans="1:9" ht="30" x14ac:dyDescent="0.25">
      <c r="A465" s="4" t="s">
        <v>8</v>
      </c>
      <c r="B465" s="8" t="str">
        <f>HYPERLINK(" https://www.uts.edu.au/scholarship/garth-barnett-scholarship", "Garth Barnett Scholarship")</f>
        <v>Garth Barnett Scholarship</v>
      </c>
      <c r="C465" s="7" t="s">
        <v>27</v>
      </c>
      <c r="D465" s="9">
        <v>9000</v>
      </c>
      <c r="E465" s="7">
        <v>2</v>
      </c>
      <c r="F465" s="7" t="s">
        <v>13</v>
      </c>
      <c r="G465" s="10" t="s">
        <v>62</v>
      </c>
      <c r="H465" t="s">
        <v>25</v>
      </c>
      <c r="I465" t="s">
        <v>25</v>
      </c>
    </row>
    <row r="466" spans="1:9" ht="60" x14ac:dyDescent="0.25">
      <c r="A466" s="4" t="s">
        <v>8</v>
      </c>
      <c r="B466" s="8" t="str">
        <f>HYPERLINK("https://www.uts.edu.au/scholarship/richard-crookes-constructions-merit-scholarship-women", "Richard Crookes Constructions Merit Scholarship for Women")</f>
        <v>Richard Crookes Constructions Merit Scholarship for Women</v>
      </c>
      <c r="C466" s="7" t="s">
        <v>27</v>
      </c>
      <c r="D466" s="9">
        <v>5000</v>
      </c>
      <c r="E466" s="7">
        <v>2</v>
      </c>
      <c r="F466" s="7" t="s">
        <v>13</v>
      </c>
      <c r="G466" s="10" t="s">
        <v>63</v>
      </c>
      <c r="H466" t="s">
        <v>25</v>
      </c>
      <c r="I466" t="s">
        <v>16</v>
      </c>
    </row>
    <row r="467" spans="1:9" ht="45" x14ac:dyDescent="0.25">
      <c r="A467" s="4" t="s">
        <v>8</v>
      </c>
      <c r="B467" s="8" t="str">
        <f>HYPERLINK(" https://www.uts.edu.au/scholarship/charter-hall-property-economics-scholarship", "Charter Hall Property Economics Scholarship")</f>
        <v>Charter Hall Property Economics Scholarship</v>
      </c>
      <c r="C467" s="7" t="s">
        <v>27</v>
      </c>
      <c r="D467" s="9">
        <v>10000</v>
      </c>
      <c r="E467" s="7">
        <v>1</v>
      </c>
      <c r="F467" s="7" t="s">
        <v>13</v>
      </c>
      <c r="G467" s="10" t="s">
        <v>64</v>
      </c>
      <c r="H467" t="s">
        <v>21</v>
      </c>
      <c r="I467" t="s">
        <v>16</v>
      </c>
    </row>
    <row r="468" spans="1:9" ht="60" x14ac:dyDescent="0.25">
      <c r="A468" s="4" t="s">
        <v>8</v>
      </c>
      <c r="B468" s="8" t="str">
        <f>HYPERLINK(" https://www.uts.edu.au/scholarship/cox-architecture-scholarship", "Cox Architecture Scholarship")</f>
        <v>Cox Architecture Scholarship</v>
      </c>
      <c r="C468" s="7" t="s">
        <v>27</v>
      </c>
      <c r="D468" s="9">
        <v>10000</v>
      </c>
      <c r="E468" s="7">
        <v>1</v>
      </c>
      <c r="F468" s="7" t="s">
        <v>13</v>
      </c>
      <c r="G468" s="10" t="s">
        <v>65</v>
      </c>
      <c r="H468" t="s">
        <v>25</v>
      </c>
      <c r="I468" t="s">
        <v>16</v>
      </c>
    </row>
    <row r="469" spans="1:9" ht="75" x14ac:dyDescent="0.25">
      <c r="A469" s="4" t="s">
        <v>8</v>
      </c>
      <c r="B469" s="8" t="str">
        <f>HYPERLINK(" https://www.uts.edu.au/scholarship/mirvac-group-merit-scholarship-women-construction", "Mirvac Group Merit Scholarship for Women in Construction")</f>
        <v>Mirvac Group Merit Scholarship for Women in Construction</v>
      </c>
      <c r="C469" s="7" t="s">
        <v>27</v>
      </c>
      <c r="D469" s="9">
        <v>15000</v>
      </c>
      <c r="E469" s="7">
        <v>1</v>
      </c>
      <c r="F469" s="7" t="s">
        <v>13</v>
      </c>
      <c r="G469" s="10" t="s">
        <v>66</v>
      </c>
      <c r="H469" t="s">
        <v>25</v>
      </c>
      <c r="I469" t="s">
        <v>16</v>
      </c>
    </row>
    <row r="470" spans="1:9" ht="45" x14ac:dyDescent="0.25">
      <c r="A470" s="4" t="s">
        <v>8</v>
      </c>
      <c r="B470" s="8" t="str">
        <f>HYPERLINK("https://www.uts.edu.au/scholarship/order-australia-association-foundation-scholarship", "The Order of Australia Association Foundation Scholarship")</f>
        <v>The Order of Australia Association Foundation Scholarship</v>
      </c>
      <c r="C470" s="7" t="s">
        <v>27</v>
      </c>
      <c r="D470" s="9">
        <v>40000</v>
      </c>
      <c r="E470" s="7">
        <v>2</v>
      </c>
      <c r="F470" s="7" t="s">
        <v>13</v>
      </c>
      <c r="G470" s="10" t="s">
        <v>67</v>
      </c>
      <c r="H470" t="s">
        <v>25</v>
      </c>
      <c r="I470" t="s">
        <v>25</v>
      </c>
    </row>
    <row r="471" spans="1:9" ht="45" x14ac:dyDescent="0.25">
      <c r="A471" s="4" t="s">
        <v>8</v>
      </c>
      <c r="B471" s="8" t="str">
        <f>HYPERLINK("https://www.uts.edu.au/scholarship/toshiba-nathan-godby-engineering-scholarship", "Toshiba Nathan Godby Engineering Scholarship")</f>
        <v>Toshiba Nathan Godby Engineering Scholarship</v>
      </c>
      <c r="C471" s="7" t="s">
        <v>27</v>
      </c>
      <c r="D471" s="9">
        <v>25000</v>
      </c>
      <c r="E471" s="7">
        <v>0.5</v>
      </c>
      <c r="F471" s="7" t="s">
        <v>68</v>
      </c>
      <c r="G471" s="10" t="s">
        <v>69</v>
      </c>
      <c r="H471" t="s">
        <v>25</v>
      </c>
      <c r="I471" s="7" t="s">
        <v>16</v>
      </c>
    </row>
    <row r="472" spans="1:9" ht="60" x14ac:dyDescent="0.25">
      <c r="A472" s="4" t="s">
        <v>8</v>
      </c>
      <c r="B472" s="8" t="str">
        <f>HYPERLINK("https://www.uts.edu.au/scholarship/john-heine-memorial-scholarship-women-engineering", "John Heine Memorial Scholarship for Women in Engineering")</f>
        <v>John Heine Memorial Scholarship for Women in Engineering</v>
      </c>
      <c r="C472" s="7" t="s">
        <v>27</v>
      </c>
      <c r="D472" s="9">
        <v>23000</v>
      </c>
      <c r="E472" s="7">
        <v>5</v>
      </c>
      <c r="F472" s="7" t="s">
        <v>68</v>
      </c>
      <c r="G472" s="10" t="s">
        <v>70</v>
      </c>
      <c r="H472" t="s">
        <v>25</v>
      </c>
      <c r="I472" t="s">
        <v>25</v>
      </c>
    </row>
    <row r="473" spans="1:9" ht="60" x14ac:dyDescent="0.25">
      <c r="A473" s="4" t="s">
        <v>8</v>
      </c>
      <c r="B473" s="8" t="str">
        <f>HYPERLINK("https://www.uts.edu.au/scholarship/wj-lm-sinclair-scholarship-engineering", "WJ &amp; LM Sinclair Scholarship in Engineering")</f>
        <v>WJ &amp; LM Sinclair Scholarship in Engineering</v>
      </c>
      <c r="C473" s="7" t="s">
        <v>14</v>
      </c>
      <c r="D473" s="9">
        <v>20000</v>
      </c>
      <c r="E473" s="7">
        <v>5</v>
      </c>
      <c r="F473" s="7" t="s">
        <v>68</v>
      </c>
      <c r="G473" s="10" t="s">
        <v>71</v>
      </c>
      <c r="H473" t="s">
        <v>21</v>
      </c>
      <c r="I473" s="7" t="s">
        <v>25</v>
      </c>
    </row>
    <row r="474" spans="1:9" ht="45" x14ac:dyDescent="0.25">
      <c r="A474" s="4" t="s">
        <v>8</v>
      </c>
      <c r="B474" s="8" t="str">
        <f>HYPERLINK("https://www.uts.edu.au/scholarship/canon-medical-systems-uts-engineering-scholarship", "Canon Medical Systems – UTS Engineering Scholarship")</f>
        <v>Canon Medical Systems – UTS Engineering Scholarship</v>
      </c>
      <c r="C474" s="7" t="s">
        <v>27</v>
      </c>
      <c r="D474" s="9">
        <v>29000</v>
      </c>
      <c r="E474" s="7">
        <v>1</v>
      </c>
      <c r="F474" s="7" t="s">
        <v>68</v>
      </c>
      <c r="G474" s="10" t="s">
        <v>69</v>
      </c>
      <c r="H474" t="s">
        <v>25</v>
      </c>
      <c r="I474" s="7" t="s">
        <v>16</v>
      </c>
    </row>
    <row r="475" spans="1:9" ht="30" x14ac:dyDescent="0.25">
      <c r="A475" s="4" t="s">
        <v>8</v>
      </c>
      <c r="B475" s="8" t="str">
        <f>HYPERLINK("https://www.uts.edu.au/scholarship/eleanor-dunn-scholarship-engineering", "The Eleanor Dunn Scholarship in Engineering")</f>
        <v>The Eleanor Dunn Scholarship in Engineering</v>
      </c>
      <c r="C475" s="7" t="s">
        <v>14</v>
      </c>
      <c r="D475" s="7" t="s">
        <v>72</v>
      </c>
      <c r="E475" s="7">
        <v>5</v>
      </c>
      <c r="F475" s="7" t="s">
        <v>68</v>
      </c>
      <c r="G475" s="10" t="s">
        <v>73</v>
      </c>
      <c r="H475" t="s">
        <v>25</v>
      </c>
      <c r="I475" s="7" t="s">
        <v>25</v>
      </c>
    </row>
    <row r="476" spans="1:9" ht="60" x14ac:dyDescent="0.25">
      <c r="A476" s="4" t="s">
        <v>8</v>
      </c>
      <c r="B476" s="8" t="str">
        <f>HYPERLINK("https://www.uts.edu.au/scholarship/ericsson-scholarship-women-ict-and-engineering", "Ericsson Scholarship for Women in ICT and Engineering")</f>
        <v>Ericsson Scholarship for Women in ICT and Engineering</v>
      </c>
      <c r="C476" s="7" t="s">
        <v>27</v>
      </c>
      <c r="D476" s="7" t="s">
        <v>74</v>
      </c>
      <c r="E476" s="7" t="s">
        <v>75</v>
      </c>
      <c r="F476" s="7" t="s">
        <v>68</v>
      </c>
      <c r="G476" s="10" t="s">
        <v>76</v>
      </c>
      <c r="H476" t="s">
        <v>25</v>
      </c>
      <c r="I476" s="7" t="s">
        <v>16</v>
      </c>
    </row>
    <row r="477" spans="1:9" ht="45" x14ac:dyDescent="0.25">
      <c r="A477" s="4" t="s">
        <v>8</v>
      </c>
      <c r="B477" s="8" t="str">
        <f>HYPERLINK("https://www.uts.edu.au/scholarship/thales-senior-cooperative-scholarship", "The Thales Senior Cooperative Scholarship")</f>
        <v>The Thales Senior Cooperative Scholarship</v>
      </c>
      <c r="C477" s="7" t="s">
        <v>27</v>
      </c>
      <c r="D477" s="7" t="s">
        <v>77</v>
      </c>
      <c r="E477" s="7" t="s">
        <v>78</v>
      </c>
      <c r="F477" s="7" t="s">
        <v>68</v>
      </c>
      <c r="G477" s="10" t="s">
        <v>79</v>
      </c>
      <c r="H477" t="s">
        <v>25</v>
      </c>
      <c r="I477" s="7" t="s">
        <v>16</v>
      </c>
    </row>
    <row r="478" spans="1:9" ht="60" x14ac:dyDescent="0.25">
      <c r="A478" s="4" t="s">
        <v>8</v>
      </c>
      <c r="B478" s="8" t="str">
        <f>HYPERLINK("https://www.uts.edu.au/scholarship/linden-little-engineering-equity-scholarship", "Linden Little Engineering Equity Scholarship")</f>
        <v>Linden Little Engineering Equity Scholarship</v>
      </c>
      <c r="C478" s="7" t="s">
        <v>14</v>
      </c>
      <c r="D478" s="9">
        <v>17500</v>
      </c>
      <c r="E478" s="7">
        <v>2</v>
      </c>
      <c r="F478" s="7" t="s">
        <v>68</v>
      </c>
      <c r="G478" s="10" t="s">
        <v>71</v>
      </c>
      <c r="H478" t="s">
        <v>25</v>
      </c>
      <c r="I478" t="s">
        <v>25</v>
      </c>
    </row>
    <row r="479" spans="1:9" ht="60" x14ac:dyDescent="0.25">
      <c r="A479" s="4" t="s">
        <v>8</v>
      </c>
      <c r="B479" s="8" t="str">
        <f>HYPERLINK("https://www.uts.edu.au/scholarship/john-heine-memorial-scholarship-engineering", "John Heine Memorial Scholarship in Engineering")</f>
        <v>John Heine Memorial Scholarship in Engineering</v>
      </c>
      <c r="C479" s="7" t="s">
        <v>14</v>
      </c>
      <c r="D479" s="9">
        <v>23000</v>
      </c>
      <c r="E479" s="7">
        <v>5</v>
      </c>
      <c r="F479" s="7" t="s">
        <v>68</v>
      </c>
      <c r="G479" s="10" t="s">
        <v>71</v>
      </c>
      <c r="H479" t="s">
        <v>25</v>
      </c>
      <c r="I479" t="s">
        <v>25</v>
      </c>
    </row>
    <row r="480" spans="1:9" ht="45" x14ac:dyDescent="0.25">
      <c r="A480" s="4" t="s">
        <v>8</v>
      </c>
      <c r="B480" s="8" t="str">
        <f>HYPERLINK("https://www.uts.edu.au/scholarship/engineering-and-information-technology-deans-scholarship", "Engineering and Information Technology Dean’s Scholarship")</f>
        <v>Engineering and Information Technology Dean’s Scholarship</v>
      </c>
      <c r="C480" s="7" t="s">
        <v>27</v>
      </c>
      <c r="D480" s="9">
        <v>30000</v>
      </c>
      <c r="E480" s="7">
        <v>2</v>
      </c>
      <c r="F480" s="7" t="s">
        <v>13</v>
      </c>
      <c r="G480" s="10" t="s">
        <v>79</v>
      </c>
      <c r="H480" t="s">
        <v>25</v>
      </c>
      <c r="I480" t="s">
        <v>25</v>
      </c>
    </row>
    <row r="481" spans="1:9" ht="30" x14ac:dyDescent="0.25">
      <c r="A481" s="4" t="s">
        <v>8</v>
      </c>
      <c r="B481" s="8" t="str">
        <f>HYPERLINK("https://www.uts.edu.au/scholarship/health-deans-scholarship", "Health Dean’s Scholarship")</f>
        <v>Health Dean’s Scholarship</v>
      </c>
      <c r="C481" s="7" t="s">
        <v>27</v>
      </c>
      <c r="D481" s="9">
        <v>10000</v>
      </c>
      <c r="E481" s="7">
        <v>1</v>
      </c>
      <c r="F481" s="7" t="s">
        <v>13</v>
      </c>
      <c r="G481" s="10" t="s">
        <v>81</v>
      </c>
      <c r="H481" t="s">
        <v>25</v>
      </c>
      <c r="I481" t="s">
        <v>25</v>
      </c>
    </row>
    <row r="482" spans="1:9" ht="45" x14ac:dyDescent="0.25">
      <c r="A482" s="4" t="s">
        <v>8</v>
      </c>
      <c r="B482" s="8" t="str">
        <f>HYPERLINK("https://www.uts.edu.au/scholarship/challenger-it-scholarship", "Challenger IT Scholarship")</f>
        <v>Challenger IT Scholarship</v>
      </c>
      <c r="C482" s="7" t="s">
        <v>27</v>
      </c>
      <c r="D482" s="9">
        <v>43000</v>
      </c>
      <c r="E482" s="7">
        <v>1</v>
      </c>
      <c r="F482" s="7" t="s">
        <v>68</v>
      </c>
      <c r="G482" s="10" t="s">
        <v>82</v>
      </c>
      <c r="H482" t="s">
        <v>25</v>
      </c>
      <c r="I482" s="7" t="s">
        <v>16</v>
      </c>
    </row>
    <row r="483" spans="1:9" ht="60" x14ac:dyDescent="0.25">
      <c r="A483" s="4" t="s">
        <v>8</v>
      </c>
      <c r="B483" s="8" t="str">
        <f>HYPERLINK("https://www.uts.edu.au/scholarship/bachelor-information-technology-co-operative-scholarship-program", "Bachelor of Information Technology Co-operative Scholarship Program")</f>
        <v>Bachelor of Information Technology Co-operative Scholarship Program</v>
      </c>
      <c r="C483" s="7" t="s">
        <v>27</v>
      </c>
      <c r="D483" s="11" t="s">
        <v>83</v>
      </c>
      <c r="E483" s="7">
        <v>3</v>
      </c>
      <c r="F483" s="7" t="s">
        <v>13</v>
      </c>
      <c r="G483" s="10" t="s">
        <v>84</v>
      </c>
      <c r="H483" t="s">
        <v>25</v>
      </c>
      <c r="I483" s="7" t="s">
        <v>16</v>
      </c>
    </row>
    <row r="484" spans="1:9" ht="30" x14ac:dyDescent="0.25">
      <c r="A484" s="4" t="s">
        <v>8</v>
      </c>
      <c r="B484" s="8" t="str">
        <f>HYPERLINK("https://www.uts.edu.au/scholarship/law-equity-scholarship", "Law Equity Scholarship")</f>
        <v>Law Equity Scholarship</v>
      </c>
      <c r="C484" s="7" t="s">
        <v>14</v>
      </c>
      <c r="D484" s="9">
        <v>5000</v>
      </c>
      <c r="E484" s="7">
        <v>4</v>
      </c>
      <c r="F484" s="7" t="s">
        <v>13</v>
      </c>
      <c r="G484" s="10" t="s">
        <v>85</v>
      </c>
      <c r="H484" t="s">
        <v>25</v>
      </c>
      <c r="I484" t="s">
        <v>25</v>
      </c>
    </row>
    <row r="485" spans="1:9" ht="45" x14ac:dyDescent="0.25">
      <c r="A485" s="4" t="s">
        <v>8</v>
      </c>
      <c r="B485" s="8" t="str">
        <f>HYPERLINK("https://www.uts.edu.au/scholarship/ezekiel-solomon-scholarship", "Ezekiel Solomon Scholarship")</f>
        <v>Ezekiel Solomon Scholarship</v>
      </c>
      <c r="C485" s="7" t="s">
        <v>14</v>
      </c>
      <c r="D485" s="9">
        <v>5000</v>
      </c>
      <c r="E485" s="7">
        <v>1</v>
      </c>
      <c r="F485" s="7" t="s">
        <v>13</v>
      </c>
      <c r="G485" s="10" t="s">
        <v>86</v>
      </c>
      <c r="H485" t="s">
        <v>25</v>
      </c>
      <c r="I485" t="s">
        <v>25</v>
      </c>
    </row>
    <row r="486" spans="1:9" ht="45" x14ac:dyDescent="0.25">
      <c r="A486" s="4" t="s">
        <v>8</v>
      </c>
      <c r="B486" s="8" t="str">
        <f>HYPERLINK("https://www.uts.edu.au/scholarship/eric-dreikurs-scholarship", "Eric Dreikurs Scholarship")</f>
        <v>Eric Dreikurs Scholarship</v>
      </c>
      <c r="C486" s="7" t="s">
        <v>14</v>
      </c>
      <c r="D486" s="9">
        <v>6000</v>
      </c>
      <c r="E486" s="7">
        <v>1</v>
      </c>
      <c r="F486" s="7" t="s">
        <v>13</v>
      </c>
      <c r="G486" s="10" t="s">
        <v>86</v>
      </c>
      <c r="H486" t="s">
        <v>25</v>
      </c>
      <c r="I486" t="s">
        <v>25</v>
      </c>
    </row>
    <row r="487" spans="1:9" ht="30" x14ac:dyDescent="0.25">
      <c r="A487" s="4" t="s">
        <v>8</v>
      </c>
      <c r="B487" s="8" t="str">
        <f>HYPERLINK("https://www.uts.edu.au/scholarship/law-deans-scholarship", "Law Dean’s Scholarship")</f>
        <v>Law Dean’s Scholarship</v>
      </c>
      <c r="C487" s="7" t="s">
        <v>27</v>
      </c>
      <c r="D487" s="9">
        <v>10000</v>
      </c>
      <c r="E487" s="7">
        <v>1</v>
      </c>
      <c r="F487" s="7" t="s">
        <v>13</v>
      </c>
      <c r="G487" s="10" t="s">
        <v>87</v>
      </c>
      <c r="H487" t="s">
        <v>25</v>
      </c>
      <c r="I487" t="s">
        <v>25</v>
      </c>
    </row>
    <row r="488" spans="1:9" ht="60" x14ac:dyDescent="0.25">
      <c r="A488" s="4" t="s">
        <v>8</v>
      </c>
      <c r="B488" s="8" t="str">
        <f>HYPERLINK("https://www.uts.edu.au/scholarship/law-diversity-and-equity-scholarship", "Law Diversity and Equity Scholarship")</f>
        <v>Law Diversity and Equity Scholarship</v>
      </c>
      <c r="C488" s="7" t="s">
        <v>14</v>
      </c>
      <c r="D488" s="9">
        <v>10000</v>
      </c>
      <c r="E488" s="7">
        <v>1</v>
      </c>
      <c r="F488" s="7" t="s">
        <v>13</v>
      </c>
      <c r="G488" s="10" t="s">
        <v>88</v>
      </c>
      <c r="H488" t="s">
        <v>21</v>
      </c>
      <c r="I488" t="s">
        <v>25</v>
      </c>
    </row>
    <row r="489" spans="1:9" ht="30" x14ac:dyDescent="0.25">
      <c r="A489" s="4" t="s">
        <v>8</v>
      </c>
      <c r="B489" s="8" t="str">
        <f>HYPERLINK("https://www.uts.edu.au/scholarship/science-deans-scholarship", "Science Dean's Scholarship")</f>
        <v>Science Dean's Scholarship</v>
      </c>
      <c r="C489" s="7" t="s">
        <v>27</v>
      </c>
      <c r="D489" s="9">
        <v>15000</v>
      </c>
      <c r="E489" s="7">
        <v>3</v>
      </c>
      <c r="F489" s="7" t="s">
        <v>13</v>
      </c>
      <c r="G489" s="10" t="s">
        <v>90</v>
      </c>
      <c r="H489" t="s">
        <v>25</v>
      </c>
      <c r="I489" t="s">
        <v>25</v>
      </c>
    </row>
    <row r="490" spans="1:9" ht="45" x14ac:dyDescent="0.25">
      <c r="A490" s="4" t="s">
        <v>8</v>
      </c>
      <c r="B490" s="8" t="str">
        <f>HYPERLINK(" https://www.uts.edu.au/scholarship/science-deans-scholarship-women", "Science Dean’s Scholarship for Women")</f>
        <v>Science Dean’s Scholarship for Women</v>
      </c>
      <c r="C490" s="7" t="s">
        <v>27</v>
      </c>
      <c r="D490" s="9">
        <v>15000</v>
      </c>
      <c r="E490" s="7">
        <v>3</v>
      </c>
      <c r="F490" s="7" t="s">
        <v>13</v>
      </c>
      <c r="G490" s="10" t="s">
        <v>89</v>
      </c>
      <c r="H490" t="s">
        <v>25</v>
      </c>
      <c r="I490" t="s">
        <v>25</v>
      </c>
    </row>
    <row r="491" spans="1:9" ht="45" x14ac:dyDescent="0.25">
      <c r="A491" s="4" t="s">
        <v>8</v>
      </c>
      <c r="B491" s="8" t="str">
        <f>HYPERLINK("https://www.uts.edu.au/scholarship/uts-science-high-achievers-scholarship-0", "UTS Science High Achiever’s Scholarship")</f>
        <v>UTS Science High Achiever’s Scholarship</v>
      </c>
      <c r="C491" s="7" t="s">
        <v>27</v>
      </c>
      <c r="D491" s="9">
        <v>6000</v>
      </c>
      <c r="E491" s="7">
        <v>3</v>
      </c>
      <c r="F491" s="7" t="s">
        <v>13</v>
      </c>
      <c r="G491" s="10" t="s">
        <v>89</v>
      </c>
      <c r="H491" t="s">
        <v>25</v>
      </c>
      <c r="I491" t="s">
        <v>25</v>
      </c>
    </row>
    <row r="492" spans="1:9" ht="30" x14ac:dyDescent="0.25">
      <c r="A492" s="4" t="s">
        <v>8</v>
      </c>
      <c r="B492" s="8" t="str">
        <f>HYPERLINK("https://www.uts.edu.au/scholarship/ross-milbourne-elite-athlete-scholarship", "Ross Milbourne Elite Athlete Scholarship")</f>
        <v>Ross Milbourne Elite Athlete Scholarship</v>
      </c>
      <c r="C492" s="7" t="s">
        <v>27</v>
      </c>
      <c r="D492" s="9">
        <v>5000</v>
      </c>
      <c r="E492" s="7">
        <v>1</v>
      </c>
      <c r="F492" s="7" t="s">
        <v>91</v>
      </c>
      <c r="G492" s="10" t="s">
        <v>92</v>
      </c>
      <c r="H492" t="s">
        <v>25</v>
      </c>
      <c r="I492" t="s">
        <v>25</v>
      </c>
    </row>
    <row r="493" spans="1:9" ht="30" x14ac:dyDescent="0.25">
      <c r="A493" s="4" t="s">
        <v>8</v>
      </c>
      <c r="B493" s="8" t="str">
        <f>HYPERLINK("https://www.uts.edu.au/scholarship/tertiary-access-payment-tap", "Tertiary Access Payment (TAP)")</f>
        <v>Tertiary Access Payment (TAP)</v>
      </c>
      <c r="C493" s="7" t="s">
        <v>14</v>
      </c>
      <c r="D493" s="9" t="s">
        <v>23</v>
      </c>
      <c r="E493" s="7">
        <v>1</v>
      </c>
      <c r="F493" s="7" t="s">
        <v>93</v>
      </c>
      <c r="G493" s="10" t="s">
        <v>94</v>
      </c>
      <c r="H493" t="s">
        <v>25</v>
      </c>
      <c r="I493" t="s">
        <v>25</v>
      </c>
    </row>
    <row r="494" spans="1:9" ht="30" x14ac:dyDescent="0.25">
      <c r="A494" s="4" t="s">
        <v>8</v>
      </c>
      <c r="B494" s="8" t="str">
        <f>HYPERLINK("https://www.uts.edu.au/scholarship/gradwell-brungs-scholarship", "The Gradwell Brungs Scholarship")</f>
        <v>The Gradwell Brungs Scholarship</v>
      </c>
      <c r="C494" s="7" t="s">
        <v>27</v>
      </c>
      <c r="D494" s="11" t="s">
        <v>95</v>
      </c>
      <c r="E494" s="7">
        <v>4</v>
      </c>
      <c r="F494" s="7" t="s">
        <v>13</v>
      </c>
      <c r="G494" s="10" t="s">
        <v>96</v>
      </c>
      <c r="H494" t="s">
        <v>25</v>
      </c>
      <c r="I494" t="s">
        <v>25</v>
      </c>
    </row>
    <row r="495" spans="1:9" ht="45" x14ac:dyDescent="0.25">
      <c r="A495" s="4" t="s">
        <v>8</v>
      </c>
      <c r="B495" s="8" t="str">
        <f>HYPERLINK("https://www.uts.edu.au/scholarship/vice-chancellors-merit-scholarship", "Vice-Chancellor's Merit Scholarship")</f>
        <v>Vice-Chancellor's Merit Scholarship</v>
      </c>
      <c r="C495" s="7" t="s">
        <v>14</v>
      </c>
      <c r="D495" s="11" t="s">
        <v>97</v>
      </c>
      <c r="E495" s="7" t="s">
        <v>41</v>
      </c>
      <c r="F495" s="7" t="s">
        <v>13</v>
      </c>
      <c r="G495" s="10" t="s">
        <v>98</v>
      </c>
      <c r="H495" t="s">
        <v>25</v>
      </c>
      <c r="I495" t="s">
        <v>25</v>
      </c>
    </row>
    <row r="496" spans="1:9" x14ac:dyDescent="0.25">
      <c r="A496" s="4" t="s">
        <v>8</v>
      </c>
      <c r="B496" s="8" t="str">
        <f>HYPERLINK("https://www.uts.edu.au/scholarship/vice-chancellors-outstanding-achievement-scholarship", "Vice-Chancellor's Outstanding Achievement Scholarship")</f>
        <v>Vice-Chancellor's Outstanding Achievement Scholarship</v>
      </c>
      <c r="C496" s="7" t="s">
        <v>27</v>
      </c>
      <c r="D496" s="11" t="s">
        <v>97</v>
      </c>
      <c r="E496" s="7" t="s">
        <v>41</v>
      </c>
      <c r="F496" s="7" t="s">
        <v>13</v>
      </c>
      <c r="G496" s="7" t="s">
        <v>99</v>
      </c>
      <c r="H496" t="s">
        <v>25</v>
      </c>
      <c r="I496" t="s">
        <v>25</v>
      </c>
    </row>
    <row r="497" spans="1:9" x14ac:dyDescent="0.25">
      <c r="A497" s="4" t="s">
        <v>8</v>
      </c>
      <c r="B497" s="8" t="str">
        <f>HYPERLINK("https://www.uts.edu.au/scholarship/lawrence-vidoni-memorial-scholarship-0", "Lawrence Vidoni Memorial Scholarship")</f>
        <v>Lawrence Vidoni Memorial Scholarship</v>
      </c>
      <c r="C497" s="7" t="s">
        <v>14</v>
      </c>
      <c r="D497" s="9">
        <v>9000</v>
      </c>
      <c r="E497" s="7">
        <v>3</v>
      </c>
      <c r="F497" s="7" t="s">
        <v>13</v>
      </c>
      <c r="G497" s="7" t="s">
        <v>100</v>
      </c>
      <c r="H497" t="s">
        <v>25</v>
      </c>
      <c r="I497" t="s">
        <v>25</v>
      </c>
    </row>
    <row r="498" spans="1:9" ht="45" x14ac:dyDescent="0.25">
      <c r="A498" s="4" t="s">
        <v>8</v>
      </c>
      <c r="B498" s="8" t="str">
        <f>HYPERLINK("https://www.uts.edu.au/scholarship/uts-economics-discipline-group-honours-scholarship", "UTS Business School Economics Honours Scholarship")</f>
        <v>UTS Business School Economics Honours Scholarship</v>
      </c>
      <c r="C498" s="7" t="s">
        <v>27</v>
      </c>
      <c r="D498" s="9">
        <v>5000</v>
      </c>
      <c r="E498" s="7">
        <v>1</v>
      </c>
      <c r="F498" s="7" t="s">
        <v>13</v>
      </c>
      <c r="G498" s="10" t="s">
        <v>101</v>
      </c>
      <c r="H498" t="s">
        <v>25</v>
      </c>
      <c r="I498" t="s">
        <v>25</v>
      </c>
    </row>
    <row r="499" spans="1:9" ht="45" x14ac:dyDescent="0.25">
      <c r="A499" s="4" t="s">
        <v>8</v>
      </c>
      <c r="B499" s="8" t="str">
        <f>HYPERLINK("https://www.uts.edu.au/scholarship/refinitiv-finance-honours-scholarship", "Refinitiv Finance Honours Scholarship")</f>
        <v>Refinitiv Finance Honours Scholarship</v>
      </c>
      <c r="C499" s="7" t="s">
        <v>27</v>
      </c>
      <c r="D499" s="9">
        <v>5000</v>
      </c>
      <c r="E499" s="7">
        <v>2</v>
      </c>
      <c r="F499" s="7" t="s">
        <v>13</v>
      </c>
      <c r="G499" s="10" t="s">
        <v>102</v>
      </c>
      <c r="H499" t="s">
        <v>25</v>
      </c>
      <c r="I499" t="s">
        <v>25</v>
      </c>
    </row>
    <row r="500" spans="1:9" ht="45" x14ac:dyDescent="0.25">
      <c r="A500" s="4" t="s">
        <v>8</v>
      </c>
      <c r="B500" s="8" t="str">
        <f>HYPERLINK("https://www.uts.edu.au/scholarship/uts-business-school-honours-scholarship", "UTS Business School Honours Scholarship")</f>
        <v>UTS Business School Honours Scholarship</v>
      </c>
      <c r="C500" s="7" t="s">
        <v>27</v>
      </c>
      <c r="D500" s="9">
        <v>5000</v>
      </c>
      <c r="E500" s="7">
        <v>1</v>
      </c>
      <c r="F500" s="7" t="s">
        <v>103</v>
      </c>
      <c r="G500" s="10" t="s">
        <v>104</v>
      </c>
      <c r="H500" t="s">
        <v>25</v>
      </c>
      <c r="I500" t="s">
        <v>25</v>
      </c>
    </row>
    <row r="501" spans="1:9" ht="45" x14ac:dyDescent="0.25">
      <c r="A501" s="4" t="s">
        <v>8</v>
      </c>
      <c r="B501" s="8" t="str">
        <f>HYPERLINK(" https://www.uts.edu.au/scholarship/marketing-honours-scholarship", "Marketing Honours Scholarship")</f>
        <v>Marketing Honours Scholarship</v>
      </c>
      <c r="C501" s="7" t="s">
        <v>27</v>
      </c>
      <c r="D501" s="9">
        <v>5000</v>
      </c>
      <c r="E501" s="7">
        <v>1</v>
      </c>
      <c r="F501" s="7" t="s">
        <v>103</v>
      </c>
      <c r="G501" s="10" t="s">
        <v>105</v>
      </c>
      <c r="H501" t="s">
        <v>25</v>
      </c>
      <c r="I501" t="s">
        <v>25</v>
      </c>
    </row>
    <row r="502" spans="1:9" ht="45" x14ac:dyDescent="0.25">
      <c r="A502" s="4" t="s">
        <v>8</v>
      </c>
      <c r="B502" s="8" t="str">
        <f>HYPERLINK("https://www.uts.edu.au/scholarship/accounting-honours-scholarship", "Accounting Honours Scholarship")</f>
        <v>Accounting Honours Scholarship</v>
      </c>
      <c r="C502" s="7" t="s">
        <v>27</v>
      </c>
      <c r="D502" s="9">
        <v>5000</v>
      </c>
      <c r="E502" s="7">
        <v>1</v>
      </c>
      <c r="F502" s="7" t="s">
        <v>103</v>
      </c>
      <c r="G502" s="10" t="s">
        <v>106</v>
      </c>
      <c r="H502" t="s">
        <v>25</v>
      </c>
      <c r="I502" t="s">
        <v>25</v>
      </c>
    </row>
    <row r="503" spans="1:9" ht="60" x14ac:dyDescent="0.25">
      <c r="A503" s="4" t="s">
        <v>8</v>
      </c>
      <c r="B503" s="8" t="str">
        <f>HYPERLINK("https://www.uts.edu.au/scholarship/plato-investment-management-scholarship-women-finance", "The Plato Investment Management Scholarship for Women in Finance")</f>
        <v>The Plato Investment Management Scholarship for Women in Finance</v>
      </c>
      <c r="C503" s="7" t="s">
        <v>27</v>
      </c>
      <c r="D503" s="9">
        <v>5000</v>
      </c>
      <c r="E503" s="7">
        <v>1</v>
      </c>
      <c r="F503" s="7" t="s">
        <v>107</v>
      </c>
      <c r="G503" s="10" t="s">
        <v>108</v>
      </c>
      <c r="H503" t="s">
        <v>25</v>
      </c>
      <c r="I503" t="s">
        <v>25</v>
      </c>
    </row>
    <row r="504" spans="1:9" ht="60" x14ac:dyDescent="0.25">
      <c r="A504" s="4" t="s">
        <v>8</v>
      </c>
      <c r="B504" s="8" t="str">
        <f>HYPERLINK("https://www.uts.edu.au/scholarship/women-engineering-and-it-cooperative-scholarship", "Women in Engineering and IT Cooperative Scholarship")</f>
        <v>Women in Engineering and IT Cooperative Scholarship</v>
      </c>
      <c r="C504" s="7" t="s">
        <v>27</v>
      </c>
      <c r="D504" s="9" t="s">
        <v>109</v>
      </c>
      <c r="E504" s="7">
        <v>4</v>
      </c>
      <c r="F504" s="7" t="s">
        <v>68</v>
      </c>
      <c r="G504" s="10" t="s">
        <v>70</v>
      </c>
      <c r="H504" t="s">
        <v>25</v>
      </c>
      <c r="I504" t="s">
        <v>16</v>
      </c>
    </row>
    <row r="505" spans="1:9" ht="30" x14ac:dyDescent="0.25">
      <c r="A505" s="4" t="s">
        <v>8</v>
      </c>
      <c r="B505" s="8" t="str">
        <f>HYPERLINK("https://www.uts.edu.au/scholarship/mba-scholarship-outstanding-students-commencing", "MBA Scholarship for Outstanding Students (Commencing)")</f>
        <v>MBA Scholarship for Outstanding Students (Commencing)</v>
      </c>
      <c r="C505" s="7" t="s">
        <v>27</v>
      </c>
      <c r="D505" s="9" t="s">
        <v>110</v>
      </c>
      <c r="E505" s="7">
        <v>1</v>
      </c>
      <c r="F505" s="7" t="s">
        <v>51</v>
      </c>
      <c r="G505" s="10" t="s">
        <v>111</v>
      </c>
      <c r="H505" t="s">
        <v>25</v>
      </c>
      <c r="I505" t="s">
        <v>25</v>
      </c>
    </row>
    <row r="506" spans="1:9" ht="30" x14ac:dyDescent="0.25">
      <c r="A506" s="4" t="s">
        <v>8</v>
      </c>
      <c r="B506" s="8" t="str">
        <f>HYPERLINK("https://www.uts.edu.au/scholarship/mba-scholarship-outstanding-students-current", "MBA Scholarship for Outstanding Students (Current)")</f>
        <v>MBA Scholarship for Outstanding Students (Current)</v>
      </c>
      <c r="C506" s="7" t="s">
        <v>27</v>
      </c>
      <c r="D506" s="9" t="s">
        <v>112</v>
      </c>
      <c r="E506" s="7">
        <v>1</v>
      </c>
      <c r="F506" s="7" t="s">
        <v>51</v>
      </c>
      <c r="G506" s="10" t="s">
        <v>56</v>
      </c>
      <c r="H506" t="s">
        <v>25</v>
      </c>
      <c r="I506" t="s">
        <v>25</v>
      </c>
    </row>
    <row r="507" spans="1:9" ht="30" x14ac:dyDescent="0.25">
      <c r="A507" s="4" t="s">
        <v>8</v>
      </c>
      <c r="B507" s="8" t="str">
        <f>HYPERLINK("https://www.uts.edu.au/scholarship/seerpharma-scholarship", "The SeerPharma Scholarship")</f>
        <v>The SeerPharma Scholarship</v>
      </c>
      <c r="C507" s="7" t="s">
        <v>27</v>
      </c>
      <c r="D507" s="7" t="s">
        <v>113</v>
      </c>
      <c r="E507" s="7">
        <v>1</v>
      </c>
      <c r="F507" s="7" t="s">
        <v>51</v>
      </c>
      <c r="G507" s="10" t="s">
        <v>114</v>
      </c>
      <c r="H507" t="s">
        <v>25</v>
      </c>
      <c r="I507" t="s">
        <v>25</v>
      </c>
    </row>
    <row r="508" spans="1:9" ht="30" x14ac:dyDescent="0.25">
      <c r="A508" s="4" t="s">
        <v>8</v>
      </c>
      <c r="B508" s="8" t="str">
        <f>HYPERLINK("https://www.uts.edu.au/scholarship/andrew-and-lina-gullotta-uts-pharmacy-scholarship", "Andrew and Lina Gullotta UTS Pharmacy Scholarship")</f>
        <v>Andrew and Lina Gullotta UTS Pharmacy Scholarship</v>
      </c>
      <c r="C508" s="7" t="s">
        <v>27</v>
      </c>
      <c r="D508" s="9">
        <v>1500</v>
      </c>
      <c r="E508" s="7">
        <v>1</v>
      </c>
      <c r="F508" s="7" t="s">
        <v>51</v>
      </c>
      <c r="G508" s="10" t="s">
        <v>115</v>
      </c>
      <c r="H508" t="s">
        <v>25</v>
      </c>
      <c r="I508" t="s">
        <v>25</v>
      </c>
    </row>
    <row r="509" spans="1:9" ht="45" x14ac:dyDescent="0.25">
      <c r="A509" s="4" t="s">
        <v>8</v>
      </c>
      <c r="B509" s="8" t="str">
        <f>HYPERLINK("https://www.uts.edu.au/scholarship/uts-science-postgraduate-academic-merit-scholarship", "UTS Science Postgraduate Academic Merit Scholarship")</f>
        <v>UTS Science Postgraduate Academic Merit Scholarship</v>
      </c>
      <c r="C509" s="7" t="s">
        <v>27</v>
      </c>
      <c r="D509" s="7" t="s">
        <v>117</v>
      </c>
      <c r="E509" s="7" t="s">
        <v>41</v>
      </c>
      <c r="F509" s="7" t="s">
        <v>51</v>
      </c>
      <c r="G509" s="10" t="s">
        <v>116</v>
      </c>
      <c r="H509" t="s">
        <v>25</v>
      </c>
      <c r="I509" t="s">
        <v>25</v>
      </c>
    </row>
    <row r="510" spans="1:9" ht="60" x14ac:dyDescent="0.25">
      <c r="A510" s="4" t="s">
        <v>8</v>
      </c>
      <c r="B510" s="8" t="str">
        <f>HYPERLINK("https://www.uts.edu.au/scholarship/uts-dr-con-moshegov-orthoptics-scholarship", "UTS Dr Con Moshegov Orthoptics Scholarship")</f>
        <v>UTS Dr Con Moshegov Orthoptics Scholarship</v>
      </c>
      <c r="C510" s="7" t="s">
        <v>14</v>
      </c>
      <c r="D510" s="9">
        <v>5000</v>
      </c>
      <c r="E510" s="7">
        <v>2</v>
      </c>
      <c r="F510" s="7" t="s">
        <v>51</v>
      </c>
      <c r="G510" s="10" t="s">
        <v>118</v>
      </c>
      <c r="H510" t="s">
        <v>25</v>
      </c>
      <c r="I510" t="s">
        <v>25</v>
      </c>
    </row>
    <row r="511" spans="1:9" ht="75" x14ac:dyDescent="0.25">
      <c r="A511" s="4" t="s">
        <v>8</v>
      </c>
      <c r="B511" s="8" t="str">
        <f>HYPERLINK("https://www.uts.edu.au/scholarship/longevity-pt-scholarship-masters-clinical-exercise-physiology", "Longevity PT Scholarship (Masters of Clinical Exercise Physiology)")</f>
        <v>Longevity PT Scholarship (Masters of Clinical Exercise Physiology)</v>
      </c>
      <c r="C511" s="7" t="s">
        <v>14</v>
      </c>
      <c r="D511" s="7" t="s">
        <v>119</v>
      </c>
      <c r="E511" s="7">
        <v>1</v>
      </c>
      <c r="F511" s="7" t="s">
        <v>51</v>
      </c>
      <c r="G511" s="10" t="s">
        <v>120</v>
      </c>
      <c r="H511" t="s">
        <v>21</v>
      </c>
      <c r="I511" t="s">
        <v>25</v>
      </c>
    </row>
    <row r="512" spans="1:9" ht="90" x14ac:dyDescent="0.25">
      <c r="A512" s="4" t="s">
        <v>8</v>
      </c>
      <c r="B512" s="8" t="str">
        <f>HYPERLINK("https://www.uts.edu.au/scholarship/doctors-co-scholarship", "Doctors &amp; Co Scholarship")</f>
        <v>Doctors &amp; Co Scholarship</v>
      </c>
      <c r="C512" s="7" t="s">
        <v>14</v>
      </c>
      <c r="D512" s="9">
        <v>5000</v>
      </c>
      <c r="E512" s="7">
        <v>1</v>
      </c>
      <c r="F512" s="7" t="s">
        <v>35</v>
      </c>
      <c r="G512" s="10" t="s">
        <v>121</v>
      </c>
      <c r="H512" t="s">
        <v>25</v>
      </c>
      <c r="I512" t="s">
        <v>25</v>
      </c>
    </row>
    <row r="513" spans="1:9" ht="45" x14ac:dyDescent="0.25">
      <c r="A513" s="4" t="s">
        <v>8</v>
      </c>
      <c r="B513" s="8" t="str">
        <f>HYPERLINK("https://www.uts.edu.au/scholarship/wanda-jamrozik-scholarship-journalism", "The Wanda Jamrozik Scholarship in Journalism")</f>
        <v>The Wanda Jamrozik Scholarship in Journalism</v>
      </c>
      <c r="C513" s="7" t="s">
        <v>27</v>
      </c>
      <c r="D513" s="9" t="s">
        <v>122</v>
      </c>
      <c r="E513" s="7">
        <v>0.5</v>
      </c>
      <c r="F513" s="7" t="s">
        <v>35</v>
      </c>
      <c r="G513" s="10" t="s">
        <v>123</v>
      </c>
      <c r="H513" t="s">
        <v>25</v>
      </c>
      <c r="I513" t="s">
        <v>25</v>
      </c>
    </row>
    <row r="514" spans="1:9" ht="45" x14ac:dyDescent="0.25">
      <c r="A514" s="4" t="s">
        <v>8</v>
      </c>
      <c r="B514" s="8" t="str">
        <f>HYPERLINK("https://www.uts.edu.au/scholarship/gordon-young-memorial-scholarship", "https://www.uts.edu.au/scholarship/gordon-young-memorial-scholarship")</f>
        <v>https://www.uts.edu.au/scholarship/gordon-young-memorial-scholarship</v>
      </c>
      <c r="C514" s="7" t="s">
        <v>27</v>
      </c>
      <c r="D514" s="7" t="s">
        <v>126</v>
      </c>
      <c r="E514" s="7">
        <v>1</v>
      </c>
      <c r="F514" s="7" t="s">
        <v>125</v>
      </c>
      <c r="G514" s="10" t="s">
        <v>124</v>
      </c>
      <c r="H514" t="s">
        <v>25</v>
      </c>
      <c r="I514" t="s">
        <v>25</v>
      </c>
    </row>
    <row r="515" spans="1:9" ht="75" x14ac:dyDescent="0.25">
      <c r="A515" s="4" t="s">
        <v>8</v>
      </c>
      <c r="B515" s="8" t="str">
        <f>HYPERLINK("https://www.uts.edu.au/scholarship/mark-lyons-not-profit-and-social-enterprise-management-scholarship", "Mark Lyons Not-for-Profit and Social Enterprise Management Scholarship")</f>
        <v>Mark Lyons Not-for-Profit and Social Enterprise Management Scholarship</v>
      </c>
      <c r="C515" s="7" t="s">
        <v>14</v>
      </c>
      <c r="D515" s="9">
        <v>5000</v>
      </c>
      <c r="E515" s="7">
        <v>1</v>
      </c>
      <c r="F515" s="7" t="s">
        <v>51</v>
      </c>
      <c r="G515" s="10" t="s">
        <v>127</v>
      </c>
      <c r="H515" t="s">
        <v>25</v>
      </c>
      <c r="I515" t="s">
        <v>25</v>
      </c>
    </row>
    <row r="516" spans="1:9" ht="30" x14ac:dyDescent="0.25">
      <c r="A516" s="4" t="s">
        <v>8</v>
      </c>
      <c r="B516" s="8" t="str">
        <f>HYPERLINK("https://www.uts.edu.au/scholarship/postgraduate-business-alumni-scholarship", "Postgraduate Business Alumni Scholarship")</f>
        <v>Postgraduate Business Alumni Scholarship</v>
      </c>
      <c r="C516" s="7" t="s">
        <v>27</v>
      </c>
      <c r="D516" s="7" t="s">
        <v>128</v>
      </c>
      <c r="E516" s="7">
        <v>1</v>
      </c>
      <c r="F516" s="7" t="s">
        <v>51</v>
      </c>
      <c r="G516" s="10" t="s">
        <v>129</v>
      </c>
      <c r="H516" t="s">
        <v>25</v>
      </c>
      <c r="I516" t="s">
        <v>25</v>
      </c>
    </row>
    <row r="517" spans="1:9" x14ac:dyDescent="0.25">
      <c r="A517" s="4" t="s">
        <v>8</v>
      </c>
      <c r="B517" s="8" t="str">
        <f>HYPERLINK("https://www.uts.edu.au/scholarship/equal-access-scholarship-institution-equity-scholarship", "Equal Access Scholarship (Institution Equity Scholarship)")</f>
        <v>Equal Access Scholarship (Institution Equity Scholarship)</v>
      </c>
      <c r="C517" s="7" t="s">
        <v>14</v>
      </c>
      <c r="D517" s="7" t="s">
        <v>130</v>
      </c>
      <c r="E517" s="7">
        <v>1</v>
      </c>
      <c r="F517" s="7" t="s">
        <v>131</v>
      </c>
      <c r="G517" s="7" t="s">
        <v>132</v>
      </c>
      <c r="H517" t="s">
        <v>25</v>
      </c>
      <c r="I517" t="s">
        <v>25</v>
      </c>
    </row>
    <row r="518" spans="1:9" ht="45" x14ac:dyDescent="0.25">
      <c r="A518" s="4" t="s">
        <v>8</v>
      </c>
      <c r="B518" s="8" t="str">
        <f>HYPERLINK("https://www.uts.edu.au/scholarship/ericsson-technology-scholarship", "Ericsson Technology Scholarship")</f>
        <v>Ericsson Technology Scholarship</v>
      </c>
      <c r="C518" s="7" t="s">
        <v>27</v>
      </c>
      <c r="D518" s="9">
        <v>24000</v>
      </c>
      <c r="E518" s="7">
        <v>0.5</v>
      </c>
      <c r="F518" s="7" t="s">
        <v>68</v>
      </c>
      <c r="G518" s="10" t="s">
        <v>79</v>
      </c>
      <c r="H518" t="s">
        <v>25</v>
      </c>
      <c r="I518" t="s">
        <v>16</v>
      </c>
    </row>
    <row r="519" spans="1:9" ht="45" x14ac:dyDescent="0.25">
      <c r="A519" s="4" t="s">
        <v>8</v>
      </c>
      <c r="B519" s="8" t="str">
        <f>HYPERLINK("https://www.uts.edu.au/scholarship/telstra-enterprise-certitude-scholarship", "Telstra Enterprise Certitude Scholarship")</f>
        <v>Telstra Enterprise Certitude Scholarship</v>
      </c>
      <c r="C519" s="7" t="s">
        <v>27</v>
      </c>
      <c r="D519" s="7" t="s">
        <v>133</v>
      </c>
      <c r="E519" s="7" t="s">
        <v>134</v>
      </c>
      <c r="F519" s="7" t="s">
        <v>68</v>
      </c>
      <c r="G519" s="10" t="s">
        <v>82</v>
      </c>
      <c r="H519" t="s">
        <v>25</v>
      </c>
      <c r="I519" t="s">
        <v>16</v>
      </c>
    </row>
    <row r="520" spans="1:9" ht="30" x14ac:dyDescent="0.25">
      <c r="A520" s="4" t="s">
        <v>8</v>
      </c>
      <c r="B520" s="8" t="str">
        <f>HYPERLINK("https://www.uts.edu.au/scholarship/levo-scholarship-women-technology", "LEVO Scholarship for Women in Technology")</f>
        <v>LEVO Scholarship for Women in Technology</v>
      </c>
      <c r="C520" s="7" t="s">
        <v>27</v>
      </c>
      <c r="D520" s="7" t="s">
        <v>135</v>
      </c>
      <c r="E520" s="7">
        <v>4</v>
      </c>
      <c r="F520" s="7" t="s">
        <v>68</v>
      </c>
      <c r="G520" s="10" t="s">
        <v>136</v>
      </c>
      <c r="H520" t="s">
        <v>25</v>
      </c>
      <c r="I520" t="s">
        <v>16</v>
      </c>
    </row>
    <row r="521" spans="1:9" ht="45" x14ac:dyDescent="0.25">
      <c r="A521" s="4" t="s">
        <v>8</v>
      </c>
      <c r="B521" s="8" t="str">
        <f>HYPERLINK("https://www.uts.edu.au/scholarship/pendal-group-finance-honours-scholarship", "The Pendal Group Finance Honours Scholarship")</f>
        <v>The Pendal Group Finance Honours Scholarship</v>
      </c>
      <c r="C521" s="7" t="s">
        <v>27</v>
      </c>
      <c r="D521" s="9">
        <v>10000</v>
      </c>
      <c r="E521" s="7">
        <v>1</v>
      </c>
      <c r="F521" s="7" t="s">
        <v>137</v>
      </c>
      <c r="G521" s="10" t="s">
        <v>138</v>
      </c>
      <c r="H521" t="s">
        <v>25</v>
      </c>
      <c r="I521" t="s">
        <v>25</v>
      </c>
    </row>
    <row r="522" spans="1:9" ht="45" x14ac:dyDescent="0.25">
      <c r="A522" s="4" t="s">
        <v>8</v>
      </c>
      <c r="B522" s="8" t="str">
        <f>HYPERLINK("https://www.uts.edu.au/scholarship/richard-butler-scholarship", "Richard Butler Scholarship")</f>
        <v>Richard Butler Scholarship</v>
      </c>
      <c r="C522" s="7" t="s">
        <v>27</v>
      </c>
      <c r="D522" s="9">
        <v>10000</v>
      </c>
      <c r="E522" s="7">
        <v>1</v>
      </c>
      <c r="F522" s="7" t="s">
        <v>13</v>
      </c>
      <c r="G522" s="10" t="s">
        <v>139</v>
      </c>
      <c r="H522" t="s">
        <v>25</v>
      </c>
      <c r="I522" t="s">
        <v>25</v>
      </c>
    </row>
    <row r="523" spans="1:9" ht="75" x14ac:dyDescent="0.25">
      <c r="A523" s="4" t="s">
        <v>8</v>
      </c>
      <c r="B523" s="8" t="str">
        <f>HYPERLINK("https://www.uts.edu.au/scholarship/epm-projects-scholarship", "EPM Projects Scholarship")</f>
        <v>EPM Projects Scholarship</v>
      </c>
      <c r="C523" s="7" t="s">
        <v>27</v>
      </c>
      <c r="D523" s="9">
        <v>10000</v>
      </c>
      <c r="E523" s="7">
        <v>1</v>
      </c>
      <c r="F523" s="7" t="s">
        <v>13</v>
      </c>
      <c r="G523" s="10" t="s">
        <v>66</v>
      </c>
      <c r="H523" t="s">
        <v>25</v>
      </c>
      <c r="I523" t="s">
        <v>16</v>
      </c>
    </row>
    <row r="524" spans="1:9" ht="60" x14ac:dyDescent="0.25">
      <c r="A524" s="4" t="s">
        <v>8</v>
      </c>
      <c r="B524" s="8" t="str">
        <f>HYPERLINK("https://www.uts.edu.au/scholarship/magdalena-mauchle-fashion-textiles-scholarship", "The Magdalena Mauchle Fashion &amp; Textiles Scholarship")</f>
        <v>The Magdalena Mauchle Fashion &amp; Textiles Scholarship</v>
      </c>
      <c r="C524" s="7" t="s">
        <v>14</v>
      </c>
      <c r="D524" s="9">
        <v>5000</v>
      </c>
      <c r="E524" s="7">
        <v>1</v>
      </c>
      <c r="F524" s="7" t="s">
        <v>13</v>
      </c>
      <c r="G524" s="10" t="s">
        <v>140</v>
      </c>
      <c r="H524" t="s">
        <v>25</v>
      </c>
      <c r="I524" t="s">
        <v>25</v>
      </c>
    </row>
    <row r="525" spans="1:9" ht="60" x14ac:dyDescent="0.25">
      <c r="A525" s="4" t="s">
        <v>8</v>
      </c>
      <c r="B525" s="8" t="str">
        <f>HYPERLINK("https://www.uts.edu.au/scholarship/feit-women-engineering-and-it-scholarship", "The FEIT Women in Engineering and IT Scholarship")</f>
        <v>The FEIT Women in Engineering and IT Scholarship</v>
      </c>
      <c r="C525" s="7" t="s">
        <v>27</v>
      </c>
      <c r="D525" s="9">
        <v>10000</v>
      </c>
      <c r="E525" s="7">
        <v>1</v>
      </c>
      <c r="F525" s="7" t="s">
        <v>13</v>
      </c>
      <c r="G525" s="10" t="s">
        <v>141</v>
      </c>
      <c r="H525" t="s">
        <v>25</v>
      </c>
      <c r="I525" t="s">
        <v>25</v>
      </c>
    </row>
    <row r="526" spans="1:9" ht="30" x14ac:dyDescent="0.25">
      <c r="A526" s="4" t="s">
        <v>8</v>
      </c>
      <c r="B526" s="8" t="str">
        <f>HYPERLINK("https://www.uts.edu.au/scholarship/frank-martin-orthoptics-scholarship", "Frank Martin Orthoptics Scholarship")</f>
        <v>Frank Martin Orthoptics Scholarship</v>
      </c>
      <c r="C526" s="7" t="s">
        <v>27</v>
      </c>
      <c r="D526" s="9">
        <v>3000</v>
      </c>
      <c r="E526" s="7">
        <v>2</v>
      </c>
      <c r="F526" s="7" t="s">
        <v>51</v>
      </c>
      <c r="G526" s="10" t="s">
        <v>142</v>
      </c>
      <c r="H526" t="s">
        <v>25</v>
      </c>
      <c r="I526" t="s">
        <v>25</v>
      </c>
    </row>
    <row r="527" spans="1:9" ht="45" x14ac:dyDescent="0.25">
      <c r="A527" s="4" t="s">
        <v>8</v>
      </c>
      <c r="B527" s="8" t="str">
        <f>HYPERLINK("https://www.uts.edu.au/scholarship/animal-logic-scholarship", "The Animal Logic Scholarship")</f>
        <v>The Animal Logic Scholarship</v>
      </c>
      <c r="C527" s="7" t="s">
        <v>14</v>
      </c>
      <c r="D527" s="9">
        <v>18000</v>
      </c>
      <c r="E527" s="7">
        <v>1</v>
      </c>
      <c r="F527" s="7" t="s">
        <v>51</v>
      </c>
      <c r="G527" s="10" t="s">
        <v>143</v>
      </c>
      <c r="H527" t="s">
        <v>25</v>
      </c>
      <c r="I527" t="s">
        <v>25</v>
      </c>
    </row>
    <row r="528" spans="1:9" ht="30" x14ac:dyDescent="0.25">
      <c r="A528" s="4" t="s">
        <v>8</v>
      </c>
      <c r="B528" s="8" t="str">
        <f>HYPERLINK("https://www.uts.edu.au/scholarship/deans-academic-merit-scholarship-juris-doctor", "Dean's Academic Merit Scholarship Juris Doctor")</f>
        <v>Dean's Academic Merit Scholarship Juris Doctor</v>
      </c>
      <c r="C528" s="7" t="s">
        <v>27</v>
      </c>
      <c r="D528" s="7" t="s">
        <v>144</v>
      </c>
      <c r="E528" s="7" t="s">
        <v>41</v>
      </c>
      <c r="F528" s="7" t="s">
        <v>51</v>
      </c>
      <c r="G528" s="10" t="s">
        <v>145</v>
      </c>
      <c r="H528" t="s">
        <v>25</v>
      </c>
      <c r="I528" t="s">
        <v>25</v>
      </c>
    </row>
    <row r="529" spans="1:9" ht="60" x14ac:dyDescent="0.25">
      <c r="A529" s="4" t="s">
        <v>8</v>
      </c>
      <c r="B529" s="8" t="str">
        <f>HYPERLINK("https://www.uts.edu.au/scholarship/uts-quantitative-finance-postgraduate-scholarship", "UTS Quantitative Finance Postgraduate Scholarship")</f>
        <v>UTS Quantitative Finance Postgraduate Scholarship</v>
      </c>
      <c r="C529" s="7" t="s">
        <v>27</v>
      </c>
      <c r="D529" s="7" t="s">
        <v>146</v>
      </c>
      <c r="E529" s="7" t="s">
        <v>41</v>
      </c>
      <c r="F529" s="7" t="s">
        <v>51</v>
      </c>
      <c r="G529" s="10" t="s">
        <v>147</v>
      </c>
      <c r="H529" t="s">
        <v>25</v>
      </c>
      <c r="I529" t="s">
        <v>25</v>
      </c>
    </row>
    <row r="530" spans="1:9" ht="90" x14ac:dyDescent="0.25">
      <c r="A530" s="4" t="s">
        <v>8</v>
      </c>
      <c r="B530" s="8" t="str">
        <f>HYPERLINK("https://www.uts.edu.au/scholarship/crescent-leadership-scholarship", "Crescent Leadership Scholarship")</f>
        <v>Crescent Leadership Scholarship</v>
      </c>
      <c r="C530" s="7" t="s">
        <v>148</v>
      </c>
      <c r="D530" s="9">
        <v>5000</v>
      </c>
      <c r="E530" s="7">
        <v>1</v>
      </c>
      <c r="F530" s="7" t="s">
        <v>35</v>
      </c>
      <c r="G530" s="10" t="s">
        <v>149</v>
      </c>
      <c r="H530" t="s">
        <v>25</v>
      </c>
      <c r="I530" t="s">
        <v>25</v>
      </c>
    </row>
    <row r="531" spans="1:9" ht="60" x14ac:dyDescent="0.25">
      <c r="A531" s="4" t="s">
        <v>8</v>
      </c>
      <c r="B531" s="8" t="str">
        <f>HYPERLINK("https://www.uts.edu.au/scholarship/uts-housing-resident-networker-scholarship", "UTS Housing Resident Networker Scholarship")</f>
        <v>UTS Housing Resident Networker Scholarship</v>
      </c>
      <c r="C531" s="7" t="s">
        <v>27</v>
      </c>
      <c r="D531" s="9">
        <v>5500</v>
      </c>
      <c r="E531" s="7">
        <v>1</v>
      </c>
      <c r="F531" s="7" t="s">
        <v>131</v>
      </c>
      <c r="G531" s="10" t="s">
        <v>150</v>
      </c>
      <c r="H531" t="s">
        <v>25</v>
      </c>
      <c r="I531" t="s">
        <v>25</v>
      </c>
    </row>
  </sheetData>
  <autoFilter ref="A1:I531" xr:uid="{5773BD61-A8F4-4ACA-BB03-11DEBD312DAE}">
    <sortState xmlns:xlrd2="http://schemas.microsoft.com/office/spreadsheetml/2017/richdata2" ref="A2:I531">
      <sortCondition ref="A1:A531"/>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2024-11-05T01:47:29Z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