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327" documentId="13_ncr:1_{BC4AE9FA-0CB4-4CF0-8D39-57A9F105CFA5}" xr6:coauthVersionLast="47" xr6:coauthVersionMax="47" xr10:uidLastSave="{F6ACF66A-E258-4133-9385-0065CDCF93BA}"/>
  <bookViews>
    <workbookView xWindow="2868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6" i="1" l="1"/>
  <c r="B264" i="1"/>
  <c r="B94" i="1"/>
  <c r="B24"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3" i="1"/>
  <c r="B262" i="1"/>
  <c r="B261" i="1"/>
  <c r="B260" i="1"/>
  <c r="B259" i="1"/>
  <c r="B258" i="1"/>
  <c r="B257" i="1"/>
  <c r="B256" i="1"/>
  <c r="B255" i="1"/>
  <c r="B254" i="1"/>
  <c r="B253" i="1"/>
  <c r="B252" i="1"/>
  <c r="B251" i="1"/>
  <c r="B250" i="1"/>
  <c r="B249" i="1"/>
  <c r="B248" i="1"/>
  <c r="B247"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2" i="1"/>
  <c r="B194" i="1"/>
  <c r="B246" i="1"/>
  <c r="B245" i="1"/>
  <c r="B244" i="1"/>
  <c r="B243" i="1"/>
  <c r="B242" i="1" l="1"/>
  <c r="B241" i="1"/>
  <c r="B240" i="1"/>
  <c r="B239" i="1"/>
  <c r="B238" i="1"/>
  <c r="B237" i="1" l="1"/>
  <c r="B236" i="1"/>
  <c r="B235" i="1"/>
  <c r="B234" i="1" l="1"/>
  <c r="B233" i="1"/>
  <c r="B232" i="1"/>
  <c r="B231" i="1"/>
  <c r="B230" i="1"/>
  <c r="B229" i="1"/>
  <c r="B228" i="1"/>
  <c r="B227" i="1"/>
  <c r="B226" i="1"/>
  <c r="B225" i="1"/>
  <c r="B224" i="1"/>
  <c r="B223" i="1"/>
  <c r="B222" i="1"/>
  <c r="B221" i="1"/>
  <c r="B220" i="1"/>
  <c r="B219" i="1"/>
  <c r="B216" i="1"/>
  <c r="B215" i="1"/>
  <c r="B218" i="1"/>
  <c r="B217" i="1"/>
  <c r="B214" i="1"/>
  <c r="B213" i="1"/>
  <c r="B212" i="1"/>
  <c r="B211" i="1"/>
  <c r="B210" i="1"/>
  <c r="B209"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l="1"/>
  <c r="B450" i="1"/>
  <c r="B449" i="1"/>
  <c r="B448" i="1"/>
  <c r="B447" i="1"/>
  <c r="B446" i="1"/>
  <c r="B445" i="1"/>
  <c r="B444" i="1"/>
  <c r="B443" i="1"/>
  <c r="B442" i="1"/>
  <c r="B208" i="1" l="1"/>
  <c r="B207" i="1"/>
  <c r="B206" i="1"/>
  <c r="B205" i="1"/>
  <c r="B204" i="1"/>
  <c r="B203" i="1"/>
  <c r="B202" i="1"/>
  <c r="B201" i="1"/>
  <c r="B200" i="1"/>
  <c r="B199" i="1"/>
  <c r="B198" i="1"/>
  <c r="B197" i="1"/>
  <c r="B196" i="1"/>
  <c r="B195" i="1"/>
  <c r="B193" i="1"/>
  <c r="B191" i="1"/>
  <c r="B190" i="1"/>
  <c r="B189" i="1"/>
  <c r="B188" i="1"/>
  <c r="B187" i="1"/>
  <c r="B186" i="1"/>
  <c r="B185" i="1"/>
  <c r="B184" i="1"/>
  <c r="B183" i="1"/>
  <c r="B182" i="1"/>
  <c r="B181" i="1"/>
  <c r="B180" i="1"/>
</calcChain>
</file>

<file path=xl/sharedStrings.xml><?xml version="1.0" encoding="utf-8"?>
<sst xmlns="http://schemas.openxmlformats.org/spreadsheetml/2006/main" count="3908" uniqueCount="679">
  <si>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</si>
  <si>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</si>
  <si>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</si>
  <si>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</si>
  <si>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</si>
  <si>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</si>
  <si>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</si>
  <si>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</si>
  <si>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</si>
  <si>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</si>
  <si>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</si>
  <si>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</si>
  <si>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</si>
  <si>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</si>
  <si>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</si>
  <si>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</si>
  <si>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</si>
  <si>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</si>
  <si>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</si>
  <si>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</si>
  <si>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</si>
  <si>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</si>
  <si>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</si>
  <si>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</si>
  <si>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</si>
  <si>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</si>
  <si>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</si>
  <si>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</si>
  <si>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</si>
  <si>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</si>
  <si>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</si>
  <si>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</si>
  <si>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</si>
  <si>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</si>
  <si>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</si>
  <si>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</si>
  <si>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</si>
  <si>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</si>
  <si>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</si>
  <si>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</si>
  <si>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</si>
  <si>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</si>
  <si>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</si>
  <si>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</si>
  <si>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</si>
  <si>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</si>
  <si>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</si>
  <si>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</si>
  <si>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</si>
  <si>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</si>
  <si>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</si>
  <si>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</si>
  <si>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</si>
  <si>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</si>
  <si>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</si>
  <si>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</si>
  <si>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</si>
  <si>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</si>
  <si>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</si>
  <si>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</si>
  <si>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</si>
  <si>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</si>
  <si>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</si>
  <si>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</si>
  <si>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</si>
  <si>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</si>
  <si>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</si>
  <si>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</si>
  <si>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</si>
  <si>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</si>
  <si>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</si>
  <si>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</si>
  <si>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</si>
  <si>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</si>
  <si>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</si>
  <si>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</si>
  <si>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</si>
  <si>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</si>
  <si>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</si>
  <si>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</si>
  <si>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</si>
  <si>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</si>
  <si>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</si>
  <si>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</si>
  <si>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</si>
  <si>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</si>
  <si>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</si>
  <si>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</si>
  <si>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</si>
  <si>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</si>
  <si>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</si>
  <si>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</si>
  <si>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</si>
  <si>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</si>
  <si>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</si>
  <si>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</si>
  <si>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</si>
  <si>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</si>
  <si>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</si>
  <si>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</si>
  <si>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</si>
  <si>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</si>
  <si>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</si>
  <si>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</si>
  <si>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</si>
  <si>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</si>
  <si>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</si>
  <si>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</si>
  <si>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</si>
  <si>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</si>
  <si>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</si>
  <si>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</si>
  <si>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</si>
  <si>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</si>
  <si>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</si>
  <si>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</si>
  <si>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</si>
  <si>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</si>
  <si>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</si>
  <si>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</si>
  <si>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</si>
  <si>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</si>
  <si>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</si>
  <si>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</si>
  <si>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</si>
  <si>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</si>
  <si>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</si>
  <si>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</si>
  <si>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</si>
  <si>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</si>
  <si>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</si>
  <si>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</si>
  <si>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</si>
  <si>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</si>
  <si>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</si>
  <si>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</si>
  <si>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</si>
  <si>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</si>
  <si>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</si>
  <si>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</si>
  <si>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</si>
  <si>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</si>
  <si>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</si>
  <si>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</si>
  <si>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</si>
  <si>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</si>
  <si>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</si>
  <si>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</si>
  <si>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</si>
  <si>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</si>
  <si>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</si>
  <si>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</si>
  <si>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</si>
  <si>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</si>
  <si>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</si>
  <si>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</si>
  <si>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</si>
  <si>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</si>
  <si>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</si>
  <si>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</si>
  <si>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</si>
  <si>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</si>
  <si>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</si>
  <si>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</si>
  <si>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</si>
  <si>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</si>
  <si>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</si>
  <si>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</si>
  <si>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</si>
  <si>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</si>
  <si>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</si>
  <si>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</si>
  <si>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</si>
  <si>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</si>
  <si>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</si>
  <si>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</si>
  <si>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</si>
  <si>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</si>
  <si>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</si>
  <si>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</si>
  <si>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</si>
  <si>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</si>
  <si>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</si>
  <si>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</si>
  <si>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</si>
  <si>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</si>
  <si>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</si>
  <si>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</si>
  <si>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</si>
  <si>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</si>
  <si>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</si>
  <si>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</si>
  <si>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</si>
  <si>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</si>
  <si>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</si>
  <si>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</si>
  <si>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</si>
  <si>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</si>
  <si>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</si>
  <si>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</si>
  <si>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</si>
  <si>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</si>
  <si>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</si>
  <si>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</si>
  <si>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</si>
  <si>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</si>
  <si>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$1,000</t>
  </si>
  <si>
    <t>• Financial hardship
• Rural or Regional</t>
  </si>
  <si>
    <t>$5,000</t>
  </si>
  <si>
    <t>up to $1500</t>
  </si>
  <si>
    <t>$3,000</t>
  </si>
  <si>
    <t>$4000</t>
  </si>
  <si>
    <t>$7,500</t>
  </si>
  <si>
    <t>$4500</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</si>
  <si>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</si>
  <si>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</si>
  <si>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</si>
  <si>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</si>
  <si>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</si>
  <si>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</si>
  <si>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</si>
  <si>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</si>
  <si>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</si>
  <si>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</si>
  <si>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</si>
  <si>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</si>
  <si>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</si>
  <si>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$2,000</t>
  </si>
  <si>
    <t>$2500</t>
  </si>
  <si>
    <t>$18000 MAX</t>
  </si>
  <si>
    <t>$4,000</t>
  </si>
  <si>
    <t>$3500</t>
  </si>
  <si>
    <t>$20000 MAX</t>
  </si>
  <si>
    <t>$7,000 paid directly off tuition</t>
  </si>
  <si>
    <t>$6,000</t>
  </si>
  <si>
    <t>Other</t>
  </si>
  <si>
    <t>$9000 MAX</t>
  </si>
  <si>
    <t>$15,000 MAX</t>
  </si>
  <si>
    <t>$9000</t>
  </si>
  <si>
    <t>$3300</t>
  </si>
  <si>
    <t>$5,000.00</t>
  </si>
  <si>
    <t>$2,500</t>
  </si>
  <si>
    <t>$20,000</t>
  </si>
  <si>
    <t>5 years</t>
  </si>
  <si>
    <t>$5.000</t>
  </si>
  <si>
    <t>$3,500</t>
  </si>
  <si>
    <t>$1200</t>
  </si>
  <si>
    <t>$6000</t>
  </si>
  <si>
    <t>$15,000</t>
  </si>
  <si>
    <t>$15000</t>
  </si>
  <si>
    <t>$7000</t>
  </si>
  <si>
    <t>$12000</t>
  </si>
  <si>
    <t>$18,000 max</t>
  </si>
  <si>
    <t>$25,000</t>
  </si>
  <si>
    <t>$7,000</t>
  </si>
  <si>
    <t>$8,900</t>
  </si>
  <si>
    <t>$40000 MAX</t>
  </si>
  <si>
    <t>$20000</t>
  </si>
  <si>
    <t>• 1st year
• Rural or Regional
• doctor of medicine</t>
  </si>
  <si>
    <t>$80,000 MAX</t>
  </si>
  <si>
    <t>Academic</t>
  </si>
  <si>
    <t>$30,000</t>
  </si>
  <si>
    <t>4 years</t>
  </si>
  <si>
    <t>$5,000
12 available</t>
  </si>
  <si>
    <t>$5,000
44 available</t>
  </si>
  <si>
    <t>$5,000
20 available</t>
  </si>
  <si>
    <t>$5,000
29 available</t>
  </si>
  <si>
    <t>Community</t>
  </si>
  <si>
    <t>$2,500
1 available</t>
  </si>
  <si>
    <t>3 years</t>
  </si>
  <si>
    <t>$3,000
10 available</t>
  </si>
  <si>
    <t>$3,000
5 available</t>
  </si>
  <si>
    <t>$5,000
3 available</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</si>
  <si>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</si>
  <si>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</si>
  <si>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</si>
  <si>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</si>
  <si>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</si>
  <si>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$5,000
1 available</t>
  </si>
  <si>
    <t>$3,000
1 available</t>
  </si>
  <si>
    <t>$5000
2 available</t>
  </si>
  <si>
    <t>Communtiy</t>
  </si>
  <si>
    <t>$3,000
6 available</t>
  </si>
  <si>
    <t>$3000
1 available</t>
  </si>
  <si>
    <t>$7,000
5 available</t>
  </si>
  <si>
    <t>$35,000
2 available</t>
  </si>
  <si>
    <t>$3,000
40 available</t>
  </si>
  <si>
    <t>$32,000
30 available</t>
  </si>
  <si>
    <t>$25,000
1 available</t>
  </si>
  <si>
    <t>$8,000
3 available</t>
  </si>
  <si>
    <t>Corporate</t>
  </si>
  <si>
    <t>$12,000
1 available</t>
  </si>
  <si>
    <t>$10,000
1 available</t>
  </si>
  <si>
    <t>Up
Varies available</t>
  </si>
  <si>
    <t>$1,000
Up available</t>
  </si>
  <si>
    <t>$1,600
2 available</t>
  </si>
  <si>
    <t>$2,000
2 available</t>
  </si>
  <si>
    <t>$5,250
1 available</t>
  </si>
  <si>
    <t>$5,000
2 available</t>
  </si>
  <si>
    <t>$1,500
1 available</t>
  </si>
  <si>
    <t>$1,500
3 available</t>
  </si>
  <si>
    <t>$5,000
Variable available</t>
  </si>
  <si>
    <t>Total
1 available</t>
  </si>
  <si>
    <t>$1,000
1 available</t>
  </si>
  <si>
    <t>$1,000
2 available</t>
  </si>
  <si>
    <t>$5,000
5 available</t>
  </si>
  <si>
    <t>$16,500
1 available</t>
  </si>
  <si>
    <t>$5,500
1 available</t>
  </si>
  <si>
    <t>$1,000
5 available</t>
  </si>
  <si>
    <t>$500
1 available</t>
  </si>
  <si>
    <t>$3000
2 available</t>
  </si>
  <si>
    <t>$1000
1 available</t>
  </si>
  <si>
    <t>US$2,000
1 available</t>
  </si>
  <si>
    <t>$2,000
6 available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</si>
  <si>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</si>
  <si>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$8,000
1 available</t>
  </si>
  <si>
    <t>$10,000
2 available</t>
  </si>
  <si>
    <t>Work</t>
  </si>
  <si>
    <t>$16,000
1 available</t>
  </si>
  <si>
    <t>$15,000
2 available</t>
  </si>
  <si>
    <t>Sporting</t>
  </si>
  <si>
    <t>$3,
1 available</t>
  </si>
  <si>
    <t>$12,500</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</si>
  <si>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</si>
  <si>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</si>
  <si>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$5,500</t>
  </si>
  <si>
    <t>[]</t>
  </si>
  <si>
    <t>$12,000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</si>
  <si>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</si>
  <si>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5 years (MAX)</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</si>
  <si>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</si>
  <si>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</si>
  <si>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</si>
  <si>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</si>
  <si>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</si>
  <si>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</si>
  <si>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</si>
  <si>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</si>
  <si>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</si>
  <si>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</si>
  <si>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</si>
  <si>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</si>
  <si>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</si>
  <si>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</si>
  <si>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</si>
  <si>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xml:space="preserve">• Written statement
• Rural or Regional
• Resident of selected areas
• Selected Business, Science, Teaching and Computer Science programs. </t>
  </si>
  <si>
    <t>•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</si>
  <si>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</si>
  <si>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</si>
  <si>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</si>
  <si>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</si>
  <si>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</si>
  <si>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</si>
  <si>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</si>
  <si>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</si>
  <si>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</si>
  <si>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</si>
  <si>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</si>
  <si>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</si>
  <si>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</si>
  <si>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</si>
  <si>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</si>
  <si>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</si>
  <si>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</si>
  <si>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</si>
  <si>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</si>
  <si>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</si>
  <si>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</si>
  <si>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</si>
  <si>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</si>
  <si>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</si>
  <si>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</si>
  <si>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</si>
  <si>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</si>
  <si>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</si>
  <si>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</si>
  <si>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</si>
  <si>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</si>
  <si>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</si>
  <si>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</si>
  <si>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</si>
  <si>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</si>
  <si>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</si>
  <si>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</si>
  <si>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</si>
  <si>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</si>
  <si>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</si>
  <si>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</si>
  <si>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</si>
  <si>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</si>
  <si>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</si>
  <si>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</si>
  <si>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</si>
  <si>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</si>
  <si>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</si>
  <si>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</si>
  <si>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</si>
  <si>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</si>
  <si>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</si>
  <si>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</si>
  <si>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</si>
  <si>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</si>
  <si>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</si>
  <si>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</si>
  <si>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</si>
  <si>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</si>
  <si>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</si>
  <si>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</si>
  <si>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</si>
  <si>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</si>
  <si>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</si>
  <si>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</si>
  <si>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</si>
  <si>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</si>
  <si>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Master of Architecture</t>
  </si>
  <si>
    <t>• Major in either Mathematics, Chemistry or Physics.</t>
  </si>
  <si>
    <t xml:space="preserve">• Honours program in the School of Mathematics &amp; Statistics </t>
  </si>
  <si>
    <t xml:space="preserve">• Nuclear Engineering specialisation in the Master of Engineering Science </t>
  </si>
  <si>
    <t>• Honours study in an undergraduate degree in Built Environment</t>
  </si>
  <si>
    <t>• Academic merit (ATAR)
• Rural or Regional</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</si>
  <si>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</si>
  <si>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</si>
  <si>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</si>
  <si>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</si>
  <si>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</si>
  <si>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</si>
  <si>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</si>
  <si>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</si>
  <si>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</si>
  <si>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</si>
  <si>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</si>
  <si>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</si>
  <si>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</si>
  <si>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</si>
  <si>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</si>
  <si>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</si>
  <si>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</si>
  <si>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</si>
  <si>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Various Durations</t>
  </si>
  <si>
    <t>6 months</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</si>
  <si>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</si>
  <si>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</si>
  <si>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</si>
  <si>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</si>
  <si>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</si>
  <si>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</si>
  <si>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</si>
  <si>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</si>
  <si>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</si>
  <si>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</si>
  <si>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</si>
  <si>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</si>
  <si>
    <t>• Resident of selected areas
• Honours
• Written statement 
• Academic merit</t>
  </si>
  <si>
    <t>• Current or former member of the ADF
• Must not be receiving any funding from the department of defence
• Resident of selected areas</t>
  </si>
  <si>
    <t>• Any course
• Any year</t>
  </si>
  <si>
    <t>• Provide a statement
• Rural or Regional
• Disability
•  Allied health related courses.</t>
  </si>
  <si>
    <t>• Written Statement
• Rural or Regional
• Any year
• Academic merit</t>
  </si>
  <si>
    <t>• Academic merit 
• Disability
• Written statement - community work</t>
  </si>
  <si>
    <t>• Rural or Regional
• Any year
• Financial hardship
• Academic merit</t>
  </si>
  <si>
    <t>• Written statement: evidence of sporting ability</t>
  </si>
  <si>
    <t>• Outline the main costs associated with their work placement (accommodation / uniform / travel / food etc)
• Written statement - community work
• Any course</t>
  </si>
  <si>
    <t>• Bachelor of social work or Human Services
• Provide statement
• Financial hardship
• Academic merit</t>
  </si>
  <si>
    <t>• Provide statement
• Rural or Regional
• Any year
• Financial hardship
• Academic merit</t>
  </si>
  <si>
    <t>• Bachelor of education (k-12) or (birth to five years), Bachelor of Psychology, Bachelor of Paramedicine,  and Bachelor of Nursing
• Preference to students who are first in family to attend university.
• Any year
• Financial hardship
• Academic merit</t>
  </si>
  <si>
    <t>• Provide statement
• Rural or Regional
• Any year
• Academic merit</t>
  </si>
  <si>
    <t>• Financial hardship
• Academic merit
• Any year</t>
  </si>
  <si>
    <t>• Selected ICT programs
• Preference for male students and mature age</t>
  </si>
  <si>
    <t>• Provide statement
• Any course
• Rural or Regional
• 1st year
• Academic merit</t>
  </si>
  <si>
    <t>• Financial hardship
• Provide statement
• Any year</t>
  </si>
  <si>
    <t>• Active in church
• any course
• Financial hardship</t>
  </si>
  <si>
    <t>• Outline the main costs associated with their work placement (accommodation / uniform / travel / food etc)
• Any course</t>
  </si>
  <si>
    <t>• Written statement - community work
• Resident of selected areas
• Any year
• Financial hardship</t>
  </si>
  <si>
    <t>• 1st year
• Resident of selected areas
• Any course</t>
  </si>
  <si>
    <t>• Financial hardship
• Final year 
• Academic merit
• Made a significant contribution to the corporate life of the university and/or to the community in general. attach evidence through a letter of reference or certificate.</t>
  </si>
  <si>
    <t>• Provide statement
• 1st year
• Rural or Regional</t>
  </si>
  <si>
    <t>• Provide statement
• Rural or Regional
• Academic merit</t>
  </si>
  <si>
    <t>• Financial hardship
• 1st year
• UAC Equity Criteria</t>
  </si>
  <si>
    <t>• Selected Business programs
• Provide statement
• Rural or Regional
• any year
• Academic merit</t>
  </si>
  <si>
    <t>• Written statement - community work
• Academic merit
• Bachelor of Accounting</t>
  </si>
  <si>
    <t>• School of Education and HCA programs
• Written statement - community work</t>
  </si>
  <si>
    <t>• Bachelor of Education programs
• Any year
• Provide statement
• Academic merit</t>
  </si>
  <si>
    <t>• Resident of selected areas
• any year
• Financial hardship</t>
  </si>
  <si>
    <t xml:space="preserve">• Bachelor of Information Technology
• Rural or Regional
</t>
  </si>
  <si>
    <t>• Bachelor of dental science or Doctor of Medicine
• Any year
• Rural or Regional
• Academic merit</t>
  </si>
  <si>
    <t>• Bachelors in: Pharmacy, Dental Science, Pysiotherapy, Nursing or Education. 
• Resident of selected areas
• Financial hardship
• Academic merit</t>
  </si>
  <si>
    <t>• Written statement - community work
• Financial hardship
• Academic merit</t>
  </si>
  <si>
    <t xml:space="preserve">• Bachelor of  Communication (with specialisations)
• Rural or Regional
• any year
</t>
  </si>
  <si>
    <t>• School of Business programs
• Rural or Regional
• Academic merit</t>
  </si>
  <si>
    <t>•Bachelors in: Pharmacy, Dental Science, Pysiotherapy, Nursing or Education. 
• Resident of selected areas
• Financial hardship
• Academic merit</t>
  </si>
  <si>
    <t>• Bachelor of Information Studies
• Any year</t>
  </si>
  <si>
    <t>• Graduate Certificate of Applied Business
• Resident of selected areas</t>
  </si>
  <si>
    <t>• Selected Horticulture or Agricultural programs
• Provide statement
• Rural or Regional
• Academic merit</t>
  </si>
  <si>
    <t>• Provide statement
• Master of Speech Pathology or Bachelor of OT
• Resident of selected areas - Preference
• The ability and desire to work at therapy alliance group in toowoomba.</t>
  </si>
  <si>
    <t>• 1st year
• Academic merit
• Provide statement
• Any course</t>
  </si>
  <si>
    <t>• Provide statement
• Preference for Master of Speech Pathology, Graduate Diploma of Speech and Language or Bachelor of Health and Medicine.
• Academic merit</t>
  </si>
  <si>
    <t>• School of Education programs
• Rural or Regional
• Any year
• Financial hardship
• Academic merit</t>
  </si>
  <si>
    <t>• Environmental Science &amp; Management, IT and Engineering programs
• Rural or Regional
• 1st year</t>
  </si>
  <si>
    <t>• preference may be given to students who have some experience working with young children.
• non-traditional students are encouraged to apply for this scholarship i.e. a tafe qualification, someone from a remote area or beginning a new career later in life.
• School of Education programs</t>
  </si>
  <si>
    <t>• School of Education programs
• Provide statement
• Rural or Regional
• any year
• Academic merit</t>
  </si>
  <si>
    <t>• Provide statement
• Bachelor of Paramedicine
• Resident of selected areas
• Rural or Regional
• Academic merit</t>
  </si>
  <si>
    <t>• Selected Psychology and Social Science programs (including Honours)
• Resident of selected areas
• Academic merit</t>
  </si>
  <si>
    <t>• Programs in Veterinary Biology, Veterinary Science, Animal Science and Equine Science
• Academic merit
• Provide statement - evidence of passion towards thoroughbred racing industry.</t>
  </si>
  <si>
    <t>• Written statement - community work
• 3rd year
• Bachelor of Communication (News and Media)
• Academic merit</t>
  </si>
  <si>
    <t>• Resident of selected areas - preference
• Provide statement
• Rural or Regional
• Any year
• Academic merit</t>
  </si>
  <si>
    <t>• Selected HCA programs
• Able to demonstrate a love for 'creating' theatre and a passion for education in the dramatic arts which represents the legacy of professor john carroll.
• Academic merit</t>
  </si>
  <si>
    <t>• Selected programs in Medical Radiation Science  (with specialisations), Veterinary Bbiology, Veterinary Science and Nursing
• Resident of selected areas
• Any year
• Academic merit</t>
  </si>
  <si>
    <t>• Selected Agricultural Science programs
• Academic merit</t>
  </si>
  <si>
    <t>• Bachelor of Dental Science
• 1st year
• Rural or Regional</t>
  </si>
  <si>
    <t>• Demonstrate an interest in the “future of the livestock industry” as it relates to their area of study in either agricultural business management / animal genetics or animal nutrition.
• Financial hardship
• Selected Science programs
• 3rd / 4th (honours)</t>
  </si>
  <si>
    <t>• Provide statement
• Rural or Regional
• Academic merit
• Graduate Certificate in Ornithology
• 1st year</t>
  </si>
  <si>
    <t>• Selected Agricultural programs
• Rural or Regional
• 1st year
• Academic merit</t>
  </si>
  <si>
    <t>• Provide statement
• 3rd year
• Bachelor of Nursing
• Academic merit</t>
  </si>
  <si>
    <t>• 1st year
• Provide statement
• Bachelor of Pharmacy</t>
  </si>
  <si>
    <t>• Preference for mature age students
• Bachelor of Paramedicine
• Financial hardship</t>
  </si>
  <si>
    <t>• Resident of selected areas
• Rural or Regional
• Academic merit</t>
  </si>
  <si>
    <t>• Financial hardship
• Resident of selected areas
• Bachelor of Nursing</t>
  </si>
  <si>
    <t>• Provide statement
• Rural or Regional
• Selected agricultural programs
• Financial hardship
• Academic merit</t>
  </si>
  <si>
    <t>• Resident of selected areas
• Academic merit</t>
  </si>
  <si>
    <t>• Financial hardship
• 1st year
• Selected agricultural programs</t>
  </si>
  <si>
    <t>• Provide statement
• Rural or Regional
• Selected agricultural programs
• 1st year
• Academic merit</t>
  </si>
  <si>
    <t>• Applicant to have a desire to work in a country area.
• Rural or Regional
• Bachelor of Nursing
• Financial hardship
• 2nd year</t>
  </si>
  <si>
    <t>• Written statement - community work
• Academic merit
• Interest in pursuing a career relevant to the australian sheep and/or wool industry.</t>
  </si>
  <si>
    <t>• Provide statement
• Academic merit
• Bachelor of Nursing</t>
  </si>
  <si>
    <t>• Written statement - community work
• 3rd year
• Academic merit
• Bachelor of Veterinary Biology/Bachelor of Veterinary Science</t>
  </si>
  <si>
    <t>• Bachelor of Veterinary Biology/Bachelor of Veterinary Science
• 4th / 5th / 6th year
• Rural or Regional
• UAC Equity Criteria</t>
  </si>
  <si>
    <t>• Bachelor of Veterinary Science and/or (Honours)
• Final year
• Financial hardship
• Academic merit</t>
  </si>
  <si>
    <t>• Selected Business programs
• Academic merit
• HSL or gap year</t>
  </si>
  <si>
    <t>• Female
• Resident of selected areas
• Provide statement
• 1st year
• Rural or Regional</t>
  </si>
  <si>
    <t>• Rural or Regional
• Resume
•  Written statement - community work and leadership</t>
  </si>
  <si>
    <t>• Rural or Regional
• Provide statement</t>
  </si>
  <si>
    <t xml:space="preserve">• Equity criteria
• Written statement - community work
• Rural or Regional
• Resident of selected areas
• 1st, 2nd or 3rd year </t>
  </si>
  <si>
    <t>• Bachelor of Nursing 
• Successful recipients will be expected to attend at least one event with the donor.
• Equity criteria
• Resident of selected areas</t>
  </si>
  <si>
    <t>• Resident of selected areas - preference
• Bachelor of Social Work
• 1st year
• Written statement - community work
• Mature age students - preference</t>
  </si>
  <si>
    <t>• Provide statement
• Shoalhaven campus</t>
  </si>
  <si>
    <t>• Resident of selected areas
• Must have had a parent or grandparent serve within a operational or peacekeeping role within the australian defence force, or they themselves have similarly served. Operational service with the army reserve qualifies.</t>
  </si>
  <si>
    <t>• Resident of selected areas
• Master of Teaching 
• Written statement - community work</t>
  </si>
  <si>
    <t>• Maintain regional residency</t>
  </si>
  <si>
    <t>• Resident of selected areas
• Written statement - community work</t>
  </si>
  <si>
    <t>• Rural or Regional
• Students from an agricultural background are strongly encouraged to apply.</t>
  </si>
  <si>
    <t>• Disability
• Preference will be giving to medicine (md) or engineering (eis) students
• Community involvement will be strongly considered when awarding this scholarship
• UG preference
• Provide statement</t>
  </si>
  <si>
    <t>• Rural or Regional
• HSC completed in selected regions.
• Faculty of science, medicine &amp; health or a bachelor of public health (arts, social sciences and humanities).</t>
  </si>
  <si>
    <t>• Written &amp; video statement
• 26 or younger
• Disbility</t>
  </si>
  <si>
    <t>• Financial hardship
• Written statement
• Some housing conditions/documentation required</t>
  </si>
  <si>
    <t>• Female Preference
• Written statement - community work
• Selected CDMS programs
• Rural or Regional
• 1st year</t>
  </si>
  <si>
    <t>• Resident of selected areas - preference
• Bachelor of Engineering.
• 1st year</t>
  </si>
  <si>
    <t>• HSL or gap year
• On-campus interview
• Written essay fpr Bachelor of Arts in Western Civilisation course.</t>
  </si>
  <si>
    <t>• Rural or Regional
• Doctor of Medicine (md)</t>
  </si>
  <si>
    <t>• Provide statement
• Academic merit
• Referee reports
• Rural or Regional</t>
  </si>
  <si>
    <t>• Female or non-binary
• Bachelor of Mathematics</t>
  </si>
  <si>
    <t>• Written statement - community work
• Equity criteria
• HSC in selected regions</t>
  </si>
  <si>
    <t>• Equity criteria
• Phase 4 in the doctor of medicine (md) 
• Rural or Regional</t>
  </si>
  <si>
    <t>• Provide statement
• Phase 3 Doctor of Medicine (md)
• Academic merit
• Equity criteria</t>
  </si>
  <si>
    <t>• Rural or Regional
• Written statement - community work</t>
  </si>
  <si>
    <t>• Selected Science programs
• Equity criteria</t>
  </si>
  <si>
    <t>• Doctor of Medicine (md) 
• Written &amp; video statement
• Equity criteria</t>
  </si>
  <si>
    <t>• Provide statement
• Equity criteria
• Rural or Regional
• Bachelor of engineering (mechanical, mechatronic or electrical) 
• 1st year</t>
  </si>
  <si>
    <t>• Resident of selected areas
• Equity criteria
• Written statement - community work
• Provide statement</t>
  </si>
  <si>
    <t>• Equity criteria
• Currently reside in or have completed their HSC in the city of Shoalhaven LGA.
• Written statement - community work</t>
  </si>
  <si>
    <t>• Equity criteria
• urrently reside in or have completed their HSC in the city of Shoalhaven LGA.
• Written statement - community work</t>
  </si>
  <si>
    <t>• Written statement - community work
• School of Education programs
• Equity criteria
• Female
• 1st year</t>
  </si>
  <si>
    <t>• Mature age preference
• Bachelor of Nursing
• Equity criteria</t>
  </si>
  <si>
    <t>• Provide statement
• Equity criteria
• Bachelor of Nursing - Selected subjects</t>
  </si>
  <si>
    <t>• Female
• Equity criteria
• Selected programs in finance/business</t>
  </si>
  <si>
    <t>• Written statement - community work
• Equity criteria</t>
  </si>
  <si>
    <t>• Rural or Regional
• 2nd year or higher of a Bachelor of Laws</t>
  </si>
  <si>
    <t>• Equity criteria</t>
  </si>
  <si>
    <t>• Equity criteria
• Demonstrate their interest and commitment to working well with people with lived experience of mental illness
• Bachelor of Nursing
• 1st year</t>
  </si>
  <si>
    <t>• Intending to apply uow graduate school of medicine md program in the year following the completion of their undergraduate degree.
• applicants must be in their final or penultimate year of any undergraduate degree at the university of wollongong.
• Financial hardship
• Graduate medical school admission test (gamsat).</t>
  </si>
  <si>
    <t>• Rural or Regional
• Equity criteria
• Written statement - community work</t>
  </si>
  <si>
    <t>• Equity criteria
• Bachelor of Engineering</t>
  </si>
  <si>
    <t>• Selected Business and Laws programs
• Female
• Equity criteria</t>
  </si>
  <si>
    <t>• Equity criteria
• Bachelor of Laws
• Written statement - community work
• Resident of selected areas</t>
  </si>
  <si>
    <t>• Phase 2 of the doctor of medicine (md) 
• Equity criteria</t>
  </si>
  <si>
    <t>• Equity criteria
• Written statement - community work</t>
  </si>
  <si>
    <t>• Provide statement
• Equity criteria</t>
  </si>
  <si>
    <t>• Resident of selected areas - preference
• Bachelor of Social Work 
• 1st year
• Written statement - community work
• mature age students are encouraged to apply</t>
  </si>
  <si>
    <t>• Written statement - community work
• Attend an interview
• Penultimate year of a Bachelor of Laws (single or combined llb degree)</t>
  </si>
  <si>
    <t>• Bachelor of medicine - Bachelor of Surgery (mbbs) in autumn 2017 at uow.
• Academic merit
• Must not have received any negative comments regarding personal and profession development (ppd).
• Female</t>
  </si>
  <si>
    <t>• Written statement - community work
• HSC in selected regions</t>
  </si>
  <si>
    <t>• Bega campus</t>
  </si>
  <si>
    <t>• Written statement - community work
• Bachelor of Commerce or Bachelor or Business</t>
  </si>
  <si>
    <t>• Enrolled in UG and plan to progress to honours (or equivalent)
• Written statement - community work</t>
  </si>
  <si>
    <t>• International Relations programs
• Written statement - community work
• 2nd year or PG
• Rural or Regional</t>
  </si>
  <si>
    <t>• Chemistry programs or programs with a major in Chemistry
• Provide statement
• Academic Merit</t>
  </si>
  <si>
    <t>• Written statement - community work
• Honours
• Selected Education programs</t>
  </si>
  <si>
    <t>• Practicum report
• Written statement - community work</t>
  </si>
  <si>
    <t xml:space="preserve">• Encourages applications from students that have a research focus in area such as: pathogenesis, diagnosis, treatment or prevention of meningococcal disease.
• Academic merit
• Bachelor of Medicine/Bachelor of Surgery (mbbs) or a Doctor of Medicine (md) </t>
  </si>
  <si>
    <t>• Written statement - community work
• Bachelor of Nursing</t>
  </si>
  <si>
    <t>• Written statement - community work</t>
  </si>
  <si>
    <t>• Written statement - community work
• Bachelor of Nursing
• Statement on how scholarship will assist</t>
  </si>
  <si>
    <t>• Resident of selected areas
• 1st or 2nd years</t>
  </si>
  <si>
    <t xml:space="preserve">• Provide statement
• Completed at least two professional experiences as part of their degree
• Demonstrate participation in activities that required leadership skills and commitment to quality teaching and provide professional experience reports from the past two years, if available
• Penultimate year of a Bachelor of Education (Primary) </t>
  </si>
  <si>
    <t>• Resident of selected areas
• Master of Teaching 
• Written statement - community work
• 1st year</t>
  </si>
  <si>
    <t xml:space="preserve">• Written statement - community work
• Master of Teaching </t>
  </si>
  <si>
    <t>Community/External</t>
  </si>
  <si>
    <t>• Intention of pursuing a career in a maritime or related field
• Academic Merit
• Masters of Maritime Policy</t>
  </si>
  <si>
    <t>• Graduate Certificate in Maritime Studies 
• Academic Merit</t>
  </si>
  <si>
    <t>• Phase 2 or phase 3 of the Doctor of Medicine 
• Provide statement
• Must have received and maintain a minimum satisfactory grade.</t>
  </si>
  <si>
    <t>• Disability
• Preference will be giving to Medicine (md) or Engineering (eis)
• Community involvement as presented in the application will be strongly considered when awarding this scholarship
• Preference will be given to undergraduate students, however masters and phd students are also welcome to apply
• Provide statement</t>
  </si>
  <si>
    <t>• Female
• Resident of selected areas
• Provide statement</t>
  </si>
  <si>
    <t>• Bachelor of Computer Science 
• Female</t>
  </si>
  <si>
    <t>• Doctor of Medicine (md)
• Provide statement
• Open to both domestic and international students.</t>
  </si>
  <si>
    <t>• Demonstrated interest in / commitment to legal practice
• Bachelor of Laws - 3rd or 4th year
• Academic Merit</t>
  </si>
  <si>
    <t>• Demonstrate an active involvement in a range of sports, social, community and/or charity activities
•  Provide a referenced letter/statement from their gp supervisor in phase 3
• Enrolled in selected subjects
• Available to both domestic and international students enrolled in graduate medicine.</t>
  </si>
  <si>
    <t>• Written and Video statement
• 26 or younger 
• Disability</t>
  </si>
  <si>
    <t>• Provide statement
• Bachelor of Engineering (mechanical, mechatronic or electrical) 
• 1st year</t>
  </si>
  <si>
    <t>• Must be a registered nurse intending to work/are working in nursing part-time during their studies;
• Selected Masters programs in Nursing, Science and Healthcare</t>
  </si>
  <si>
    <t>• Written statement - community work
•Bachelor of Nursing</t>
  </si>
  <si>
    <t>• Academic Merit
• Must be based in the Shoalhaven / Milton Ulladulla hubs;
• Phase 3 - Doctor of Medicine (md) 
• Rural or Regional</t>
  </si>
  <si>
    <t>• Faculty of Science, Medicine &amp; Health
• Academic Merit
• Applicant's supervisory team must consist of at least one molecular horizons primary member
• Provide statement</t>
  </si>
  <si>
    <t>• Demonstrate commitment to community and student life at uow
• Available to both domestic and international students
• 2nd year or above of a Bachelor of Engineering (Civil)</t>
  </si>
  <si>
    <t>• Phase 4 of Doctor of Dedicine (md)
• Academic merit
• Rural or Regional</t>
  </si>
  <si>
    <t>• Resident of selected areas - preference
• Doctor of Medicine 
• Must be planning to undertake their phase 3 placement or phase 4 selective and elective rotations in the clarence valley.
• Rural or Regional</t>
  </si>
  <si>
    <t>• Be a carer of someone living with a hearing and/or speech impairment, and be registered as a carer with uow disability services; or iii) be able to demonstrate a commitment to studying and/or working in an area relating to hearing and/or speech impairments
• OR: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
• Written statement - community work</t>
  </si>
  <si>
    <t>• Resident of selected areas - preference
• Bachelor of Engineering</t>
  </si>
  <si>
    <t>• Bachelor of Engineering (Mining).
• Vacation work may be offered to the successful scholarship recipient.
• 1st or 2nd year</t>
  </si>
  <si>
    <t>• Students with an existing employment relationship with south 32 are not eligible for this scholarship
• 3rd year of a Bachelor of Engineering majoring in Mining, Electrical or Mechanical</t>
  </si>
  <si>
    <t>• 2nd or 3rd year of a Bachelor of Engineering (Mining) 
• Female</t>
  </si>
  <si>
    <t>• Final year of Business or Law program</t>
  </si>
  <si>
    <t>• Mature age - preference
• 2nd or 3rd year Bachelor of Nursing</t>
  </si>
  <si>
    <t>• 3rd or 4th year of eith Bachelor of Computer Science or Bachelor of Engineering
• Academic Merit
• Offered paid work placement 
• Female</t>
  </si>
  <si>
    <t>• 2nd year
• Selected CDMS pograms</t>
  </si>
  <si>
    <t>• Provide statement
• Penultimate year Bachelor of Laws</t>
  </si>
  <si>
    <t>• 3rd year of selected CDMS and Engineering programs
• Written statement</t>
  </si>
  <si>
    <t>• Preference for ACT students
• Complete their work experience in canberra.
• 2nd year of a Bachelor of Engineering (Civil)</t>
  </si>
  <si>
    <t>• Resident of selected areas
• 2nd year selected Engineering programs</t>
  </si>
  <si>
    <t>• 2nd year Bachelor of Business (Supply Chain Management)</t>
  </si>
  <si>
    <t>• Demonstrate an interest in criminal law and advocacy via a written statement.
• Bachelor of Laws</t>
  </si>
  <si>
    <t>• 3rd or 4th year Bachelor of Engineering (Electrical) or (Telecommunications) 
• Provide statement</t>
  </si>
  <si>
    <t>•Penultimate or final year of Bachelor of Engineering (Mechanical, Civil or Architectural) 
• Rural or Regional</t>
  </si>
  <si>
    <t>• Provide statement
• Selected subjects
• 2nd year of a Bachelor of Business (Accounting) or Bachelor of Commerce (Accounting)</t>
  </si>
  <si>
    <t xml:space="preserve">• 3rd year or higher of a Bachelor of Engineering (Mechanical) (Mechatronic) or (Electrical) </t>
  </si>
  <si>
    <t>• Provide statement
• Must have a range of interests and hobbies relevant and supportive of the southern districts rugby club scholarship
• Must be a registered playing member of the southern district rugby club (sdrc) for the duration of the scholarship,
• Academic Merit</t>
  </si>
  <si>
    <t>• Demonstrate involvement in rugby league via submission of a written statement
• Must have competed in either the Illawarra or South Coast junior rugby league (Helensburgh - Milton/Ulladulla) competitions during their hsc year</t>
  </si>
  <si>
    <t>• Must currently be part of or join the minerva network - including matching with a mentor - on awarding of the scholarship and must maintain the connection for the duration of the scholarship.
• Female</t>
  </si>
  <si>
    <t>• Selected Honours programs
• Academic Merit
• Thesis in the area of Operating Systems</t>
  </si>
  <si>
    <t xml:space="preserve">• 3rd year Bachelor of Engineering (Honours) (Mining) </t>
  </si>
  <si>
    <t>• Must be working in the Not-for-Profit sector
• Master of Business Administration or MBA (Executive)</t>
  </si>
  <si>
    <t>• Master of Law Degree 
• Have completed a Bachelor of Laws or a Juris Doctor degree.</t>
  </si>
  <si>
    <t xml:space="preserve">• Juris Doctor </t>
  </si>
  <si>
    <t>• Master of City Planning</t>
  </si>
  <si>
    <t xml:space="preserve">• Master of Architecture </t>
  </si>
  <si>
    <t>• Sporting performance in their nominated sport and/or their potential to become an outstanding sports person based on their performances and ability as at the time of application
• Be deemed an elite athlete representing at a minimum of state level (or similar).</t>
  </si>
  <si>
    <t>• Be a former or transitioning Australian Defence Force Personnel, or their dependent</t>
  </si>
  <si>
    <t>• Female
• Have submitted an Educational Access Scheme or Equity Scholarships application via UAC
• Selected Engineering and Food Science programs</t>
  </si>
  <si>
    <t>• Academic Merit (ATAR)</t>
  </si>
  <si>
    <t>• Bachelor of Cyber Security 
• Indigenous Australian (Aboriginal and/or Torres Strait Islander only) or,
• Be a woman, non-binary or gender-diverse student or,
• Be a former or transitioning Australian Defence Force Personnel</t>
  </si>
  <si>
    <t>• Rural or Regional
• 1st year Bachelor of Medical Studies-Doctor of Medicine
• Be residing at Forster House</t>
  </si>
  <si>
    <t>• Rural or Regional</t>
  </si>
  <si>
    <t>•  Dual Law programs</t>
  </si>
  <si>
    <t xml:space="preserve">• Female
• Bachelor of Construction Management and Property single degree </t>
  </si>
  <si>
    <t>• MBA (Executive) or AGSM MBAX
• Be employed in the not-for-profit sector</t>
  </si>
  <si>
    <t>• Sydney AFLW or Sydney Swans Academy Athlete
• No Residency</t>
  </si>
  <si>
    <t>• Selected Business and Commerce programs</t>
  </si>
  <si>
    <t>• Studying on an ageing related topic under the supervision of aCEPAR Chief Investigator,Associate Investigatoror Research Fellow
• Economics Actuarial StudiesPsychology
• Actuarial Studies Psychology
• Psychology</t>
  </si>
  <si>
    <t>• UG Engineering programs
• Selected PG programs in Business and Engineering</t>
  </si>
  <si>
    <t>• 1st year</t>
  </si>
  <si>
    <t>• 1st year
• Selected Law double degrees</t>
  </si>
  <si>
    <t>$5,000-$7,000</t>
  </si>
  <si>
    <t xml:space="preserve">• Academic Merit
• Written statement </t>
  </si>
  <si>
    <t>$5,000
9 different
scholarships</t>
  </si>
  <si>
    <t>• Academic merit (for all)
• Individial scholarships have their own criteria</t>
  </si>
  <si>
    <t>$5,000-$8,000
11 different
scholarships</t>
  </si>
  <si>
    <t>• Academic merit 
• Only 1 as of Nov 2024 - Sir Rupert Myers Scholarship</t>
  </si>
  <si>
    <t>$5,000
6 different 
scholarships</t>
  </si>
  <si>
    <t>$5,000
2 scholarships</t>
  </si>
  <si>
    <t>• Academic merit (for both)
• Individial scholarships have their own criteria</t>
  </si>
  <si>
    <t>$5,000-$7,000
3 scholarships</t>
  </si>
  <si>
    <t>$12,000-$15,000
3 scholarships</t>
  </si>
  <si>
    <t>$15,000
7 scholarships</t>
  </si>
  <si>
    <t>High Potential
3 scholarhips</t>
  </si>
  <si>
    <t xml:space="preserve">• Selected Engineering and Food Science programs
</t>
  </si>
  <si>
    <t>• Have applied for the Gateway Admissions Pathway (GAP)in 2024 in Round 1 or 2
• Low-socio economic areas (bottom 25%) are based on IRSAD and IEO indexes ofSEIFA criteria.</t>
  </si>
  <si>
    <t>• Year Program in Climate Change Research Centre,supervised by a researcher in the ARC Centre of Excellence</t>
  </si>
  <si>
    <t>• Be or intending to be an active member of the UNSW Touch Football Club</t>
  </si>
  <si>
    <t>$10,000
2 avaliable</t>
  </si>
  <si>
    <t>$5,000
7 avaliable</t>
  </si>
  <si>
    <t>$5,000-$10,000
5 avaliable</t>
  </si>
  <si>
    <t>• Selected allied health and Physiotherapy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</si>
</sst>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514"/>
  <sheetViews>
    <sheetView tabSelected="1" workbookViewId="0">
      <selection activeCell="C387" sqref="C387"/>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458</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356</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357</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358</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359</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445</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341</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342</v>
      </c>
      <c r="H9" t="s">
        <v>25</v>
      </c>
      <c r="I9" t="s">
        <v>25</v>
      </c>
    </row>
    <row r="10" spans="1:9" ht="60"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329</v>
      </c>
      <c r="F10" t="s">
        <v>13</v>
      </c>
      <c r="G10" s="12" t="s">
        <v>457</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456</v>
      </c>
      <c r="H11" t="s">
        <v>25</v>
      </c>
      <c r="I11" t="s">
        <v>25</v>
      </c>
    </row>
    <row r="12" spans="1:9" ht="75"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455</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206</v>
      </c>
      <c r="E13" t="s">
        <v>24</v>
      </c>
      <c r="F13" t="s">
        <v>35</v>
      </c>
      <c r="G13" s="12" t="s">
        <v>207</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208</v>
      </c>
      <c r="E14" t="s">
        <v>201</v>
      </c>
      <c r="F14" t="s">
        <v>35</v>
      </c>
      <c r="G14" s="12" t="s">
        <v>360</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209</v>
      </c>
      <c r="E15" t="s">
        <v>24</v>
      </c>
      <c r="F15" t="s">
        <v>35</v>
      </c>
      <c r="G15" s="12" t="s">
        <v>360</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330</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331</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210</v>
      </c>
      <c r="E18" t="s">
        <v>201</v>
      </c>
      <c r="F18" t="s">
        <v>35</v>
      </c>
      <c r="G18" s="12" t="s">
        <v>361</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332</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211</v>
      </c>
      <c r="E20" t="s">
        <v>24</v>
      </c>
      <c r="F20" t="s">
        <v>13</v>
      </c>
      <c r="G20" s="12" t="s">
        <v>333</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212</v>
      </c>
      <c r="E21" t="s">
        <v>201</v>
      </c>
      <c r="F21" t="s">
        <v>13</v>
      </c>
      <c r="G21" s="12" t="s">
        <v>334</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208</v>
      </c>
      <c r="E22" t="s">
        <v>201</v>
      </c>
      <c r="F22" t="s">
        <v>13</v>
      </c>
      <c r="G22" s="12" t="s">
        <v>335</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213</v>
      </c>
      <c r="E23" t="s">
        <v>24</v>
      </c>
      <c r="F23" t="s">
        <v>13</v>
      </c>
      <c r="G23" s="12" t="s">
        <v>207</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208</v>
      </c>
      <c r="E24" t="s">
        <v>201</v>
      </c>
      <c r="F24" t="s">
        <v>13</v>
      </c>
      <c r="G24" s="12" t="s">
        <v>454</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336</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337</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208</v>
      </c>
      <c r="E27" t="s">
        <v>201</v>
      </c>
      <c r="F27" t="s">
        <v>13</v>
      </c>
      <c r="G27" s="12" t="s">
        <v>338</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339</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214</v>
      </c>
      <c r="E29" t="s">
        <v>24</v>
      </c>
      <c r="F29" t="s">
        <v>197</v>
      </c>
      <c r="G29" s="12" t="s">
        <v>340</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215</v>
      </c>
      <c r="E30" t="s">
        <v>205</v>
      </c>
      <c r="F30" t="s">
        <v>13</v>
      </c>
      <c r="G30" s="12" t="s">
        <v>347</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343</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214</v>
      </c>
      <c r="E32" t="s">
        <v>24</v>
      </c>
      <c r="F32" t="s">
        <v>35</v>
      </c>
      <c r="G32" s="12" t="s">
        <v>344</v>
      </c>
      <c r="H32" t="s">
        <v>25</v>
      </c>
      <c r="I32" t="s">
        <v>25</v>
      </c>
    </row>
    <row r="33" spans="1:9" ht="12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208</v>
      </c>
      <c r="E33" t="s">
        <v>201</v>
      </c>
      <c r="F33" t="s">
        <v>197</v>
      </c>
      <c r="G33" s="12" t="s">
        <v>453</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216</v>
      </c>
      <c r="E34" t="s">
        <v>201</v>
      </c>
      <c r="F34" t="s">
        <v>13</v>
      </c>
      <c r="G34" s="12" t="s">
        <v>207</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345</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210</v>
      </c>
      <c r="E36" t="s">
        <v>24</v>
      </c>
      <c r="F36" t="s">
        <v>13</v>
      </c>
      <c r="G36" s="12" t="s">
        <v>217</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218</v>
      </c>
      <c r="E37" t="s">
        <v>201</v>
      </c>
      <c r="F37" t="s">
        <v>51</v>
      </c>
      <c r="G37" s="12" t="s">
        <v>346</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219</v>
      </c>
      <c r="E38" t="s">
        <v>24</v>
      </c>
      <c r="F38" t="s">
        <v>35</v>
      </c>
      <c r="G38" s="12" t="s">
        <v>452</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340</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210</v>
      </c>
      <c r="E40" t="s">
        <v>24</v>
      </c>
      <c r="F40" t="s">
        <v>13</v>
      </c>
      <c r="G40" s="12" t="s">
        <v>348</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214</v>
      </c>
      <c r="E41" t="s">
        <v>24</v>
      </c>
      <c r="F41" t="s">
        <v>13</v>
      </c>
      <c r="G41" s="12" t="s">
        <v>349</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350</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220</v>
      </c>
      <c r="E43" t="s">
        <v>24</v>
      </c>
      <c r="F43" t="s">
        <v>51</v>
      </c>
      <c r="G43" s="12" t="s">
        <v>221</v>
      </c>
      <c r="H43" t="s">
        <v>25</v>
      </c>
      <c r="I43" t="s">
        <v>25</v>
      </c>
    </row>
    <row r="44" spans="1:9" ht="45" x14ac:dyDescent="0.25">
      <c r="A44" s="2" t="s">
        <v>6</v>
      </c>
      <c r="B44" t="str">
        <f>HYPERLINK("https://www.csu.edu.au/scholarships/scholarships-grants/find-scholarship/foundation/continuing/charles-sturt-foundation-sports-council-scholarship", "SRC Sports Scholarship")</f>
        <v>SRC Sports Scholarship</v>
      </c>
      <c r="C44" t="s">
        <v>27</v>
      </c>
      <c r="D44" t="s">
        <v>214</v>
      </c>
      <c r="E44" t="s">
        <v>24</v>
      </c>
      <c r="F44" t="s">
        <v>51</v>
      </c>
      <c r="G44" s="12" t="s">
        <v>459</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222</v>
      </c>
      <c r="E45" t="s">
        <v>31</v>
      </c>
      <c r="F45" t="s">
        <v>13</v>
      </c>
      <c r="G45" s="12" t="s">
        <v>351</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352</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353</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354</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223</v>
      </c>
      <c r="E49" t="s">
        <v>24</v>
      </c>
      <c r="F49" t="s">
        <v>35</v>
      </c>
      <c r="G49" s="12" t="s">
        <v>355</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225</v>
      </c>
      <c r="E50" t="s">
        <v>24</v>
      </c>
      <c r="F50" t="s">
        <v>13</v>
      </c>
      <c r="G50" s="12" t="s">
        <v>226</v>
      </c>
      <c r="H50" t="s">
        <v>25</v>
      </c>
      <c r="I50" t="s">
        <v>25</v>
      </c>
    </row>
    <row r="51" spans="1:9" ht="135" x14ac:dyDescent="0.25">
      <c r="A51" s="2" t="s">
        <v>6</v>
      </c>
      <c r="B51" t="str">
        <f>HYPERLINK("https://www.csu.edu.au/scholarships/scholarships-grants/find-scholarship/foundation/continuing/staffgive-work-placement-prize", "Staffgive Work Placement Prize")</f>
        <v>Staffgive Work Placement Prize</v>
      </c>
      <c r="C51" t="s">
        <v>27</v>
      </c>
      <c r="D51" t="s">
        <v>214</v>
      </c>
      <c r="E51" t="s">
        <v>24</v>
      </c>
      <c r="F51" t="s">
        <v>13</v>
      </c>
      <c r="G51" s="12" t="s">
        <v>460</v>
      </c>
      <c r="H51" t="s">
        <v>25</v>
      </c>
      <c r="I51" t="s">
        <v>16</v>
      </c>
    </row>
    <row r="52" spans="1:9" ht="90"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227</v>
      </c>
      <c r="E52" t="s">
        <v>24</v>
      </c>
      <c r="F52" t="s">
        <v>13</v>
      </c>
      <c r="G52" s="12" t="s">
        <v>461</v>
      </c>
      <c r="H52" t="s">
        <v>25</v>
      </c>
      <c r="I52" t="s">
        <v>25</v>
      </c>
    </row>
    <row r="53" spans="1:9" ht="7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462</v>
      </c>
      <c r="H53" t="s">
        <v>25</v>
      </c>
      <c r="I53" t="s">
        <v>25</v>
      </c>
    </row>
    <row r="54" spans="1:9" ht="210"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463</v>
      </c>
      <c r="H54" t="s">
        <v>25</v>
      </c>
      <c r="I54" t="s">
        <v>25</v>
      </c>
    </row>
    <row r="55" spans="1:9" ht="60" x14ac:dyDescent="0.25">
      <c r="A55" s="2" t="s">
        <v>6</v>
      </c>
      <c r="B55" t="str">
        <f>HYPERLINK("https://www.csu.edu.au/scholarships/scholarships-grants/find-scholarship/foundation/any-year/lions-club-of-albury-inc.-scholarship", "Lions Club of Albury Inc. Scholarship")</f>
        <v>Lions Club of Albury Inc. Scholarship</v>
      </c>
      <c r="C55" t="s">
        <v>27</v>
      </c>
      <c r="D55" t="s">
        <v>228</v>
      </c>
      <c r="E55" t="s">
        <v>24</v>
      </c>
      <c r="F55" t="s">
        <v>13</v>
      </c>
      <c r="G55" s="12" t="s">
        <v>464</v>
      </c>
      <c r="H55" t="s">
        <v>25</v>
      </c>
      <c r="I55" t="s">
        <v>25</v>
      </c>
    </row>
    <row r="56" spans="1:9" ht="45"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465</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207</v>
      </c>
      <c r="H57" t="s">
        <v>25</v>
      </c>
      <c r="I57" t="s">
        <v>25</v>
      </c>
    </row>
    <row r="58" spans="1:9" ht="7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466</v>
      </c>
      <c r="H58" t="s">
        <v>25</v>
      </c>
      <c r="I58" t="s">
        <v>25</v>
      </c>
    </row>
    <row r="59" spans="1:9" ht="75" x14ac:dyDescent="0.25">
      <c r="A59" s="2" t="s">
        <v>6</v>
      </c>
      <c r="B59" t="str">
        <f>HYPERLINK("https://www.csu.edu.au/scholarships/scholarships-grants/find-scholarship/foundation/1st-year/ron-camplin-scholarship", "Dr Ron Camplin Scholarship OAM")</f>
        <v>Dr Ron Camplin Scholarship OAM</v>
      </c>
      <c r="C59" t="s">
        <v>27</v>
      </c>
      <c r="D59" t="s">
        <v>229</v>
      </c>
      <c r="E59" t="s">
        <v>201</v>
      </c>
      <c r="F59" t="s">
        <v>13</v>
      </c>
      <c r="G59" s="12" t="s">
        <v>467</v>
      </c>
      <c r="H59" t="s">
        <v>25</v>
      </c>
      <c r="I59" t="s">
        <v>25</v>
      </c>
    </row>
    <row r="60" spans="1:9" ht="4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468</v>
      </c>
      <c r="H60" t="s">
        <v>25</v>
      </c>
      <c r="I60" t="s">
        <v>25</v>
      </c>
    </row>
    <row r="61" spans="1:9" ht="45" x14ac:dyDescent="0.25">
      <c r="A61" s="2" t="s">
        <v>6</v>
      </c>
      <c r="B61" t="str">
        <f>HYPERLINK("https://www.csu.edu.au/scholarships/scholarships-grants/find-scholarship/foundation/any-year/bowcher-family-scholarship", "Bowcher Family Scholarship")</f>
        <v>Bowcher Family Scholarship</v>
      </c>
      <c r="C61" t="s">
        <v>14</v>
      </c>
      <c r="D61" t="s">
        <v>230</v>
      </c>
      <c r="E61" t="s">
        <v>24</v>
      </c>
      <c r="F61" t="s">
        <v>197</v>
      </c>
      <c r="G61" s="12" t="s">
        <v>469</v>
      </c>
      <c r="H61" t="s">
        <v>25</v>
      </c>
      <c r="I61" t="s">
        <v>25</v>
      </c>
    </row>
    <row r="62" spans="1:9" ht="10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470</v>
      </c>
      <c r="H62" t="s">
        <v>25</v>
      </c>
      <c r="I62" t="s">
        <v>16</v>
      </c>
    </row>
    <row r="63" spans="1:9" ht="90"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214</v>
      </c>
      <c r="E63" t="s">
        <v>201</v>
      </c>
      <c r="F63" t="s">
        <v>35</v>
      </c>
      <c r="G63" s="12" t="s">
        <v>471</v>
      </c>
      <c r="H63" t="s">
        <v>25</v>
      </c>
      <c r="I63" t="s">
        <v>25</v>
      </c>
    </row>
    <row r="64" spans="1:9" ht="6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211</v>
      </c>
      <c r="E64" t="s">
        <v>24</v>
      </c>
      <c r="F64" t="s">
        <v>13</v>
      </c>
      <c r="G64" s="12" t="s">
        <v>472</v>
      </c>
      <c r="H64" t="s">
        <v>25</v>
      </c>
      <c r="I64" t="s">
        <v>25</v>
      </c>
    </row>
    <row r="65" spans="1:9" ht="195" x14ac:dyDescent="0.25">
      <c r="A65" s="2" t="s">
        <v>6</v>
      </c>
      <c r="B65" t="str">
        <f>HYPERLINK("https://www.csu.edu.au/scholarships/scholarships-grants/find-scholarship/foundation/continuing/daily-advertiser-scholarship", "Daily Advertiser Scholarship")</f>
        <v>Daily Advertiser Scholarship</v>
      </c>
      <c r="C65" t="s">
        <v>14</v>
      </c>
      <c r="D65" t="s">
        <v>231</v>
      </c>
      <c r="E65" t="s">
        <v>24</v>
      </c>
      <c r="F65" t="s">
        <v>13</v>
      </c>
      <c r="G65" s="12" t="s">
        <v>473</v>
      </c>
      <c r="H65" t="s">
        <v>25</v>
      </c>
      <c r="I65" t="s">
        <v>25</v>
      </c>
    </row>
    <row r="66" spans="1:9" ht="45"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474</v>
      </c>
      <c r="H66" t="s">
        <v>25</v>
      </c>
      <c r="I66" t="s">
        <v>25</v>
      </c>
    </row>
    <row r="67" spans="1:9" ht="45"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475</v>
      </c>
      <c r="H67" t="s">
        <v>25</v>
      </c>
      <c r="I67" t="s">
        <v>25</v>
      </c>
    </row>
    <row r="68" spans="1:9" ht="45" x14ac:dyDescent="0.25">
      <c r="A68" s="2" t="s">
        <v>6</v>
      </c>
      <c r="B68" t="str">
        <f>HYPERLINK("https://www.csu.edu.au/scholarships/scholarships-grants/find-scholarship/foundation/1st-year/the-carole-and-stan-droder-prize", "The Carole and Stan Droder Prize")</f>
        <v>The Carole and Stan Droder Prize</v>
      </c>
      <c r="C68" t="s">
        <v>14</v>
      </c>
      <c r="D68" t="s">
        <v>214</v>
      </c>
      <c r="E68" t="s">
        <v>24</v>
      </c>
      <c r="F68" t="s">
        <v>13</v>
      </c>
      <c r="G68" s="12" t="s">
        <v>476</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215</v>
      </c>
      <c r="E69" t="s">
        <v>201</v>
      </c>
      <c r="F69" t="s">
        <v>35</v>
      </c>
      <c r="G69" s="12" t="s">
        <v>362</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363</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364</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365</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208</v>
      </c>
      <c r="E73" t="s">
        <v>205</v>
      </c>
      <c r="F73" t="s">
        <v>13</v>
      </c>
      <c r="G73" s="12" t="s">
        <v>366</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367</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232</v>
      </c>
      <c r="E75" t="s">
        <v>201</v>
      </c>
      <c r="F75" t="s">
        <v>35</v>
      </c>
      <c r="G75" s="12" t="s">
        <v>368</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369</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219</v>
      </c>
      <c r="E77" t="s">
        <v>24</v>
      </c>
      <c r="F77" t="s">
        <v>13</v>
      </c>
      <c r="G77" s="12" t="s">
        <v>370</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230</v>
      </c>
      <c r="E78" t="s">
        <v>201</v>
      </c>
      <c r="F78" t="s">
        <v>13</v>
      </c>
      <c r="G78" s="12" t="s">
        <v>371</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372</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233</v>
      </c>
      <c r="E80" t="s">
        <v>201</v>
      </c>
      <c r="F80" t="s">
        <v>13</v>
      </c>
      <c r="G80" s="12" t="s">
        <v>373</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234</v>
      </c>
      <c r="E81" t="s">
        <v>201</v>
      </c>
      <c r="F81" t="s">
        <v>375</v>
      </c>
      <c r="G81" s="12" t="s">
        <v>374</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234</v>
      </c>
      <c r="E82" t="s">
        <v>201</v>
      </c>
      <c r="F82" t="s">
        <v>35</v>
      </c>
      <c r="G82" s="12" t="s">
        <v>376</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236</v>
      </c>
      <c r="E83" t="s">
        <v>205</v>
      </c>
      <c r="F83" t="s">
        <v>35</v>
      </c>
      <c r="G83" s="12" t="s">
        <v>377</v>
      </c>
      <c r="H83" t="s">
        <v>25</v>
      </c>
      <c r="I83" t="s">
        <v>25</v>
      </c>
    </row>
    <row r="84" spans="1:9" ht="90"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477</v>
      </c>
      <c r="H84" t="s">
        <v>25</v>
      </c>
      <c r="I84" t="s">
        <v>25</v>
      </c>
    </row>
    <row r="85" spans="1:9" ht="7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224</v>
      </c>
      <c r="E85" t="s">
        <v>24</v>
      </c>
      <c r="F85" t="s">
        <v>13</v>
      </c>
      <c r="G85" s="12" t="s">
        <v>478</v>
      </c>
      <c r="H85" t="s">
        <v>25</v>
      </c>
      <c r="I85" t="s">
        <v>25</v>
      </c>
    </row>
    <row r="86" spans="1:9" ht="60" x14ac:dyDescent="0.25">
      <c r="A86" s="2" t="s">
        <v>6</v>
      </c>
      <c r="B86" t="str">
        <f>HYPERLINK("https://www.csu.edu.au/scholarships/scholarships-grants/find-scholarship/foundation/any-year/the-hayes-scholarship", "The Hayes Scholarship")</f>
        <v>The Hayes Scholarship</v>
      </c>
      <c r="C86" t="s">
        <v>27</v>
      </c>
      <c r="D86" t="s">
        <v>208</v>
      </c>
      <c r="E86" t="s">
        <v>201</v>
      </c>
      <c r="F86" t="s">
        <v>197</v>
      </c>
      <c r="G86" s="12" t="s">
        <v>479</v>
      </c>
      <c r="H86" t="s">
        <v>25</v>
      </c>
      <c r="I86" t="s">
        <v>25</v>
      </c>
    </row>
    <row r="87" spans="1:9" ht="75" x14ac:dyDescent="0.25">
      <c r="A87" s="2" t="s">
        <v>6</v>
      </c>
      <c r="B87" t="str">
        <f>HYPERLINK("https://www.csu.edu.au/scholarships/scholarships-grants/find-scholarship/foundation/any-year/lionel-allen-memorial-scholarship", "Lionel Allen Memorial Scholarship")</f>
        <v>Lionel Allen Memorial Scholarship</v>
      </c>
      <c r="C87" t="s">
        <v>27</v>
      </c>
      <c r="D87" s="7" t="s">
        <v>210</v>
      </c>
      <c r="E87" t="s">
        <v>24</v>
      </c>
      <c r="F87" t="s">
        <v>13</v>
      </c>
      <c r="G87" s="12" t="s">
        <v>480</v>
      </c>
      <c r="H87" t="s">
        <v>25</v>
      </c>
      <c r="I87" t="s">
        <v>25</v>
      </c>
    </row>
    <row r="88" spans="1:9" ht="60"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237</v>
      </c>
      <c r="E88" t="s">
        <v>201</v>
      </c>
      <c r="F88" t="s">
        <v>35</v>
      </c>
      <c r="G88" s="12" t="s">
        <v>481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437</v>
      </c>
      <c r="E89" t="s">
        <v>262</v>
      </c>
      <c r="F89" t="s">
        <v>13</v>
      </c>
      <c r="G89" s="12" t="s">
        <v>431</v>
      </c>
      <c r="H89" t="s">
        <v>21</v>
      </c>
      <c r="I89" t="s">
        <v>25</v>
      </c>
    </row>
    <row r="90" spans="1:9" ht="75"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482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483</v>
      </c>
      <c r="H91" t="s">
        <v>25</v>
      </c>
      <c r="I91" t="s">
        <v>25</v>
      </c>
    </row>
    <row r="92" spans="1:9" ht="120" x14ac:dyDescent="0.25">
      <c r="A92" s="2" t="s">
        <v>6</v>
      </c>
      <c r="B92" t="str">
        <f>HYPERLINK("https://www.csu.edu.au/scholarships/scholarships-grants/find-scholarship/foundation/any-year/rotary-club-of-liverpool-west-scholarship2", "Rotary Club of Liverpool West Scholarship")</f>
        <v>Rotary Club of Liverpool West Scholarship</v>
      </c>
      <c r="C92" t="s">
        <v>14</v>
      </c>
      <c r="D92" t="s">
        <v>238</v>
      </c>
      <c r="E92" t="s">
        <v>201</v>
      </c>
      <c r="F92" t="s">
        <v>13</v>
      </c>
      <c r="G92" s="12" t="s">
        <v>484</v>
      </c>
      <c r="H92" t="s">
        <v>25</v>
      </c>
      <c r="I92" t="s">
        <v>25</v>
      </c>
    </row>
    <row r="93" spans="1:9" ht="60" x14ac:dyDescent="0.25">
      <c r="A93" s="2" t="s">
        <v>6</v>
      </c>
      <c r="B93" t="str">
        <f>HYPERLINK("https://www.csu.edu.au/scholarships/scholarships-grants/find-scholarship/foundation/1st-year/the-dominos-pizza-business-and-leadership-scholarship", "The Domino's Pizza Business &amp; Leadership scholarship")</f>
        <v>The Domino's Pizza Business &amp; Leadership scholarship</v>
      </c>
      <c r="C93" t="s">
        <v>14</v>
      </c>
      <c r="D93" s="7" t="s">
        <v>210</v>
      </c>
      <c r="E93" t="s">
        <v>24</v>
      </c>
      <c r="F93" t="s">
        <v>13</v>
      </c>
      <c r="G93" s="12" t="s">
        <v>485</v>
      </c>
      <c r="H93" t="s">
        <v>25</v>
      </c>
      <c r="I93" t="s">
        <v>25</v>
      </c>
    </row>
    <row r="94" spans="1:9" ht="90" x14ac:dyDescent="0.25">
      <c r="A94" s="2" t="s">
        <v>6</v>
      </c>
      <c r="B94" s="14" t="str">
        <f>HYPERLINK("https://www.csu.edu.au/scholarships/scholarships-grants/find-scholarship/foundation/any-year/gordon-bullock-memorial-scholarship", "Gordon Bullock Memorial Scholarship")</f>
        <v>Gordon Bullock Memorial Scholarship</v>
      </c>
      <c r="C94" t="s">
        <v>27</v>
      </c>
      <c r="D94" s="7" t="s">
        <v>193</v>
      </c>
      <c r="E94" t="s">
        <v>24</v>
      </c>
      <c r="F94" t="s">
        <v>13</v>
      </c>
      <c r="G94" s="12" t="s">
        <v>486</v>
      </c>
      <c r="H94" t="s">
        <v>25</v>
      </c>
      <c r="I94" t="s">
        <v>25</v>
      </c>
    </row>
    <row r="95" spans="1:9" ht="60" x14ac:dyDescent="0.25">
      <c r="A95" s="2" t="s">
        <v>6</v>
      </c>
      <c r="B95" t="str">
        <f>HYPERLINK("https://www.csu.edu.au/scholarships/scholarships-grants/find-scholarship/foundation/continuing/boston-private-wealth-scholarship", "Boston Private Wealth Scholarship")</f>
        <v>Boston Private Wealth Scholarship</v>
      </c>
      <c r="C95" t="s">
        <v>27</v>
      </c>
      <c r="D95" t="s">
        <v>239</v>
      </c>
      <c r="E95" t="s">
        <v>24</v>
      </c>
      <c r="F95" t="s">
        <v>13</v>
      </c>
      <c r="G95" s="12" t="s">
        <v>487</v>
      </c>
      <c r="H95" t="s">
        <v>25</v>
      </c>
      <c r="I95" t="s">
        <v>25</v>
      </c>
    </row>
    <row r="96" spans="1:9" ht="120" x14ac:dyDescent="0.25">
      <c r="A96" s="2" t="s">
        <v>6</v>
      </c>
      <c r="B96" t="str">
        <f>HYPERLINK("https://www.csu.edu.au/scholarships/scholarships-grants/find-scholarship/foundation/any-year/precision-paper-coatings-pty-ltd-scholarship", "Precision Paper Coatings Pty Ltd Scholarship")</f>
        <v>Precision Paper Coatings Pty Ltd Scholarship</v>
      </c>
      <c r="C96" t="s">
        <v>27</v>
      </c>
      <c r="D96" t="s">
        <v>238</v>
      </c>
      <c r="E96" t="s">
        <v>201</v>
      </c>
      <c r="F96" t="s">
        <v>13</v>
      </c>
      <c r="G96" s="12" t="s">
        <v>488</v>
      </c>
      <c r="H96" t="s">
        <v>25</v>
      </c>
      <c r="I96" t="s">
        <v>25</v>
      </c>
    </row>
    <row r="97" spans="1:9" ht="45" x14ac:dyDescent="0.25">
      <c r="A97" s="2" t="s">
        <v>6</v>
      </c>
      <c r="B97" t="str">
        <f>HYPERLINK("https://www.csu.edu.au/scholarships/scholarships-grants/find-scholarship/foundation/any-year/nsw-public-libraries-association-scholarship", "NSW Public Libraries Association Scholarship")</f>
        <v>NSW Public Libraries Association Scholarship</v>
      </c>
      <c r="C97" t="s">
        <v>27</v>
      </c>
      <c r="D97" t="s">
        <v>208</v>
      </c>
      <c r="E97" t="s">
        <v>201</v>
      </c>
      <c r="F97" t="s">
        <v>13</v>
      </c>
      <c r="G97" s="12" t="s">
        <v>489</v>
      </c>
      <c r="H97" t="s">
        <v>25</v>
      </c>
      <c r="I97" t="s">
        <v>25</v>
      </c>
    </row>
    <row r="98" spans="1:9" ht="60" x14ac:dyDescent="0.25">
      <c r="A98" s="2" t="s">
        <v>6</v>
      </c>
      <c r="B98" t="str">
        <f>HYPERLINK("https://www.csu.edu.au/scholarships/scholarships-grants/find-scholarship/foundation/1st-year/albury-city-council-community-leadership-and-resilience-scholarship", "AlburyCity Council Community Leadership Scholarship")</f>
        <v>AlburyCity Council Community Leadership Scholarship</v>
      </c>
      <c r="C98" t="s">
        <v>27</v>
      </c>
      <c r="D98" t="s">
        <v>240</v>
      </c>
      <c r="E98" t="s">
        <v>201</v>
      </c>
      <c r="F98" t="s">
        <v>51</v>
      </c>
      <c r="G98" s="12" t="s">
        <v>490</v>
      </c>
      <c r="H98" t="s">
        <v>25</v>
      </c>
      <c r="I98" t="s">
        <v>25</v>
      </c>
    </row>
    <row r="99" spans="1:9" ht="90" x14ac:dyDescent="0.25">
      <c r="A99" s="2" t="s">
        <v>6</v>
      </c>
      <c r="B99" t="str">
        <f>HYPERLINK("https://www.csu.edu.au/scholarships/scholarships-grants/find-scholarship/foundation/any-year/rural-australia-foundation-scholarship", "Rural Australia Foundation Scholarship")</f>
        <v>Rural Australia Foundation Scholarship</v>
      </c>
      <c r="C99" t="s">
        <v>27</v>
      </c>
      <c r="D99" s="7" t="s">
        <v>208</v>
      </c>
      <c r="E99" t="s">
        <v>24</v>
      </c>
      <c r="F99" t="s">
        <v>13</v>
      </c>
      <c r="G99" s="12" t="s">
        <v>491</v>
      </c>
      <c r="H99" t="s">
        <v>25</v>
      </c>
      <c r="I99" t="s">
        <v>25</v>
      </c>
    </row>
    <row r="100" spans="1:9" ht="150" x14ac:dyDescent="0.25">
      <c r="A100" s="2" t="s">
        <v>6</v>
      </c>
      <c r="B100" t="str">
        <f>HYPERLINK("https://www.csu.edu.au/scholarships/scholarships-grants/find-scholarship/foundation/continuing/therapy-alliance-group-allied-health-scholarship", "Therapy Alliance Group Allied Health Scholarship")</f>
        <v>Therapy Alliance Group Allied Health Scholarship</v>
      </c>
      <c r="C100" t="s">
        <v>27</v>
      </c>
      <c r="D100" t="s">
        <v>203</v>
      </c>
      <c r="E100" t="s">
        <v>201</v>
      </c>
      <c r="F100" t="s">
        <v>35</v>
      </c>
      <c r="G100" s="12" t="s">
        <v>492</v>
      </c>
      <c r="H100" t="s">
        <v>25</v>
      </c>
      <c r="I100" t="s">
        <v>25</v>
      </c>
    </row>
    <row r="101" spans="1:9" ht="60" x14ac:dyDescent="0.25">
      <c r="A101" s="2" t="s">
        <v>6</v>
      </c>
      <c r="B101" t="str">
        <f>HYPERLINK("https://www.csu.edu.au/scholarships/scholarships-grants/find-scholarship/foundation/any-year/ann-gwynn-jones-memorial-scholarship", "Ann Gwynn-Jones Memorial Scholarship")</f>
        <v>Ann Gwynn-Jones Memorial Scholarship</v>
      </c>
      <c r="C101" t="s">
        <v>27</v>
      </c>
      <c r="D101" t="s">
        <v>216</v>
      </c>
      <c r="E101" t="s">
        <v>24</v>
      </c>
      <c r="F101" t="s">
        <v>197</v>
      </c>
      <c r="G101" s="12" t="s">
        <v>493</v>
      </c>
      <c r="H101" t="s">
        <v>25</v>
      </c>
      <c r="I101" t="s">
        <v>25</v>
      </c>
    </row>
    <row r="102" spans="1:9" ht="135" x14ac:dyDescent="0.25">
      <c r="A102" s="2" t="s">
        <v>6</v>
      </c>
      <c r="B102" t="str">
        <f>HYPERLINK("https://www.csu.edu.au/scholarships/scholarships-grants/find-scholarship/foundation/continuing/the-marila-kozdra-allied-health-excellence-scholarship", "The Marila Kozdra Allied Health Excellence Scholarship")</f>
        <v>The Marila Kozdra Allied Health Excellence Scholarship</v>
      </c>
      <c r="C102" t="s">
        <v>27</v>
      </c>
      <c r="D102" t="s">
        <v>203</v>
      </c>
      <c r="E102" t="s">
        <v>201</v>
      </c>
      <c r="F102" t="s">
        <v>35</v>
      </c>
      <c r="G102" s="12" t="s">
        <v>494</v>
      </c>
      <c r="H102" t="s">
        <v>25</v>
      </c>
      <c r="I102" t="s">
        <v>25</v>
      </c>
    </row>
    <row r="103" spans="1:9" ht="90" x14ac:dyDescent="0.25">
      <c r="A103" s="2" t="s">
        <v>6</v>
      </c>
      <c r="B103" t="str">
        <f>HYPERLINK("https://www.csu.edu.au/scholarships/scholarships-grants/find-scholarship/foundation/any-year/dawn-rigby-memorial-scholarship", "Dawn Rigby Memorial Scholarship")</f>
        <v>Dawn Rigby Memorial Scholarship</v>
      </c>
      <c r="C103" t="s">
        <v>14</v>
      </c>
      <c r="D103" s="7" t="s">
        <v>231</v>
      </c>
      <c r="E103" t="s">
        <v>24</v>
      </c>
      <c r="F103" t="s">
        <v>13</v>
      </c>
      <c r="G103" s="12" t="s">
        <v>495</v>
      </c>
      <c r="H103" t="s">
        <v>25</v>
      </c>
      <c r="I103" t="s">
        <v>25</v>
      </c>
    </row>
    <row r="104" spans="1:9" ht="90" x14ac:dyDescent="0.25">
      <c r="A104" s="2" t="s">
        <v>6</v>
      </c>
      <c r="B104" t="str">
        <f>HYPERLINK("https://www.csu.edu.au/scholarships/scholarships-grants/find-scholarship/foundation/1st-year/riverina-water-county-council-scholarship", "Riverina Water Scholarship")</f>
        <v>Riverina Water Scholarship</v>
      </c>
      <c r="C104" t="s">
        <v>27</v>
      </c>
      <c r="D104" t="s">
        <v>234</v>
      </c>
      <c r="E104" t="s">
        <v>201</v>
      </c>
      <c r="F104" t="s">
        <v>35</v>
      </c>
      <c r="G104" s="12" t="s">
        <v>496</v>
      </c>
      <c r="H104" t="s">
        <v>25</v>
      </c>
      <c r="I104" t="s">
        <v>25</v>
      </c>
    </row>
    <row r="105" spans="1:9" ht="240" x14ac:dyDescent="0.25">
      <c r="A105" s="2" t="s">
        <v>6</v>
      </c>
      <c r="B105" t="str">
        <f>HYPERLINK("https://www.csu.edu.au/scholarships/scholarships-grants/find-scholarship/foundation/continuing/white-family-scholarship", "White Family Scholarship")</f>
        <v>White Family Scholarship</v>
      </c>
      <c r="C105" t="s">
        <v>27</v>
      </c>
      <c r="D105" s="7" t="s">
        <v>211</v>
      </c>
      <c r="E105" t="s">
        <v>24</v>
      </c>
      <c r="F105" t="s">
        <v>13</v>
      </c>
      <c r="G105" s="12" t="s">
        <v>497</v>
      </c>
      <c r="H105" t="s">
        <v>25</v>
      </c>
      <c r="I105" t="s">
        <v>25</v>
      </c>
    </row>
    <row r="106" spans="1:9" ht="90" x14ac:dyDescent="0.25">
      <c r="A106" s="2" t="s">
        <v>6</v>
      </c>
      <c r="B106" t="str">
        <f>HYPERLINK("https://www.csu.edu.au/scholarships/scholarships-grants/find-scholarship/foundation/any-year/mr-oliver-and-mrs-heather-fiala-am-scholarship", "Dr Oliver &amp; Mrs Heather Fiala AM Scholarship")</f>
        <v>Dr Oliver &amp; Mrs Heather Fiala AM Scholarship</v>
      </c>
      <c r="C106" t="s">
        <v>27</v>
      </c>
      <c r="D106" t="s">
        <v>193</v>
      </c>
      <c r="E106" t="s">
        <v>24</v>
      </c>
      <c r="F106" t="s">
        <v>13</v>
      </c>
      <c r="G106" s="12" t="s">
        <v>498</v>
      </c>
      <c r="H106" t="s">
        <v>25</v>
      </c>
      <c r="I106" t="s">
        <v>25</v>
      </c>
    </row>
    <row r="107" spans="1:9" ht="75" x14ac:dyDescent="0.25">
      <c r="A107" s="2" t="s">
        <v>6</v>
      </c>
      <c r="B107"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7" t="s">
        <v>27</v>
      </c>
      <c r="D107" t="s">
        <v>241</v>
      </c>
      <c r="E107" t="s">
        <v>201</v>
      </c>
      <c r="F107" t="s">
        <v>35</v>
      </c>
      <c r="G107" s="12" t="s">
        <v>432</v>
      </c>
      <c r="H107" t="s">
        <v>25</v>
      </c>
      <c r="I107" t="s">
        <v>25</v>
      </c>
    </row>
    <row r="108" spans="1:9" ht="90" x14ac:dyDescent="0.25">
      <c r="A108" s="2" t="s">
        <v>6</v>
      </c>
      <c r="B108" t="str">
        <f>HYPERLINK("https://www.csu.edu.au/scholarships/scholarships-grants/find-scholarship/equity/three-rivers-drh-commencing-student-scholarship", "Three Rivers DRH Commencing Student Scholarship")</f>
        <v>Three Rivers DRH Commencing Student Scholarship</v>
      </c>
      <c r="C108" t="s">
        <v>27</v>
      </c>
      <c r="D108" s="7" t="s">
        <v>208</v>
      </c>
      <c r="E108" t="s">
        <v>201</v>
      </c>
      <c r="F108" t="s">
        <v>35</v>
      </c>
      <c r="G108" s="12" t="s">
        <v>433</v>
      </c>
      <c r="H108" t="s">
        <v>25</v>
      </c>
      <c r="I108" t="s">
        <v>25</v>
      </c>
    </row>
    <row r="109" spans="1:9" ht="75" x14ac:dyDescent="0.25">
      <c r="A109" s="2" t="s">
        <v>6</v>
      </c>
      <c r="B109" t="str">
        <f>HYPERLINK("https://www.csu.edu.au/scholarships/scholarships-grants/find-scholarship/equity/three-rivers-drh-aged-care-commencing-student-scholarship", "Three Rivers DRH Aged Care Commencing Student Scholarship")</f>
        <v>Three Rivers DRH Aged Care Commencing Student Scholarship</v>
      </c>
      <c r="C109" t="s">
        <v>27</v>
      </c>
      <c r="D109" t="s">
        <v>242</v>
      </c>
      <c r="E109" t="s">
        <v>243</v>
      </c>
      <c r="F109" t="s">
        <v>35</v>
      </c>
      <c r="G109" s="12" t="s">
        <v>432</v>
      </c>
      <c r="H109" t="s">
        <v>25</v>
      </c>
      <c r="I109" t="s">
        <v>25</v>
      </c>
    </row>
    <row r="110" spans="1:9" ht="105" x14ac:dyDescent="0.25">
      <c r="A110" s="2" t="s">
        <v>6</v>
      </c>
      <c r="B110" t="str">
        <f>HYPERLINK("https://www.csu.edu.au/scholarships/scholarships-grants/find-scholarship/foundation/any-year/jacob-berry-memorial-scholarship", "Jacob Berry Memorial Scholarship")</f>
        <v>Jacob Berry Memorial Scholarship</v>
      </c>
      <c r="C110" t="s">
        <v>27</v>
      </c>
      <c r="D110" t="s">
        <v>228</v>
      </c>
      <c r="E110" t="s">
        <v>201</v>
      </c>
      <c r="F110" t="s">
        <v>13</v>
      </c>
      <c r="G110" s="12" t="s">
        <v>499</v>
      </c>
      <c r="H110" t="s">
        <v>25</v>
      </c>
      <c r="I110" t="s">
        <v>25</v>
      </c>
    </row>
    <row r="111" spans="1:9" ht="75" x14ac:dyDescent="0.25">
      <c r="A111" s="2" t="s">
        <v>6</v>
      </c>
      <c r="B111"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1" t="s">
        <v>27</v>
      </c>
      <c r="D111" t="s">
        <v>244</v>
      </c>
      <c r="E111" t="s">
        <v>205</v>
      </c>
      <c r="F111" t="s">
        <v>35</v>
      </c>
      <c r="G111" s="12" t="s">
        <v>432</v>
      </c>
      <c r="H111" t="s">
        <v>25</v>
      </c>
      <c r="I111" t="s">
        <v>25</v>
      </c>
    </row>
    <row r="112" spans="1:9" ht="105" x14ac:dyDescent="0.25">
      <c r="A112" s="2" t="s">
        <v>6</v>
      </c>
      <c r="B112" t="str">
        <f>HYPERLINK("https://www.csu.edu.au/scholarships/scholarships-grants/find-scholarship/foundation/any-year/centacare-south-west-nsw-scholarship", "Centacare South West NSW Scholarship")</f>
        <v>Centacare South West NSW Scholarship</v>
      </c>
      <c r="C112" t="s">
        <v>27</v>
      </c>
      <c r="D112" t="s">
        <v>203</v>
      </c>
      <c r="E112" t="s">
        <v>24</v>
      </c>
      <c r="F112" t="s">
        <v>35</v>
      </c>
      <c r="G112" s="12" t="s">
        <v>500</v>
      </c>
      <c r="H112" t="s">
        <v>25</v>
      </c>
      <c r="I112" t="s">
        <v>25</v>
      </c>
    </row>
    <row r="113" spans="1:9" ht="75" x14ac:dyDescent="0.25">
      <c r="A113" s="2" t="s">
        <v>6</v>
      </c>
      <c r="B113"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3" t="s">
        <v>27</v>
      </c>
      <c r="D113" s="7" t="s">
        <v>193</v>
      </c>
      <c r="E113" t="s">
        <v>24</v>
      </c>
      <c r="F113" t="s">
        <v>13</v>
      </c>
      <c r="G113" s="12" t="s">
        <v>378</v>
      </c>
      <c r="H113" t="s">
        <v>25</v>
      </c>
      <c r="I113" t="s">
        <v>25</v>
      </c>
    </row>
    <row r="114" spans="1:9" ht="60" x14ac:dyDescent="0.25">
      <c r="A114" s="2" t="s">
        <v>6</v>
      </c>
      <c r="B114" t="str">
        <f>HYPERLINK("https://www.csu.edu.au/scholarships/scholarships-grants/find-scholarship/foundation/any-year/laurel-trinidad-research-grant", "Laurel-Trinidad Research Grant")</f>
        <v>Laurel-Trinidad Research Grant</v>
      </c>
      <c r="C114" t="s">
        <v>27</v>
      </c>
      <c r="D114" t="s">
        <v>203</v>
      </c>
      <c r="E114" t="s">
        <v>24</v>
      </c>
      <c r="F114" t="s">
        <v>137</v>
      </c>
      <c r="G114" s="12" t="s">
        <v>379</v>
      </c>
      <c r="H114" t="s">
        <v>25</v>
      </c>
      <c r="I114" t="s">
        <v>25</v>
      </c>
    </row>
    <row r="115" spans="1:9" ht="150" x14ac:dyDescent="0.25">
      <c r="A115" s="2" t="s">
        <v>6</v>
      </c>
      <c r="B115" t="str">
        <f>HYPERLINK("https://www.csu.edu.au/scholarships/scholarships-grants/find-scholarship/foundation/any-year/women-in-racing-canberra-prize", "Women in Racing Canberra Prize")</f>
        <v>Women in Racing Canberra Prize</v>
      </c>
      <c r="C115" t="s">
        <v>27</v>
      </c>
      <c r="D115" t="s">
        <v>216</v>
      </c>
      <c r="E115" t="s">
        <v>24</v>
      </c>
      <c r="F115" t="s">
        <v>13</v>
      </c>
      <c r="G115" s="12" t="s">
        <v>501</v>
      </c>
      <c r="H115" t="s">
        <v>25</v>
      </c>
      <c r="I115" t="s">
        <v>25</v>
      </c>
    </row>
    <row r="116" spans="1:9" ht="105" x14ac:dyDescent="0.25">
      <c r="A116" s="2" t="s">
        <v>6</v>
      </c>
      <c r="B116" t="str">
        <f>HYPERLINK("https://www.csu.edu.au/scholarships/scholarships-grants/find-scholarship/foundation/continuing/Sky-News-Australia-Ian-Cook-Memorial-Scholarship", "Sky News Australia - Ian Cook Memorial Scholarship")</f>
        <v>Sky News Australia - Ian Cook Memorial Scholarship</v>
      </c>
      <c r="C116" t="s">
        <v>27</v>
      </c>
      <c r="D116" s="7" t="s">
        <v>245</v>
      </c>
      <c r="E116" t="s">
        <v>24</v>
      </c>
      <c r="F116" t="s">
        <v>13</v>
      </c>
      <c r="G116" s="12" t="s">
        <v>502</v>
      </c>
      <c r="H116" t="s">
        <v>25</v>
      </c>
      <c r="I116" t="s">
        <v>25</v>
      </c>
    </row>
    <row r="117" spans="1:9" ht="90" x14ac:dyDescent="0.25">
      <c r="A117" s="2" t="s">
        <v>6</v>
      </c>
      <c r="B117"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7" t="s">
        <v>27</v>
      </c>
      <c r="D117" s="7" t="s">
        <v>230</v>
      </c>
      <c r="E117" t="s">
        <v>24</v>
      </c>
      <c r="F117" t="s">
        <v>13</v>
      </c>
      <c r="G117" s="12" t="s">
        <v>503</v>
      </c>
      <c r="H117" t="s">
        <v>25</v>
      </c>
      <c r="I117" t="s">
        <v>16</v>
      </c>
    </row>
    <row r="118" spans="1:9" ht="60" x14ac:dyDescent="0.25">
      <c r="A118" s="2" t="s">
        <v>6</v>
      </c>
      <c r="B118" t="str">
        <f>HYPERLINK("https://www.csu.edu.au/scholarships/scholarships-grants/find-scholarship/foundation/any-year/jess-mclennan-memorial-prize", "Jess McLennan Memorial Prize")</f>
        <v>Jess McLennan Memorial Prize</v>
      </c>
      <c r="C118" t="s">
        <v>27</v>
      </c>
      <c r="D118" t="s">
        <v>246</v>
      </c>
      <c r="E118" t="s">
        <v>201</v>
      </c>
      <c r="F118" t="s">
        <v>13</v>
      </c>
      <c r="G118" s="12" t="s">
        <v>380</v>
      </c>
      <c r="H118" t="s">
        <v>25</v>
      </c>
      <c r="I118" t="s">
        <v>25</v>
      </c>
    </row>
    <row r="119" spans="1:9" ht="165" x14ac:dyDescent="0.25">
      <c r="A119" s="2" t="s">
        <v>6</v>
      </c>
      <c r="B119" t="str">
        <f>HYPERLINK("https://www.csu.edu.au/scholarships/scholarships-grants/find-scholarship/foundation/continuing/professor-john-carroll-memorial-scholarship", "Professor John Carroll Memorial Scholarship")</f>
        <v>Professor John Carroll Memorial Scholarship</v>
      </c>
      <c r="C119" t="s">
        <v>27</v>
      </c>
      <c r="D119" s="7" t="s">
        <v>227</v>
      </c>
      <c r="E119" t="s">
        <v>24</v>
      </c>
      <c r="F119" t="s">
        <v>13</v>
      </c>
      <c r="G119" s="12" t="s">
        <v>504</v>
      </c>
      <c r="H119" t="s">
        <v>25</v>
      </c>
      <c r="I119" t="s">
        <v>25</v>
      </c>
    </row>
    <row r="120" spans="1:9" ht="60" x14ac:dyDescent="0.25">
      <c r="A120" s="2" t="s">
        <v>6</v>
      </c>
      <c r="B120" t="str">
        <f>HYPERLINK("https://www.csu.edu.au/scholarships/scholarships-grants/find-scholarship/foundation/continuing/gita-belin-fortitude-foundation-paramedicine-3rd-year", "Gita Belin Fortitude Foundation Paramedicine 3rd Year")</f>
        <v>Gita Belin Fortitude Foundation Paramedicine 3rd Year</v>
      </c>
      <c r="C120" t="s">
        <v>27</v>
      </c>
      <c r="D120" t="s">
        <v>208</v>
      </c>
      <c r="E120" t="s">
        <v>205</v>
      </c>
      <c r="F120" t="s">
        <v>13</v>
      </c>
      <c r="G120" s="12" t="s">
        <v>381</v>
      </c>
      <c r="H120" t="s">
        <v>25</v>
      </c>
      <c r="I120" t="s">
        <v>25</v>
      </c>
    </row>
    <row r="121" spans="1:9" ht="150" x14ac:dyDescent="0.25">
      <c r="A121" s="2" t="s">
        <v>6</v>
      </c>
      <c r="B121" t="str">
        <f>HYPERLINK("https://www.csu.edu.au/scholarships/scholarships-grants/find-scholarship/foundation/continuing/warakirri-cropping-scholarship2", "Warakirri Cropping Scholarship")</f>
        <v>Warakirri Cropping Scholarship</v>
      </c>
      <c r="C121" t="s">
        <v>27</v>
      </c>
      <c r="D121" t="s">
        <v>208</v>
      </c>
      <c r="E121" t="s">
        <v>201</v>
      </c>
      <c r="F121" t="s">
        <v>13</v>
      </c>
      <c r="G121" s="12" t="s">
        <v>382</v>
      </c>
      <c r="H121" t="s">
        <v>25</v>
      </c>
      <c r="I121" t="s">
        <v>25</v>
      </c>
    </row>
    <row r="122" spans="1:9" ht="75" x14ac:dyDescent="0.25">
      <c r="A122" s="2" t="s">
        <v>6</v>
      </c>
      <c r="B122" t="str">
        <f>HYPERLINK("https://www.csu.edu.au/scholarships/scholarships-grants/find-scholarship/foundation/any-year/charles-sturt-foundation-paramedics-scholarship", "Charles Sturt Foundation Paramedics Scholarship")</f>
        <v>Charles Sturt Foundation Paramedics Scholarship</v>
      </c>
      <c r="C122" t="s">
        <v>27</v>
      </c>
      <c r="D122" t="s">
        <v>193</v>
      </c>
      <c r="E122" t="s">
        <v>24</v>
      </c>
      <c r="F122" t="s">
        <v>13</v>
      </c>
      <c r="G122" s="12" t="s">
        <v>383</v>
      </c>
      <c r="H122" t="s">
        <v>25</v>
      </c>
      <c r="I122" t="s">
        <v>25</v>
      </c>
    </row>
    <row r="123" spans="1:9" ht="120" x14ac:dyDescent="0.25">
      <c r="A123" s="2" t="s">
        <v>6</v>
      </c>
      <c r="B123" t="str">
        <f>HYPERLINK("https://www.csu.edu.au/scholarships/scholarships-grants/find-scholarship/foundation/continuing/hv-mckay-scholarship", "HV McKay II Memorial Scholarship")</f>
        <v>HV McKay II Memorial Scholarship</v>
      </c>
      <c r="C123" t="s">
        <v>27</v>
      </c>
      <c r="D123" t="s">
        <v>247</v>
      </c>
      <c r="E123" t="s">
        <v>201</v>
      </c>
      <c r="F123" t="s">
        <v>13</v>
      </c>
      <c r="G123" s="12" t="s">
        <v>384</v>
      </c>
      <c r="H123" t="s">
        <v>25</v>
      </c>
      <c r="I123" t="s">
        <v>25</v>
      </c>
    </row>
    <row r="124" spans="1:9" ht="30" x14ac:dyDescent="0.25">
      <c r="A124" s="2" t="s">
        <v>6</v>
      </c>
      <c r="B124"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4" t="s">
        <v>27</v>
      </c>
      <c r="D124" t="s">
        <v>202</v>
      </c>
      <c r="E124" t="s">
        <v>205</v>
      </c>
      <c r="F124" t="s">
        <v>13</v>
      </c>
      <c r="G124" s="12" t="s">
        <v>385</v>
      </c>
      <c r="H124" t="s">
        <v>25</v>
      </c>
      <c r="I124" t="s">
        <v>25</v>
      </c>
    </row>
    <row r="125" spans="1:9" ht="60" x14ac:dyDescent="0.25">
      <c r="A125" s="2" t="s">
        <v>6</v>
      </c>
      <c r="B125" t="str">
        <f>HYPERLINK("https://www.csu.edu.au/scholarships/scholarships-grants/find-scholarship/foundation/1st-year/nutrien-ag-solutions-harvesting-the-future-scholarship", "Nutrien Ag Solutions - Harvesting the Future Scholarship")</f>
        <v>Nutrien Ag Solutions - Harvesting the Future Scholarship</v>
      </c>
      <c r="C125" t="s">
        <v>14</v>
      </c>
      <c r="D125" t="s">
        <v>242</v>
      </c>
      <c r="E125" t="s">
        <v>201</v>
      </c>
      <c r="F125" t="s">
        <v>13</v>
      </c>
      <c r="G125" s="12" t="s">
        <v>386</v>
      </c>
      <c r="H125" t="s">
        <v>25</v>
      </c>
      <c r="I125" t="s">
        <v>25</v>
      </c>
    </row>
    <row r="126" spans="1:9" ht="45" x14ac:dyDescent="0.25">
      <c r="A126" s="2" t="s">
        <v>6</v>
      </c>
      <c r="B126" t="str">
        <f>HYPERLINK("https://www.csu.edu.au/scholarships/scholarships-grants/find-scholarship/foundation/1st-year/gita-belin-fortitude-foundation-paramedicine-1st-year", "Gita Belin Fortitude Foundation Paramedicine 1st Year")</f>
        <v>Gita Belin Fortitude Foundation Paramedicine 1st Year</v>
      </c>
      <c r="C126" t="s">
        <v>27</v>
      </c>
      <c r="D126" t="s">
        <v>248</v>
      </c>
      <c r="E126" t="s">
        <v>205</v>
      </c>
      <c r="F126" t="s">
        <v>13</v>
      </c>
      <c r="G126" s="12" t="s">
        <v>387</v>
      </c>
      <c r="H126" t="s">
        <v>25</v>
      </c>
      <c r="I126" t="s">
        <v>25</v>
      </c>
    </row>
    <row r="127" spans="1:9" ht="120" x14ac:dyDescent="0.25">
      <c r="A127" s="2" t="s">
        <v>6</v>
      </c>
      <c r="B127" t="str">
        <f>HYPERLINK("https://www.csu.edu.au/scholarships/scholarships-grants/find-scholarship/foundation/any-year/bathurst-mitchell-student-representative-committee-scholarship/dawn-rigby-memorial-scholarship", "Dawn Rigby Memorial Scholarship")</f>
        <v>Dawn Rigby Memorial Scholarship</v>
      </c>
      <c r="C127" t="s">
        <v>27</v>
      </c>
      <c r="D127" t="s">
        <v>193</v>
      </c>
      <c r="E127" t="s">
        <v>24</v>
      </c>
      <c r="F127" t="s">
        <v>13</v>
      </c>
      <c r="G127" s="12" t="s">
        <v>434</v>
      </c>
      <c r="H127" t="s">
        <v>25</v>
      </c>
      <c r="I127" t="s">
        <v>25</v>
      </c>
    </row>
    <row r="128" spans="1:9" ht="165" x14ac:dyDescent="0.25">
      <c r="A128" s="2" t="s">
        <v>6</v>
      </c>
      <c r="B128" t="str">
        <f>HYPERLINK("https://www.csu.edu.au/scholarships/scholarships-grants/find-scholarship/foundation/any-year/wagga-wagga-teachers-alumni-scholarship/white-family-scholarship", "White Family Scholarship")</f>
        <v>White Family Scholarship</v>
      </c>
      <c r="C128" t="s">
        <v>27</v>
      </c>
      <c r="D128" t="s">
        <v>193</v>
      </c>
      <c r="E128" t="s">
        <v>24</v>
      </c>
      <c r="F128" t="s">
        <v>13</v>
      </c>
      <c r="G128" s="12" t="s">
        <v>388</v>
      </c>
      <c r="H128" t="s">
        <v>25</v>
      </c>
      <c r="I128" t="s">
        <v>25</v>
      </c>
    </row>
    <row r="129" spans="1:9" ht="60" x14ac:dyDescent="0.25">
      <c r="A129" s="2" t="s">
        <v>6</v>
      </c>
      <c r="B129" t="str">
        <f>HYPERLINK("https://www.csu.edu.au/scholarships/scholarships-grants/find-scholarship/foundation/continuing/gita-belin-fortitude-foundation-paramedicine-2nd-year", "Gita Belin Fortitude Foundation Paramedicine 2nd Year")</f>
        <v>Gita Belin Fortitude Foundation Paramedicine 2nd Year</v>
      </c>
      <c r="C129" t="s">
        <v>27</v>
      </c>
      <c r="D129" t="s">
        <v>202</v>
      </c>
      <c r="E129" t="s">
        <v>205</v>
      </c>
      <c r="F129" t="s">
        <v>13</v>
      </c>
      <c r="G129" s="12" t="s">
        <v>389</v>
      </c>
      <c r="H129" t="s">
        <v>25</v>
      </c>
      <c r="I129" t="s">
        <v>25</v>
      </c>
    </row>
    <row r="130" spans="1:9" ht="150" x14ac:dyDescent="0.25">
      <c r="A130" s="2" t="s">
        <v>6</v>
      </c>
      <c r="B130" t="str">
        <f>HYPERLINK("https://www.csu.edu.au/scholarships/scholarships-grants/find-scholarship/foundation/1st-year/Agcessibility-kickstart-scholarship", "AGcessibility Kickstart Scholarship")</f>
        <v>AGcessibility Kickstart Scholarship</v>
      </c>
      <c r="C130" t="s">
        <v>27</v>
      </c>
      <c r="D130" t="s">
        <v>249</v>
      </c>
      <c r="E130" t="s">
        <v>201</v>
      </c>
      <c r="F130" t="s">
        <v>13</v>
      </c>
      <c r="G130" s="12" t="s">
        <v>390</v>
      </c>
      <c r="H130" t="s">
        <v>25</v>
      </c>
      <c r="I130" t="s">
        <v>25</v>
      </c>
    </row>
    <row r="131" spans="1:9" ht="120" x14ac:dyDescent="0.25">
      <c r="A131" s="2" t="s">
        <v>6</v>
      </c>
      <c r="B131" t="str">
        <f>HYPERLINK("https://www.csu.edu.au/scholarships/scholarships-grants/find-scholarship/foundation/any-year/rotary-club-of-albury-scholarship", "Rotary Club of Albury Scholarship")</f>
        <v>Rotary Club of Albury Scholarship</v>
      </c>
      <c r="C131" t="s">
        <v>27</v>
      </c>
      <c r="D131" s="7" t="s">
        <v>210</v>
      </c>
      <c r="E131" t="s">
        <v>24</v>
      </c>
      <c r="F131" t="s">
        <v>13</v>
      </c>
      <c r="G131" s="12" t="s">
        <v>391</v>
      </c>
      <c r="H131" t="s">
        <v>25</v>
      </c>
      <c r="I131" t="s">
        <v>25</v>
      </c>
    </row>
    <row r="132" spans="1:9" ht="60" x14ac:dyDescent="0.25">
      <c r="A132" s="2" t="s">
        <v>6</v>
      </c>
      <c r="B132" t="str">
        <f>HYPERLINK("https://www.csu.edu.au/scholarships/scholarships-grants/find-scholarship/foundation/any-year/pay-it-forward-dentistry-scholarship", "Pay it Forward Dentistry Scholarship")</f>
        <v>Pay it Forward Dentistry Scholarship</v>
      </c>
      <c r="C132" t="s">
        <v>14</v>
      </c>
      <c r="D132" t="s">
        <v>202</v>
      </c>
      <c r="E132" t="s">
        <v>201</v>
      </c>
      <c r="F132" t="s">
        <v>13</v>
      </c>
      <c r="G132" s="12" t="s">
        <v>392</v>
      </c>
      <c r="H132" t="s">
        <v>25</v>
      </c>
      <c r="I132" t="s">
        <v>25</v>
      </c>
    </row>
    <row r="133" spans="1:9" ht="60" x14ac:dyDescent="0.25">
      <c r="A133" s="2" t="s">
        <v>6</v>
      </c>
      <c r="B133"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3" t="s">
        <v>14</v>
      </c>
      <c r="D133" s="7" t="s">
        <v>193</v>
      </c>
      <c r="E133" t="s">
        <v>24</v>
      </c>
      <c r="F133" t="s">
        <v>13</v>
      </c>
      <c r="G133" s="12" t="s">
        <v>393</v>
      </c>
      <c r="H133" t="s">
        <v>25</v>
      </c>
      <c r="I133" t="s">
        <v>25</v>
      </c>
    </row>
    <row r="134" spans="1:9" ht="105" x14ac:dyDescent="0.25">
      <c r="A134" s="2" t="s">
        <v>6</v>
      </c>
      <c r="B134" t="str">
        <f>HYPERLINK("https://www.csu.edu.au/scholarships/scholarships-grants/find-scholarship/foundation/continuing/rabobank-tertiary-pathways-scholarship", "Rabobank Tertiary Pathways Scholarship")</f>
        <v>Rabobank Tertiary Pathways Scholarship</v>
      </c>
      <c r="C134" t="s">
        <v>27</v>
      </c>
      <c r="D134" t="s">
        <v>249</v>
      </c>
      <c r="E134" t="s">
        <v>201</v>
      </c>
      <c r="F134" t="s">
        <v>13</v>
      </c>
      <c r="G134" s="12" t="s">
        <v>394</v>
      </c>
      <c r="H134" t="s">
        <v>25</v>
      </c>
      <c r="I134" t="s">
        <v>25</v>
      </c>
    </row>
    <row r="135" spans="1:9" ht="75" x14ac:dyDescent="0.25">
      <c r="A135" s="2" t="s">
        <v>6</v>
      </c>
      <c r="B135" t="str">
        <f>HYPERLINK("https://www.csu.edu.au/scholarships/scholarships-grants/find-scholarship/foundation/1st-year/dr-julia-howitt-legacy-scholarship", "Dr Julia Howitt Legacy Scholarship")</f>
        <v>Dr Julia Howitt Legacy Scholarship</v>
      </c>
      <c r="C135" t="s">
        <v>27</v>
      </c>
      <c r="D135" s="7" t="s">
        <v>193</v>
      </c>
      <c r="E135" t="s">
        <v>24</v>
      </c>
      <c r="F135" t="s">
        <v>197</v>
      </c>
      <c r="G135" s="12" t="s">
        <v>395</v>
      </c>
      <c r="H135" t="s">
        <v>25</v>
      </c>
      <c r="I135" t="s">
        <v>25</v>
      </c>
    </row>
    <row r="136" spans="1:9" ht="75" x14ac:dyDescent="0.25">
      <c r="A136" s="2" t="s">
        <v>6</v>
      </c>
      <c r="B136" t="str">
        <f>HYPERLINK("https://www.csu.edu.au/scholarships/scholarships-grants/find-scholarship/foundation/1st-year/angel-family-trust-scholarship", "The Angel Family Trust Scholarship")</f>
        <v>The Angel Family Trust Scholarship</v>
      </c>
      <c r="C136" t="s">
        <v>27</v>
      </c>
      <c r="D136" t="s">
        <v>193</v>
      </c>
      <c r="E136" t="s">
        <v>24</v>
      </c>
      <c r="F136" t="s">
        <v>13</v>
      </c>
      <c r="G136" s="12" t="s">
        <v>396</v>
      </c>
      <c r="H136" t="s">
        <v>25</v>
      </c>
      <c r="I136" t="s">
        <v>25</v>
      </c>
    </row>
    <row r="137" spans="1:9" ht="75" x14ac:dyDescent="0.25">
      <c r="A137" s="2" t="s">
        <v>6</v>
      </c>
      <c r="B137" t="str">
        <f>HYPERLINK("https://www.csu.edu.au/scholarships/scholarships-grants/find-scholarship/foundation/continuing/cal-scholarship", "CAL Scholarship")</f>
        <v>CAL Scholarship</v>
      </c>
      <c r="C137" t="s">
        <v>27</v>
      </c>
      <c r="D137" t="s">
        <v>231</v>
      </c>
      <c r="E137" t="s">
        <v>24</v>
      </c>
      <c r="F137" t="s">
        <v>13</v>
      </c>
      <c r="G137" s="12" t="s">
        <v>397</v>
      </c>
      <c r="H137" t="s">
        <v>25</v>
      </c>
      <c r="I137" t="s">
        <v>25</v>
      </c>
    </row>
    <row r="138" spans="1:9" ht="45" x14ac:dyDescent="0.25">
      <c r="A138" s="2" t="s">
        <v>6</v>
      </c>
      <c r="B138" t="str">
        <f>HYPERLINK("https://www.csu.edu.au/scholarships/scholarships-grants/find-scholarship/foundation/continuing/meller-and-hume-research-scholarship", "Meller Hume Research Scholarship")</f>
        <v>Meller Hume Research Scholarship</v>
      </c>
      <c r="C138" t="s">
        <v>27</v>
      </c>
      <c r="D138" t="s">
        <v>250</v>
      </c>
      <c r="E138" t="s">
        <v>201</v>
      </c>
      <c r="F138" t="s">
        <v>13</v>
      </c>
      <c r="G138" s="12" t="s">
        <v>398</v>
      </c>
      <c r="H138" t="s">
        <v>25</v>
      </c>
      <c r="I138" t="s">
        <v>25</v>
      </c>
    </row>
    <row r="139" spans="1:9" ht="120" x14ac:dyDescent="0.25">
      <c r="A139" s="2" t="s">
        <v>6</v>
      </c>
      <c r="B139" t="str">
        <f>HYPERLINK("https://www.csu.edu.au/scholarships/scholarships-grants/find-scholarship/foundation/continuing/hicks-family-agricultural-scholarship", "Hicks Family Agricultural Scholarship")</f>
        <v>Hicks Family Agricultural Scholarship</v>
      </c>
      <c r="C139" t="s">
        <v>14</v>
      </c>
      <c r="D139" t="s">
        <v>251</v>
      </c>
      <c r="E139" t="s">
        <v>205</v>
      </c>
      <c r="F139" t="s">
        <v>35</v>
      </c>
      <c r="G139" s="12" t="s">
        <v>399</v>
      </c>
      <c r="H139" t="s">
        <v>25</v>
      </c>
      <c r="I139" t="s">
        <v>25</v>
      </c>
    </row>
    <row r="140" spans="1:9" ht="75" x14ac:dyDescent="0.25">
      <c r="A140" s="2" t="s">
        <v>6</v>
      </c>
      <c r="B140" t="str">
        <f>HYPERLINK("https://www.csu.edu.au/scholarships/scholarships-grants/find-scholarship/foundation/continuing/the-kerin-physio-co-allied-health-scholarship", "The Kerin Health Allied Health Scholarship")</f>
        <v>The Kerin Health Allied Health Scholarship</v>
      </c>
      <c r="C140" t="s">
        <v>27</v>
      </c>
      <c r="D140" t="s">
        <v>203</v>
      </c>
      <c r="E140" t="s">
        <v>201</v>
      </c>
      <c r="F140" t="s">
        <v>35</v>
      </c>
      <c r="G140" s="12" t="s">
        <v>400</v>
      </c>
      <c r="H140" t="s">
        <v>25</v>
      </c>
      <c r="I140" t="s">
        <v>25</v>
      </c>
    </row>
    <row r="141" spans="1:9" ht="105" x14ac:dyDescent="0.25">
      <c r="A141" s="2" t="s">
        <v>6</v>
      </c>
      <c r="B141" t="str">
        <f>HYPERLINK("https://www.csu.edu.au/scholarships/scholarships-grants/find-scholarship/foundation/1st-year/valerie-cox-memorial-scholarship-commencing", "Valerie Cox Memorial Scholarship - Commencing")</f>
        <v>Valerie Cox Memorial Scholarship - Commencing</v>
      </c>
      <c r="C141" t="s">
        <v>14</v>
      </c>
      <c r="D141" t="s">
        <v>232</v>
      </c>
      <c r="E141" t="s">
        <v>205</v>
      </c>
      <c r="F141" t="s">
        <v>197</v>
      </c>
      <c r="G141" s="12" t="s">
        <v>401</v>
      </c>
      <c r="H141" t="s">
        <v>25</v>
      </c>
      <c r="I141" t="s">
        <v>25</v>
      </c>
    </row>
    <row r="142" spans="1:9" ht="75" x14ac:dyDescent="0.25">
      <c r="A142" s="2" t="s">
        <v>6</v>
      </c>
      <c r="B142" t="str">
        <f>HYPERLINK("https://www.csu.edu.au/scholarships/scholarships-grants/find-scholarship/foundation/accom/percy-allan-foundation-accommodation-scholarship", "Percy Allan Foundation Accommodation Scholarship")</f>
        <v>Percy Allan Foundation Accommodation Scholarship</v>
      </c>
      <c r="C142" t="s">
        <v>14</v>
      </c>
      <c r="D142" t="s">
        <v>252</v>
      </c>
      <c r="E142" t="s">
        <v>201</v>
      </c>
      <c r="F142" t="s">
        <v>13</v>
      </c>
      <c r="G142" s="12" t="s">
        <v>402</v>
      </c>
      <c r="H142" t="s">
        <v>25</v>
      </c>
      <c r="I142" t="s">
        <v>25</v>
      </c>
    </row>
    <row r="143" spans="1:9" ht="135" x14ac:dyDescent="0.25">
      <c r="A143" s="2" t="s">
        <v>6</v>
      </c>
      <c r="B143" t="str">
        <f>HYPERLINK("https://www.csu.edu.au/scholarships/scholarships-grants/find-scholarship/foundation/any-year/lainy-mcfarland-memorial-scholarship", "Lainy McFarland Memorial Scholarship")</f>
        <v>Lainy McFarland Memorial Scholarship</v>
      </c>
      <c r="C143" t="s">
        <v>14</v>
      </c>
      <c r="D143" t="s">
        <v>193</v>
      </c>
      <c r="E143" t="s">
        <v>24</v>
      </c>
      <c r="F143" t="s">
        <v>13</v>
      </c>
      <c r="G143" s="12" t="s">
        <v>403</v>
      </c>
      <c r="H143" t="s">
        <v>25</v>
      </c>
      <c r="I143" t="s">
        <v>25</v>
      </c>
    </row>
    <row r="144" spans="1:9" ht="90" x14ac:dyDescent="0.25">
      <c r="A144" s="2" t="s">
        <v>6</v>
      </c>
      <c r="B144" t="str">
        <f>HYPERLINK("https://www.csu.edu.au/scholarships/scholarships-grants/find-scholarship/foundation/continuing/sarg-waerawi-scholarship", "SARG Waerawi Scholarship")</f>
        <v>SARG Waerawi Scholarship</v>
      </c>
      <c r="C144" t="s">
        <v>27</v>
      </c>
      <c r="D144" t="s">
        <v>193</v>
      </c>
      <c r="E144" t="s">
        <v>201</v>
      </c>
      <c r="F144" t="s">
        <v>13</v>
      </c>
      <c r="G144" s="12" t="s">
        <v>404</v>
      </c>
      <c r="H144" t="s">
        <v>25</v>
      </c>
      <c r="I144" t="s">
        <v>25</v>
      </c>
    </row>
    <row r="145" spans="1:9" ht="105" x14ac:dyDescent="0.25">
      <c r="A145" s="2" t="s">
        <v>6</v>
      </c>
      <c r="B145" t="str">
        <f>HYPERLINK("https://www.csu.edu.au/scholarships/scholarships-grants/find-scholarship/foundation/1st-year/casella-wines-health-science-scholarship", "Casella Family Brands Health Scholarship")</f>
        <v>Casella Family Brands Health Scholarship</v>
      </c>
      <c r="C145" t="s">
        <v>27</v>
      </c>
      <c r="D145" t="s">
        <v>215</v>
      </c>
      <c r="E145" t="s">
        <v>201</v>
      </c>
      <c r="F145" t="s">
        <v>13</v>
      </c>
      <c r="G145" s="12" t="s">
        <v>405</v>
      </c>
      <c r="H145" t="s">
        <v>25</v>
      </c>
      <c r="I145" t="s">
        <v>25</v>
      </c>
    </row>
    <row r="146" spans="1:9" ht="75" x14ac:dyDescent="0.25">
      <c r="A146" s="2" t="s">
        <v>6</v>
      </c>
      <c r="B146" t="str">
        <f>HYPERLINK("https://www.csu.edu.au/scholarships/scholarships-grants/find-scholarship/foundation/continuing/aurora-dairies-scholarship", "Aurora Dairies Scholarship")</f>
        <v>Aurora Dairies Scholarship</v>
      </c>
      <c r="C146" t="s">
        <v>27</v>
      </c>
      <c r="D146" t="s">
        <v>212</v>
      </c>
      <c r="E146" t="s">
        <v>201</v>
      </c>
      <c r="F146" t="s">
        <v>13</v>
      </c>
      <c r="G146" s="12" t="s">
        <v>406</v>
      </c>
      <c r="H146" t="s">
        <v>25</v>
      </c>
      <c r="I146" t="s">
        <v>25</v>
      </c>
    </row>
    <row r="147" spans="1:9" ht="45" x14ac:dyDescent="0.25">
      <c r="A147" s="2" t="s">
        <v>6</v>
      </c>
      <c r="B147" t="str">
        <f>HYPERLINK("https://www.csu.edu.au/scholarships/scholarships-grants/find-scholarship/foundation/continuing/dr-judith-van-der-wal-award", "Dr Judith van der Wal Award")</f>
        <v>Dr Judith van der Wal Award</v>
      </c>
      <c r="C147" t="s">
        <v>27</v>
      </c>
      <c r="D147" t="s">
        <v>224</v>
      </c>
      <c r="E147" t="s">
        <v>24</v>
      </c>
      <c r="F147" t="s">
        <v>13</v>
      </c>
      <c r="G147" s="12" t="s">
        <v>407</v>
      </c>
      <c r="H147" t="s">
        <v>25</v>
      </c>
      <c r="I147" t="s">
        <v>25</v>
      </c>
    </row>
    <row r="148" spans="1:9" ht="75" x14ac:dyDescent="0.25">
      <c r="A148" s="2" t="s">
        <v>6</v>
      </c>
      <c r="B148" t="str">
        <f>HYPERLINK("https://www.csu.edu.au/scholarships/scholarships-grants/find-scholarship/foundation/1st-year/western-sydney-schools-agriculture-scholarship", "Western Sydney Schools Agriculture Scholarship")</f>
        <v>Western Sydney Schools Agriculture Scholarship</v>
      </c>
      <c r="C148" t="s">
        <v>27</v>
      </c>
      <c r="D148" t="s">
        <v>203</v>
      </c>
      <c r="E148" t="s">
        <v>201</v>
      </c>
      <c r="F148" t="s">
        <v>13</v>
      </c>
      <c r="G148" s="12" t="s">
        <v>408</v>
      </c>
      <c r="H148" t="s">
        <v>25</v>
      </c>
      <c r="I148" t="s">
        <v>25</v>
      </c>
    </row>
    <row r="149" spans="1:9" x14ac:dyDescent="0.25">
      <c r="A149" s="2" t="s">
        <v>6</v>
      </c>
      <c r="B149" t="str">
        <f>HYPERLINK("https://www.csu.edu.au/scholarships/scholarships-grants/find-scholarship/foundation/1st-year/gita-belin-fortitude-foundation-rural-doctors-scholarship", "Gita Belin Fortitude Foundation Rural Doctors Scholarship")</f>
        <v>Gita Belin Fortitude Foundation Rural Doctors Scholarship</v>
      </c>
      <c r="C149" t="s">
        <v>27</v>
      </c>
      <c r="D149" t="s">
        <v>253</v>
      </c>
      <c r="E149" t="s">
        <v>205</v>
      </c>
      <c r="F149" t="s">
        <v>13</v>
      </c>
      <c r="G149" s="12" t="s">
        <v>409</v>
      </c>
      <c r="H149" t="s">
        <v>25</v>
      </c>
      <c r="I149" t="s">
        <v>25</v>
      </c>
    </row>
    <row r="150" spans="1:9" ht="150" x14ac:dyDescent="0.25">
      <c r="A150" s="2" t="s">
        <v>6</v>
      </c>
      <c r="B150" t="str">
        <f>HYPERLINK("https://www.csu.edu.au/scholarships/scholarships-grants/find-scholarship/foundation/any-year/legacy-of-bob-and-pam-knight-of-noorat-scholarship", "Legacy of Bob and Pam Knight from Noorat Scholarship")</f>
        <v>Legacy of Bob and Pam Knight from Noorat Scholarship</v>
      </c>
      <c r="C150" t="s">
        <v>14</v>
      </c>
      <c r="D150" t="s">
        <v>203</v>
      </c>
      <c r="E150" t="s">
        <v>24</v>
      </c>
      <c r="F150" t="s">
        <v>13</v>
      </c>
      <c r="G150" s="12" t="s">
        <v>410</v>
      </c>
      <c r="H150" t="s">
        <v>25</v>
      </c>
      <c r="I150" t="s">
        <v>25</v>
      </c>
    </row>
    <row r="151" spans="1:9" ht="120" x14ac:dyDescent="0.25">
      <c r="A151" s="2" t="s">
        <v>6</v>
      </c>
      <c r="B151" t="str">
        <f>HYPERLINK("https://www.csu.edu.au/scholarships/scholarships-grants/find-scholarship/foundation/continuing/cerebral-palsy-alliance-allied-health-scholarship", "Cerebral Palsy Alliance Allied Health Scholarship")</f>
        <v>Cerebral Palsy Alliance Allied Health Scholarship</v>
      </c>
      <c r="C151" t="s">
        <v>14</v>
      </c>
      <c r="D151" t="s">
        <v>216</v>
      </c>
      <c r="E151" t="s">
        <v>24</v>
      </c>
      <c r="F151" t="s">
        <v>35</v>
      </c>
      <c r="G151" s="12" t="s">
        <v>411</v>
      </c>
      <c r="H151" t="s">
        <v>25</v>
      </c>
      <c r="I151" t="s">
        <v>25</v>
      </c>
    </row>
    <row r="152" spans="1:9" x14ac:dyDescent="0.25">
      <c r="A152" s="2" t="s">
        <v>6</v>
      </c>
      <c r="B152" t="str">
        <f>HYPERLINK("https://www.csu.edu.au/scholarships/scholarships-grants/find-scholarship/foundation/any-year/emma-accolade-scholarship", "EMMA Accolade Scholarship ")</f>
        <v xml:space="preserve">EMMA Accolade Scholarship </v>
      </c>
      <c r="C152" t="s">
        <v>27</v>
      </c>
      <c r="D152" t="s">
        <v>216</v>
      </c>
      <c r="E152" t="s">
        <v>24</v>
      </c>
      <c r="F152" t="s">
        <v>13</v>
      </c>
      <c r="G152" s="12" t="s">
        <v>412</v>
      </c>
      <c r="H152" t="s">
        <v>25</v>
      </c>
      <c r="I152" t="s">
        <v>25</v>
      </c>
    </row>
    <row r="153" spans="1:9" ht="165" x14ac:dyDescent="0.25">
      <c r="A153" s="2" t="s">
        <v>6</v>
      </c>
      <c r="B153" t="str">
        <f>HYPERLINK("https://www.csu.edu.au/scholarships/scholarships-grants/find-scholarship/foundation/accom/st-martins-college-accommodation-scholarship", "St Martins College Accommodation Scholarship")</f>
        <v>St Martins College Accommodation Scholarship</v>
      </c>
      <c r="C153" t="s">
        <v>27</v>
      </c>
      <c r="D153" t="s">
        <v>193</v>
      </c>
      <c r="E153" t="s">
        <v>24</v>
      </c>
      <c r="F153" t="s">
        <v>13</v>
      </c>
      <c r="G153" s="12" t="s">
        <v>505</v>
      </c>
      <c r="H153" t="s">
        <v>25</v>
      </c>
      <c r="I153" t="s">
        <v>25</v>
      </c>
    </row>
    <row r="154" spans="1:9" ht="75" x14ac:dyDescent="0.25">
      <c r="A154" s="2" t="s">
        <v>6</v>
      </c>
      <c r="B154" t="str">
        <f>HYPERLINK("https://www.csu.edu.au/scholarships/scholarships-grants/find-scholarship/foundation/continuing/rennylea-future-in-livestock-scholarship/vetprac-workshops-scholarship", "VetPrac Workshops Scholarship")</f>
        <v>VetPrac Workshops Scholarship</v>
      </c>
      <c r="C154" t="s">
        <v>27</v>
      </c>
      <c r="D154" t="s">
        <v>203</v>
      </c>
      <c r="E154" t="s">
        <v>24</v>
      </c>
      <c r="F154" t="s">
        <v>13</v>
      </c>
      <c r="G154" s="12" t="s">
        <v>435</v>
      </c>
      <c r="H154" t="s">
        <v>25</v>
      </c>
      <c r="I154" t="s">
        <v>25</v>
      </c>
    </row>
    <row r="155" spans="1:9" ht="90" x14ac:dyDescent="0.25">
      <c r="A155" s="2" t="s">
        <v>6</v>
      </c>
      <c r="B155" t="str">
        <f>HYPERLINK("https://www.csu.edu.au/scholarships/scholarships-grants/find-scholarship/equity/three-rivers-drh-aged-care-continuing-student-scholarship", "Three Rivers DRH Aged Care  Continuing Student Scholarship")</f>
        <v>Three Rivers DRH Aged Care  Continuing Student Scholarship</v>
      </c>
      <c r="C155" t="s">
        <v>27</v>
      </c>
      <c r="D155" t="s">
        <v>241</v>
      </c>
      <c r="E155" t="s">
        <v>201</v>
      </c>
      <c r="F155" t="s">
        <v>35</v>
      </c>
      <c r="G155" s="12" t="s">
        <v>433</v>
      </c>
      <c r="H155" t="s">
        <v>25</v>
      </c>
      <c r="I155" t="s">
        <v>25</v>
      </c>
    </row>
    <row r="156" spans="1:9" ht="45" x14ac:dyDescent="0.25">
      <c r="A156" s="2" t="s">
        <v>6</v>
      </c>
      <c r="B156"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6" t="s">
        <v>27</v>
      </c>
      <c r="D156" t="s">
        <v>214</v>
      </c>
      <c r="E156" t="s">
        <v>24</v>
      </c>
      <c r="F156" t="s">
        <v>13</v>
      </c>
      <c r="G156" s="12" t="s">
        <v>506</v>
      </c>
      <c r="H156" t="s">
        <v>25</v>
      </c>
      <c r="I156" t="s">
        <v>25</v>
      </c>
    </row>
    <row r="157" spans="1:9" ht="60" x14ac:dyDescent="0.25">
      <c r="A157" s="2" t="s">
        <v>6</v>
      </c>
      <c r="B157" t="str">
        <f>HYPERLINK("https://www.csu.edu.au/scholarships/scholarships-grants/find-scholarship/foundation/accom/colgate-accommodation-scholarship", "Colgate Accommodation Scholarship")</f>
        <v>Colgate Accommodation Scholarship</v>
      </c>
      <c r="C157" t="s">
        <v>27</v>
      </c>
      <c r="D157" t="s">
        <v>203</v>
      </c>
      <c r="E157" t="s">
        <v>201</v>
      </c>
      <c r="F157" t="s">
        <v>13</v>
      </c>
      <c r="G157" s="12" t="s">
        <v>507</v>
      </c>
      <c r="H157" t="s">
        <v>25</v>
      </c>
      <c r="I157" t="s">
        <v>25</v>
      </c>
    </row>
    <row r="158" spans="1:9" ht="150" x14ac:dyDescent="0.25">
      <c r="A158" s="2" t="s">
        <v>6</v>
      </c>
      <c r="B158" t="str">
        <f>HYPERLINK("https://www.csu.edu.au/scholarships/scholarships-grants/find-scholarship/foundation/any-year/rowe-scientific-chemistry-scholarship", "Rowe Scientific Chemistry Scholarship")</f>
        <v>Rowe Scientific Chemistry Scholarship</v>
      </c>
      <c r="C158" t="s">
        <v>27</v>
      </c>
      <c r="D158" t="s">
        <v>208</v>
      </c>
      <c r="E158" t="s">
        <v>201</v>
      </c>
      <c r="F158" t="s">
        <v>13</v>
      </c>
      <c r="G158" s="12" t="s">
        <v>413</v>
      </c>
      <c r="H158" t="s">
        <v>25</v>
      </c>
      <c r="I158" t="s">
        <v>25</v>
      </c>
    </row>
    <row r="159" spans="1:9" ht="195" x14ac:dyDescent="0.25">
      <c r="A159" s="2" t="s">
        <v>6</v>
      </c>
      <c r="B159" t="str">
        <f>HYPERLINK("https://www.csu.edu.au/scholarships/scholarships-grants/find-scholarship/foundation/continuing/rennylea-future-in-livestock-scholarship", "Rennylea - The Future in Livestock Scholarship")</f>
        <v>Rennylea - The Future in Livestock Scholarship</v>
      </c>
      <c r="C159" t="s">
        <v>14</v>
      </c>
      <c r="D159" t="s">
        <v>254</v>
      </c>
      <c r="E159" t="s">
        <v>201</v>
      </c>
      <c r="F159" t="s">
        <v>235</v>
      </c>
      <c r="G159" s="12" t="s">
        <v>508</v>
      </c>
      <c r="H159" t="s">
        <v>25</v>
      </c>
      <c r="I159" t="s">
        <v>25</v>
      </c>
    </row>
    <row r="160" spans="1:9" ht="75" x14ac:dyDescent="0.25">
      <c r="A160" s="2" t="s">
        <v>6</v>
      </c>
      <c r="B160" t="str">
        <f>HYPERLINK("https://www.csu.edu.au/scholarships/scholarships-grants/find-scholarship/foundation/continuing/valerie-cox-memorial-scholarship-continuing", "Valerie Cox Memorial Scholarship - Continuing")</f>
        <v>Valerie Cox Memorial Scholarship - Continuing</v>
      </c>
      <c r="C160" t="s">
        <v>27</v>
      </c>
      <c r="D160" t="s">
        <v>203</v>
      </c>
      <c r="E160" t="s">
        <v>24</v>
      </c>
      <c r="F160" t="s">
        <v>13</v>
      </c>
      <c r="G160" s="12" t="s">
        <v>430</v>
      </c>
      <c r="H160" t="s">
        <v>25</v>
      </c>
      <c r="I160" t="s">
        <v>25</v>
      </c>
    </row>
    <row r="161" spans="1:9" ht="60" x14ac:dyDescent="0.25">
      <c r="A161" s="2" t="s">
        <v>6</v>
      </c>
      <c r="B161" t="str">
        <f>HYPERLINK("https://www.csu.edu.au/scholarships/scholarships-grants/find-scholarship/equity/three-rivers-department-of-rural-health-honours-scholarship", "Three Rivers Department of Rural Health Honours Scholarship")</f>
        <v>Three Rivers Department of Rural Health Honours Scholarship</v>
      </c>
      <c r="C161" t="s">
        <v>27</v>
      </c>
      <c r="D161" s="7" t="s">
        <v>255</v>
      </c>
      <c r="E161" t="s">
        <v>201</v>
      </c>
      <c r="F161" t="s">
        <v>137</v>
      </c>
      <c r="G161" s="12" t="s">
        <v>436</v>
      </c>
      <c r="H161" t="s">
        <v>25</v>
      </c>
      <c r="I161" t="s">
        <v>25</v>
      </c>
    </row>
    <row r="162" spans="1:9" ht="90" x14ac:dyDescent="0.25">
      <c r="A162" s="2" t="s">
        <v>6</v>
      </c>
      <c r="B162" t="str">
        <f>HYPERLINK("https://www.csu.edu.au/scholarships/scholarships-grants/find-scholarship/foundation/1st-year/chris-and-gina-grubb-scholarship", "Chris and Gina Grubb Ornithology Scholarship")</f>
        <v>Chris and Gina Grubb Ornithology Scholarship</v>
      </c>
      <c r="C162" t="s">
        <v>27</v>
      </c>
      <c r="D162" s="7" t="s">
        <v>203</v>
      </c>
      <c r="E162" t="s">
        <v>24</v>
      </c>
      <c r="F162" t="s">
        <v>13</v>
      </c>
      <c r="G162" s="12" t="s">
        <v>509</v>
      </c>
      <c r="H162" t="s">
        <v>25</v>
      </c>
      <c r="I162" t="s">
        <v>25</v>
      </c>
    </row>
    <row r="163" spans="1:9" ht="75" x14ac:dyDescent="0.25">
      <c r="A163" s="2" t="s">
        <v>6</v>
      </c>
      <c r="B163" t="str">
        <f>HYPERLINK("https://www.csu.edu.au/scholarships/scholarships-grants/find-scholarship/foundation/1st-year/The-Roberton-Scholarship", "The Roberton Scholarship")</f>
        <v>The Roberton Scholarship</v>
      </c>
      <c r="C163" t="s">
        <v>27</v>
      </c>
      <c r="D163" t="s">
        <v>256</v>
      </c>
      <c r="E163" t="s">
        <v>201</v>
      </c>
      <c r="F163" t="s">
        <v>13</v>
      </c>
      <c r="G163" s="12" t="s">
        <v>510</v>
      </c>
      <c r="H163" t="s">
        <v>25</v>
      </c>
      <c r="I163" t="s">
        <v>25</v>
      </c>
    </row>
    <row r="164" spans="1:9" ht="60" x14ac:dyDescent="0.25">
      <c r="A164" s="2" t="s">
        <v>6</v>
      </c>
      <c r="B164" t="str">
        <f>HYPERLINK("https://www.csu.edu.au/scholarships/scholarships-grants/find-scholarship/foundation/continuing/calvary-health-care-riverina-scholarship", "Calvary Health Care Riverina Scholarship")</f>
        <v>Calvary Health Care Riverina Scholarship</v>
      </c>
      <c r="C164" t="s">
        <v>27</v>
      </c>
      <c r="D164" t="s">
        <v>214</v>
      </c>
      <c r="E164" t="s">
        <v>24</v>
      </c>
      <c r="F164" t="s">
        <v>13</v>
      </c>
      <c r="G164" s="12" t="s">
        <v>511</v>
      </c>
      <c r="H164" t="s">
        <v>25</v>
      </c>
      <c r="I164" t="s">
        <v>25</v>
      </c>
    </row>
    <row r="165" spans="1:9" ht="60" x14ac:dyDescent="0.25">
      <c r="A165" s="2" t="s">
        <v>6</v>
      </c>
      <c r="B165" t="str">
        <f>HYPERLINK("https://www.csu.edu.au/scholarships/scholarships-grants/find-scholarship/foundation/1st-year/csu-pharmacy-foundation-scholarship", "CSU Pharmacy Foundation Scholarship")</f>
        <v>CSU Pharmacy Foundation Scholarship</v>
      </c>
      <c r="C165" t="s">
        <v>27</v>
      </c>
      <c r="D165" t="s">
        <v>203</v>
      </c>
      <c r="E165" t="s">
        <v>24</v>
      </c>
      <c r="F165" t="s">
        <v>13</v>
      </c>
      <c r="G165" s="12" t="s">
        <v>512</v>
      </c>
      <c r="H165" t="s">
        <v>21</v>
      </c>
      <c r="I165" t="s">
        <v>25</v>
      </c>
    </row>
    <row r="166" spans="1:9" ht="75" x14ac:dyDescent="0.25">
      <c r="A166" s="2" t="s">
        <v>6</v>
      </c>
      <c r="B166" t="str">
        <f>HYPERLINK("https://www.csu.edu.au/scholarships/scholarships-grants/find-scholarship/foundation/continuing/geoff-quick-paramedicine-scholarship", "Geoff Quick Paramedicine Scholarship")</f>
        <v>Geoff Quick Paramedicine Scholarship</v>
      </c>
      <c r="C166" t="s">
        <v>14</v>
      </c>
      <c r="D166" t="s">
        <v>203</v>
      </c>
      <c r="E166" t="s">
        <v>201</v>
      </c>
      <c r="F166" t="s">
        <v>13</v>
      </c>
      <c r="G166" s="12" t="s">
        <v>513</v>
      </c>
      <c r="H166" t="s">
        <v>25</v>
      </c>
      <c r="I166" t="s">
        <v>25</v>
      </c>
    </row>
    <row r="167" spans="1:9" ht="60" x14ac:dyDescent="0.25">
      <c r="A167" s="2" t="s">
        <v>6</v>
      </c>
      <c r="B167" t="str">
        <f>HYPERLINK("https://www.csu.edu.au/scholarships/scholarships-grants/find-scholarship/foundation/any-year/rotary-club-of-wollundry-scholarship-wagga-wagga", "Rotary Club of Wollundry Scholarship, Wagga Wagga ")</f>
        <v xml:space="preserve">Rotary Club of Wollundry Scholarship, Wagga Wagga </v>
      </c>
      <c r="C167" t="s">
        <v>27</v>
      </c>
      <c r="D167" t="s">
        <v>248</v>
      </c>
      <c r="E167" t="s">
        <v>201</v>
      </c>
      <c r="F167" t="s">
        <v>13</v>
      </c>
      <c r="G167" s="12" t="s">
        <v>514</v>
      </c>
      <c r="H167" t="s">
        <v>25</v>
      </c>
      <c r="I167" t="s">
        <v>25</v>
      </c>
    </row>
    <row r="168" spans="1:9" ht="60" x14ac:dyDescent="0.25">
      <c r="A168" s="2" t="s">
        <v>6</v>
      </c>
      <c r="B168" t="str">
        <f>HYPERLINK("https://www.csu.edu.au/scholarships/scholarships-grants/find-scholarship/foundation/1st-year/rotary-club-of-liverpool-west-nursing-scholarship", "Rotary Club of Liverpool West Nursing Scholarship")</f>
        <v>Rotary Club of Liverpool West Nursing Scholarship</v>
      </c>
      <c r="C168" t="s">
        <v>14</v>
      </c>
      <c r="D168" t="s">
        <v>238</v>
      </c>
      <c r="E168" t="s">
        <v>201</v>
      </c>
      <c r="F168" t="s">
        <v>13</v>
      </c>
      <c r="G168" s="12" t="s">
        <v>515</v>
      </c>
      <c r="H168" t="s">
        <v>25</v>
      </c>
      <c r="I168" t="s">
        <v>25</v>
      </c>
    </row>
    <row r="169" spans="1:9" ht="90" x14ac:dyDescent="0.25">
      <c r="A169" s="2" t="s">
        <v>6</v>
      </c>
      <c r="B169" t="str">
        <f>HYPERLINK("https://www.csu.edu.au/scholarships/scholarships-grants/find-scholarship/foundation/1st-year/vp-bragg-bequest-trust-fund-scholarship", "VP Bragg Bequest Trust Fund Scholarship")</f>
        <v>VP Bragg Bequest Trust Fund Scholarship</v>
      </c>
      <c r="C169" t="s">
        <v>14</v>
      </c>
      <c r="D169" t="s">
        <v>193</v>
      </c>
      <c r="E169" t="s">
        <v>24</v>
      </c>
      <c r="F169" t="s">
        <v>13</v>
      </c>
      <c r="G169" s="12" t="s">
        <v>516</v>
      </c>
      <c r="H169" t="s">
        <v>25</v>
      </c>
      <c r="I169" t="s">
        <v>25</v>
      </c>
    </row>
    <row r="170" spans="1:9" ht="45" x14ac:dyDescent="0.25">
      <c r="A170" s="2" t="s">
        <v>6</v>
      </c>
      <c r="B170"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0" t="s">
        <v>27</v>
      </c>
      <c r="D170" t="s">
        <v>257</v>
      </c>
      <c r="E170" t="s">
        <v>201</v>
      </c>
      <c r="F170" t="s">
        <v>197</v>
      </c>
      <c r="G170" s="12" t="s">
        <v>258</v>
      </c>
      <c r="H170" t="s">
        <v>25</v>
      </c>
      <c r="I170" t="s">
        <v>25</v>
      </c>
    </row>
    <row r="171" spans="1:9" ht="45" x14ac:dyDescent="0.25">
      <c r="A171" s="2" t="s">
        <v>6</v>
      </c>
      <c r="B171" t="str">
        <f>HYPERLINK("https://www.csu.edu.au/scholarships/scholarships-grants/find-scholarship/foundation/any-year/widgiewa-school-scholarship", "Widgiewa School Scholarship ")</f>
        <v xml:space="preserve">Widgiewa School Scholarship </v>
      </c>
      <c r="C171" t="s">
        <v>27</v>
      </c>
      <c r="D171" t="s">
        <v>203</v>
      </c>
      <c r="E171" t="s">
        <v>24</v>
      </c>
      <c r="F171" t="s">
        <v>13</v>
      </c>
      <c r="G171" s="12" t="s">
        <v>517</v>
      </c>
      <c r="H171" t="s">
        <v>25</v>
      </c>
      <c r="I171" t="s">
        <v>25</v>
      </c>
    </row>
    <row r="172" spans="1:9" ht="60" x14ac:dyDescent="0.25">
      <c r="A172" s="2" t="s">
        <v>6</v>
      </c>
      <c r="B172" t="str">
        <f>HYPERLINK("https://www.csu.edu.au/scholarships/scholarships-grants/find-scholarship/foundation/1st-year/the-james-mcinerney-memorial-scholarship", "The James McInerney Memorial Scholarship")</f>
        <v>The James McInerney Memorial Scholarship</v>
      </c>
      <c r="C172" t="s">
        <v>14</v>
      </c>
      <c r="D172" t="s">
        <v>259</v>
      </c>
      <c r="E172" t="s">
        <v>201</v>
      </c>
      <c r="F172" t="s">
        <v>13</v>
      </c>
      <c r="G172" s="12" t="s">
        <v>518</v>
      </c>
      <c r="H172" t="s">
        <v>25</v>
      </c>
      <c r="I172" t="s">
        <v>25</v>
      </c>
    </row>
    <row r="173" spans="1:9" ht="90" x14ac:dyDescent="0.25">
      <c r="A173" s="2" t="s">
        <v>6</v>
      </c>
      <c r="B173" t="str">
        <f>HYPERLINK("https://www.csu.edu.au/scholarships/scholarships-grants/find-scholarship/foundation/1st-year/fc-pye-rural-australia-foundation", "FC Pye Rural Australia Foundation")</f>
        <v>FC Pye Rural Australia Foundation</v>
      </c>
      <c r="C173" t="s">
        <v>27</v>
      </c>
      <c r="D173" t="s">
        <v>214</v>
      </c>
      <c r="E173" t="s">
        <v>24</v>
      </c>
      <c r="F173" t="s">
        <v>13</v>
      </c>
      <c r="G173" s="12" t="s">
        <v>519</v>
      </c>
      <c r="H173" t="s">
        <v>25</v>
      </c>
      <c r="I173" t="s">
        <v>25</v>
      </c>
    </row>
    <row r="174" spans="1:9" ht="105" x14ac:dyDescent="0.25">
      <c r="A174" s="2" t="s">
        <v>6</v>
      </c>
      <c r="B174" t="str">
        <f>HYPERLINK("https://www.csu.edu.au/scholarships/scholarships-grants/find-scholarship/foundation/continuing/matron-hertzog-scholarship", "Matron Herzog Scholarship")</f>
        <v>Matron Herzog Scholarship</v>
      </c>
      <c r="C174" t="s">
        <v>14</v>
      </c>
      <c r="D174" s="7" t="s">
        <v>210</v>
      </c>
      <c r="E174" t="s">
        <v>24</v>
      </c>
      <c r="F174" t="s">
        <v>13</v>
      </c>
      <c r="G174" s="12" t="s">
        <v>520</v>
      </c>
      <c r="H174" t="s">
        <v>25</v>
      </c>
      <c r="I174" t="s">
        <v>25</v>
      </c>
    </row>
    <row r="175" spans="1:9" ht="105" x14ac:dyDescent="0.25">
      <c r="A175" s="2" t="s">
        <v>6</v>
      </c>
      <c r="B175"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5" t="s">
        <v>27</v>
      </c>
      <c r="D175" t="s">
        <v>224</v>
      </c>
      <c r="E175" t="s">
        <v>24</v>
      </c>
      <c r="F175" t="s">
        <v>13</v>
      </c>
      <c r="G175" s="12" t="s">
        <v>521</v>
      </c>
      <c r="H175" t="s">
        <v>25</v>
      </c>
      <c r="I175" t="s">
        <v>25</v>
      </c>
    </row>
    <row r="176" spans="1:9" ht="45" x14ac:dyDescent="0.25">
      <c r="A176" s="2" t="s">
        <v>6</v>
      </c>
      <c r="B176" t="str">
        <f>HYPERLINK("https://www.csu.edu.au/scholarships/scholarships-grants/find-scholarship/foundation/1st-year/ron-and-stephanie-camplin-oam-nursing-scholarship", "Ron and Stephanie Camplin OAM Nursing Scholarship")</f>
        <v>Ron and Stephanie Camplin OAM Nursing Scholarship</v>
      </c>
      <c r="C176" t="s">
        <v>27</v>
      </c>
      <c r="D176" t="s">
        <v>248</v>
      </c>
      <c r="E176" t="s">
        <v>201</v>
      </c>
      <c r="F176" t="s">
        <v>13</v>
      </c>
      <c r="G176" s="12" t="s">
        <v>522</v>
      </c>
      <c r="H176" t="s">
        <v>25</v>
      </c>
      <c r="I176" t="s">
        <v>25</v>
      </c>
    </row>
    <row r="177" spans="1:9" ht="120" x14ac:dyDescent="0.25">
      <c r="A177" s="2" t="s">
        <v>6</v>
      </c>
      <c r="B177"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7" t="s">
        <v>27</v>
      </c>
      <c r="D177" t="s">
        <v>214</v>
      </c>
      <c r="E177" t="s">
        <v>24</v>
      </c>
      <c r="F177" t="s">
        <v>13</v>
      </c>
      <c r="G177" s="12" t="s">
        <v>523</v>
      </c>
      <c r="H177" t="s">
        <v>25</v>
      </c>
      <c r="I177" t="s">
        <v>25</v>
      </c>
    </row>
    <row r="178" spans="1:9" ht="105" x14ac:dyDescent="0.25">
      <c r="A178" s="2" t="s">
        <v>6</v>
      </c>
      <c r="B178" t="str">
        <f>HYPERLINK("https://www.csu.edu.au/scholarships/scholarships-grants/find-scholarship/foundation/continuing/a-and-k-gestier-veterinary-scholarship2", "A&amp;K Gestier Veterinary Scholarship")</f>
        <v>A&amp;K Gestier Veterinary Scholarship</v>
      </c>
      <c r="C178" t="s">
        <v>14</v>
      </c>
      <c r="D178" t="s">
        <v>193</v>
      </c>
      <c r="E178" t="s">
        <v>24</v>
      </c>
      <c r="F178" t="s">
        <v>13</v>
      </c>
      <c r="G178" s="12" t="s">
        <v>524</v>
      </c>
      <c r="H178" t="s">
        <v>25</v>
      </c>
      <c r="I178" t="s">
        <v>25</v>
      </c>
    </row>
    <row r="179" spans="1:9" ht="90" x14ac:dyDescent="0.25">
      <c r="A179" s="2" t="s">
        <v>6</v>
      </c>
      <c r="B179" t="str">
        <f>HYPERLINK("https://www.csu.edu.au/scholarships/scholarships-grants/find-scholarship/foundation/continuing/the-ak-and-ia-sutherland-scholarship", "The AK &amp; IA Sutherland Scholarship")</f>
        <v>The AK &amp; IA Sutherland Scholarship</v>
      </c>
      <c r="C179" t="s">
        <v>14</v>
      </c>
      <c r="D179" t="s">
        <v>193</v>
      </c>
      <c r="E179" t="s">
        <v>24</v>
      </c>
      <c r="F179" t="s">
        <v>13</v>
      </c>
      <c r="G179" s="12" t="s">
        <v>525</v>
      </c>
      <c r="H179" t="s">
        <v>25</v>
      </c>
      <c r="I179" t="s">
        <v>25</v>
      </c>
    </row>
    <row r="180" spans="1:9" x14ac:dyDescent="0.25">
      <c r="A180" s="6" t="s">
        <v>5</v>
      </c>
      <c r="B180" s="8" t="str">
        <f>HYPERLINK("https://www.mq.edu.au/study/admissions-and-entry/scholarships/domestic/indigenous-education-costs-scholarship","Indigenous Education Costs Scholarship")</f>
        <v>Indigenous Education Costs Scholarship</v>
      </c>
      <c r="C180" s="7" t="s">
        <v>14</v>
      </c>
      <c r="D180" s="9">
        <v>3000</v>
      </c>
      <c r="E180" s="7">
        <v>4</v>
      </c>
      <c r="F180" s="7" t="s">
        <v>13</v>
      </c>
      <c r="G180" s="7" t="s">
        <v>17</v>
      </c>
      <c r="H180" t="s">
        <v>16</v>
      </c>
      <c r="I180" s="7" t="s">
        <v>25</v>
      </c>
    </row>
    <row r="181" spans="1:9" ht="30" x14ac:dyDescent="0.25">
      <c r="A181" s="6" t="s">
        <v>5</v>
      </c>
      <c r="B181" s="8" t="str">
        <f>HYPERLINK(" https://www.mq.edu.au/study/admissions-and-entry/scholarships/domestic/indigenous-commonwealth-assistance-scholarship", "Indigenous Commonwealth Assistance Scholarship")</f>
        <v>Indigenous Commonwealth Assistance Scholarship</v>
      </c>
      <c r="C181" s="7" t="s">
        <v>19</v>
      </c>
      <c r="D181" s="9">
        <v>6000</v>
      </c>
      <c r="E181" s="7">
        <v>4</v>
      </c>
      <c r="F181" s="7" t="s">
        <v>13</v>
      </c>
      <c r="G181" s="10" t="s">
        <v>18</v>
      </c>
      <c r="H181" t="s">
        <v>16</v>
      </c>
      <c r="I181" s="7" t="s">
        <v>25</v>
      </c>
    </row>
    <row r="182" spans="1:9" ht="45" x14ac:dyDescent="0.25">
      <c r="A182" s="6" t="s">
        <v>5</v>
      </c>
      <c r="B182" s="8" t="str">
        <f>HYPERLINK(" https://www.mq.edu.au/study/admissions-and-entry/scholarships/domestic/macquarie-regional-and-remote-support-scholarship", "Macquarie Regional and Remote Support Scholarship")</f>
        <v>Macquarie Regional and Remote Support Scholarship</v>
      </c>
      <c r="C182" s="7" t="s">
        <v>14</v>
      </c>
      <c r="D182" s="9">
        <v>10000</v>
      </c>
      <c r="E182" s="7">
        <v>4</v>
      </c>
      <c r="F182" s="7" t="s">
        <v>13</v>
      </c>
      <c r="G182" s="10" t="s">
        <v>20</v>
      </c>
      <c r="H182" s="7" t="s">
        <v>21</v>
      </c>
      <c r="I182" s="7" t="s">
        <v>25</v>
      </c>
    </row>
    <row r="183" spans="1:9" ht="60" x14ac:dyDescent="0.25">
      <c r="A183" s="6" t="s">
        <v>5</v>
      </c>
      <c r="B183" s="8" t="str">
        <f>HYPERLINK(" https://www.mq.edu.au/study/admissions-and-entry/scholarships/domestic/macquarie-education-costs-scholarship", "Macquarie Education Costs Scholarship")</f>
        <v>Macquarie Education Costs Scholarship</v>
      </c>
      <c r="C183" s="7" t="s">
        <v>14</v>
      </c>
      <c r="D183" s="9">
        <v>6000</v>
      </c>
      <c r="E183" s="7">
        <v>4</v>
      </c>
      <c r="F183" s="7" t="s">
        <v>13</v>
      </c>
      <c r="G183" s="10" t="s">
        <v>22</v>
      </c>
      <c r="H183" s="7" t="s">
        <v>21</v>
      </c>
      <c r="I183" s="7" t="s">
        <v>25</v>
      </c>
    </row>
    <row r="184" spans="1:9" ht="60" x14ac:dyDescent="0.25">
      <c r="A184" s="6" t="s">
        <v>5</v>
      </c>
      <c r="B184" s="8" t="str">
        <f>HYPERLINK(" https://www.mq.edu.au/study/admissions-and-entry/scholarships/domestic/tertiary-access-payment", "Tertiary Access Payment")</f>
        <v>Tertiary Access Payment</v>
      </c>
      <c r="C184" s="7" t="s">
        <v>14</v>
      </c>
      <c r="D184" s="7" t="s">
        <v>23</v>
      </c>
      <c r="E184" s="7" t="s">
        <v>24</v>
      </c>
      <c r="F184" s="7" t="s">
        <v>13</v>
      </c>
      <c r="G184" s="10" t="s">
        <v>26</v>
      </c>
      <c r="H184" s="7" t="s">
        <v>25</v>
      </c>
      <c r="I184" s="7" t="s">
        <v>25</v>
      </c>
    </row>
    <row r="185" spans="1:9" ht="45" x14ac:dyDescent="0.25">
      <c r="A185" s="6" t="s">
        <v>5</v>
      </c>
      <c r="B185" s="8" t="str">
        <f>HYPERLINK(" https://www.mq.edu.au/study/admissions-and-entry/scholarships/domestic/jennifer-barton-memorial-law-scholarship", "
Jennifer Barton Memorial Law Scholarship")</f>
        <v xml:space="preserve">
Jennifer Barton Memorial Law Scholarship</v>
      </c>
      <c r="C185" s="7" t="s">
        <v>27</v>
      </c>
      <c r="D185" s="9">
        <v>10000</v>
      </c>
      <c r="E185" s="7">
        <v>1</v>
      </c>
      <c r="F185" s="7" t="s">
        <v>13</v>
      </c>
      <c r="G185" s="10" t="s">
        <v>28</v>
      </c>
      <c r="H185" s="7" t="s">
        <v>25</v>
      </c>
      <c r="I185" s="7" t="s">
        <v>25</v>
      </c>
    </row>
    <row r="186" spans="1:9" ht="30" x14ac:dyDescent="0.25">
      <c r="A186" s="6" t="s">
        <v>5</v>
      </c>
      <c r="B186" s="8" t="str">
        <f>HYPERLINK("https://www.mq.edu.au/study/admissions-and-entry/scholarships/domestic/macquarie-business-school-academic-excellence-scholarship", "Macquarie Business School Academic Excellence Scholarship")</f>
        <v>Macquarie Business School Academic Excellence Scholarship</v>
      </c>
      <c r="C186" s="7" t="s">
        <v>27</v>
      </c>
      <c r="D186" s="7" t="s">
        <v>29</v>
      </c>
      <c r="E186" s="7">
        <v>4</v>
      </c>
      <c r="F186" s="7" t="s">
        <v>13</v>
      </c>
      <c r="G186" s="10" t="s">
        <v>30</v>
      </c>
      <c r="H186" s="7" t="s">
        <v>25</v>
      </c>
      <c r="I186" s="7" t="s">
        <v>25</v>
      </c>
    </row>
    <row r="187" spans="1:9" ht="30" x14ac:dyDescent="0.25">
      <c r="A187" s="6" t="s">
        <v>5</v>
      </c>
      <c r="B187"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7" s="7" t="s">
        <v>14</v>
      </c>
      <c r="D187" s="7" t="s">
        <v>31</v>
      </c>
      <c r="E187" s="7">
        <v>4</v>
      </c>
      <c r="F187" s="7" t="s">
        <v>13</v>
      </c>
      <c r="G187" s="10" t="s">
        <v>18</v>
      </c>
      <c r="H187" s="7" t="s">
        <v>21</v>
      </c>
      <c r="I187" s="7" t="s">
        <v>25</v>
      </c>
    </row>
    <row r="188" spans="1:9" ht="60" x14ac:dyDescent="0.25">
      <c r="A188" s="6" t="s">
        <v>5</v>
      </c>
      <c r="B188"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8" s="7" t="s">
        <v>14</v>
      </c>
      <c r="D188" s="7" t="s">
        <v>31</v>
      </c>
      <c r="E188" s="7">
        <v>1</v>
      </c>
      <c r="F188" s="7" t="s">
        <v>13</v>
      </c>
      <c r="G188" s="10" t="s">
        <v>32</v>
      </c>
      <c r="H188" s="7" t="s">
        <v>21</v>
      </c>
      <c r="I188" s="7" t="s">
        <v>25</v>
      </c>
    </row>
    <row r="189" spans="1:9" ht="60" x14ac:dyDescent="0.25">
      <c r="A189" s="6" t="s">
        <v>5</v>
      </c>
      <c r="B189" s="8" t="str">
        <f>HYPERLINK(" https://www.mq.edu.au/study/admissions-and-entry/scholarships/domestic/macquarie-leaders-and-achievers-scholarship", "Macquarie Leaders and Achievers Scholarship")</f>
        <v>Macquarie Leaders and Achievers Scholarship</v>
      </c>
      <c r="C189" s="7" t="s">
        <v>27</v>
      </c>
      <c r="D189" s="9">
        <v>10000</v>
      </c>
      <c r="E189" s="7">
        <v>5</v>
      </c>
      <c r="F189" s="7" t="s">
        <v>13</v>
      </c>
      <c r="G189" s="10" t="s">
        <v>33</v>
      </c>
      <c r="H189" s="7" t="s">
        <v>25</v>
      </c>
      <c r="I189" s="7" t="s">
        <v>25</v>
      </c>
    </row>
    <row r="190" spans="1:9" ht="45" x14ac:dyDescent="0.25">
      <c r="A190" s="6" t="s">
        <v>5</v>
      </c>
      <c r="B190" s="8" t="str">
        <f>HYPERLINK(" https://www.mq.edu.au/study/admissions-and-entry/scholarships/domestic/dr-arthur-pryor-scholarship", "Dr Arthur Pryor Scholarship")</f>
        <v>Dr Arthur Pryor Scholarship</v>
      </c>
      <c r="C190" s="7" t="s">
        <v>27</v>
      </c>
      <c r="D190" s="9">
        <v>5000</v>
      </c>
      <c r="E190" s="7">
        <v>3</v>
      </c>
      <c r="F190" s="7" t="s">
        <v>13</v>
      </c>
      <c r="G190" s="10" t="s">
        <v>34</v>
      </c>
      <c r="H190" s="7" t="s">
        <v>25</v>
      </c>
      <c r="I190" s="7" t="s">
        <v>25</v>
      </c>
    </row>
    <row r="191" spans="1:9" ht="45" x14ac:dyDescent="0.25">
      <c r="A191" s="6" t="s">
        <v>5</v>
      </c>
      <c r="B191" s="8" t="str">
        <f>HYPERLINK("https://www.mq.edu.au/study/admissions-and-entry/scholarships/domestic/faculty-of-science-and-engineering-sustainability-scholarship", "Faculty of Science and Engineering Sustainability Scholarship")</f>
        <v>Faculty of Science and Engineering Sustainability Scholarship</v>
      </c>
      <c r="C191" s="7" t="s">
        <v>27</v>
      </c>
      <c r="D191" s="9">
        <v>5000</v>
      </c>
      <c r="E191" s="7">
        <v>4</v>
      </c>
      <c r="F191" s="7" t="s">
        <v>35</v>
      </c>
      <c r="G191" s="10" t="s">
        <v>36</v>
      </c>
      <c r="H191" s="7" t="s">
        <v>25</v>
      </c>
      <c r="I191" s="7" t="s">
        <v>25</v>
      </c>
    </row>
    <row r="192" spans="1:9" ht="60" x14ac:dyDescent="0.25">
      <c r="A192" s="6" t="s">
        <v>5</v>
      </c>
      <c r="B192" s="8" t="str">
        <f>HYPERLINK(" https://www.mq.edu.au/study/admissions-and-entry/scholarships/domestic/faculty-of-science-and-engineering-women-in-stem-scholarship", "Faculty of Science and Engineering Women in STEM Scholarship")</f>
        <v>Faculty of Science and Engineering Women in STEM Scholarship</v>
      </c>
      <c r="C192" s="7" t="s">
        <v>27</v>
      </c>
      <c r="D192" s="9">
        <v>5000</v>
      </c>
      <c r="E192" s="7">
        <v>4</v>
      </c>
      <c r="F192" s="7" t="s">
        <v>35</v>
      </c>
      <c r="G192" s="10" t="s">
        <v>37</v>
      </c>
      <c r="H192" s="7" t="s">
        <v>25</v>
      </c>
      <c r="I192" s="7" t="s">
        <v>25</v>
      </c>
    </row>
    <row r="193" spans="1:9" ht="45" x14ac:dyDescent="0.25">
      <c r="A193" s="6" t="s">
        <v>5</v>
      </c>
      <c r="B193" s="8" t="str">
        <f>HYPERLINK("https://www.mq.edu.au/study/admissions-and-entry/scholarships/domestic/dr-melanie-beresford-scholarship", "Dr Melanie Beresford Scholarship")</f>
        <v>Dr Melanie Beresford Scholarship</v>
      </c>
      <c r="C193" s="7" t="s">
        <v>27</v>
      </c>
      <c r="D193" s="9">
        <v>7500</v>
      </c>
      <c r="E193" s="7" t="s">
        <v>24</v>
      </c>
      <c r="F193" s="7" t="s">
        <v>35</v>
      </c>
      <c r="G193" s="10" t="s">
        <v>38</v>
      </c>
      <c r="H193" s="7" t="s">
        <v>25</v>
      </c>
      <c r="I193" s="7" t="s">
        <v>25</v>
      </c>
    </row>
    <row r="194" spans="1:9" ht="45" x14ac:dyDescent="0.25">
      <c r="A194" s="6" t="s">
        <v>5</v>
      </c>
      <c r="B194"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4" s="7" t="s">
        <v>27</v>
      </c>
      <c r="D194" s="9">
        <v>10000</v>
      </c>
      <c r="E194" s="7" t="s">
        <v>24</v>
      </c>
      <c r="F194" s="7" t="s">
        <v>13</v>
      </c>
      <c r="G194" s="10" t="s">
        <v>39</v>
      </c>
      <c r="H194" s="7" t="s">
        <v>25</v>
      </c>
      <c r="I194" s="7" t="s">
        <v>25</v>
      </c>
    </row>
    <row r="195" spans="1:9" ht="30" x14ac:dyDescent="0.25">
      <c r="A195" s="6" t="s">
        <v>5</v>
      </c>
      <c r="B195" s="8" t="str">
        <f>HYPERLINK("https://www.mq.edu.au/study/admissions-and-entry/scholarships/domestic/sports-scholarship", "Sports Scholarship")</f>
        <v>Sports Scholarship</v>
      </c>
      <c r="C195" s="7" t="s">
        <v>27</v>
      </c>
      <c r="D195" s="7" t="s">
        <v>40</v>
      </c>
      <c r="E195" s="7">
        <v>1</v>
      </c>
      <c r="F195" s="7" t="s">
        <v>35</v>
      </c>
      <c r="G195" s="10" t="s">
        <v>176</v>
      </c>
      <c r="H195" s="7" t="s">
        <v>25</v>
      </c>
      <c r="I195" s="7" t="s">
        <v>25</v>
      </c>
    </row>
    <row r="196" spans="1:9" ht="45" x14ac:dyDescent="0.25">
      <c r="A196" s="6" t="s">
        <v>5</v>
      </c>
      <c r="B196" s="8" t="str">
        <f>HYPERLINK(" https://www.mq.edu.au/study/admissions-and-entry/scholarships/domestic/the-mark-pezzano-memorial-scholarship-in-law", "The Mark Pezzano Memorial Scholarship in Law")</f>
        <v>The Mark Pezzano Memorial Scholarship in Law</v>
      </c>
      <c r="C196" s="7" t="s">
        <v>14</v>
      </c>
      <c r="D196" s="9">
        <v>10000</v>
      </c>
      <c r="E196" s="7" t="s">
        <v>41</v>
      </c>
      <c r="F196" s="7" t="s">
        <v>13</v>
      </c>
      <c r="G196" s="10" t="s">
        <v>42</v>
      </c>
      <c r="H196" s="7" t="s">
        <v>25</v>
      </c>
      <c r="I196" s="7" t="s">
        <v>25</v>
      </c>
    </row>
    <row r="197" spans="1:9" ht="60" x14ac:dyDescent="0.25">
      <c r="A197" s="6" t="s">
        <v>5</v>
      </c>
      <c r="B197" s="8" t="str">
        <f>HYPERLINK(" https://www.mq.edu.au/study/admissions-and-entry/scholarships/domestic/macquarie-university-accommodation-sustainability-scholarship", "Macquarie University Accommodation Sustainability Scholarship")</f>
        <v>Macquarie University Accommodation Sustainability Scholarship</v>
      </c>
      <c r="C197" s="7" t="s">
        <v>14</v>
      </c>
      <c r="D197" s="7" t="s">
        <v>31</v>
      </c>
      <c r="E197" s="7">
        <v>3</v>
      </c>
      <c r="F197" s="7" t="s">
        <v>13</v>
      </c>
      <c r="G197" s="10" t="s">
        <v>22</v>
      </c>
      <c r="H197" s="7" t="s">
        <v>25</v>
      </c>
      <c r="I197" s="7" t="s">
        <v>25</v>
      </c>
    </row>
    <row r="198" spans="1:9" x14ac:dyDescent="0.25">
      <c r="A198" s="6" t="s">
        <v>5</v>
      </c>
      <c r="B198" s="8" t="str">
        <f>HYPERLINK("https://www.mq.edu.au/study/admissions-and-entry/scholarships/domestic/sqa-undergraduate-research-scholarship", "
SQA Undergraduate Research Scholarship")</f>
        <v xml:space="preserve">
SQA Undergraduate Research Scholarship</v>
      </c>
      <c r="C198" s="7" t="s">
        <v>27</v>
      </c>
      <c r="D198" s="9">
        <v>3333</v>
      </c>
      <c r="E198" s="7" t="s">
        <v>24</v>
      </c>
      <c r="F198" s="7" t="s">
        <v>13</v>
      </c>
      <c r="G198" s="7" t="s">
        <v>43</v>
      </c>
      <c r="H198" s="7" t="s">
        <v>25</v>
      </c>
      <c r="I198" s="7" t="s">
        <v>25</v>
      </c>
    </row>
    <row r="199" spans="1:9" ht="45" x14ac:dyDescent="0.25">
      <c r="A199" s="6" t="s">
        <v>5</v>
      </c>
      <c r="B199" s="8" t="str">
        <f>HYPERLINK(" https://www.mq.edu.au/study/admissions-and-entry/scholarships/domestic/knox-grammar-school-teacher-education-scholarship", "Knox Grammar School Teacher Education Scholarship")</f>
        <v>Knox Grammar School Teacher Education Scholarship</v>
      </c>
      <c r="C199" s="7" t="s">
        <v>27</v>
      </c>
      <c r="D199" s="9">
        <v>8000</v>
      </c>
      <c r="E199" s="7">
        <v>1</v>
      </c>
      <c r="F199" s="7" t="s">
        <v>35</v>
      </c>
      <c r="G199" s="10" t="s">
        <v>44</v>
      </c>
      <c r="H199" s="7" t="s">
        <v>25</v>
      </c>
      <c r="I199" s="7" t="s">
        <v>25</v>
      </c>
    </row>
    <row r="200" spans="1:9" ht="45" x14ac:dyDescent="0.25">
      <c r="A200" s="6" t="s">
        <v>5</v>
      </c>
      <c r="B200" s="8" t="str">
        <f>HYPERLINK("https://www.mq.edu.au/study/admissions-and-entry/scholarships/domestic/the-goodacre-scholarship", "The Goodacre Scholarship")</f>
        <v>The Goodacre Scholarship</v>
      </c>
      <c r="C200" s="7" t="s">
        <v>14</v>
      </c>
      <c r="D200" s="9">
        <v>10000</v>
      </c>
      <c r="E200" s="7">
        <v>1</v>
      </c>
      <c r="F200" s="7" t="s">
        <v>13</v>
      </c>
      <c r="G200" s="10" t="s">
        <v>45</v>
      </c>
      <c r="H200" t="s">
        <v>16</v>
      </c>
      <c r="I200" s="7" t="s">
        <v>25</v>
      </c>
    </row>
    <row r="201" spans="1:9" ht="30" x14ac:dyDescent="0.25">
      <c r="A201" s="6" t="s">
        <v>5</v>
      </c>
      <c r="B201" s="8" t="str">
        <f>HYPERLINK(" https://www.mq.edu.au/study/admissions-and-entry/scholarships/domestic/commonwealth-teaching-scholarships", "Commonwealth Teaching Scholarships")</f>
        <v>Commonwealth Teaching Scholarships</v>
      </c>
      <c r="C201" s="7" t="s">
        <v>27</v>
      </c>
      <c r="D201" s="11" t="s">
        <v>46</v>
      </c>
      <c r="E201" s="7" t="s">
        <v>41</v>
      </c>
      <c r="F201" s="7" t="s">
        <v>35</v>
      </c>
      <c r="G201" s="7" t="s">
        <v>47</v>
      </c>
      <c r="H201" s="7" t="s">
        <v>25</v>
      </c>
      <c r="I201" s="7" t="s">
        <v>25</v>
      </c>
    </row>
    <row r="202" spans="1:9" ht="45" x14ac:dyDescent="0.25">
      <c r="A202" s="6" t="s">
        <v>5</v>
      </c>
      <c r="B202" s="8" t="str">
        <f>HYPERLINK(" https://www.mq.edu.au/study/admissions-and-entry/scholarships/domestic/bertha-mckenzie-endowment-scholarship", "Bertha McKenzie Endowment Scholarship")</f>
        <v>Bertha McKenzie Endowment Scholarship</v>
      </c>
      <c r="C202" s="7" t="s">
        <v>14</v>
      </c>
      <c r="D202" s="9">
        <v>5058</v>
      </c>
      <c r="E202" s="7" t="s">
        <v>24</v>
      </c>
      <c r="F202" s="7" t="s">
        <v>13</v>
      </c>
      <c r="G202" s="10" t="s">
        <v>48</v>
      </c>
      <c r="H202" s="7" t="s">
        <v>25</v>
      </c>
      <c r="I202" s="7" t="s">
        <v>25</v>
      </c>
    </row>
    <row r="203" spans="1:9" x14ac:dyDescent="0.25">
      <c r="A203" s="6" t="s">
        <v>5</v>
      </c>
      <c r="B203" s="8" t="str">
        <f>HYPERLINK(" https://www.mq.edu.au/study/admissions-and-entry/scholarships/domestic/dr-john-waters-equity-scholarship", "Dr John Waters Equity Scholarship")</f>
        <v>Dr John Waters Equity Scholarship</v>
      </c>
      <c r="C203" s="7" t="s">
        <v>14</v>
      </c>
      <c r="D203" s="9">
        <v>10000</v>
      </c>
      <c r="E203" s="7" t="s">
        <v>24</v>
      </c>
      <c r="F203" s="7" t="s">
        <v>13</v>
      </c>
      <c r="G203" s="7" t="s">
        <v>17</v>
      </c>
      <c r="H203" s="7" t="s">
        <v>25</v>
      </c>
      <c r="I203" s="7" t="s">
        <v>25</v>
      </c>
    </row>
    <row r="204" spans="1:9" ht="45" x14ac:dyDescent="0.25">
      <c r="A204" s="6" t="s">
        <v>5</v>
      </c>
      <c r="B204" s="8" t="str">
        <f>HYPERLINK(" https://www.mq.edu.au/study/admissions-and-entry/scholarships/domestic/macquarie-university-higher-study-scholarship-full-time-rate", "Macquarie University Higher Study Scholarship - Full time rate")</f>
        <v>Macquarie University Higher Study Scholarship - Full time rate</v>
      </c>
      <c r="C204" s="7" t="s">
        <v>14</v>
      </c>
      <c r="D204" s="9">
        <v>12000</v>
      </c>
      <c r="E204" s="7" t="s">
        <v>41</v>
      </c>
      <c r="F204" s="7" t="s">
        <v>50</v>
      </c>
      <c r="G204" s="10" t="s">
        <v>49</v>
      </c>
      <c r="H204" t="s">
        <v>21</v>
      </c>
      <c r="I204" s="7" t="s">
        <v>25</v>
      </c>
    </row>
    <row r="205" spans="1:9" ht="30" x14ac:dyDescent="0.25">
      <c r="A205" s="6" t="s">
        <v>5</v>
      </c>
      <c r="B205"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5" s="7" t="s">
        <v>27</v>
      </c>
      <c r="D205" s="7" t="s">
        <v>52</v>
      </c>
      <c r="E205" s="7" t="s">
        <v>41</v>
      </c>
      <c r="F205" s="7" t="s">
        <v>51</v>
      </c>
      <c r="G205" s="10" t="s">
        <v>53</v>
      </c>
      <c r="H205" t="s">
        <v>25</v>
      </c>
      <c r="I205" s="7" t="s">
        <v>25</v>
      </c>
    </row>
    <row r="206" spans="1:9" x14ac:dyDescent="0.25">
      <c r="A206" s="6" t="s">
        <v>5</v>
      </c>
      <c r="B206" s="8" t="str">
        <f>HYPERLINK(" https://www.mq.edu.au/study/admissions-and-entry/scholarships/domestic/macquarie-university-higher-study-scholarship-part-time-rate", "Macquarie University Higher Study Scholarship - Part time rate")</f>
        <v>Macquarie University Higher Study Scholarship - Part time rate</v>
      </c>
      <c r="C206" s="7" t="s">
        <v>14</v>
      </c>
      <c r="D206" s="9">
        <v>6000</v>
      </c>
      <c r="E206" s="7" t="s">
        <v>41</v>
      </c>
      <c r="F206" s="7" t="s">
        <v>50</v>
      </c>
      <c r="G206" s="7" t="s">
        <v>17</v>
      </c>
      <c r="H206" t="s">
        <v>25</v>
      </c>
      <c r="I206" s="7" t="s">
        <v>25</v>
      </c>
    </row>
    <row r="207" spans="1:9" ht="30" x14ac:dyDescent="0.25">
      <c r="A207" s="6" t="s">
        <v>5</v>
      </c>
      <c r="B207" s="8" t="str">
        <f>HYPERLINK(" https://www.mq.edu.au/study/admissions-and-entry/scholarships/domestic/macquarie-university-anu-alumni-postgraduate-support-scheme", "Macquarie University-ANU Alumni Postgraduate Support Scheme")</f>
        <v>Macquarie University-ANU Alumni Postgraduate Support Scheme</v>
      </c>
      <c r="C207" s="7" t="s">
        <v>27</v>
      </c>
      <c r="D207" s="7" t="s">
        <v>54</v>
      </c>
      <c r="E207" s="7" t="s">
        <v>41</v>
      </c>
      <c r="F207" s="7" t="s">
        <v>51</v>
      </c>
      <c r="G207" s="10" t="s">
        <v>53</v>
      </c>
      <c r="H207" t="s">
        <v>25</v>
      </c>
      <c r="I207" s="7" t="s">
        <v>25</v>
      </c>
    </row>
    <row r="208" spans="1:9" ht="30" x14ac:dyDescent="0.25">
      <c r="A208" s="6" t="s">
        <v>5</v>
      </c>
      <c r="B208" s="8" t="str">
        <f>HYPERLINK(" https://www.mq.edu.au/study/admissions-and-entry/scholarships/domestic/the-sir-theo-kelly-sustainable-leadership-scholarship", "The Sir Theo Kelly Sustainable Leadership Scholarship")</f>
        <v>The Sir Theo Kelly Sustainable Leadership Scholarship</v>
      </c>
      <c r="C208" s="7" t="s">
        <v>27</v>
      </c>
      <c r="D208" s="9" t="s">
        <v>55</v>
      </c>
      <c r="E208" s="7">
        <v>3</v>
      </c>
      <c r="F208" s="7" t="s">
        <v>51</v>
      </c>
      <c r="G208" s="10" t="s">
        <v>56</v>
      </c>
      <c r="H208" t="s">
        <v>25</v>
      </c>
      <c r="I208" s="7" t="s">
        <v>25</v>
      </c>
    </row>
    <row r="209" spans="1:9" ht="105" x14ac:dyDescent="0.25">
      <c r="A209" s="5" t="s">
        <v>9</v>
      </c>
      <c r="B209" s="8" t="str">
        <f>HYPERLINK("https://www.newcastle.edu.au/scholarships/CESE_04", "College of Engineering, Science and Environment Relocation Scholarship")</f>
        <v>College of Engineering, Science and Environment Relocation Scholarship</v>
      </c>
      <c r="C209" s="7" t="s">
        <v>27</v>
      </c>
      <c r="D209" s="9">
        <v>5000</v>
      </c>
      <c r="E209" s="7">
        <v>2</v>
      </c>
      <c r="F209" s="7" t="s">
        <v>13</v>
      </c>
      <c r="G209" s="10" t="s">
        <v>152</v>
      </c>
      <c r="H209" t="s">
        <v>21</v>
      </c>
      <c r="I209" t="s">
        <v>25</v>
      </c>
    </row>
    <row r="210" spans="1:9" ht="90" x14ac:dyDescent="0.25">
      <c r="A210" s="5" t="s">
        <v>9</v>
      </c>
      <c r="B210" s="8" t="str">
        <f>HYPERLINK("https://www.newcastle.edu.au/scholarships/BUSLAW_012", "Neville Sawyer AM Scholarship")</f>
        <v>Neville Sawyer AM Scholarship</v>
      </c>
      <c r="C210" s="7" t="s">
        <v>27</v>
      </c>
      <c r="D210" s="9">
        <v>10000</v>
      </c>
      <c r="E210" s="7">
        <v>1</v>
      </c>
      <c r="F210" s="7" t="s">
        <v>51</v>
      </c>
      <c r="G210" s="10" t="s">
        <v>153</v>
      </c>
      <c r="H210" t="s">
        <v>25</v>
      </c>
      <c r="I210" t="s">
        <v>25</v>
      </c>
    </row>
    <row r="211" spans="1:9" ht="60" x14ac:dyDescent="0.25">
      <c r="A211" s="5" t="s">
        <v>9</v>
      </c>
      <c r="B211" s="8" t="str">
        <f>HYPERLINK("https://www.newcastle.edu.au/scholarships/ENGB_070", "CSIRO Women in Energy Scholarship")</f>
        <v>CSIRO Women in Energy Scholarship</v>
      </c>
      <c r="C211" s="7" t="s">
        <v>27</v>
      </c>
      <c r="D211" s="9">
        <v>10000</v>
      </c>
      <c r="E211" s="7">
        <v>4</v>
      </c>
      <c r="F211" s="7" t="s">
        <v>13</v>
      </c>
      <c r="G211" s="10" t="s">
        <v>154</v>
      </c>
      <c r="H211" t="s">
        <v>25</v>
      </c>
      <c r="I211" t="s">
        <v>25</v>
      </c>
    </row>
    <row r="212" spans="1:9" ht="60" x14ac:dyDescent="0.25">
      <c r="A212" s="5" t="s">
        <v>9</v>
      </c>
      <c r="B212" s="8" t="str">
        <f>HYPERLINK("https://www.newcastle.edu.au/scholarships/EXT_068", "Lewis Ewart Lewis Physiotherapy Scholarship")</f>
        <v>Lewis Ewart Lewis Physiotherapy Scholarship</v>
      </c>
      <c r="C212" s="7" t="s">
        <v>14</v>
      </c>
      <c r="D212" s="7" t="s">
        <v>151</v>
      </c>
      <c r="E212" s="7" t="s">
        <v>155</v>
      </c>
      <c r="F212" s="7" t="s">
        <v>13</v>
      </c>
      <c r="G212" s="10" t="s">
        <v>156</v>
      </c>
      <c r="H212" t="s">
        <v>25</v>
      </c>
      <c r="I212" t="s">
        <v>25</v>
      </c>
    </row>
    <row r="213" spans="1:9" ht="60" x14ac:dyDescent="0.25">
      <c r="A213" s="5" t="s">
        <v>9</v>
      </c>
      <c r="B213" s="8" t="str">
        <f>HYPERLINK("https://www.newcastle.edu.au/scholarships/EXT_131", "Ingrid and Ryszard Knopf Podiatric Medicine Scholarship")</f>
        <v>Ingrid and Ryszard Knopf Podiatric Medicine Scholarship</v>
      </c>
      <c r="C213" s="7" t="s">
        <v>14</v>
      </c>
      <c r="D213" s="9">
        <v>5000</v>
      </c>
      <c r="E213" s="7" t="s">
        <v>155</v>
      </c>
      <c r="F213" s="7" t="s">
        <v>13</v>
      </c>
      <c r="G213" s="10" t="s">
        <v>157</v>
      </c>
      <c r="H213" t="s">
        <v>25</v>
      </c>
      <c r="I213" t="s">
        <v>25</v>
      </c>
    </row>
    <row r="214" spans="1:9" ht="30" x14ac:dyDescent="0.25">
      <c r="A214" s="5" t="s">
        <v>9</v>
      </c>
      <c r="B214" s="8" t="str">
        <f>HYPERLINK("https://www.newcastle.edu.au/scholarships/EXT_140", "Shaping Futures Scholarships")</f>
        <v>Shaping Futures Scholarships</v>
      </c>
      <c r="C214" s="7" t="s">
        <v>14</v>
      </c>
      <c r="D214" s="7" t="s">
        <v>151</v>
      </c>
      <c r="E214" s="7" t="s">
        <v>155</v>
      </c>
      <c r="F214" s="7" t="s">
        <v>13</v>
      </c>
      <c r="G214" s="10" t="s">
        <v>58</v>
      </c>
      <c r="H214" t="s">
        <v>25</v>
      </c>
      <c r="I214" t="s">
        <v>25</v>
      </c>
    </row>
    <row r="215" spans="1:9" ht="90" x14ac:dyDescent="0.25">
      <c r="A215" s="5" t="s">
        <v>9</v>
      </c>
      <c r="B215" s="8" t="str">
        <f>HYPERLINK("https://www.newcastle.edu.au/scholarships/EXT_238", "MBC Group Construction Management Scholarship")</f>
        <v>MBC Group Construction Management Scholarship</v>
      </c>
      <c r="C215" s="7" t="s">
        <v>14</v>
      </c>
      <c r="D215" s="9">
        <v>5000</v>
      </c>
      <c r="E215" s="7">
        <v>2</v>
      </c>
      <c r="F215" s="7" t="s">
        <v>13</v>
      </c>
      <c r="G215" s="10" t="s">
        <v>160</v>
      </c>
      <c r="H215" t="s">
        <v>25</v>
      </c>
      <c r="I215" t="s">
        <v>25</v>
      </c>
    </row>
    <row r="216" spans="1:9" ht="75" x14ac:dyDescent="0.25">
      <c r="A216" s="5" t="s">
        <v>9</v>
      </c>
      <c r="B216" s="8" t="str">
        <f>HYPERLINK("https://www.newcastle.edu.au/scholarships/EXT_241", "The Bloomfield Group Foundation Scholarship")</f>
        <v>The Bloomfield Group Foundation Scholarship</v>
      </c>
      <c r="C216" s="7" t="s">
        <v>14</v>
      </c>
      <c r="D216" s="9">
        <v>5000</v>
      </c>
      <c r="E216" s="7">
        <v>1</v>
      </c>
      <c r="F216" s="7" t="s">
        <v>13</v>
      </c>
      <c r="G216" s="10" t="s">
        <v>161</v>
      </c>
      <c r="H216" t="s">
        <v>25</v>
      </c>
      <c r="I216" t="s">
        <v>25</v>
      </c>
    </row>
    <row r="217" spans="1:9" ht="45" x14ac:dyDescent="0.25">
      <c r="A217" s="5" t="s">
        <v>9</v>
      </c>
      <c r="B217" s="8" t="str">
        <f>HYPERLINK("https://www.newcastle.edu.au/scholarships/EXT_196", "Valasi Bleazard Memorial Scholarship in Music")</f>
        <v>Valasi Bleazard Memorial Scholarship in Music</v>
      </c>
      <c r="C217" s="7" t="s">
        <v>27</v>
      </c>
      <c r="D217" s="9">
        <v>12500</v>
      </c>
      <c r="E217" s="7">
        <v>1</v>
      </c>
      <c r="F217" s="7" t="s">
        <v>13</v>
      </c>
      <c r="G217" s="10" t="s">
        <v>158</v>
      </c>
      <c r="H217" t="s">
        <v>25</v>
      </c>
      <c r="I217" t="s">
        <v>25</v>
      </c>
    </row>
    <row r="218" spans="1:9" ht="45" x14ac:dyDescent="0.25">
      <c r="A218" s="5" t="s">
        <v>9</v>
      </c>
      <c r="B218" s="8" t="str">
        <f>HYPERLINK("https://www.newcastle.edu.au/scholarships/EXT_199", "Friends of the University Sport Scholarship")</f>
        <v>Friends of the University Sport Scholarship</v>
      </c>
      <c r="C218" s="7" t="s">
        <v>27</v>
      </c>
      <c r="D218" s="9">
        <v>5000</v>
      </c>
      <c r="E218" s="7" t="s">
        <v>155</v>
      </c>
      <c r="F218" s="7" t="s">
        <v>13</v>
      </c>
      <c r="G218" s="10" t="s">
        <v>159</v>
      </c>
      <c r="H218" t="s">
        <v>25</v>
      </c>
      <c r="I218" t="s">
        <v>25</v>
      </c>
    </row>
    <row r="219" spans="1:9" ht="60" x14ac:dyDescent="0.25">
      <c r="A219" s="5" t="s">
        <v>9</v>
      </c>
      <c r="B219" s="8" t="str">
        <f>HYPERLINK("https://www.newcastle.edu.au/scholarships/EXT_251", "Student Residences Scholarship")</f>
        <v>Student Residences Scholarship</v>
      </c>
      <c r="C219" s="7" t="s">
        <v>14</v>
      </c>
      <c r="D219" s="9">
        <v>5000</v>
      </c>
      <c r="E219" s="7" t="s">
        <v>155</v>
      </c>
      <c r="F219" s="7" t="s">
        <v>13</v>
      </c>
      <c r="G219" s="10" t="s">
        <v>163</v>
      </c>
      <c r="H219" t="s">
        <v>25</v>
      </c>
      <c r="I219" t="s">
        <v>25</v>
      </c>
    </row>
    <row r="220" spans="1:9" ht="30" x14ac:dyDescent="0.25">
      <c r="A220" s="5" t="s">
        <v>9</v>
      </c>
      <c r="B220" s="8" t="str">
        <f>HYPERLINK("https://www.newcastle.edu.au/scholarships/EXT_252", "LGBTQIA+ Shaping Futures Scholarship")</f>
        <v>LGBTQIA+ Shaping Futures Scholarship</v>
      </c>
      <c r="C220" s="7" t="s">
        <v>14</v>
      </c>
      <c r="D220" s="9">
        <v>5000</v>
      </c>
      <c r="E220" s="7" t="s">
        <v>155</v>
      </c>
      <c r="F220" s="7" t="s">
        <v>13</v>
      </c>
      <c r="G220" s="10" t="s">
        <v>162</v>
      </c>
      <c r="H220" t="s">
        <v>25</v>
      </c>
      <c r="I220" t="s">
        <v>25</v>
      </c>
    </row>
    <row r="221" spans="1:9" ht="60" x14ac:dyDescent="0.25">
      <c r="A221" s="5" t="s">
        <v>9</v>
      </c>
      <c r="B221" s="8" t="str">
        <f>HYPERLINK("https://www.newcastle.edu.au/scholarships/EXT_257", "Betty Josephine Fyffe Rural Medical Excellence Scholarship")</f>
        <v>Betty Josephine Fyffe Rural Medical Excellence Scholarship</v>
      </c>
      <c r="C221" s="7" t="s">
        <v>27</v>
      </c>
      <c r="D221" s="9">
        <v>10000</v>
      </c>
      <c r="E221" s="7">
        <v>5</v>
      </c>
      <c r="F221" s="7" t="s">
        <v>13</v>
      </c>
      <c r="G221" s="10" t="s">
        <v>164</v>
      </c>
      <c r="H221" t="s">
        <v>25</v>
      </c>
      <c r="I221" t="s">
        <v>25</v>
      </c>
    </row>
    <row r="222" spans="1:9" ht="60" x14ac:dyDescent="0.25">
      <c r="A222" s="5" t="s">
        <v>9</v>
      </c>
      <c r="B222" s="8" t="str">
        <f>HYPERLINK("https://www.newcastle.edu.au/scholarships/EXT_258", "Betty Josephine Fyffe Rural Equity Scholarships")</f>
        <v>Betty Josephine Fyffe Rural Equity Scholarships</v>
      </c>
      <c r="C222" s="7" t="s">
        <v>14</v>
      </c>
      <c r="D222" s="9">
        <v>10000</v>
      </c>
      <c r="E222" s="7">
        <v>5</v>
      </c>
      <c r="F222" s="7" t="s">
        <v>13</v>
      </c>
      <c r="G222" s="10" t="s">
        <v>165</v>
      </c>
      <c r="H222" t="s">
        <v>25</v>
      </c>
      <c r="I222" t="s">
        <v>25</v>
      </c>
    </row>
    <row r="223" spans="1:9" ht="45" x14ac:dyDescent="0.25">
      <c r="A223" s="5" t="s">
        <v>9</v>
      </c>
      <c r="B223" s="8" t="str">
        <f>HYPERLINK("https://www.newcastle.edu.au/scholarships/EXT_262", "Idemitsu Australia Scholarship")</f>
        <v>Idemitsu Australia Scholarship</v>
      </c>
      <c r="C223" s="7" t="s">
        <v>14</v>
      </c>
      <c r="D223" s="9">
        <v>10000</v>
      </c>
      <c r="E223" s="7">
        <v>1</v>
      </c>
      <c r="F223" s="7" t="s">
        <v>13</v>
      </c>
      <c r="G223" s="10" t="s">
        <v>166</v>
      </c>
      <c r="H223" t="s">
        <v>25</v>
      </c>
      <c r="I223" t="s">
        <v>25</v>
      </c>
    </row>
    <row r="224" spans="1:9" x14ac:dyDescent="0.25">
      <c r="A224" s="5" t="s">
        <v>9</v>
      </c>
      <c r="B224" s="8" t="str">
        <f>HYPERLINK("https://www.newcastle.edu.au/scholarships/EXT_272", "Shaping Futures Postgraduate Scholarship")</f>
        <v>Shaping Futures Postgraduate Scholarship</v>
      </c>
      <c r="C224" s="7" t="s">
        <v>14</v>
      </c>
      <c r="D224" s="9">
        <v>5000</v>
      </c>
      <c r="E224" s="7" t="s">
        <v>155</v>
      </c>
      <c r="F224" s="7" t="s">
        <v>51</v>
      </c>
      <c r="G224" s="10" t="s">
        <v>132</v>
      </c>
      <c r="H224" t="s">
        <v>25</v>
      </c>
      <c r="I224" t="s">
        <v>25</v>
      </c>
    </row>
    <row r="225" spans="1:9" ht="60" x14ac:dyDescent="0.25">
      <c r="A225" s="5" t="s">
        <v>9</v>
      </c>
      <c r="B225" s="8" t="str">
        <f>HYPERLINK("https://www.newcastle.edu.au/scholarships/EXT_283", "Crystalbrook Kingsley Environmental Scholarship")</f>
        <v>Crystalbrook Kingsley Environmental Scholarship</v>
      </c>
      <c r="C225" s="7" t="s">
        <v>27</v>
      </c>
      <c r="D225" s="9">
        <v>5000</v>
      </c>
      <c r="E225" s="7" t="s">
        <v>155</v>
      </c>
      <c r="F225" s="7" t="s">
        <v>107</v>
      </c>
      <c r="G225" s="10" t="s">
        <v>167</v>
      </c>
      <c r="H225" t="s">
        <v>25</v>
      </c>
      <c r="I225" t="s">
        <v>25</v>
      </c>
    </row>
    <row r="226" spans="1:9" ht="60" x14ac:dyDescent="0.25">
      <c r="A226" s="5" t="s">
        <v>9</v>
      </c>
      <c r="B226" s="8" t="str">
        <f>HYPERLINK("https://www.newcastle.edu.au/scholarships/EXT_311", "Friends of the University Lorna George Memorial Scholarship for Allied Health and Psychology")</f>
        <v>Friends of the University Lorna George Memorial Scholarship for Allied Health and Psychology</v>
      </c>
      <c r="C226" s="7" t="s">
        <v>14</v>
      </c>
      <c r="D226" s="9">
        <v>5000</v>
      </c>
      <c r="E226" s="7">
        <v>1</v>
      </c>
      <c r="F226" s="7" t="s">
        <v>13</v>
      </c>
      <c r="G226" s="10" t="s">
        <v>168</v>
      </c>
      <c r="H226" t="s">
        <v>25</v>
      </c>
      <c r="I226" t="s">
        <v>25</v>
      </c>
    </row>
    <row r="227" spans="1:9" ht="105" x14ac:dyDescent="0.25">
      <c r="A227" s="5" t="s">
        <v>9</v>
      </c>
      <c r="B227" s="8" t="str">
        <f>HYPERLINK("https://www.newcastle.edu.au/scholarships/EXT_318", "Western Earthmoving Scholarship for Construction and Engineering")</f>
        <v>Western Earthmoving Scholarship for Construction and Engineering</v>
      </c>
      <c r="C227" s="7" t="s">
        <v>27</v>
      </c>
      <c r="D227" s="9">
        <v>15000</v>
      </c>
      <c r="E227" s="7">
        <v>1</v>
      </c>
      <c r="F227" s="7" t="s">
        <v>13</v>
      </c>
      <c r="G227" s="10" t="s">
        <v>169</v>
      </c>
      <c r="H227" t="s">
        <v>25</v>
      </c>
      <c r="I227" t="s">
        <v>25</v>
      </c>
    </row>
    <row r="228" spans="1:9" ht="30" x14ac:dyDescent="0.25">
      <c r="A228" s="5" t="s">
        <v>9</v>
      </c>
      <c r="B228" s="8" t="str">
        <f>HYPERLINK("https://www.newcastle.edu.au/scholarships/EXT_332", "Greater Charitable Foundation Equity Scholarship")</f>
        <v>Greater Charitable Foundation Equity Scholarship</v>
      </c>
      <c r="C228" s="7" t="s">
        <v>14</v>
      </c>
      <c r="D228" s="9">
        <v>10000</v>
      </c>
      <c r="E228" s="7">
        <v>3</v>
      </c>
      <c r="F228" s="7" t="s">
        <v>13</v>
      </c>
      <c r="G228" s="10" t="s">
        <v>170</v>
      </c>
      <c r="H228" t="s">
        <v>25</v>
      </c>
      <c r="I228" t="s">
        <v>25</v>
      </c>
    </row>
    <row r="229" spans="1:9" x14ac:dyDescent="0.25">
      <c r="A229" s="5" t="s">
        <v>9</v>
      </c>
      <c r="B229" s="8" t="str">
        <f>HYPERLINK("https://www.newcastle.edu.au/scholarships/EXT_333", "Shamila, Ravendra and Roneal Naidu Scholarship")</f>
        <v>Shamila, Ravendra and Roneal Naidu Scholarship</v>
      </c>
      <c r="C229" s="7" t="s">
        <v>14</v>
      </c>
      <c r="D229" s="9">
        <v>8000</v>
      </c>
      <c r="E229" s="7">
        <v>4</v>
      </c>
      <c r="F229" s="7" t="s">
        <v>13</v>
      </c>
      <c r="G229" s="10" t="s">
        <v>132</v>
      </c>
      <c r="H229" t="s">
        <v>21</v>
      </c>
      <c r="I229" t="s">
        <v>25</v>
      </c>
    </row>
    <row r="230" spans="1:9" ht="30" x14ac:dyDescent="0.25">
      <c r="A230" s="5" t="s">
        <v>9</v>
      </c>
      <c r="B230" s="8" t="str">
        <f>HYPERLINK(" https://www.newcastle.edu.au/scholarships/ESSUN_3000", "Equity Scholarships Scheme University of Newcastle (ESSUN)")</f>
        <v>Equity Scholarships Scheme University of Newcastle (ESSUN)</v>
      </c>
      <c r="C230" s="7" t="s">
        <v>14</v>
      </c>
      <c r="D230" s="11" t="s">
        <v>172</v>
      </c>
      <c r="E230" s="7">
        <v>1</v>
      </c>
      <c r="F230" s="7" t="s">
        <v>13</v>
      </c>
      <c r="G230" s="10" t="s">
        <v>171</v>
      </c>
      <c r="H230" t="s">
        <v>25</v>
      </c>
      <c r="I230" t="s">
        <v>25</v>
      </c>
    </row>
    <row r="231" spans="1:9" ht="60" x14ac:dyDescent="0.25">
      <c r="A231" s="5" t="s">
        <v>9</v>
      </c>
      <c r="B231" s="8" t="str">
        <f>HYPERLINK("https://www.newcastle.edu.au/scholarships/EXT_336", "Sparke Helmore Law Scholarship")</f>
        <v>Sparke Helmore Law Scholarship</v>
      </c>
      <c r="C231" s="7" t="s">
        <v>14</v>
      </c>
      <c r="D231" s="9">
        <v>5000</v>
      </c>
      <c r="E231" s="7" t="s">
        <v>155</v>
      </c>
      <c r="F231" s="7" t="s">
        <v>137</v>
      </c>
      <c r="G231" s="10" t="s">
        <v>173</v>
      </c>
      <c r="H231" t="s">
        <v>25</v>
      </c>
      <c r="I231" t="s">
        <v>25</v>
      </c>
    </row>
    <row r="232" spans="1:9" ht="30" x14ac:dyDescent="0.25">
      <c r="A232" s="5" t="s">
        <v>9</v>
      </c>
      <c r="B232" s="8" t="str">
        <f>HYPERLINK("https://www.newcastle.edu.au/scholarships/EXT_348", "Evelyn Brown Scholarship in Nursing")</f>
        <v>Evelyn Brown Scholarship in Nursing</v>
      </c>
      <c r="C232" s="7" t="s">
        <v>14</v>
      </c>
      <c r="D232" s="9">
        <v>6000</v>
      </c>
      <c r="E232" s="7" t="s">
        <v>155</v>
      </c>
      <c r="F232" s="7" t="s">
        <v>13</v>
      </c>
      <c r="G232" s="10" t="s">
        <v>174</v>
      </c>
      <c r="H232" t="s">
        <v>25</v>
      </c>
      <c r="I232" t="s">
        <v>25</v>
      </c>
    </row>
    <row r="233" spans="1:9" ht="30" x14ac:dyDescent="0.25">
      <c r="A233" s="5" t="s">
        <v>9</v>
      </c>
      <c r="B233" s="8" t="str">
        <f>HYPERLINK("https://www.newcastle.edu.au/scholarships/UNI_025", "University of Newcastle Sports Scholarships")</f>
        <v>University of Newcastle Sports Scholarships</v>
      </c>
      <c r="C233" s="7" t="s">
        <v>27</v>
      </c>
      <c r="D233" s="11" t="s">
        <v>175</v>
      </c>
      <c r="E233" s="7" t="s">
        <v>155</v>
      </c>
      <c r="F233" s="7" t="s">
        <v>13</v>
      </c>
      <c r="G233" s="10" t="s">
        <v>176</v>
      </c>
      <c r="H233" t="s">
        <v>25</v>
      </c>
      <c r="I233" t="s">
        <v>25</v>
      </c>
    </row>
    <row r="234" spans="1:9" ht="60" x14ac:dyDescent="0.25">
      <c r="A234" s="5" t="s">
        <v>9</v>
      </c>
      <c r="B234" s="8" t="str">
        <f>HYPERLINK("https://www.newcastle.edu.au/scholarships/CESE_02", "College of Engineering, Science and Environment High Achiever Scholarship")</f>
        <v>College of Engineering, Science and Environment High Achiever Scholarship</v>
      </c>
      <c r="C234" s="7" t="s">
        <v>27</v>
      </c>
      <c r="D234" s="11" t="s">
        <v>177</v>
      </c>
      <c r="E234" s="7">
        <v>1</v>
      </c>
      <c r="F234" s="7" t="s">
        <v>13</v>
      </c>
      <c r="G234" s="10" t="s">
        <v>178</v>
      </c>
      <c r="H234" t="s">
        <v>25</v>
      </c>
      <c r="I234" t="s">
        <v>25</v>
      </c>
    </row>
    <row r="235" spans="1:9" ht="90" x14ac:dyDescent="0.25">
      <c r="A235" s="5" t="s">
        <v>9</v>
      </c>
      <c r="B235" s="8" t="str">
        <f>HYPERLINK("https://www.newcastle.edu.au/scholarships/CESE_03", "College of Engineering, Science and Environment Gender Equity Scholarship")</f>
        <v>College of Engineering, Science and Environment Gender Equity Scholarship</v>
      </c>
      <c r="C235" s="7" t="s">
        <v>14</v>
      </c>
      <c r="D235" s="11" t="s">
        <v>179</v>
      </c>
      <c r="E235" s="7">
        <v>1</v>
      </c>
      <c r="F235" s="7" t="s">
        <v>13</v>
      </c>
      <c r="G235" s="10" t="s">
        <v>180</v>
      </c>
      <c r="H235" t="s">
        <v>25</v>
      </c>
      <c r="I235" t="s">
        <v>25</v>
      </c>
    </row>
    <row r="236" spans="1:9" ht="45" x14ac:dyDescent="0.25">
      <c r="A236" s="5" t="s">
        <v>9</v>
      </c>
      <c r="B236" s="8" t="str">
        <f>HYPERLINK("https://www.newcastle.edu.au/scholarships/EXT_029", "Port Waratah Coal Services Undergraduate Engineering Scholarship")</f>
        <v>Port Waratah Coal Services Undergraduate Engineering Scholarship</v>
      </c>
      <c r="C236" s="7" t="s">
        <v>14</v>
      </c>
      <c r="D236" s="11" t="s">
        <v>181</v>
      </c>
      <c r="E236" s="7">
        <v>3</v>
      </c>
      <c r="F236" s="7" t="s">
        <v>13</v>
      </c>
      <c r="G236" s="10" t="s">
        <v>182</v>
      </c>
      <c r="H236" t="s">
        <v>21</v>
      </c>
      <c r="I236" t="s">
        <v>25</v>
      </c>
    </row>
    <row r="237" spans="1:9" ht="45" x14ac:dyDescent="0.25">
      <c r="A237" s="5" t="s">
        <v>9</v>
      </c>
      <c r="B237" s="8" t="str">
        <f>HYPERLINK("https://www.newcastle.edu.au/scholarships/EXT_177", "Catherine and Peter Tay High Achiever Engineering Undergraduate Scholarship")</f>
        <v>Catherine and Peter Tay High Achiever Engineering Undergraduate Scholarship</v>
      </c>
      <c r="C237" s="7" t="s">
        <v>27</v>
      </c>
      <c r="D237" s="9">
        <v>8000</v>
      </c>
      <c r="E237" s="7">
        <v>4</v>
      </c>
      <c r="F237" s="7" t="s">
        <v>13</v>
      </c>
      <c r="G237" s="10" t="s">
        <v>183</v>
      </c>
      <c r="H237" t="s">
        <v>25</v>
      </c>
      <c r="I237" t="s">
        <v>25</v>
      </c>
    </row>
    <row r="238" spans="1:9" ht="60" x14ac:dyDescent="0.25">
      <c r="A238" s="5" t="s">
        <v>9</v>
      </c>
      <c r="B238" s="8" t="str">
        <f>HYPERLINK("https://www.newcastle.edu.au/scholarships/EXT_185", "Professor Beryl Nashar Scholarship for Excellence in Geology")</f>
        <v>Professor Beryl Nashar Scholarship for Excellence in Geology</v>
      </c>
      <c r="C238" s="7" t="s">
        <v>27</v>
      </c>
      <c r="D238" s="9">
        <v>1000</v>
      </c>
      <c r="E238" s="7" t="s">
        <v>155</v>
      </c>
      <c r="F238" s="7" t="s">
        <v>137</v>
      </c>
      <c r="G238" s="10" t="s">
        <v>184</v>
      </c>
      <c r="H238" t="s">
        <v>25</v>
      </c>
      <c r="I238" t="s">
        <v>25</v>
      </c>
    </row>
    <row r="239" spans="1:9" ht="75" x14ac:dyDescent="0.25">
      <c r="A239" s="5" t="s">
        <v>9</v>
      </c>
      <c r="B239" s="8" t="str">
        <f>HYPERLINK("https://www.newcastle.edu.au/scholarships/EXT_229", "Boeing Engineering and IT Scholarship for Women")</f>
        <v>Boeing Engineering and IT Scholarship for Women</v>
      </c>
      <c r="C239" s="7" t="s">
        <v>27</v>
      </c>
      <c r="D239" s="9">
        <v>5000</v>
      </c>
      <c r="E239" s="7">
        <v>1</v>
      </c>
      <c r="F239" s="7" t="s">
        <v>13</v>
      </c>
      <c r="G239" s="10" t="s">
        <v>185</v>
      </c>
      <c r="H239" t="s">
        <v>25</v>
      </c>
      <c r="I239" t="s">
        <v>25</v>
      </c>
    </row>
    <row r="240" spans="1:9" ht="90" x14ac:dyDescent="0.25">
      <c r="A240" s="5" t="s">
        <v>9</v>
      </c>
      <c r="B240" s="8" t="str">
        <f>HYPERLINK("https://www.newcastle.edu.au/scholarships/EXT_240", "Malcolm Benaud Smith Construction Management (Building) Scholarship")</f>
        <v>Malcolm Benaud Smith Construction Management (Building) Scholarship</v>
      </c>
      <c r="C240" s="7" t="s">
        <v>27</v>
      </c>
      <c r="D240" s="9">
        <v>10000</v>
      </c>
      <c r="E240" s="7">
        <v>1</v>
      </c>
      <c r="F240" s="7" t="s">
        <v>13</v>
      </c>
      <c r="G240" s="10" t="s">
        <v>186</v>
      </c>
      <c r="H240" t="s">
        <v>25</v>
      </c>
      <c r="I240" t="s">
        <v>25</v>
      </c>
    </row>
    <row r="241" spans="1:9" ht="60" x14ac:dyDescent="0.25">
      <c r="A241" s="5" t="s">
        <v>9</v>
      </c>
      <c r="B241" s="8" t="str">
        <f>HYPERLINK("https://www.newcastle.edu.au/scholarships/EXT_320", "Boeing IT and Computer Systems Scholarship")</f>
        <v>Boeing IT and Computer Systems Scholarship</v>
      </c>
      <c r="C241" s="7" t="s">
        <v>27</v>
      </c>
      <c r="D241" s="9">
        <v>5000</v>
      </c>
      <c r="E241" s="7">
        <v>1</v>
      </c>
      <c r="F241" s="7" t="s">
        <v>13</v>
      </c>
      <c r="G241" s="10" t="s">
        <v>187</v>
      </c>
      <c r="H241" t="s">
        <v>25</v>
      </c>
      <c r="I241" t="s">
        <v>25</v>
      </c>
    </row>
    <row r="242" spans="1:9" ht="45" x14ac:dyDescent="0.25">
      <c r="A242" s="5" t="s">
        <v>9</v>
      </c>
      <c r="B242" s="8" t="str">
        <f>HYPERLINK("https://www.newcastle.edu.au/scholarships/EXT_322", "Boeing Environmental Sustainability in STEM Scholarship")</f>
        <v>Boeing Environmental Sustainability in STEM Scholarship</v>
      </c>
      <c r="C242" s="7" t="s">
        <v>27</v>
      </c>
      <c r="D242" s="9">
        <v>5000</v>
      </c>
      <c r="E242" s="7">
        <v>1</v>
      </c>
      <c r="F242" s="7" t="s">
        <v>13</v>
      </c>
      <c r="G242" s="10" t="s">
        <v>188</v>
      </c>
      <c r="H242" t="s">
        <v>25</v>
      </c>
      <c r="I242" t="s">
        <v>25</v>
      </c>
    </row>
    <row r="243" spans="1:9" ht="45" x14ac:dyDescent="0.25">
      <c r="A243" s="5" t="s">
        <v>9</v>
      </c>
      <c r="B243" s="8" t="str">
        <f>HYPERLINK("https://www.newcastle.edu.au/scholarships/EXT_328", "HunterWiSE Scholarship for Women in STEM")</f>
        <v>HunterWiSE Scholarship for Women in STEM</v>
      </c>
      <c r="C243" s="7" t="s">
        <v>27</v>
      </c>
      <c r="D243" s="9">
        <v>5000</v>
      </c>
      <c r="E243" s="7" t="s">
        <v>155</v>
      </c>
      <c r="F243" s="7" t="s">
        <v>13</v>
      </c>
      <c r="G243" s="10" t="s">
        <v>189</v>
      </c>
      <c r="H243" t="s">
        <v>25</v>
      </c>
      <c r="I243" t="s">
        <v>25</v>
      </c>
    </row>
    <row r="244" spans="1:9" ht="45" x14ac:dyDescent="0.25">
      <c r="A244" s="5" t="s">
        <v>9</v>
      </c>
      <c r="B244" s="8" t="str">
        <f>HYPERLINK("https://www.newcastle.edu.au/scholarships/EXT_330", "Valley Industries Speech Pathology Scholarship")</f>
        <v>Valley Industries Speech Pathology Scholarship</v>
      </c>
      <c r="C244" s="7" t="s">
        <v>14</v>
      </c>
      <c r="D244" s="9">
        <v>5000</v>
      </c>
      <c r="E244" s="7" t="s">
        <v>155</v>
      </c>
      <c r="F244" s="7" t="s">
        <v>13</v>
      </c>
      <c r="G244" s="10" t="s">
        <v>190</v>
      </c>
      <c r="H244" t="s">
        <v>25</v>
      </c>
      <c r="I244" t="s">
        <v>25</v>
      </c>
    </row>
    <row r="245" spans="1:9" ht="75" x14ac:dyDescent="0.25">
      <c r="A245" s="5" t="s">
        <v>9</v>
      </c>
      <c r="B245" s="8" t="str">
        <f>HYPERLINK("https://www.newcastle.edu.au/scholarships/EXT_338", "AGL Bayswater Power Station Scholarships for Females in Engineering")</f>
        <v>AGL Bayswater Power Station Scholarships for Females in Engineering</v>
      </c>
      <c r="C245" s="7" t="s">
        <v>27</v>
      </c>
      <c r="D245" s="9">
        <v>15000</v>
      </c>
      <c r="E245" s="7">
        <v>3</v>
      </c>
      <c r="F245" s="7" t="s">
        <v>13</v>
      </c>
      <c r="G245" s="10" t="s">
        <v>191</v>
      </c>
      <c r="H245" t="s">
        <v>25</v>
      </c>
      <c r="I245" t="s">
        <v>25</v>
      </c>
    </row>
    <row r="246" spans="1:9" ht="30" x14ac:dyDescent="0.25">
      <c r="A246" s="5" t="s">
        <v>9</v>
      </c>
      <c r="B246" s="8" t="str">
        <f>HYPERLINK("https://www.newcastle.edu.au/scholarships/EXT_350", "Boeing Disability Scholarship")</f>
        <v>Boeing Disability Scholarship</v>
      </c>
      <c r="C246" s="7" t="s">
        <v>14</v>
      </c>
      <c r="D246" s="9">
        <v>5000</v>
      </c>
      <c r="E246" s="7" t="s">
        <v>155</v>
      </c>
      <c r="F246" s="7" t="s">
        <v>13</v>
      </c>
      <c r="G246" s="10" t="s">
        <v>192</v>
      </c>
      <c r="H246" t="s">
        <v>25</v>
      </c>
      <c r="I246" t="s">
        <v>25</v>
      </c>
    </row>
    <row r="247" spans="1:9" ht="60" x14ac:dyDescent="0.25">
      <c r="A247" s="3" t="s">
        <v>7</v>
      </c>
      <c r="B247" t="str">
        <f>HYPERLINK("https://scholarships.uow.edu.au/scholarships/search?scholarship=3121", "Business Undergraduate Academic Excellence Scholarship")</f>
        <v>Business Undergraduate Academic Excellence Scholarship</v>
      </c>
      <c r="C247" t="s">
        <v>260</v>
      </c>
      <c r="D247" s="12" t="s">
        <v>241</v>
      </c>
      <c r="E247" t="s">
        <v>201</v>
      </c>
      <c r="F247" t="s">
        <v>13</v>
      </c>
      <c r="G247" s="12" t="s">
        <v>526</v>
      </c>
      <c r="H247" t="s">
        <v>25</v>
      </c>
      <c r="I247" t="s">
        <v>25</v>
      </c>
    </row>
    <row r="248" spans="1:9" ht="90" x14ac:dyDescent="0.25">
      <c r="A248" s="3" t="s">
        <v>7</v>
      </c>
      <c r="B248" t="str">
        <f>HYPERLINK("https://scholarships.uow.edu.au/scholarships/search?scholarship=2881", "Vice-Chancellor's Leadership Scholarship – South Western Sydney")</f>
        <v>Vice-Chancellor's Leadership Scholarship – South Western Sydney</v>
      </c>
      <c r="C248" t="s">
        <v>260</v>
      </c>
      <c r="D248" s="12" t="s">
        <v>261</v>
      </c>
      <c r="E248" t="s">
        <v>262</v>
      </c>
      <c r="F248" t="s">
        <v>13</v>
      </c>
      <c r="G248" s="12" t="s">
        <v>446</v>
      </c>
      <c r="H248" t="s">
        <v>25</v>
      </c>
      <c r="I248" t="s">
        <v>25</v>
      </c>
    </row>
    <row r="249" spans="1:9" ht="60" x14ac:dyDescent="0.25">
      <c r="A249" s="3" t="s">
        <v>7</v>
      </c>
      <c r="B249" t="str">
        <f>HYPERLINK("https://scholarships.uow.edu.au/scholarships/search?scholarship=1581", "UOW Liverpool Undergraduate Scholarship")</f>
        <v>UOW Liverpool Undergraduate Scholarship</v>
      </c>
      <c r="C249" t="s">
        <v>260</v>
      </c>
      <c r="D249" s="12" t="s">
        <v>263</v>
      </c>
      <c r="E249" t="s">
        <v>201</v>
      </c>
      <c r="F249" t="s">
        <v>13</v>
      </c>
      <c r="G249" s="12" t="s">
        <v>447</v>
      </c>
      <c r="H249" t="s">
        <v>25</v>
      </c>
      <c r="I249" t="s">
        <v>25</v>
      </c>
    </row>
    <row r="250" spans="1:9" ht="45" x14ac:dyDescent="0.25">
      <c r="A250" s="3" t="s">
        <v>7</v>
      </c>
      <c r="B250" t="str">
        <f>HYPERLINK("https://scholarships.uow.edu.au/scholarships/search?scholarship=2321", "Illawarra Principal's Recommendation Scholarship")</f>
        <v>Illawarra Principal's Recommendation Scholarship</v>
      </c>
      <c r="C250" t="s">
        <v>260</v>
      </c>
      <c r="D250" s="12" t="s">
        <v>264</v>
      </c>
      <c r="E250" t="s">
        <v>201</v>
      </c>
      <c r="F250" t="s">
        <v>13</v>
      </c>
      <c r="G250" s="12" t="s">
        <v>448</v>
      </c>
      <c r="H250" t="s">
        <v>25</v>
      </c>
      <c r="I250" t="s">
        <v>25</v>
      </c>
    </row>
    <row r="251" spans="1:9" ht="45" x14ac:dyDescent="0.25">
      <c r="A251" s="3" t="s">
        <v>7</v>
      </c>
      <c r="B251" t="str">
        <f>HYPERLINK("https://scholarships.uow.edu.au/scholarships/search?scholarship=2322", "Sutherland Shire Principal's Recommendation Scholarship")</f>
        <v>Sutherland Shire Principal's Recommendation Scholarship</v>
      </c>
      <c r="C251" t="s">
        <v>260</v>
      </c>
      <c r="D251" s="12" t="s">
        <v>265</v>
      </c>
      <c r="E251" t="s">
        <v>201</v>
      </c>
      <c r="F251" t="s">
        <v>13</v>
      </c>
      <c r="G251" s="12" t="s">
        <v>448</v>
      </c>
      <c r="H251" t="s">
        <v>25</v>
      </c>
      <c r="I251" t="s">
        <v>25</v>
      </c>
    </row>
    <row r="252" spans="1:9" ht="45" x14ac:dyDescent="0.25">
      <c r="A252" s="3" t="s">
        <v>7</v>
      </c>
      <c r="B252" t="str">
        <f>HYPERLINK("https://scholarships.uow.edu.au/scholarships/search?scholarship=2481", "Macarthur Principal's Recommendation Scholarship")</f>
        <v>Macarthur Principal's Recommendation Scholarship</v>
      </c>
      <c r="C252" t="s">
        <v>260</v>
      </c>
      <c r="D252" s="12" t="s">
        <v>266</v>
      </c>
      <c r="E252" t="s">
        <v>201</v>
      </c>
      <c r="F252" t="s">
        <v>13</v>
      </c>
      <c r="G252" s="12" t="s">
        <v>448</v>
      </c>
      <c r="H252" t="s">
        <v>25</v>
      </c>
      <c r="I252" t="s">
        <v>25</v>
      </c>
    </row>
    <row r="253" spans="1:9" ht="90" x14ac:dyDescent="0.25">
      <c r="A253" s="3" t="s">
        <v>7</v>
      </c>
      <c r="B253" t="str">
        <f>HYPERLINK("https://scholarships.uow.edu.au/scholarships/search?scholarship=401", "The Edna Campbell Scholarship for Women")</f>
        <v>The Edna Campbell Scholarship for Women</v>
      </c>
      <c r="C253" t="s">
        <v>267</v>
      </c>
      <c r="D253" s="12" t="s">
        <v>268</v>
      </c>
      <c r="E253" t="s">
        <v>269</v>
      </c>
      <c r="F253" t="s">
        <v>13</v>
      </c>
      <c r="G253" s="12" t="s">
        <v>527</v>
      </c>
      <c r="H253" t="s">
        <v>25</v>
      </c>
      <c r="I253" t="s">
        <v>25</v>
      </c>
    </row>
    <row r="254" spans="1:9" ht="75" x14ac:dyDescent="0.25">
      <c r="A254" s="3" t="s">
        <v>7</v>
      </c>
      <c r="B254" t="str">
        <f>HYPERLINK("https://scholarships.uow.edu.au/scholarships/search?scholarship=654", "John, Belle &amp; Richard Miller, Bridgewater Scholarships for Opportunity")</f>
        <v>John, Belle &amp; Richard Miller, Bridgewater Scholarships for Opportunity</v>
      </c>
      <c r="C254" t="s">
        <v>267</v>
      </c>
      <c r="D254" s="12" t="s">
        <v>270</v>
      </c>
      <c r="E254" t="s">
        <v>201</v>
      </c>
      <c r="F254" t="s">
        <v>13</v>
      </c>
      <c r="G254" s="12" t="s">
        <v>528</v>
      </c>
      <c r="H254" t="s">
        <v>25</v>
      </c>
      <c r="I254" t="s">
        <v>25</v>
      </c>
    </row>
    <row r="255" spans="1:9" ht="30" x14ac:dyDescent="0.25">
      <c r="A255" s="3" t="s">
        <v>7</v>
      </c>
      <c r="B255" t="str">
        <f>HYPERLINK("https://scholarships.uow.edu.au/scholarships/search?scholarship=2021", "Transforming Futures Scholarship - Future Students")</f>
        <v>Transforming Futures Scholarship - Future Students</v>
      </c>
      <c r="C255" t="s">
        <v>267</v>
      </c>
      <c r="D255" s="12" t="s">
        <v>271</v>
      </c>
      <c r="E255" t="s">
        <v>269</v>
      </c>
      <c r="F255" t="s">
        <v>13</v>
      </c>
      <c r="G255" s="12" t="s">
        <v>529</v>
      </c>
      <c r="H255" t="s">
        <v>25</v>
      </c>
      <c r="I255" t="s">
        <v>25</v>
      </c>
    </row>
    <row r="256" spans="1:9" ht="105" x14ac:dyDescent="0.25">
      <c r="A256" s="3" t="s">
        <v>7</v>
      </c>
      <c r="B256" t="str">
        <f>HYPERLINK("https://scholarships.uow.edu.au/scholarships/search?scholarship=1181", "Liverpool City Council Opportunity Scholarship")</f>
        <v>Liverpool City Council Opportunity Scholarship</v>
      </c>
      <c r="C256" t="s">
        <v>267</v>
      </c>
      <c r="D256" s="12" t="s">
        <v>272</v>
      </c>
      <c r="E256" t="s">
        <v>201</v>
      </c>
      <c r="F256" t="s">
        <v>13</v>
      </c>
      <c r="G256" s="12" t="s">
        <v>530</v>
      </c>
      <c r="H256" t="s">
        <v>25</v>
      </c>
      <c r="I256" t="s">
        <v>25</v>
      </c>
    </row>
    <row r="257" spans="1:9" ht="105" x14ac:dyDescent="0.25">
      <c r="A257" s="3" t="s">
        <v>7</v>
      </c>
      <c r="B257" t="str">
        <f>HYPERLINK("https://scholarships.uow.edu.au/scholarships/search?scholarship=1641", "The Salvestrin Sartor Jones Scholarship")</f>
        <v>The Salvestrin Sartor Jones Scholarship</v>
      </c>
      <c r="C257" t="s">
        <v>267</v>
      </c>
      <c r="D257" s="12" t="s">
        <v>273</v>
      </c>
      <c r="E257" t="s">
        <v>41</v>
      </c>
      <c r="F257" t="s">
        <v>13</v>
      </c>
      <c r="G257" s="12" t="s">
        <v>274</v>
      </c>
      <c r="H257" t="s">
        <v>25</v>
      </c>
      <c r="I257" t="s">
        <v>25</v>
      </c>
    </row>
    <row r="258" spans="1:9" ht="45" x14ac:dyDescent="0.25">
      <c r="A258" s="3" t="s">
        <v>7</v>
      </c>
      <c r="B258" t="str">
        <f>HYPERLINK("https://scholarships.uow.edu.au/scholarships/search?scholarship=2642", "De Dominicis Foundation Opportunity Scholarship for STEM Students")</f>
        <v>De Dominicis Foundation Opportunity Scholarship for STEM Students</v>
      </c>
      <c r="C258" t="s">
        <v>267</v>
      </c>
      <c r="D258" s="12" t="s">
        <v>275</v>
      </c>
      <c r="E258" t="s">
        <v>269</v>
      </c>
      <c r="F258" t="s">
        <v>13</v>
      </c>
      <c r="G258" s="12" t="s">
        <v>276</v>
      </c>
      <c r="H258" t="s">
        <v>25</v>
      </c>
      <c r="I258" t="s">
        <v>25</v>
      </c>
    </row>
    <row r="259" spans="1:9" ht="120" x14ac:dyDescent="0.25">
      <c r="A259" s="3" t="s">
        <v>7</v>
      </c>
      <c r="B259" t="str">
        <f>HYPERLINK("https://scholarships.uow.edu.au/scholarships/search?scholarship=2761", "Wollongong Chapter No. 59 Order of the Eastern Star Nursing Opportunity Scholarship")</f>
        <v>Wollongong Chapter No. 59 Order of the Eastern Star Nursing Opportunity Scholarship</v>
      </c>
      <c r="C259" t="s">
        <v>267</v>
      </c>
      <c r="D259" s="12" t="s">
        <v>277</v>
      </c>
      <c r="E259" t="s">
        <v>269</v>
      </c>
      <c r="F259" t="s">
        <v>13</v>
      </c>
      <c r="G259" s="12" t="s">
        <v>531</v>
      </c>
      <c r="H259" t="s">
        <v>25</v>
      </c>
      <c r="I259" t="s">
        <v>25</v>
      </c>
    </row>
    <row r="260" spans="1:9" ht="135" x14ac:dyDescent="0.25">
      <c r="A260" s="3" t="s">
        <v>7</v>
      </c>
      <c r="B260" t="str">
        <f>HYPERLINK("https://scholarships.uow.edu.au/scholarships/search?scholarship=361", "The Stevenson Family Scholarship in Social Work")</f>
        <v>The Stevenson Family Scholarship in Social Work</v>
      </c>
      <c r="C260" t="s">
        <v>267</v>
      </c>
      <c r="D260" s="12" t="s">
        <v>278</v>
      </c>
      <c r="E260" t="s">
        <v>41</v>
      </c>
      <c r="F260" t="s">
        <v>13</v>
      </c>
      <c r="G260" s="12" t="s">
        <v>532</v>
      </c>
      <c r="H260" t="s">
        <v>25</v>
      </c>
      <c r="I260" t="s">
        <v>25</v>
      </c>
    </row>
    <row r="261" spans="1:9" ht="30" x14ac:dyDescent="0.25">
      <c r="A261" s="3" t="s">
        <v>7</v>
      </c>
      <c r="B261" t="str">
        <f>HYPERLINK("https://scholarships.uow.edu.au/scholarships/search?scholarship=640", "St Georges Basin Community Scholarship")</f>
        <v>St Georges Basin Community Scholarship</v>
      </c>
      <c r="C261" t="s">
        <v>267</v>
      </c>
      <c r="D261" s="12" t="s">
        <v>279</v>
      </c>
      <c r="E261" t="s">
        <v>201</v>
      </c>
      <c r="F261" t="s">
        <v>13</v>
      </c>
      <c r="G261" s="12" t="s">
        <v>533</v>
      </c>
      <c r="H261" t="s">
        <v>25</v>
      </c>
      <c r="I261" t="s">
        <v>25</v>
      </c>
    </row>
    <row r="262" spans="1:9" ht="210" x14ac:dyDescent="0.25">
      <c r="A262" s="3" t="s">
        <v>7</v>
      </c>
      <c r="B262" t="str">
        <f>HYPERLINK("https://scholarships.uow.edu.au/scholarships/search?scholarship=321", "The Illawarra Centenary of ANZAC Scholarship")</f>
        <v>The Illawarra Centenary of ANZAC Scholarship</v>
      </c>
      <c r="C262" t="s">
        <v>267</v>
      </c>
      <c r="D262" s="12" t="s">
        <v>280</v>
      </c>
      <c r="E262" t="s">
        <v>269</v>
      </c>
      <c r="F262" t="s">
        <v>13</v>
      </c>
      <c r="G262" s="12" t="s">
        <v>534</v>
      </c>
      <c r="H262" t="s">
        <v>25</v>
      </c>
      <c r="I262" t="s">
        <v>25</v>
      </c>
    </row>
    <row r="263" spans="1:9" ht="75" x14ac:dyDescent="0.25">
      <c r="A263" s="3" t="s">
        <v>7</v>
      </c>
      <c r="B263" t="str">
        <f>HYPERLINK("https://scholarships.uow.edu.au/scholarships/search?scholarship=630", "Ivan Bandur Master of Teaching Scholarship")</f>
        <v>Ivan Bandur Master of Teaching Scholarship</v>
      </c>
      <c r="C263" t="s">
        <v>267</v>
      </c>
      <c r="D263" s="12" t="s">
        <v>273</v>
      </c>
      <c r="E263" t="s">
        <v>205</v>
      </c>
      <c r="F263" t="s">
        <v>51</v>
      </c>
      <c r="G263" s="12" t="s">
        <v>535</v>
      </c>
      <c r="H263" t="s">
        <v>25</v>
      </c>
      <c r="I263" t="s">
        <v>25</v>
      </c>
    </row>
    <row r="264" spans="1:9" ht="30" x14ac:dyDescent="0.25">
      <c r="A264" s="3" t="s">
        <v>7</v>
      </c>
      <c r="B264" s="14" t="str">
        <f>HYPERLINK("https://scholarships.uow.edu.au/scholarships/search?scholarship=2203", "Destination Australia Scholarship (Domestic Students)")</f>
        <v>Destination Australia Scholarship (Domestic Students)</v>
      </c>
      <c r="C264" t="s">
        <v>281</v>
      </c>
      <c r="D264" s="10" t="s">
        <v>248</v>
      </c>
      <c r="E264" t="s">
        <v>438</v>
      </c>
      <c r="F264" t="s">
        <v>35</v>
      </c>
      <c r="G264" s="12" t="s">
        <v>536</v>
      </c>
      <c r="H264" t="s">
        <v>25</v>
      </c>
      <c r="I264" t="s">
        <v>25</v>
      </c>
    </row>
    <row r="265" spans="1:9" ht="60" x14ac:dyDescent="0.25">
      <c r="A265" s="3" t="s">
        <v>7</v>
      </c>
      <c r="B265" t="str">
        <f>HYPERLINK("https://scholarships.uow.edu.au/scholarships/search?scholarship=1681", "Club Liverpool Community Scholarship")</f>
        <v>Club Liverpool Community Scholarship</v>
      </c>
      <c r="C265" t="s">
        <v>267</v>
      </c>
      <c r="D265" s="12" t="s">
        <v>282</v>
      </c>
      <c r="E265" t="s">
        <v>201</v>
      </c>
      <c r="F265" t="s">
        <v>13</v>
      </c>
      <c r="G265" s="12" t="s">
        <v>537</v>
      </c>
      <c r="H265" t="s">
        <v>25</v>
      </c>
      <c r="I265" t="s">
        <v>25</v>
      </c>
    </row>
    <row r="266" spans="1:9" ht="90" x14ac:dyDescent="0.25">
      <c r="A266" s="3" t="s">
        <v>7</v>
      </c>
      <c r="B266" t="str">
        <f>HYPERLINK("https://scholarships.uow.edu.au/scholarships/search?scholarship=2161", "Rural and Regional Agricultural Scholarship")</f>
        <v>Rural and Regional Agricultural Scholarship</v>
      </c>
      <c r="C266" t="s">
        <v>267</v>
      </c>
      <c r="D266" s="12" t="s">
        <v>283</v>
      </c>
      <c r="E266" t="s">
        <v>262</v>
      </c>
      <c r="F266" t="s">
        <v>13</v>
      </c>
      <c r="G266" s="12" t="s">
        <v>538</v>
      </c>
      <c r="H266" t="s">
        <v>25</v>
      </c>
      <c r="I266" t="s">
        <v>25</v>
      </c>
    </row>
    <row r="267" spans="1:9" ht="180" x14ac:dyDescent="0.25">
      <c r="A267" s="3" t="s">
        <v>7</v>
      </c>
      <c r="B267" t="str">
        <f>HYPERLINK("https://scholarships.uow.edu.au/scholarships/search?scholarship=1121", "The Movement Disorder Foundation Scholarship")</f>
        <v>The Movement Disorder Foundation Scholarship</v>
      </c>
      <c r="C267" t="s">
        <v>267</v>
      </c>
      <c r="D267" s="12" t="s">
        <v>284</v>
      </c>
      <c r="E267" t="s">
        <v>262</v>
      </c>
      <c r="F267" t="s">
        <v>35</v>
      </c>
      <c r="G267" s="12" t="s">
        <v>539</v>
      </c>
      <c r="H267" t="s">
        <v>25</v>
      </c>
      <c r="I267" t="s">
        <v>25</v>
      </c>
    </row>
    <row r="268" spans="1:9" ht="135" x14ac:dyDescent="0.25">
      <c r="A268" s="3" t="s">
        <v>7</v>
      </c>
      <c r="B268" t="str">
        <f>HYPERLINK("https://scholarships.uow.edu.au/scholarships/search?scholarship=1302", "Mudgee Region Community Scholarship")</f>
        <v>Mudgee Region Community Scholarship</v>
      </c>
      <c r="C268" t="s">
        <v>267</v>
      </c>
      <c r="D268" s="12" t="s">
        <v>278</v>
      </c>
      <c r="E268" t="s">
        <v>41</v>
      </c>
      <c r="F268" t="s">
        <v>13</v>
      </c>
      <c r="G268" s="12" t="s">
        <v>540</v>
      </c>
      <c r="H268" t="s">
        <v>25</v>
      </c>
      <c r="I268" t="s">
        <v>25</v>
      </c>
    </row>
    <row r="269" spans="1:9" ht="60" x14ac:dyDescent="0.25">
      <c r="A269" s="3" t="s">
        <v>7</v>
      </c>
      <c r="B269" t="str">
        <f>HYPERLINK("https://scholarships.uow.edu.au/scholarships/search?scholarship=3202", "Dylan Alcott Foundation Scholarship")</f>
        <v>Dylan Alcott Foundation Scholarship</v>
      </c>
      <c r="C269" t="s">
        <v>267</v>
      </c>
      <c r="D269" s="12" t="s">
        <v>285</v>
      </c>
      <c r="E269" t="s">
        <v>269</v>
      </c>
      <c r="F269" t="s">
        <v>13</v>
      </c>
      <c r="G269" s="12" t="s">
        <v>541</v>
      </c>
      <c r="H269" t="s">
        <v>25</v>
      </c>
      <c r="I269" t="s">
        <v>25</v>
      </c>
    </row>
    <row r="270" spans="1:9" ht="75" x14ac:dyDescent="0.25">
      <c r="A270" s="3" t="s">
        <v>7</v>
      </c>
      <c r="B270" t="str">
        <f>HYPERLINK("https://scholarships.uow.edu.au/scholarships/search?scholarship=2961", "Housing Trust Opportunity Scholarship")</f>
        <v>Housing Trust Opportunity Scholarship</v>
      </c>
      <c r="C270" t="s">
        <v>267</v>
      </c>
      <c r="D270" s="12" t="s">
        <v>278</v>
      </c>
      <c r="E270" t="s">
        <v>269</v>
      </c>
      <c r="F270" t="s">
        <v>13</v>
      </c>
      <c r="G270" s="12" t="s">
        <v>542</v>
      </c>
      <c r="H270" t="s">
        <v>25</v>
      </c>
      <c r="I270" t="s">
        <v>25</v>
      </c>
    </row>
    <row r="271" spans="1:9" ht="45" x14ac:dyDescent="0.25">
      <c r="A271" s="3" t="s">
        <v>7</v>
      </c>
      <c r="B271" t="str">
        <f>HYPERLINK("https://scholarships.uow.edu.au/scholarships/search?scholarship=2941", "Regional Kick Start Scholarships")</f>
        <v>Regional Kick Start Scholarships</v>
      </c>
      <c r="C271" t="s">
        <v>267</v>
      </c>
      <c r="D271" s="12" t="s">
        <v>286</v>
      </c>
      <c r="E271" t="s">
        <v>201</v>
      </c>
      <c r="F271" t="s">
        <v>35</v>
      </c>
      <c r="G271" s="12" t="s">
        <v>450</v>
      </c>
      <c r="H271" t="s">
        <v>25</v>
      </c>
      <c r="I271" t="s">
        <v>25</v>
      </c>
    </row>
    <row r="272" spans="1:9" ht="210" x14ac:dyDescent="0.25">
      <c r="A272" s="3" t="s">
        <v>7</v>
      </c>
      <c r="B272" t="str">
        <f>HYPERLINK("https://scholarships.uow.edu.au/scholarships/search?scholarship=2821", "The City of Wollongong RSL Sub-Branch ANZAC Scholarship")</f>
        <v>The City of Wollongong RSL Sub-Branch ANZAC Scholarship</v>
      </c>
      <c r="C272" t="s">
        <v>267</v>
      </c>
      <c r="D272" s="12" t="s">
        <v>278</v>
      </c>
      <c r="E272" t="s">
        <v>269</v>
      </c>
      <c r="F272" t="s">
        <v>13</v>
      </c>
      <c r="G272" s="12" t="s">
        <v>534</v>
      </c>
      <c r="H272" t="s">
        <v>25</v>
      </c>
      <c r="I272" t="s">
        <v>25</v>
      </c>
    </row>
    <row r="273" spans="1:9" ht="105" x14ac:dyDescent="0.25">
      <c r="A273" s="3" t="s">
        <v>7</v>
      </c>
      <c r="B273" t="str">
        <f>HYPERLINK("https://scholarships.uow.edu.au/scholarships/search?scholarship=2522", "The Tibra Foundation Scholarship in Mathematics")</f>
        <v>The Tibra Foundation Scholarship in Mathematics</v>
      </c>
      <c r="C273" t="s">
        <v>267</v>
      </c>
      <c r="D273" s="12" t="s">
        <v>277</v>
      </c>
      <c r="E273" t="s">
        <v>205</v>
      </c>
      <c r="F273" t="s">
        <v>13</v>
      </c>
      <c r="G273" s="12" t="s">
        <v>543</v>
      </c>
      <c r="H273" t="s">
        <v>25</v>
      </c>
      <c r="I273" t="s">
        <v>25</v>
      </c>
    </row>
    <row r="274" spans="1:9" ht="75" x14ac:dyDescent="0.25">
      <c r="A274" s="3" t="s">
        <v>7</v>
      </c>
      <c r="B274" t="str">
        <f>HYPERLINK("https://scholarships.uow.edu.au/scholarships/search?scholarship=2981", "Risland Community Scholarship in Engineering")</f>
        <v>Risland Community Scholarship in Engineering</v>
      </c>
      <c r="C274" t="s">
        <v>267</v>
      </c>
      <c r="D274" s="12" t="s">
        <v>278</v>
      </c>
      <c r="E274" t="s">
        <v>269</v>
      </c>
      <c r="F274" t="s">
        <v>13</v>
      </c>
      <c r="G274" s="12" t="s">
        <v>544</v>
      </c>
      <c r="H274" t="s">
        <v>25</v>
      </c>
      <c r="I274" t="s">
        <v>25</v>
      </c>
    </row>
    <row r="275" spans="1:9" ht="105" x14ac:dyDescent="0.25">
      <c r="A275" s="3" t="s">
        <v>7</v>
      </c>
      <c r="B275" t="str">
        <f>HYPERLINK("https://scholarships.uow.edu.au/scholarships/search?scholarship=2061", "UOW Ramsay Scholarship")</f>
        <v>UOW Ramsay Scholarship</v>
      </c>
      <c r="C275" t="s">
        <v>267</v>
      </c>
      <c r="D275" s="12" t="s">
        <v>287</v>
      </c>
      <c r="E275" t="s">
        <v>243</v>
      </c>
      <c r="F275" t="s">
        <v>13</v>
      </c>
      <c r="G275" s="12" t="s">
        <v>545</v>
      </c>
      <c r="H275" t="s">
        <v>25</v>
      </c>
      <c r="I275" t="s">
        <v>25</v>
      </c>
    </row>
    <row r="276" spans="1:9" ht="45" x14ac:dyDescent="0.25">
      <c r="A276" s="3" t="s">
        <v>7</v>
      </c>
      <c r="B276" t="str">
        <f>HYPERLINK("https://scholarships.uow.edu.au/scholarships/search?scholarship=2543", "Rhondda and Margaret Williams Scholarship for Rural Medicine")</f>
        <v>Rhondda and Margaret Williams Scholarship for Rural Medicine</v>
      </c>
      <c r="C276" t="s">
        <v>267</v>
      </c>
      <c r="D276" s="12" t="s">
        <v>288</v>
      </c>
      <c r="E276" t="s">
        <v>262</v>
      </c>
      <c r="F276" t="s">
        <v>51</v>
      </c>
      <c r="G276" s="12" t="s">
        <v>546</v>
      </c>
      <c r="H276" t="s">
        <v>25</v>
      </c>
      <c r="I276" t="s">
        <v>25</v>
      </c>
    </row>
    <row r="277" spans="1:9" ht="60" x14ac:dyDescent="0.25">
      <c r="A277" s="3" t="s">
        <v>7</v>
      </c>
      <c r="B277" t="str">
        <f>HYPERLINK("https://scholarships.uow.edu.au/scholarships/search?scholarship=1381", "The George Alexander Foundation Scholarship")</f>
        <v>The George Alexander Foundation Scholarship</v>
      </c>
      <c r="C277" t="s">
        <v>267</v>
      </c>
      <c r="D277" s="12" t="s">
        <v>289</v>
      </c>
      <c r="E277" t="s">
        <v>269</v>
      </c>
      <c r="F277" t="s">
        <v>13</v>
      </c>
      <c r="G277" s="12" t="s">
        <v>547</v>
      </c>
      <c r="H277" t="s">
        <v>25</v>
      </c>
      <c r="I277" t="s">
        <v>25</v>
      </c>
    </row>
    <row r="278" spans="1:9" ht="30" x14ac:dyDescent="0.25">
      <c r="A278" s="3" t="s">
        <v>7</v>
      </c>
      <c r="B278" t="str">
        <f>HYPERLINK("https://scholarships.uow.edu.au/scholarships/search?scholarship=3101", "McLoughlin Minerva Scholarship for Sportswomen")</f>
        <v>McLoughlin Minerva Scholarship for Sportswomen</v>
      </c>
      <c r="C278" t="s">
        <v>267</v>
      </c>
      <c r="D278" s="12" t="s">
        <v>291</v>
      </c>
      <c r="E278" t="s">
        <v>269</v>
      </c>
      <c r="F278" t="s">
        <v>13</v>
      </c>
      <c r="G278" s="12" t="s">
        <v>421</v>
      </c>
      <c r="H278" t="s">
        <v>25</v>
      </c>
      <c r="I278" t="s">
        <v>25</v>
      </c>
    </row>
    <row r="279" spans="1:9" ht="60" x14ac:dyDescent="0.25">
      <c r="A279" s="3" t="s">
        <v>7</v>
      </c>
      <c r="B279" t="str">
        <f>HYPERLINK("https://scholarships.uow.edu.au/scholarships/search?scholarship=1761", "Women in Pure Mathematics Honours Scholarship")</f>
        <v>Women in Pure Mathematics Honours Scholarship</v>
      </c>
      <c r="C279" t="s">
        <v>27</v>
      </c>
      <c r="D279" s="12" t="s">
        <v>279</v>
      </c>
      <c r="E279" t="s">
        <v>201</v>
      </c>
      <c r="F279" t="s">
        <v>13</v>
      </c>
      <c r="G279" s="12" t="s">
        <v>548</v>
      </c>
      <c r="H279" t="s">
        <v>25</v>
      </c>
      <c r="I279" t="s">
        <v>25</v>
      </c>
    </row>
    <row r="280" spans="1:9" ht="30" x14ac:dyDescent="0.25">
      <c r="A280" s="3" t="s">
        <v>7</v>
      </c>
      <c r="B280" t="str">
        <f>HYPERLINK("https://scholarships.uow.edu.au/scholarships/search?scholarship=1661", "UOW Equity Scholarships")</f>
        <v>UOW Equity Scholarships</v>
      </c>
      <c r="C280" t="s">
        <v>14</v>
      </c>
      <c r="D280" s="12" t="s">
        <v>293</v>
      </c>
      <c r="E280" t="s">
        <v>201</v>
      </c>
      <c r="F280" t="s">
        <v>13</v>
      </c>
      <c r="G280" s="12" t="s">
        <v>449</v>
      </c>
      <c r="H280" t="s">
        <v>25</v>
      </c>
      <c r="I280" t="s">
        <v>25</v>
      </c>
    </row>
    <row r="281" spans="1:9" ht="75" x14ac:dyDescent="0.25">
      <c r="A281" s="3" t="s">
        <v>7</v>
      </c>
      <c r="B281" t="str">
        <f>HYPERLINK("https://scholarships.uow.edu.au/scholarships/search?scholarship=659", "Veolia Mulwaree Trust Community Equity Scholarship")</f>
        <v>Veolia Mulwaree Trust Community Equity Scholarship</v>
      </c>
      <c r="C281" t="s">
        <v>267</v>
      </c>
      <c r="D281" s="12" t="s">
        <v>279</v>
      </c>
      <c r="E281" t="s">
        <v>201</v>
      </c>
      <c r="F281" t="s">
        <v>13</v>
      </c>
      <c r="G281" s="12" t="s">
        <v>549</v>
      </c>
      <c r="H281" t="s">
        <v>25</v>
      </c>
      <c r="I281" t="s">
        <v>25</v>
      </c>
    </row>
    <row r="282" spans="1:9" ht="60" x14ac:dyDescent="0.25">
      <c r="A282" s="3" t="s">
        <v>7</v>
      </c>
      <c r="B282" t="str">
        <f>HYPERLINK("https://scholarships.uow.edu.au/scholarships/search?scholarship=624", "Graduate School of Medicine Phase 4 Rural Placement Scholarship")</f>
        <v>Graduate School of Medicine Phase 4 Rural Placement Scholarship</v>
      </c>
      <c r="C282" t="s">
        <v>267</v>
      </c>
      <c r="D282" s="12" t="s">
        <v>294</v>
      </c>
      <c r="E282" t="s">
        <v>201</v>
      </c>
      <c r="F282" t="s">
        <v>51</v>
      </c>
      <c r="G282" s="12" t="s">
        <v>550</v>
      </c>
      <c r="H282" t="s">
        <v>25</v>
      </c>
      <c r="I282" t="s">
        <v>16</v>
      </c>
    </row>
    <row r="283" spans="1:9" ht="75" x14ac:dyDescent="0.25">
      <c r="A283" s="3" t="s">
        <v>7</v>
      </c>
      <c r="B283" t="str">
        <f>HYPERLINK("https://scholarships.uow.edu.au/scholarships/search?scholarship=601", "Graduate School of Medicine Phase 3 Community Funded Scholarship")</f>
        <v>Graduate School of Medicine Phase 3 Community Funded Scholarship</v>
      </c>
      <c r="C283" t="s">
        <v>267</v>
      </c>
      <c r="D283" s="12" t="s">
        <v>295</v>
      </c>
      <c r="E283" t="s">
        <v>201</v>
      </c>
      <c r="F283" t="s">
        <v>51</v>
      </c>
      <c r="G283" s="12" t="s">
        <v>551</v>
      </c>
      <c r="H283" t="s">
        <v>25</v>
      </c>
      <c r="I283" t="s">
        <v>25</v>
      </c>
    </row>
    <row r="284" spans="1:9" ht="45" x14ac:dyDescent="0.25">
      <c r="A284" s="3" t="s">
        <v>7</v>
      </c>
      <c r="B284" t="str">
        <f>HYPERLINK("https://scholarships.uow.edu.au/scholarships/search?scholarship=602", "UOW Alumni Bookshop Scholarship")</f>
        <v>UOW Alumni Bookshop Scholarship</v>
      </c>
      <c r="C284" t="s">
        <v>267</v>
      </c>
      <c r="D284" s="12" t="s">
        <v>296</v>
      </c>
      <c r="E284" t="s">
        <v>269</v>
      </c>
      <c r="F284" t="s">
        <v>13</v>
      </c>
      <c r="G284" s="12" t="s">
        <v>552</v>
      </c>
      <c r="H284" t="s">
        <v>25</v>
      </c>
      <c r="I284" t="s">
        <v>25</v>
      </c>
    </row>
    <row r="285" spans="1:9" ht="105" x14ac:dyDescent="0.25">
      <c r="A285" s="3" t="s">
        <v>7</v>
      </c>
      <c r="B285" t="str">
        <f>HYPERLINK("https://scholarships.uow.edu.au/scholarships/search?scholarship=1181", "Liverpool City Council Opportunity Scholarship")</f>
        <v>Liverpool City Council Opportunity Scholarship</v>
      </c>
      <c r="C285" t="s">
        <v>267</v>
      </c>
      <c r="D285" s="12" t="s">
        <v>272</v>
      </c>
      <c r="E285" t="s">
        <v>201</v>
      </c>
      <c r="F285" t="s">
        <v>13</v>
      </c>
      <c r="G285" s="12" t="s">
        <v>530</v>
      </c>
      <c r="H285" t="s">
        <v>25</v>
      </c>
      <c r="I285" t="s">
        <v>25</v>
      </c>
    </row>
    <row r="286" spans="1:9" ht="45" x14ac:dyDescent="0.25">
      <c r="A286" s="3" t="s">
        <v>7</v>
      </c>
      <c r="B286" t="str">
        <f>HYPERLINK("https://scholarships.uow.edu.au/scholarships/search?scholarship=2081", "The Holt Estate Environmental Science Scholarship")</f>
        <v>The Holt Estate Environmental Science Scholarship</v>
      </c>
      <c r="C286" t="s">
        <v>267</v>
      </c>
      <c r="D286" s="12" t="s">
        <v>292</v>
      </c>
      <c r="E286" t="s">
        <v>269</v>
      </c>
      <c r="F286" t="s">
        <v>13</v>
      </c>
      <c r="G286" s="12" t="s">
        <v>553</v>
      </c>
      <c r="H286" t="s">
        <v>21</v>
      </c>
      <c r="I286" t="s">
        <v>25</v>
      </c>
    </row>
    <row r="287" spans="1:9" ht="30" x14ac:dyDescent="0.25">
      <c r="A287" s="3" t="s">
        <v>7</v>
      </c>
      <c r="B287" t="str">
        <f>HYPERLINK("https://scholarships.uow.edu.au/scholarships/search?scholarship=1821", "Transforming Futures Scholarship- Current Students")</f>
        <v>Transforming Futures Scholarship- Current Students</v>
      </c>
      <c r="C287" t="s">
        <v>267</v>
      </c>
      <c r="D287" s="12" t="s">
        <v>271</v>
      </c>
      <c r="E287" t="s">
        <v>269</v>
      </c>
      <c r="F287" t="s">
        <v>13</v>
      </c>
      <c r="G287" s="12" t="s">
        <v>529</v>
      </c>
      <c r="H287" t="s">
        <v>25</v>
      </c>
      <c r="I287" t="s">
        <v>25</v>
      </c>
    </row>
    <row r="288" spans="1:9" ht="75" x14ac:dyDescent="0.25">
      <c r="A288" s="3" t="s">
        <v>7</v>
      </c>
      <c r="B288" t="str">
        <f>HYPERLINK("https://scholarships.uow.edu.au/scholarships/search?scholarship=3021", "The Robert Sidhwani Memorial Scholarship in Medicine")</f>
        <v>The Robert Sidhwani Memorial Scholarship in Medicine</v>
      </c>
      <c r="C288" t="s">
        <v>267</v>
      </c>
      <c r="D288" s="12" t="s">
        <v>278</v>
      </c>
      <c r="E288" t="s">
        <v>201</v>
      </c>
      <c r="F288" t="s">
        <v>51</v>
      </c>
      <c r="G288" s="12" t="s">
        <v>554</v>
      </c>
      <c r="H288" t="s">
        <v>25</v>
      </c>
      <c r="I288" t="s">
        <v>25</v>
      </c>
    </row>
    <row r="289" spans="1:9" ht="135" x14ac:dyDescent="0.25">
      <c r="A289" s="3" t="s">
        <v>7</v>
      </c>
      <c r="B289" t="str">
        <f>HYPERLINK("https://scholarships.uow.edu.au/scholarships/search?scholarship=2501", "Motion Asia Pacific Opportunity Scholarship")</f>
        <v>Motion Asia Pacific Opportunity Scholarship</v>
      </c>
      <c r="C289" t="s">
        <v>267</v>
      </c>
      <c r="D289" s="12" t="s">
        <v>278</v>
      </c>
      <c r="E289" t="s">
        <v>262</v>
      </c>
      <c r="F289" t="s">
        <v>13</v>
      </c>
      <c r="G289" s="12" t="s">
        <v>555</v>
      </c>
      <c r="H289" t="s">
        <v>25</v>
      </c>
      <c r="I289" t="s">
        <v>25</v>
      </c>
    </row>
    <row r="290" spans="1:9" ht="105" x14ac:dyDescent="0.25">
      <c r="A290" s="3" t="s">
        <v>7</v>
      </c>
      <c r="B290" t="str">
        <f>HYPERLINK("https://scholarships.uow.edu.au/scholarships/search?scholarship=3221", "Bomaderry Bowling Club Opportunity Scholarship")</f>
        <v>Bomaderry Bowling Club Opportunity Scholarship</v>
      </c>
      <c r="C290" t="s">
        <v>267</v>
      </c>
      <c r="D290" s="12" t="s">
        <v>297</v>
      </c>
      <c r="E290" t="s">
        <v>201</v>
      </c>
      <c r="F290" t="s">
        <v>13</v>
      </c>
      <c r="G290" s="12" t="s">
        <v>557</v>
      </c>
      <c r="H290" t="s">
        <v>25</v>
      </c>
      <c r="I290" t="s">
        <v>25</v>
      </c>
    </row>
    <row r="291" spans="1:9" ht="90" x14ac:dyDescent="0.25">
      <c r="A291" s="3" t="s">
        <v>7</v>
      </c>
      <c r="B291" t="str">
        <f>HYPERLINK("https://scholarships.uow.edu.au/scholarships/search?scholarship=2922", "St Georges Basin Country Club Opportunity Scholarship")</f>
        <v>St Georges Basin Country Club Opportunity Scholarship</v>
      </c>
      <c r="C291" t="s">
        <v>267</v>
      </c>
      <c r="D291" s="12" t="s">
        <v>297</v>
      </c>
      <c r="E291" t="s">
        <v>201</v>
      </c>
      <c r="F291" t="s">
        <v>13</v>
      </c>
      <c r="G291" s="12" t="s">
        <v>556</v>
      </c>
      <c r="H291" t="s">
        <v>25</v>
      </c>
      <c r="I291" t="s">
        <v>25</v>
      </c>
    </row>
    <row r="292" spans="1:9" ht="105" x14ac:dyDescent="0.25">
      <c r="A292" s="3" t="s">
        <v>7</v>
      </c>
      <c r="B292" t="str">
        <f>HYPERLINK("https://scholarships.uow.edu.au/scholarships/search?scholarship=3281", "Albion Park RSL Memorial Club Scholarship")</f>
        <v>Albion Park RSL Memorial Club Scholarship</v>
      </c>
      <c r="C292" t="s">
        <v>267</v>
      </c>
      <c r="D292" s="10" t="s">
        <v>298</v>
      </c>
      <c r="E292" t="s">
        <v>201</v>
      </c>
      <c r="F292" t="s">
        <v>13</v>
      </c>
      <c r="G292" s="12" t="s">
        <v>558</v>
      </c>
      <c r="H292" t="s">
        <v>25</v>
      </c>
      <c r="I292" t="s">
        <v>25</v>
      </c>
    </row>
    <row r="293" spans="1:9" ht="105" x14ac:dyDescent="0.25">
      <c r="A293" s="3" t="s">
        <v>7</v>
      </c>
      <c r="B293" t="str">
        <f>HYPERLINK("https://scholarships.uow.edu.au/scholarships/search?scholarship=461", "The Patterson Family Scholarship")</f>
        <v>The Patterson Family Scholarship</v>
      </c>
      <c r="C293" t="s">
        <v>267</v>
      </c>
      <c r="D293" s="12" t="s">
        <v>299</v>
      </c>
      <c r="E293" t="s">
        <v>201</v>
      </c>
      <c r="F293" t="s">
        <v>13</v>
      </c>
      <c r="G293" s="12" t="s">
        <v>559</v>
      </c>
      <c r="H293" t="s">
        <v>25</v>
      </c>
      <c r="I293" t="s">
        <v>25</v>
      </c>
    </row>
    <row r="294" spans="1:9" ht="60" x14ac:dyDescent="0.25">
      <c r="A294" s="3" t="s">
        <v>7</v>
      </c>
      <c r="B294" t="str">
        <f>HYPERLINK("https://scholarships.uow.edu.au/scholarships/search?scholarship=3061", "Clever Care Now Nursing Opportunity Scholarship")</f>
        <v>Clever Care Now Nursing Opportunity Scholarship</v>
      </c>
      <c r="C294" t="s">
        <v>267</v>
      </c>
      <c r="D294" s="12" t="s">
        <v>298</v>
      </c>
      <c r="E294" t="s">
        <v>201</v>
      </c>
      <c r="F294" t="s">
        <v>13</v>
      </c>
      <c r="G294" s="12" t="s">
        <v>560</v>
      </c>
      <c r="H294" t="s">
        <v>21</v>
      </c>
      <c r="I294" t="s">
        <v>25</v>
      </c>
    </row>
    <row r="295" spans="1:9" ht="60" x14ac:dyDescent="0.25">
      <c r="A295" s="3" t="s">
        <v>7</v>
      </c>
      <c r="B295" t="str">
        <f>HYPERLINK("https://scholarships.uow.edu.au/scholarships/search?scholarship=2461", "Nursing Clinical Placement Scholarship")</f>
        <v>Nursing Clinical Placement Scholarship</v>
      </c>
      <c r="C295" t="s">
        <v>267</v>
      </c>
      <c r="D295" s="12" t="s">
        <v>300</v>
      </c>
      <c r="E295" t="s">
        <v>201</v>
      </c>
      <c r="F295" t="s">
        <v>13</v>
      </c>
      <c r="G295" s="12" t="s">
        <v>561</v>
      </c>
      <c r="H295" t="s">
        <v>25</v>
      </c>
      <c r="I295" t="s">
        <v>16</v>
      </c>
    </row>
    <row r="296" spans="1:9" ht="60" x14ac:dyDescent="0.25">
      <c r="A296" s="3" t="s">
        <v>7</v>
      </c>
      <c r="B296" t="str">
        <f>HYPERLINK("https://scholarships.uow.edu.au/scholarships/search?scholarship=2742", "Women in Finance and Economics Scholarship Program (Postgraduate)")</f>
        <v>Women in Finance and Economics Scholarship Program (Postgraduate)</v>
      </c>
      <c r="C296" t="s">
        <v>267</v>
      </c>
      <c r="D296" s="12" t="s">
        <v>301</v>
      </c>
      <c r="E296" t="s">
        <v>201</v>
      </c>
      <c r="F296" t="s">
        <v>51</v>
      </c>
      <c r="G296" s="12" t="s">
        <v>562</v>
      </c>
      <c r="H296" t="s">
        <v>25</v>
      </c>
      <c r="I296" t="s">
        <v>25</v>
      </c>
    </row>
    <row r="297" spans="1:9" ht="45" x14ac:dyDescent="0.25">
      <c r="A297" s="3" t="s">
        <v>7</v>
      </c>
      <c r="B297" t="str">
        <f>HYPERLINK("https://scholarships.uow.edu.au/scholarships/search?scholarship=3063", "Sustainable Futures Opportunity Scholarship")</f>
        <v>Sustainable Futures Opportunity Scholarship</v>
      </c>
      <c r="C297" t="s">
        <v>267</v>
      </c>
      <c r="D297" s="12" t="s">
        <v>302</v>
      </c>
      <c r="E297" t="s">
        <v>269</v>
      </c>
      <c r="F297" t="s">
        <v>13</v>
      </c>
      <c r="G297" s="12" t="s">
        <v>563</v>
      </c>
      <c r="H297" t="s">
        <v>25</v>
      </c>
      <c r="I297" t="s">
        <v>25</v>
      </c>
    </row>
    <row r="298" spans="1:9" ht="45" x14ac:dyDescent="0.25">
      <c r="A298" s="3" t="s">
        <v>7</v>
      </c>
      <c r="B298" t="str">
        <f>HYPERLINK("https://scholarships.uow.edu.au/scholarships/search?scholarship=658", "Tom Maguire Memorial Scholarship for Law")</f>
        <v>Tom Maguire Memorial Scholarship for Law</v>
      </c>
      <c r="C298" t="s">
        <v>267</v>
      </c>
      <c r="D298" s="12" t="s">
        <v>278</v>
      </c>
      <c r="E298" t="s">
        <v>201</v>
      </c>
      <c r="F298" t="s">
        <v>13</v>
      </c>
      <c r="G298" s="12" t="s">
        <v>564</v>
      </c>
      <c r="H298" t="s">
        <v>25</v>
      </c>
      <c r="I298" t="s">
        <v>25</v>
      </c>
    </row>
    <row r="299" spans="1:9" ht="30" x14ac:dyDescent="0.25">
      <c r="A299" s="3" t="s">
        <v>7</v>
      </c>
      <c r="B299" t="str">
        <f>HYPERLINK("https://scholarships.uow.edu.au/scholarships/search?scholarship=3103", "ZML Foundation Opportunity Scholarship")</f>
        <v>ZML Foundation Opportunity Scholarship</v>
      </c>
      <c r="C299" t="s">
        <v>267</v>
      </c>
      <c r="D299" s="12" t="s">
        <v>298</v>
      </c>
      <c r="E299" t="s">
        <v>201</v>
      </c>
      <c r="F299" t="s">
        <v>13</v>
      </c>
      <c r="G299" s="12" t="s">
        <v>565</v>
      </c>
      <c r="H299" t="s">
        <v>25</v>
      </c>
      <c r="I299" t="s">
        <v>25</v>
      </c>
    </row>
    <row r="300" spans="1:9" ht="150" x14ac:dyDescent="0.25">
      <c r="A300" s="3" t="s">
        <v>7</v>
      </c>
      <c r="B300" t="str">
        <f>HYPERLINK("https://scholarships.uow.edu.au/scholarships/search?scholarship=2462", "Recovery Camp Nursing Scholarship")</f>
        <v>Recovery Camp Nursing Scholarship</v>
      </c>
      <c r="C300" t="s">
        <v>267</v>
      </c>
      <c r="D300" s="12" t="s">
        <v>303</v>
      </c>
      <c r="E300" t="s">
        <v>269</v>
      </c>
      <c r="F300" t="s">
        <v>13</v>
      </c>
      <c r="G300" s="12" t="s">
        <v>566</v>
      </c>
      <c r="H300" t="s">
        <v>25</v>
      </c>
      <c r="I300" t="s">
        <v>25</v>
      </c>
    </row>
    <row r="301" spans="1:9" ht="285" x14ac:dyDescent="0.25">
      <c r="A301" s="3" t="s">
        <v>7</v>
      </c>
      <c r="B301" t="str">
        <f>HYPERLINK("https://scholarships.uow.edu.au/scholarships/search?scholarship=3162", "UOW Medical and Health Society Opportunity Scholarship")</f>
        <v>UOW Medical and Health Society Opportunity Scholarship</v>
      </c>
      <c r="C301" t="s">
        <v>267</v>
      </c>
      <c r="D301" s="12" t="s">
        <v>304</v>
      </c>
      <c r="E301" t="s">
        <v>201</v>
      </c>
      <c r="F301" t="s">
        <v>13</v>
      </c>
      <c r="G301" s="12" t="s">
        <v>567</v>
      </c>
      <c r="H301" t="s">
        <v>25</v>
      </c>
      <c r="I301" t="s">
        <v>25</v>
      </c>
    </row>
    <row r="302" spans="1:9" ht="60" x14ac:dyDescent="0.25">
      <c r="A302" s="3" t="s">
        <v>7</v>
      </c>
      <c r="B302" t="str">
        <f>HYPERLINK("https://scholarships.uow.edu.au/scholarships/search?scholarship=3341", "Andrew Ferrier Scholarship in Technology &amp; Engineering")</f>
        <v>Andrew Ferrier Scholarship in Technology &amp; Engineering</v>
      </c>
      <c r="C302" t="s">
        <v>267</v>
      </c>
      <c r="D302" s="12" t="s">
        <v>278</v>
      </c>
      <c r="E302" t="s">
        <v>269</v>
      </c>
      <c r="F302" t="s">
        <v>13</v>
      </c>
      <c r="G302" s="12" t="s">
        <v>568</v>
      </c>
      <c r="H302" t="s">
        <v>25</v>
      </c>
      <c r="I302" t="s">
        <v>25</v>
      </c>
    </row>
    <row r="303" spans="1:9" ht="45" x14ac:dyDescent="0.25">
      <c r="A303" s="3" t="s">
        <v>7</v>
      </c>
      <c r="B303" t="str">
        <f>HYPERLINK("https://scholarships.uow.edu.au/scholarships/search?scholarship=3102", "Delivering 4 Customers (D4C) Opportunity Scholarship for Engineering")</f>
        <v>Delivering 4 Customers (D4C) Opportunity Scholarship for Engineering</v>
      </c>
      <c r="C303" t="s">
        <v>267</v>
      </c>
      <c r="D303" s="12" t="s">
        <v>305</v>
      </c>
      <c r="E303" t="s">
        <v>201</v>
      </c>
      <c r="F303" t="s">
        <v>13</v>
      </c>
      <c r="G303" s="12" t="s">
        <v>569</v>
      </c>
      <c r="H303" t="s">
        <v>25</v>
      </c>
      <c r="I303" t="s">
        <v>25</v>
      </c>
    </row>
    <row r="304" spans="1:9" ht="60" x14ac:dyDescent="0.25">
      <c r="A304" s="3" t="s">
        <v>7</v>
      </c>
      <c r="B304" t="str">
        <f>HYPERLINK("https://scholarships.uow.edu.au/scholarships/search?scholarship=2741", "Women in Finance and Economics Scholarship Program (Undergraduate)")</f>
        <v>Women in Finance and Economics Scholarship Program (Undergraduate)</v>
      </c>
      <c r="C304" t="s">
        <v>267</v>
      </c>
      <c r="D304" s="12" t="s">
        <v>278</v>
      </c>
      <c r="E304" t="s">
        <v>201</v>
      </c>
      <c r="F304" t="s">
        <v>13</v>
      </c>
      <c r="G304" s="12" t="s">
        <v>570</v>
      </c>
      <c r="H304" t="s">
        <v>25</v>
      </c>
      <c r="I304" t="s">
        <v>25</v>
      </c>
    </row>
    <row r="305" spans="1:9" ht="90" x14ac:dyDescent="0.25">
      <c r="A305" s="3" t="s">
        <v>7</v>
      </c>
      <c r="B305" t="str">
        <f>HYPERLINK("https://scholarships.uow.edu.au/scholarships/search?scholarship=2541", "Doris Matlok Law Scholarship")</f>
        <v>Doris Matlok Law Scholarship</v>
      </c>
      <c r="C305" t="s">
        <v>267</v>
      </c>
      <c r="D305" s="12" t="s">
        <v>278</v>
      </c>
      <c r="E305" t="s">
        <v>201</v>
      </c>
      <c r="F305" t="s">
        <v>13</v>
      </c>
      <c r="G305" s="12" t="s">
        <v>571</v>
      </c>
      <c r="H305" t="s">
        <v>25</v>
      </c>
      <c r="I305" t="s">
        <v>25</v>
      </c>
    </row>
    <row r="306" spans="1:9" ht="45" x14ac:dyDescent="0.25">
      <c r="A306" s="3" t="s">
        <v>7</v>
      </c>
      <c r="B306" t="str">
        <f>HYPERLINK("https://scholarships.uow.edu.au/scholarships/search?scholarship=2681", "Ray and Peggy Allen Graduate School of Medicine Scholarship")</f>
        <v>Ray and Peggy Allen Graduate School of Medicine Scholarship</v>
      </c>
      <c r="C306" t="s">
        <v>267</v>
      </c>
      <c r="D306" s="12" t="s">
        <v>292</v>
      </c>
      <c r="E306" t="s">
        <v>201</v>
      </c>
      <c r="F306" t="s">
        <v>51</v>
      </c>
      <c r="G306" s="12" t="s">
        <v>572</v>
      </c>
      <c r="H306" t="s">
        <v>25</v>
      </c>
      <c r="I306" t="s">
        <v>25</v>
      </c>
    </row>
    <row r="307" spans="1:9" ht="45" x14ac:dyDescent="0.25">
      <c r="A307" s="3" t="s">
        <v>7</v>
      </c>
      <c r="B307" t="str">
        <f>HYPERLINK("https://scholarships.uow.edu.au/scholarships/search?scholarship=3261", "Advanced Buildings Opportunity Scholarship in OHS")</f>
        <v>Advanced Buildings Opportunity Scholarship in OHS</v>
      </c>
      <c r="C307" t="s">
        <v>267</v>
      </c>
      <c r="D307" s="10" t="s">
        <v>306</v>
      </c>
      <c r="E307" t="s">
        <v>201</v>
      </c>
      <c r="F307" t="s">
        <v>51</v>
      </c>
      <c r="G307" s="12" t="s">
        <v>573</v>
      </c>
      <c r="H307" t="s">
        <v>25</v>
      </c>
      <c r="I307" t="s">
        <v>25</v>
      </c>
    </row>
    <row r="308" spans="1:9" ht="30" x14ac:dyDescent="0.25">
      <c r="A308" s="3" t="s">
        <v>7</v>
      </c>
      <c r="B308" t="str">
        <f>HYPERLINK("https://scholarships.uow.edu.au/scholarships/search?scholarship=1822", "Honorary Chapter Scholarship Program")</f>
        <v>Honorary Chapter Scholarship Program</v>
      </c>
      <c r="C308" t="s">
        <v>267</v>
      </c>
      <c r="D308" s="12" t="s">
        <v>279</v>
      </c>
      <c r="E308" t="s">
        <v>201</v>
      </c>
      <c r="F308" t="s">
        <v>13</v>
      </c>
      <c r="G308" s="12" t="s">
        <v>574</v>
      </c>
      <c r="H308" t="s">
        <v>25</v>
      </c>
      <c r="I308" t="s">
        <v>25</v>
      </c>
    </row>
    <row r="309" spans="1:9" ht="150" x14ac:dyDescent="0.25">
      <c r="A309" s="3" t="s">
        <v>7</v>
      </c>
      <c r="B309" t="str">
        <f>HYPERLINK("https://scholarships.uow.edu.au/scholarships/search?scholarship=361", "The Stevenson Family Scholarship in Social Work")</f>
        <v>The Stevenson Family Scholarship in Social Work</v>
      </c>
      <c r="C309" t="s">
        <v>267</v>
      </c>
      <c r="D309" s="12" t="s">
        <v>278</v>
      </c>
      <c r="E309" t="s">
        <v>41</v>
      </c>
      <c r="F309" t="s">
        <v>13</v>
      </c>
      <c r="G309" s="12" t="s">
        <v>575</v>
      </c>
      <c r="H309" t="s">
        <v>25</v>
      </c>
      <c r="I309" t="s">
        <v>25</v>
      </c>
    </row>
    <row r="310" spans="1:9" ht="105" x14ac:dyDescent="0.25">
      <c r="A310" s="3" t="s">
        <v>7</v>
      </c>
      <c r="B310" t="str">
        <f>HYPERLINK("https://scholarships.uow.edu.au/scholarships/search?scholarship=561", "Jack Goldring Memorial Scholarship")</f>
        <v>Jack Goldring Memorial Scholarship</v>
      </c>
      <c r="C310" t="s">
        <v>267</v>
      </c>
      <c r="D310" s="12" t="s">
        <v>292</v>
      </c>
      <c r="E310" t="s">
        <v>201</v>
      </c>
      <c r="F310" t="s">
        <v>13</v>
      </c>
      <c r="G310" s="12" t="s">
        <v>576</v>
      </c>
      <c r="H310" t="s">
        <v>25</v>
      </c>
      <c r="I310" t="s">
        <v>25</v>
      </c>
    </row>
    <row r="311" spans="1:9" ht="180" x14ac:dyDescent="0.25">
      <c r="A311" s="3" t="s">
        <v>7</v>
      </c>
      <c r="B311" t="str">
        <f>HYPERLINK("https://scholarships.uow.edu.au/scholarships/search?scholarship=633", "M.J Wraight Scholarship for Women in Medicine")</f>
        <v>M.J Wraight Scholarship for Women in Medicine</v>
      </c>
      <c r="C311" t="s">
        <v>27</v>
      </c>
      <c r="D311" s="12" t="s">
        <v>307</v>
      </c>
      <c r="E311" t="s">
        <v>269</v>
      </c>
      <c r="F311" t="s">
        <v>13</v>
      </c>
      <c r="G311" s="12" t="s">
        <v>577</v>
      </c>
      <c r="H311" t="s">
        <v>25</v>
      </c>
      <c r="I311" t="s">
        <v>25</v>
      </c>
    </row>
    <row r="312" spans="1:9" ht="60" x14ac:dyDescent="0.25">
      <c r="A312" s="3" t="s">
        <v>7</v>
      </c>
      <c r="B312" t="str">
        <f>HYPERLINK("https://scholarships.uow.edu.au/scholarships/search?scholarship=634", "Mollymook Golf Club Community Scholarship")</f>
        <v>Mollymook Golf Club Community Scholarship</v>
      </c>
      <c r="C312" t="s">
        <v>267</v>
      </c>
      <c r="D312" s="12" t="s">
        <v>273</v>
      </c>
      <c r="E312" t="s">
        <v>201</v>
      </c>
      <c r="F312" t="s">
        <v>13</v>
      </c>
      <c r="G312" s="12" t="s">
        <v>578</v>
      </c>
      <c r="H312" t="s">
        <v>25</v>
      </c>
      <c r="I312" t="s">
        <v>25</v>
      </c>
    </row>
    <row r="313" spans="1:9" ht="30" x14ac:dyDescent="0.25">
      <c r="A313" s="3" t="s">
        <v>7</v>
      </c>
      <c r="B313" t="str">
        <f>HYPERLINK("https://scholarships.uow.edu.au/scholarships/search?scholarship=635", "Mumbulla Foundation Community Scholarships")</f>
        <v>Mumbulla Foundation Community Scholarships</v>
      </c>
      <c r="C313" t="s">
        <v>267</v>
      </c>
      <c r="D313" s="12" t="s">
        <v>308</v>
      </c>
      <c r="E313" t="s">
        <v>201</v>
      </c>
      <c r="F313" t="s">
        <v>13</v>
      </c>
      <c r="G313" s="12" t="s">
        <v>579</v>
      </c>
      <c r="H313" t="s">
        <v>25</v>
      </c>
      <c r="I313" t="s">
        <v>25</v>
      </c>
    </row>
    <row r="314" spans="1:9" ht="75" x14ac:dyDescent="0.25">
      <c r="A314" s="3" t="s">
        <v>7</v>
      </c>
      <c r="B314" t="str">
        <f>HYPERLINK("https://scholarships.uow.edu.au/scholarships/search?scholarship=637", "Rotary Club of Bega Commerce Scholarship")</f>
        <v>Rotary Club of Bega Commerce Scholarship</v>
      </c>
      <c r="C314" t="s">
        <v>267</v>
      </c>
      <c r="D314" s="12" t="s">
        <v>309</v>
      </c>
      <c r="E314" t="s">
        <v>201</v>
      </c>
      <c r="F314" t="s">
        <v>13</v>
      </c>
      <c r="G314" s="12" t="s">
        <v>580</v>
      </c>
      <c r="H314" t="s">
        <v>25</v>
      </c>
      <c r="I314" t="s">
        <v>25</v>
      </c>
    </row>
    <row r="315" spans="1:9" ht="90" x14ac:dyDescent="0.25">
      <c r="A315" s="3" t="s">
        <v>7</v>
      </c>
      <c r="B315" t="str">
        <f>HYPERLINK("https://scholarships.uow.edu.au/scholarships/search?scholarship=638", "Rotary Club of West Wollongong John Chaplin Memorial Scholarship")</f>
        <v>Rotary Club of West Wollongong John Chaplin Memorial Scholarship</v>
      </c>
      <c r="C315" t="s">
        <v>267</v>
      </c>
      <c r="D315" s="12" t="s">
        <v>279</v>
      </c>
      <c r="E315" t="s">
        <v>205</v>
      </c>
      <c r="F315" t="s">
        <v>13</v>
      </c>
      <c r="G315" s="12" t="s">
        <v>581</v>
      </c>
      <c r="H315" t="s">
        <v>25</v>
      </c>
      <c r="I315" t="s">
        <v>25</v>
      </c>
    </row>
    <row r="316" spans="1:9" ht="75" x14ac:dyDescent="0.25">
      <c r="A316" s="3" t="s">
        <v>7</v>
      </c>
      <c r="B316" t="str">
        <f>HYPERLINK("https://scholarships.uow.edu.au/scholarships/search?scholarship=648", "UOW Bega Alumni Business Scholarship")</f>
        <v>UOW Bega Alumni Business Scholarship</v>
      </c>
      <c r="C316" t="s">
        <v>267</v>
      </c>
      <c r="D316" s="12" t="s">
        <v>309</v>
      </c>
      <c r="E316" t="s">
        <v>201</v>
      </c>
      <c r="F316" t="s">
        <v>13</v>
      </c>
      <c r="G316" s="12" t="s">
        <v>580</v>
      </c>
      <c r="H316" t="s">
        <v>25</v>
      </c>
      <c r="I316" t="s">
        <v>25</v>
      </c>
    </row>
    <row r="317" spans="1:9" ht="90" x14ac:dyDescent="0.25">
      <c r="A317" s="3" t="s">
        <v>7</v>
      </c>
      <c r="B317" t="str">
        <f>HYPERLINK("https://scholarships.uow.edu.au/scholarships/search?scholarship=649", "World Transformation Scholarship")</f>
        <v>World Transformation Scholarship</v>
      </c>
      <c r="C317" t="s">
        <v>267</v>
      </c>
      <c r="D317" s="12" t="s">
        <v>310</v>
      </c>
      <c r="E317" t="s">
        <v>201</v>
      </c>
      <c r="F317" t="s">
        <v>35</v>
      </c>
      <c r="G317" s="12" t="s">
        <v>582</v>
      </c>
      <c r="H317" t="s">
        <v>25</v>
      </c>
      <c r="I317" t="s">
        <v>25</v>
      </c>
    </row>
    <row r="318" spans="1:9" ht="75" x14ac:dyDescent="0.25">
      <c r="A318" s="3" t="s">
        <v>7</v>
      </c>
      <c r="B318" t="str">
        <f>HYPERLINK("https://scholarships.uow.edu.au/scholarships/search?scholarship=702", "Rowe Scientific Chemistry Scholarship")</f>
        <v>Rowe Scientific Chemistry Scholarship</v>
      </c>
      <c r="C318" t="s">
        <v>267</v>
      </c>
      <c r="D318" s="12" t="s">
        <v>278</v>
      </c>
      <c r="E318" t="s">
        <v>201</v>
      </c>
      <c r="F318" t="s">
        <v>13</v>
      </c>
      <c r="G318" s="12" t="s">
        <v>583</v>
      </c>
      <c r="H318" t="s">
        <v>25</v>
      </c>
      <c r="I318" t="s">
        <v>25</v>
      </c>
    </row>
    <row r="319" spans="1:9" ht="75" x14ac:dyDescent="0.25">
      <c r="A319" s="3" t="s">
        <v>7</v>
      </c>
      <c r="B319" t="str">
        <f>HYPERLINK("https://scholarships.uow.edu.au/scholarships/search?scholarship=1701", "Cunningham D'Souza Family Scholarship")</f>
        <v>Cunningham D'Souza Family Scholarship</v>
      </c>
      <c r="C319" t="s">
        <v>267</v>
      </c>
      <c r="D319" s="12" t="s">
        <v>278</v>
      </c>
      <c r="E319" t="s">
        <v>201</v>
      </c>
      <c r="F319" t="s">
        <v>13</v>
      </c>
      <c r="G319" s="12" t="s">
        <v>584</v>
      </c>
      <c r="H319" t="s">
        <v>25</v>
      </c>
      <c r="I319" t="s">
        <v>25</v>
      </c>
    </row>
    <row r="320" spans="1:9" ht="45" x14ac:dyDescent="0.25">
      <c r="A320" s="3" t="s">
        <v>7</v>
      </c>
      <c r="B320" t="str">
        <f>HYPERLINK("https://scholarships.uow.edu.au/scholarships/search?scholarship=583", "The Rotary Club of Pambula John Moffatt Memorial Scholarship")</f>
        <v>The Rotary Club of Pambula John Moffatt Memorial Scholarship</v>
      </c>
      <c r="C320" t="s">
        <v>267</v>
      </c>
      <c r="D320" s="10" t="s">
        <v>273</v>
      </c>
      <c r="E320" t="s">
        <v>24</v>
      </c>
      <c r="F320" t="s">
        <v>51</v>
      </c>
      <c r="G320" s="12" t="s">
        <v>585</v>
      </c>
      <c r="H320" t="s">
        <v>25</v>
      </c>
      <c r="I320" t="s">
        <v>25</v>
      </c>
    </row>
    <row r="321" spans="1:9" ht="225" x14ac:dyDescent="0.25">
      <c r="A321" s="3" t="s">
        <v>7</v>
      </c>
      <c r="B321" t="str">
        <f>HYPERLINK("https://scholarships.uow.edu.au/scholarships/search?scholarship=584", "Troy Pocock Meningococcal Scholarship for Medicine")</f>
        <v>Troy Pocock Meningococcal Scholarship for Medicine</v>
      </c>
      <c r="C321" t="s">
        <v>27</v>
      </c>
      <c r="D321" s="12" t="s">
        <v>273</v>
      </c>
      <c r="E321" t="s">
        <v>201</v>
      </c>
      <c r="F321" t="s">
        <v>35</v>
      </c>
      <c r="G321" s="12" t="s">
        <v>586</v>
      </c>
      <c r="H321" t="s">
        <v>25</v>
      </c>
      <c r="I321" t="s">
        <v>25</v>
      </c>
    </row>
    <row r="322" spans="1:9" ht="45" x14ac:dyDescent="0.25">
      <c r="A322" s="3" t="s">
        <v>7</v>
      </c>
      <c r="B322" t="str">
        <f>HYPERLINK("https://scholarships.uow.edu.au/scholarships/search?scholarship=585", "Winifred Smith Scholarship for Excellence in Nursing")</f>
        <v>Winifred Smith Scholarship for Excellence in Nursing</v>
      </c>
      <c r="C322" t="s">
        <v>267</v>
      </c>
      <c r="D322" s="12" t="s">
        <v>298</v>
      </c>
      <c r="E322" t="s">
        <v>205</v>
      </c>
      <c r="F322" t="s">
        <v>13</v>
      </c>
      <c r="G322" s="12" t="s">
        <v>587</v>
      </c>
      <c r="H322" t="s">
        <v>25</v>
      </c>
      <c r="I322" t="s">
        <v>25</v>
      </c>
    </row>
    <row r="323" spans="1:9" ht="30" x14ac:dyDescent="0.25">
      <c r="A323" s="3" t="s">
        <v>7</v>
      </c>
      <c r="B323" t="str">
        <f>HYPERLINK("https://scholarships.uow.edu.au/scholarships/search?scholarship=609", "Bega Cheese Community Scholarship")</f>
        <v>Bega Cheese Community Scholarship</v>
      </c>
      <c r="C323" t="s">
        <v>267</v>
      </c>
      <c r="D323" s="12" t="s">
        <v>309</v>
      </c>
      <c r="E323" t="s">
        <v>201</v>
      </c>
      <c r="F323" t="s">
        <v>13</v>
      </c>
      <c r="G323" s="12" t="s">
        <v>588</v>
      </c>
      <c r="H323" t="s">
        <v>25</v>
      </c>
      <c r="I323" t="s">
        <v>25</v>
      </c>
    </row>
    <row r="324" spans="1:9" ht="45" x14ac:dyDescent="0.25">
      <c r="A324" s="3" t="s">
        <v>7</v>
      </c>
      <c r="B324" t="str">
        <f>HYPERLINK("https://scholarships.uow.edu.au/scholarships/search?scholarship=610", "Bega Lions Club Trevor Prescott Memorial Scholarship")</f>
        <v>Bega Lions Club Trevor Prescott Memorial Scholarship</v>
      </c>
      <c r="C324" t="s">
        <v>267</v>
      </c>
      <c r="D324" s="12" t="s">
        <v>309</v>
      </c>
      <c r="E324" t="s">
        <v>41</v>
      </c>
      <c r="F324" t="s">
        <v>13</v>
      </c>
      <c r="G324" s="12" t="s">
        <v>587</v>
      </c>
      <c r="H324" t="s">
        <v>25</v>
      </c>
      <c r="I324" t="s">
        <v>25</v>
      </c>
    </row>
    <row r="325" spans="1:9" ht="45" x14ac:dyDescent="0.25">
      <c r="A325" s="3" t="s">
        <v>7</v>
      </c>
      <c r="B325" t="str">
        <f>HYPERLINK("https://scholarships.uow.edu.au/scholarships/search?scholarship=611", "Bega RSL Sub Branch Christine Farrow Nursing Scholarship")</f>
        <v>Bega RSL Sub Branch Christine Farrow Nursing Scholarship</v>
      </c>
      <c r="C325" t="s">
        <v>267</v>
      </c>
      <c r="D325" s="12" t="s">
        <v>309</v>
      </c>
      <c r="E325" t="s">
        <v>201</v>
      </c>
      <c r="F325" t="s">
        <v>13</v>
      </c>
      <c r="G325" s="12" t="s">
        <v>587</v>
      </c>
      <c r="H325" t="s">
        <v>25</v>
      </c>
      <c r="I325" t="s">
        <v>25</v>
      </c>
    </row>
    <row r="326" spans="1:9" ht="75" x14ac:dyDescent="0.25">
      <c r="A326" s="3" t="s">
        <v>7</v>
      </c>
      <c r="B326" t="str">
        <f>HYPERLINK("https://scholarships.uow.edu.au/scholarships/search?scholarship=612", "Bendigo Bank's Bruce Hetherington Memorial Community Scholarship")</f>
        <v>Bendigo Bank's Bruce Hetherington Memorial Community Scholarship</v>
      </c>
      <c r="C326" t="s">
        <v>267</v>
      </c>
      <c r="D326" s="12" t="s">
        <v>296</v>
      </c>
      <c r="E326" t="s">
        <v>201</v>
      </c>
      <c r="F326" t="s">
        <v>13</v>
      </c>
      <c r="G326" s="12" t="s">
        <v>589</v>
      </c>
      <c r="H326" t="s">
        <v>25</v>
      </c>
      <c r="I326" t="s">
        <v>25</v>
      </c>
    </row>
    <row r="327" spans="1:9" ht="45" x14ac:dyDescent="0.25">
      <c r="A327" s="3" t="s">
        <v>7</v>
      </c>
      <c r="B327" t="str">
        <f>HYPERLINK("https://scholarships.uow.edu.au/scholarships/search?scholarship=614", "Bomaderry Bowling Club Community Scholarship")</f>
        <v>Bomaderry Bowling Club Community Scholarship</v>
      </c>
      <c r="C327" t="s">
        <v>267</v>
      </c>
      <c r="D327" s="12" t="s">
        <v>303</v>
      </c>
      <c r="E327" t="s">
        <v>269</v>
      </c>
      <c r="F327" t="s">
        <v>13</v>
      </c>
      <c r="G327" s="12" t="s">
        <v>590</v>
      </c>
      <c r="H327" t="s">
        <v>25</v>
      </c>
      <c r="I327" t="s">
        <v>25</v>
      </c>
    </row>
    <row r="328" spans="1:9" ht="45" x14ac:dyDescent="0.25">
      <c r="A328" s="3" t="s">
        <v>7</v>
      </c>
      <c r="B328" t="str">
        <f>HYPERLINK("https://scholarships.uow.edu.au/scholarships/search?scholarship=618", "Collins Nursing Scholarship")</f>
        <v>Collins Nursing Scholarship</v>
      </c>
      <c r="C328" t="s">
        <v>267</v>
      </c>
      <c r="D328" s="12" t="s">
        <v>309</v>
      </c>
      <c r="E328" t="s">
        <v>201</v>
      </c>
      <c r="F328" t="s">
        <v>13</v>
      </c>
      <c r="G328" s="12" t="s">
        <v>587</v>
      </c>
      <c r="H328" t="s">
        <v>25</v>
      </c>
      <c r="I328" t="s">
        <v>25</v>
      </c>
    </row>
    <row r="329" spans="1:9" ht="45" x14ac:dyDescent="0.25">
      <c r="A329" s="3" t="s">
        <v>7</v>
      </c>
      <c r="B329" t="str">
        <f>HYPERLINK("https://scholarships.uow.edu.au/scholarships/search?scholarship=621", "Rotary Club of Bega - Dr Blomfield Memorial Nursing Scholarship")</f>
        <v>Rotary Club of Bega - Dr Blomfield Memorial Nursing Scholarship</v>
      </c>
      <c r="C329" t="s">
        <v>267</v>
      </c>
      <c r="D329" s="12" t="s">
        <v>309</v>
      </c>
      <c r="E329" t="s">
        <v>201</v>
      </c>
      <c r="F329" t="s">
        <v>13</v>
      </c>
      <c r="G329" s="12" t="s">
        <v>587</v>
      </c>
      <c r="H329" t="s">
        <v>25</v>
      </c>
      <c r="I329" t="s">
        <v>25</v>
      </c>
    </row>
    <row r="330" spans="1:9" ht="285" x14ac:dyDescent="0.25">
      <c r="A330" s="3" t="s">
        <v>7</v>
      </c>
      <c r="B330" t="str">
        <f>HYPERLINK("https://scholarships.uow.edu.au/scholarships/search?scholarship=627", "Hazel Holmwood Scholarship for Excellence in Leadership and Quality Teaching")</f>
        <v>Hazel Holmwood Scholarship for Excellence in Leadership and Quality Teaching</v>
      </c>
      <c r="C330" t="s">
        <v>267</v>
      </c>
      <c r="D330" s="12" t="s">
        <v>303</v>
      </c>
      <c r="E330" t="s">
        <v>201</v>
      </c>
      <c r="F330" t="s">
        <v>13</v>
      </c>
      <c r="G330" s="12" t="s">
        <v>591</v>
      </c>
      <c r="H330" t="s">
        <v>25</v>
      </c>
      <c r="I330" t="s">
        <v>25</v>
      </c>
    </row>
    <row r="331" spans="1:9" ht="30" x14ac:dyDescent="0.25">
      <c r="A331" s="3" t="s">
        <v>7</v>
      </c>
      <c r="B331" t="str">
        <f>HYPERLINK("https://scholarships.uow.edu.au/scholarships/search?scholarship=628", "Howard Worner Memorial Scholarship")</f>
        <v>Howard Worner Memorial Scholarship</v>
      </c>
      <c r="C331" t="s">
        <v>267</v>
      </c>
      <c r="D331" s="12" t="s">
        <v>277</v>
      </c>
      <c r="E331" t="s">
        <v>262</v>
      </c>
      <c r="F331" t="s">
        <v>13</v>
      </c>
      <c r="G331" s="12" t="s">
        <v>451</v>
      </c>
      <c r="H331" t="s">
        <v>25</v>
      </c>
      <c r="I331" t="s">
        <v>25</v>
      </c>
    </row>
    <row r="332" spans="1:9" ht="90" x14ac:dyDescent="0.25">
      <c r="A332" s="3" t="s">
        <v>7</v>
      </c>
      <c r="B332" t="str">
        <f>HYPERLINK("https://scholarships.uow.edu.au/scholarships/search?scholarship=630", "Ivan Bandur Master of Teaching Scholarship")</f>
        <v>Ivan Bandur Master of Teaching Scholarship</v>
      </c>
      <c r="C332" t="s">
        <v>267</v>
      </c>
      <c r="D332" s="12" t="s">
        <v>273</v>
      </c>
      <c r="E332" t="s">
        <v>205</v>
      </c>
      <c r="F332" t="s">
        <v>51</v>
      </c>
      <c r="G332" s="12" t="s">
        <v>592</v>
      </c>
      <c r="H332" t="s">
        <v>25</v>
      </c>
      <c r="I332" t="s">
        <v>25</v>
      </c>
    </row>
    <row r="333" spans="1:9" ht="45" x14ac:dyDescent="0.25">
      <c r="A333" s="3" t="s">
        <v>7</v>
      </c>
      <c r="B333" t="str">
        <f>HYPERLINK("https://scholarships.uow.edu.au/scholarships/search?scholarship=581", "Mumbulla Foundation Community Scholarship (Master of Teaching)")</f>
        <v>Mumbulla Foundation Community Scholarship (Master of Teaching)</v>
      </c>
      <c r="C333" t="s">
        <v>267</v>
      </c>
      <c r="D333" s="12" t="s">
        <v>311</v>
      </c>
      <c r="E333" t="s">
        <v>201</v>
      </c>
      <c r="F333" t="s">
        <v>51</v>
      </c>
      <c r="G333" s="12" t="s">
        <v>593</v>
      </c>
      <c r="H333" t="s">
        <v>25</v>
      </c>
      <c r="I333" t="s">
        <v>25</v>
      </c>
    </row>
    <row r="334" spans="1:9" ht="105" x14ac:dyDescent="0.25">
      <c r="A334" s="3" t="s">
        <v>7</v>
      </c>
      <c r="B334" t="str">
        <f>HYPERLINK("https://scholarships.uow.edu.au/scholarships/search?scholarship=2181", "Australian Maritime Safety Authority Excellence in Maritime Policy Postgraduate Scholarship")</f>
        <v>Australian Maritime Safety Authority Excellence in Maritime Policy Postgraduate Scholarship</v>
      </c>
      <c r="C334" t="s">
        <v>594</v>
      </c>
      <c r="D334" s="12" t="s">
        <v>292</v>
      </c>
      <c r="E334" t="s">
        <v>201</v>
      </c>
      <c r="F334" t="s">
        <v>51</v>
      </c>
      <c r="G334" s="12" t="s">
        <v>595</v>
      </c>
      <c r="H334" t="s">
        <v>25</v>
      </c>
      <c r="I334" t="s">
        <v>25</v>
      </c>
    </row>
    <row r="335" spans="1:9" ht="45" x14ac:dyDescent="0.25">
      <c r="A335" s="3" t="s">
        <v>7</v>
      </c>
      <c r="B335" t="str">
        <f>HYPERLINK("https://scholarships.uow.edu.au/scholarships/search?scholarship=2182", "Australian Maritime Safety Authority Excellence in Maritime Studies Postgraduate Scholarship")</f>
        <v>Australian Maritime Safety Authority Excellence in Maritime Studies Postgraduate Scholarship</v>
      </c>
      <c r="C335" t="s">
        <v>594</v>
      </c>
      <c r="D335" s="10" t="s">
        <v>292</v>
      </c>
      <c r="E335" t="s">
        <v>439</v>
      </c>
      <c r="F335" t="s">
        <v>51</v>
      </c>
      <c r="G335" s="12" t="s">
        <v>596</v>
      </c>
      <c r="H335" t="s">
        <v>25</v>
      </c>
      <c r="I335" t="s">
        <v>25</v>
      </c>
    </row>
    <row r="336" spans="1:9" ht="60" x14ac:dyDescent="0.25">
      <c r="A336" s="3" t="s">
        <v>7</v>
      </c>
      <c r="B336" t="str">
        <f>HYPERLINK("https://scholarships.uow.edu.au/scholarships/search?scholarship=1681", "Club Liverpool Community Scholarship")</f>
        <v>Club Liverpool Community Scholarship</v>
      </c>
      <c r="C336" t="s">
        <v>267</v>
      </c>
      <c r="D336" s="12" t="s">
        <v>282</v>
      </c>
      <c r="E336" t="s">
        <v>201</v>
      </c>
      <c r="F336" t="s">
        <v>13</v>
      </c>
      <c r="G336" s="12" t="s">
        <v>537</v>
      </c>
      <c r="H336" t="s">
        <v>25</v>
      </c>
      <c r="I336" t="s">
        <v>25</v>
      </c>
    </row>
    <row r="337" spans="1:9" ht="120" x14ac:dyDescent="0.25">
      <c r="A337" s="3" t="s">
        <v>7</v>
      </c>
      <c r="B337" t="str">
        <f>HYPERLINK("https://scholarships.uow.edu.au/scholarships/search?scholarship=1961", "Graduate School of Medicine Critical Care Scholarship")</f>
        <v>Graduate School of Medicine Critical Care Scholarship</v>
      </c>
      <c r="C337" t="s">
        <v>267</v>
      </c>
      <c r="D337" s="12" t="s">
        <v>311</v>
      </c>
      <c r="E337" t="s">
        <v>201</v>
      </c>
      <c r="F337" t="s">
        <v>51</v>
      </c>
      <c r="G337" s="12" t="s">
        <v>597</v>
      </c>
      <c r="H337" t="s">
        <v>25</v>
      </c>
      <c r="I337" t="s">
        <v>25</v>
      </c>
    </row>
    <row r="338" spans="1:9" ht="90" x14ac:dyDescent="0.25">
      <c r="A338" s="3" t="s">
        <v>7</v>
      </c>
      <c r="B338" t="str">
        <f>HYPERLINK("https://scholarships.uow.edu.au/scholarships/search?scholarship=2161", "Rural and Regional Agricultural Scholarship")</f>
        <v>Rural and Regional Agricultural Scholarship</v>
      </c>
      <c r="C338" t="s">
        <v>267</v>
      </c>
      <c r="D338" s="12" t="s">
        <v>283</v>
      </c>
      <c r="E338" t="s">
        <v>262</v>
      </c>
      <c r="F338" t="s">
        <v>13</v>
      </c>
      <c r="G338" s="12" t="s">
        <v>538</v>
      </c>
      <c r="H338" t="s">
        <v>25</v>
      </c>
      <c r="I338" t="s">
        <v>25</v>
      </c>
    </row>
    <row r="339" spans="1:9" ht="300" x14ac:dyDescent="0.25">
      <c r="A339" s="3" t="s">
        <v>7</v>
      </c>
      <c r="B339" t="str">
        <f>HYPERLINK("https://scholarships.uow.edu.au/scholarships/search?scholarship=1121", "The Movement Disorder Foundation Scholarship")</f>
        <v>The Movement Disorder Foundation Scholarship</v>
      </c>
      <c r="C339" t="s">
        <v>267</v>
      </c>
      <c r="D339" s="12" t="s">
        <v>284</v>
      </c>
      <c r="E339" t="s">
        <v>262</v>
      </c>
      <c r="F339" t="s">
        <v>35</v>
      </c>
      <c r="G339" s="12" t="s">
        <v>598</v>
      </c>
      <c r="H339" t="s">
        <v>25</v>
      </c>
      <c r="I339" t="s">
        <v>25</v>
      </c>
    </row>
    <row r="340" spans="1:9" ht="60" x14ac:dyDescent="0.25">
      <c r="A340" s="3" t="s">
        <v>7</v>
      </c>
      <c r="B340" t="str">
        <f>HYPERLINK("https://scholarships.uow.edu.au/scholarships/search?scholarship=1101", "Zonta Club of Wollongong Community Scholarship")</f>
        <v>Zonta Club of Wollongong Community Scholarship</v>
      </c>
      <c r="C340" t="s">
        <v>267</v>
      </c>
      <c r="D340" s="12" t="s">
        <v>273</v>
      </c>
      <c r="E340" t="s">
        <v>201</v>
      </c>
      <c r="F340" t="s">
        <v>13</v>
      </c>
      <c r="G340" s="12" t="s">
        <v>599</v>
      </c>
      <c r="H340" t="s">
        <v>25</v>
      </c>
      <c r="I340" t="s">
        <v>25</v>
      </c>
    </row>
    <row r="341" spans="1:9" ht="45" x14ac:dyDescent="0.25">
      <c r="A341" s="3" t="s">
        <v>7</v>
      </c>
      <c r="B341" t="str">
        <f>HYPERLINK("https://scholarships.uow.edu.au/scholarships/search?scholarship=1481", "The Do Your Thing Scholarship for Female Developers")</f>
        <v>The Do Your Thing Scholarship for Female Developers</v>
      </c>
      <c r="C341" t="s">
        <v>267</v>
      </c>
      <c r="D341" s="12" t="s">
        <v>273</v>
      </c>
      <c r="E341" t="s">
        <v>201</v>
      </c>
      <c r="F341" t="s">
        <v>13</v>
      </c>
      <c r="G341" s="12" t="s">
        <v>600</v>
      </c>
      <c r="H341" t="s">
        <v>25</v>
      </c>
      <c r="I341" t="s">
        <v>25</v>
      </c>
    </row>
    <row r="342" spans="1:9" ht="105" x14ac:dyDescent="0.25">
      <c r="A342" s="3" t="s">
        <v>7</v>
      </c>
      <c r="B342" t="str">
        <f>HYPERLINK("https://scholarships.uow.edu.au/scholarships/search?scholarship=541", "Emeritus Professor John Hogg Memorial Scholarship")</f>
        <v>Emeritus Professor John Hogg Memorial Scholarship</v>
      </c>
      <c r="C342" t="s">
        <v>267</v>
      </c>
      <c r="D342" s="12" t="s">
        <v>279</v>
      </c>
      <c r="E342" t="s">
        <v>201</v>
      </c>
      <c r="F342" t="s">
        <v>51</v>
      </c>
      <c r="G342" s="12" t="s">
        <v>601</v>
      </c>
      <c r="H342" t="s">
        <v>25</v>
      </c>
      <c r="I342" t="s">
        <v>25</v>
      </c>
    </row>
    <row r="343" spans="1:9" ht="105" x14ac:dyDescent="0.25">
      <c r="A343" s="3" t="s">
        <v>7</v>
      </c>
      <c r="B343" t="str">
        <f>HYPERLINK("https://scholarships.uow.edu.au/scholarships/search?scholarship=3041", "The Acorn Lawyers Scholarship")</f>
        <v>The Acorn Lawyers Scholarship</v>
      </c>
      <c r="C343" t="s">
        <v>267</v>
      </c>
      <c r="D343" s="12" t="s">
        <v>278</v>
      </c>
      <c r="E343" t="s">
        <v>201</v>
      </c>
      <c r="F343" t="s">
        <v>13</v>
      </c>
      <c r="G343" s="12" t="s">
        <v>602</v>
      </c>
      <c r="H343" t="s">
        <v>25</v>
      </c>
      <c r="I343" t="s">
        <v>25</v>
      </c>
    </row>
    <row r="344" spans="1:9" ht="270" x14ac:dyDescent="0.25">
      <c r="A344" s="3" t="s">
        <v>7</v>
      </c>
      <c r="B344" t="str">
        <f>HYPERLINK("https://scholarships.uow.edu.au/scholarships/search?scholarship=623", "Dr SC &amp; SL Loomba Commitment to Medicine Scholarship")</f>
        <v>Dr SC &amp; SL Loomba Commitment to Medicine Scholarship</v>
      </c>
      <c r="C344" t="s">
        <v>267</v>
      </c>
      <c r="D344" s="12" t="s">
        <v>273</v>
      </c>
      <c r="E344" t="s">
        <v>201</v>
      </c>
      <c r="F344" t="s">
        <v>51</v>
      </c>
      <c r="G344" s="12" t="s">
        <v>603</v>
      </c>
      <c r="H344" t="s">
        <v>25</v>
      </c>
      <c r="I344" t="s">
        <v>25</v>
      </c>
    </row>
    <row r="345" spans="1:9" ht="60" x14ac:dyDescent="0.25">
      <c r="A345" s="3" t="s">
        <v>7</v>
      </c>
      <c r="B345" t="str">
        <f>HYPERLINK("https://scholarships.uow.edu.au/scholarships/search?scholarship=3202", "Dylan Alcott Foundation Scholarship")</f>
        <v>Dylan Alcott Foundation Scholarship</v>
      </c>
      <c r="C345" t="s">
        <v>267</v>
      </c>
      <c r="D345" s="12" t="s">
        <v>285</v>
      </c>
      <c r="E345" t="s">
        <v>269</v>
      </c>
      <c r="F345" t="s">
        <v>13</v>
      </c>
      <c r="G345" s="12" t="s">
        <v>604</v>
      </c>
      <c r="H345" t="s">
        <v>25</v>
      </c>
      <c r="I345" t="s">
        <v>25</v>
      </c>
    </row>
    <row r="346" spans="1:9" ht="105" x14ac:dyDescent="0.25">
      <c r="A346" s="3" t="s">
        <v>7</v>
      </c>
      <c r="B346" t="str">
        <f>HYPERLINK("https://scholarships.uow.edu.au/scholarships/search?scholarship=2561", "Motion Asia Pacific Community Scholarship")</f>
        <v>Motion Asia Pacific Community Scholarship</v>
      </c>
      <c r="C346" t="s">
        <v>267</v>
      </c>
      <c r="D346" s="12" t="s">
        <v>278</v>
      </c>
      <c r="E346" t="s">
        <v>262</v>
      </c>
      <c r="F346" t="s">
        <v>13</v>
      </c>
      <c r="G346" s="12" t="s">
        <v>605</v>
      </c>
      <c r="H346" t="s">
        <v>25</v>
      </c>
      <c r="I346" t="s">
        <v>25</v>
      </c>
    </row>
    <row r="347" spans="1:9" ht="135" x14ac:dyDescent="0.25">
      <c r="A347" s="3" t="s">
        <v>7</v>
      </c>
      <c r="B347" t="str">
        <f>HYPERLINK("https://scholarships.uow.edu.au/scholarships/search?scholarship=2601", "Pamela Jane Nye Working Nurse Scholarship")</f>
        <v>Pamela Jane Nye Working Nurse Scholarship</v>
      </c>
      <c r="C347" t="s">
        <v>267</v>
      </c>
      <c r="D347" s="12" t="s">
        <v>312</v>
      </c>
      <c r="E347" t="s">
        <v>201</v>
      </c>
      <c r="F347" t="s">
        <v>51</v>
      </c>
      <c r="G347" s="12" t="s">
        <v>606</v>
      </c>
      <c r="H347" t="s">
        <v>25</v>
      </c>
      <c r="I347" t="s">
        <v>25</v>
      </c>
    </row>
    <row r="348" spans="1:9" ht="45" x14ac:dyDescent="0.25">
      <c r="A348" s="3" t="s">
        <v>7</v>
      </c>
      <c r="B348" t="str">
        <f>HYPERLINK("https://scholarships.uow.edu.au/scholarships/search?scholarship=2341", "Lions Club of Tathra Nursing Scholarship")</f>
        <v>Lions Club of Tathra Nursing Scholarship</v>
      </c>
      <c r="C348" t="s">
        <v>267</v>
      </c>
      <c r="D348" s="12" t="s">
        <v>309</v>
      </c>
      <c r="E348" t="s">
        <v>201</v>
      </c>
      <c r="F348" t="s">
        <v>13</v>
      </c>
      <c r="G348" s="12" t="s">
        <v>607</v>
      </c>
      <c r="H348" t="s">
        <v>25</v>
      </c>
      <c r="I348" t="s">
        <v>25</v>
      </c>
    </row>
    <row r="349" spans="1:9" ht="105" x14ac:dyDescent="0.25">
      <c r="A349" s="3" t="s">
        <v>7</v>
      </c>
      <c r="B349" t="str">
        <f>HYPERLINK("https://scholarships.uow.edu.au/scholarships/search?scholarship=582", "The John Ryan Memorial Scholarship")</f>
        <v>The John Ryan Memorial Scholarship</v>
      </c>
      <c r="C349" t="s">
        <v>267</v>
      </c>
      <c r="D349" s="12" t="s">
        <v>298</v>
      </c>
      <c r="E349" t="s">
        <v>201</v>
      </c>
      <c r="F349" t="s">
        <v>51</v>
      </c>
      <c r="G349" s="12" t="s">
        <v>608</v>
      </c>
      <c r="H349" t="s">
        <v>25</v>
      </c>
      <c r="I349" t="s">
        <v>25</v>
      </c>
    </row>
    <row r="350" spans="1:9" ht="210" x14ac:dyDescent="0.25">
      <c r="A350" s="3" t="s">
        <v>7</v>
      </c>
      <c r="B350" t="str">
        <f>HYPERLINK("https://scholarships.uow.edu.au/scholarships/search?scholarship=2821", "The City of Wollongong RSL Sub-Branch ANZAC Scholarship")</f>
        <v>The City of Wollongong RSL Sub-Branch ANZAC Scholarship</v>
      </c>
      <c r="C350" t="s">
        <v>267</v>
      </c>
      <c r="D350" s="12" t="s">
        <v>278</v>
      </c>
      <c r="E350" t="s">
        <v>269</v>
      </c>
      <c r="F350" t="s">
        <v>13</v>
      </c>
      <c r="G350" s="12" t="s">
        <v>534</v>
      </c>
      <c r="H350" t="s">
        <v>25</v>
      </c>
      <c r="I350" t="s">
        <v>25</v>
      </c>
    </row>
    <row r="351" spans="1:9" ht="150" x14ac:dyDescent="0.25">
      <c r="A351" s="3" t="s">
        <v>7</v>
      </c>
      <c r="B351" t="str">
        <f>HYPERLINK("https://scholarships.uow.edu.au/scholarships/search?scholarship=2401", "Tynan Family Molecular Horizons Honours Scholarship")</f>
        <v>Tynan Family Molecular Horizons Honours Scholarship</v>
      </c>
      <c r="C351" t="s">
        <v>267</v>
      </c>
      <c r="D351" s="12" t="s">
        <v>313</v>
      </c>
      <c r="E351" t="s">
        <v>201</v>
      </c>
      <c r="F351" t="s">
        <v>13</v>
      </c>
      <c r="G351" s="12" t="s">
        <v>609</v>
      </c>
      <c r="H351" t="s">
        <v>25</v>
      </c>
      <c r="I351" t="s">
        <v>25</v>
      </c>
    </row>
    <row r="352" spans="1:9" ht="150" x14ac:dyDescent="0.25">
      <c r="A352" s="3" t="s">
        <v>7</v>
      </c>
      <c r="B352" t="str">
        <f>HYPERLINK("https://scholarships.uow.edu.au/scholarships/search?scholarship=2441", "The Wang Family Scholarship in Civil Engineering")</f>
        <v>The Wang Family Scholarship in Civil Engineering</v>
      </c>
      <c r="C352" t="s">
        <v>267</v>
      </c>
      <c r="D352" s="12" t="s">
        <v>292</v>
      </c>
      <c r="E352" t="s">
        <v>41</v>
      </c>
      <c r="F352" t="s">
        <v>13</v>
      </c>
      <c r="G352" s="12" t="s">
        <v>610</v>
      </c>
      <c r="H352" t="s">
        <v>25</v>
      </c>
      <c r="I352" t="s">
        <v>25</v>
      </c>
    </row>
    <row r="353" spans="1:9" ht="60" x14ac:dyDescent="0.25">
      <c r="A353" s="3" t="s">
        <v>7</v>
      </c>
      <c r="B353" t="str">
        <f>HYPERLINK("https://scholarships.uow.edu.au/scholarships/search?scholarship=2281", "Graduate School of Medicine Phase 4 Clarence Valley Placement Scholarship")</f>
        <v>Graduate School of Medicine Phase 4 Clarence Valley Placement Scholarship</v>
      </c>
      <c r="C353" t="s">
        <v>267</v>
      </c>
      <c r="D353" s="12" t="s">
        <v>294</v>
      </c>
      <c r="E353" t="s">
        <v>201</v>
      </c>
      <c r="F353" t="s">
        <v>51</v>
      </c>
      <c r="G353" s="12" t="s">
        <v>611</v>
      </c>
      <c r="H353" t="s">
        <v>25</v>
      </c>
      <c r="I353" t="s">
        <v>16</v>
      </c>
    </row>
    <row r="354" spans="1:9" ht="45" x14ac:dyDescent="0.25">
      <c r="A354" s="3" t="s">
        <v>7</v>
      </c>
      <c r="B354" t="str">
        <f>HYPERLINK("https://scholarships.uow.edu.au/scholarships/search?scholarship=2644", "The Bega Valley Medical Student Scholarship")</f>
        <v>The Bega Valley Medical Student Scholarship</v>
      </c>
      <c r="C354" t="s">
        <v>267</v>
      </c>
      <c r="D354" s="10" t="s">
        <v>278</v>
      </c>
      <c r="E354" t="s">
        <v>201</v>
      </c>
      <c r="F354" t="s">
        <v>51</v>
      </c>
      <c r="G354" s="12" t="s">
        <v>440</v>
      </c>
      <c r="H354" t="s">
        <v>25</v>
      </c>
      <c r="I354" t="s">
        <v>25</v>
      </c>
    </row>
    <row r="355" spans="1:9" ht="150" x14ac:dyDescent="0.25">
      <c r="A355" s="3" t="s">
        <v>7</v>
      </c>
      <c r="B355" t="str">
        <f>HYPERLINK("https://scholarships.uow.edu.au/scholarships/search?scholarship=3161", "Clarence Valley Orchestra Medical Student Scholarship")</f>
        <v>Clarence Valley Orchestra Medical Student Scholarship</v>
      </c>
      <c r="C355" t="s">
        <v>267</v>
      </c>
      <c r="D355" s="12" t="s">
        <v>278</v>
      </c>
      <c r="E355" t="s">
        <v>201</v>
      </c>
      <c r="F355" t="s">
        <v>51</v>
      </c>
      <c r="G355" s="12" t="s">
        <v>612</v>
      </c>
      <c r="H355" t="s">
        <v>25</v>
      </c>
      <c r="I355" t="s">
        <v>25</v>
      </c>
    </row>
    <row r="356" spans="1:9" ht="409.5" x14ac:dyDescent="0.25">
      <c r="A356" s="3" t="s">
        <v>7</v>
      </c>
      <c r="B356" t="str">
        <f>HYPERLINK("https://scholarships.uow.edu.au/scholarships/search?scholarship=2722", "Illawarra Quota Speech and Hearing Scholarship")</f>
        <v>Illawarra Quota Speech and Hearing Scholarship</v>
      </c>
      <c r="C356" t="s">
        <v>267</v>
      </c>
      <c r="D356" s="12" t="s">
        <v>303</v>
      </c>
      <c r="E356" t="s">
        <v>269</v>
      </c>
      <c r="F356" t="s">
        <v>13</v>
      </c>
      <c r="G356" s="12" t="s">
        <v>613</v>
      </c>
      <c r="H356" t="s">
        <v>25</v>
      </c>
      <c r="I356" t="s">
        <v>25</v>
      </c>
    </row>
    <row r="357" spans="1:9" ht="375" x14ac:dyDescent="0.25">
      <c r="A357" s="3" t="s">
        <v>7</v>
      </c>
      <c r="B357" t="str">
        <f>HYPERLINK("https://scholarships.uow.edu.au/scholarships/search?scholarship=619", "Connie Gamble Community Scholarship")</f>
        <v>Connie Gamble Community Scholarship</v>
      </c>
      <c r="C357" t="s">
        <v>267</v>
      </c>
      <c r="D357" s="12" t="s">
        <v>278</v>
      </c>
      <c r="E357" t="s">
        <v>269</v>
      </c>
      <c r="F357" t="s">
        <v>13</v>
      </c>
      <c r="G357" s="12" t="s">
        <v>314</v>
      </c>
      <c r="H357" t="s">
        <v>25</v>
      </c>
      <c r="I357" t="s">
        <v>25</v>
      </c>
    </row>
    <row r="358" spans="1:9" ht="60" x14ac:dyDescent="0.25">
      <c r="A358" s="3" t="s">
        <v>7</v>
      </c>
      <c r="B358" t="str">
        <f>HYPERLINK("https://scholarships.uow.edu.au/scholarships/search?scholarship=2981", "Risland Community Scholarship in Engineering")</f>
        <v>Risland Community Scholarship in Engineering</v>
      </c>
      <c r="C358" t="s">
        <v>267</v>
      </c>
      <c r="D358" s="12" t="s">
        <v>278</v>
      </c>
      <c r="E358" t="s">
        <v>269</v>
      </c>
      <c r="F358" t="s">
        <v>13</v>
      </c>
      <c r="G358" s="12" t="s">
        <v>614</v>
      </c>
      <c r="H358" t="s">
        <v>25</v>
      </c>
      <c r="I358" t="s">
        <v>25</v>
      </c>
    </row>
    <row r="359" spans="1:9" ht="105" x14ac:dyDescent="0.25">
      <c r="A359" s="3" t="s">
        <v>7</v>
      </c>
      <c r="B359" t="str">
        <f>HYPERLINK("https://scholarships.uow.edu.au/scholarships/search?scholarship=743", "Glencore Corporate Scholarship")</f>
        <v>Glencore Corporate Scholarship</v>
      </c>
      <c r="C359" t="s">
        <v>290</v>
      </c>
      <c r="D359" s="12" t="s">
        <v>292</v>
      </c>
      <c r="E359" t="s">
        <v>41</v>
      </c>
      <c r="F359" t="s">
        <v>13</v>
      </c>
      <c r="G359" s="12" t="s">
        <v>615</v>
      </c>
      <c r="H359" t="s">
        <v>25</v>
      </c>
      <c r="I359" t="s">
        <v>16</v>
      </c>
    </row>
    <row r="360" spans="1:9" ht="165" x14ac:dyDescent="0.25">
      <c r="A360" s="3" t="s">
        <v>7</v>
      </c>
      <c r="B360" t="str">
        <f>HYPERLINK("https://scholarships.uow.edu.au/scholarships/search?scholarship=2201", "South32 David Crawford Scholarship")</f>
        <v>South32 David Crawford Scholarship</v>
      </c>
      <c r="C360" t="s">
        <v>290</v>
      </c>
      <c r="D360" s="12" t="s">
        <v>292</v>
      </c>
      <c r="E360" t="s">
        <v>201</v>
      </c>
      <c r="F360" t="s">
        <v>13</v>
      </c>
      <c r="G360" s="12" t="s">
        <v>616</v>
      </c>
      <c r="H360" t="s">
        <v>25</v>
      </c>
      <c r="I360" t="s">
        <v>25</v>
      </c>
    </row>
    <row r="361" spans="1:9" ht="60" x14ac:dyDescent="0.25">
      <c r="A361" s="3" t="s">
        <v>7</v>
      </c>
      <c r="B361" t="str">
        <f>HYPERLINK("https://scholarships.uow.edu.au/scholarships/search?scholarship=2202", "Yancoal Mining Engineering Scholarship")</f>
        <v>Yancoal Mining Engineering Scholarship</v>
      </c>
      <c r="C361" t="s">
        <v>290</v>
      </c>
      <c r="D361" s="12" t="s">
        <v>292</v>
      </c>
      <c r="E361" t="s">
        <v>205</v>
      </c>
      <c r="F361" t="s">
        <v>13</v>
      </c>
      <c r="G361" s="12" t="s">
        <v>617</v>
      </c>
      <c r="H361" t="s">
        <v>25</v>
      </c>
      <c r="I361" t="s">
        <v>25</v>
      </c>
    </row>
    <row r="362" spans="1:9" ht="45" x14ac:dyDescent="0.25">
      <c r="A362" s="3" t="s">
        <v>7</v>
      </c>
      <c r="B362" t="str">
        <f>HYPERLINK("https://scholarships.uow.edu.au/scholarships/search?scholarship=981", "Mainfreight Group Corporate Scholarship")</f>
        <v>Mainfreight Group Corporate Scholarship</v>
      </c>
      <c r="C362" t="s">
        <v>290</v>
      </c>
      <c r="D362" s="12" t="s">
        <v>315</v>
      </c>
      <c r="E362" t="s">
        <v>201</v>
      </c>
      <c r="F362" t="s">
        <v>13</v>
      </c>
      <c r="G362" s="12" t="s">
        <v>618</v>
      </c>
      <c r="H362" t="s">
        <v>25</v>
      </c>
      <c r="I362" t="s">
        <v>25</v>
      </c>
    </row>
    <row r="363" spans="1:9" ht="60" x14ac:dyDescent="0.25">
      <c r="A363" s="3" t="s">
        <v>7</v>
      </c>
      <c r="B363" t="str">
        <f>HYPERLINK("https://scholarships.uow.edu.au/scholarships/search?scholarship=3062", "Clever Care Now Nursing Corporate Scholarship")</f>
        <v>Clever Care Now Nursing Corporate Scholarship</v>
      </c>
      <c r="C363" t="s">
        <v>290</v>
      </c>
      <c r="D363" s="12" t="s">
        <v>316</v>
      </c>
      <c r="E363" t="s">
        <v>201</v>
      </c>
      <c r="F363" t="s">
        <v>13</v>
      </c>
      <c r="G363" s="12" t="s">
        <v>619</v>
      </c>
      <c r="H363" t="s">
        <v>21</v>
      </c>
      <c r="I363" t="s">
        <v>25</v>
      </c>
    </row>
    <row r="364" spans="1:9" ht="135" x14ac:dyDescent="0.25">
      <c r="A364" s="3" t="s">
        <v>7</v>
      </c>
      <c r="B364" t="str">
        <f>HYPERLINK("https://scholarships.uow.edu.au/scholarships/search?scholarship=2841", "CEA Technologies Corporate Scholarship")</f>
        <v>CEA Technologies Corporate Scholarship</v>
      </c>
      <c r="C364" t="s">
        <v>290</v>
      </c>
      <c r="D364" s="12" t="s">
        <v>316</v>
      </c>
      <c r="E364" t="s">
        <v>201</v>
      </c>
      <c r="F364" t="s">
        <v>13</v>
      </c>
      <c r="G364" s="12" t="s">
        <v>620</v>
      </c>
      <c r="H364" t="s">
        <v>25</v>
      </c>
      <c r="I364" t="s">
        <v>16</v>
      </c>
    </row>
    <row r="365" spans="1:9" ht="45" x14ac:dyDescent="0.25">
      <c r="A365" s="3" t="s">
        <v>7</v>
      </c>
      <c r="B365" t="str">
        <f>HYPERLINK("https://scholarships.uow.edu.au/scholarships/search?scholarship=2721", "Scalapay Next Generation Scholarship")</f>
        <v>Scalapay Next Generation Scholarship</v>
      </c>
      <c r="C365" t="s">
        <v>290</v>
      </c>
      <c r="D365" s="12" t="s">
        <v>292</v>
      </c>
      <c r="E365" t="s">
        <v>201</v>
      </c>
      <c r="F365" t="s">
        <v>13</v>
      </c>
      <c r="G365" s="12" t="s">
        <v>621</v>
      </c>
      <c r="H365" t="s">
        <v>25</v>
      </c>
      <c r="I365" t="s">
        <v>25</v>
      </c>
    </row>
    <row r="366" spans="1:9" ht="45" x14ac:dyDescent="0.25">
      <c r="A366" s="3" t="s">
        <v>7</v>
      </c>
      <c r="B366" t="str">
        <f>HYPERLINK("https://scholarships.uow.edu.au/scholarships/search?scholarship=603", "WMD Law Work Integrated Learning Scholarship")</f>
        <v>WMD Law Work Integrated Learning Scholarship</v>
      </c>
      <c r="C366" t="s">
        <v>317</v>
      </c>
      <c r="D366" s="12" t="s">
        <v>292</v>
      </c>
      <c r="E366" t="s">
        <v>201</v>
      </c>
      <c r="F366" t="s">
        <v>13</v>
      </c>
      <c r="G366" s="12" t="s">
        <v>622</v>
      </c>
      <c r="H366" t="s">
        <v>25</v>
      </c>
      <c r="I366" t="s">
        <v>16</v>
      </c>
    </row>
    <row r="367" spans="1:9" ht="60" x14ac:dyDescent="0.25">
      <c r="A367" s="3" t="s">
        <v>7</v>
      </c>
      <c r="B367" t="str">
        <f>HYPERLINK("https://scholarships.uow.edu.au/scholarships/search?scholarship=604", "Wollongong City Council Work Integrated Learning Scholarship")</f>
        <v>Wollongong City Council Work Integrated Learning Scholarship</v>
      </c>
      <c r="C367" t="s">
        <v>317</v>
      </c>
      <c r="D367" s="12" t="s">
        <v>292</v>
      </c>
      <c r="E367" t="s">
        <v>201</v>
      </c>
      <c r="F367" t="s">
        <v>13</v>
      </c>
      <c r="G367" s="12" t="s">
        <v>623</v>
      </c>
      <c r="H367" t="s">
        <v>25</v>
      </c>
      <c r="I367" t="s">
        <v>16</v>
      </c>
    </row>
    <row r="368" spans="1:9" ht="120" x14ac:dyDescent="0.25">
      <c r="A368" s="3" t="s">
        <v>7</v>
      </c>
      <c r="B368" t="str">
        <f>HYPERLINK("https://scholarships.uow.edu.au/scholarships/search?scholarship=961", "Huon Contractors Civil Engineering Work Integrated Learning Scholarship")</f>
        <v>Huon Contractors Civil Engineering Work Integrated Learning Scholarship</v>
      </c>
      <c r="C368" t="s">
        <v>317</v>
      </c>
      <c r="D368" s="12" t="s">
        <v>318</v>
      </c>
      <c r="E368" t="s">
        <v>205</v>
      </c>
      <c r="F368" t="s">
        <v>13</v>
      </c>
      <c r="G368" s="12" t="s">
        <v>624</v>
      </c>
      <c r="H368" t="s">
        <v>25</v>
      </c>
      <c r="I368" t="s">
        <v>16</v>
      </c>
    </row>
    <row r="369" spans="1:9" ht="60" x14ac:dyDescent="0.25">
      <c r="A369" s="3" t="s">
        <v>7</v>
      </c>
      <c r="B369" t="str">
        <f>HYPERLINK("https://scholarships.uow.edu.au/scholarships/search?scholarship=1521", "Sir William Tyree Engineering Scholarship")</f>
        <v>Sir William Tyree Engineering Scholarship</v>
      </c>
      <c r="C369" t="s">
        <v>317</v>
      </c>
      <c r="D369" s="12" t="s">
        <v>319</v>
      </c>
      <c r="E369" t="s">
        <v>41</v>
      </c>
      <c r="F369" t="s">
        <v>13</v>
      </c>
      <c r="G369" s="12" t="s">
        <v>625</v>
      </c>
      <c r="H369" t="s">
        <v>25</v>
      </c>
      <c r="I369" t="s">
        <v>16</v>
      </c>
    </row>
    <row r="370" spans="1:9" ht="45" x14ac:dyDescent="0.25">
      <c r="A370" s="3" t="s">
        <v>7</v>
      </c>
      <c r="B370" t="str">
        <f>HYPERLINK("https://scholarships.uow.edu.au/scholarships/search?scholarship=2921", "Whale Logistics Work Integrated Learning Scholarship")</f>
        <v>Whale Logistics Work Integrated Learning Scholarship</v>
      </c>
      <c r="C370" t="s">
        <v>317</v>
      </c>
      <c r="D370" s="12" t="s">
        <v>292</v>
      </c>
      <c r="E370" t="s">
        <v>201</v>
      </c>
      <c r="F370" t="s">
        <v>13</v>
      </c>
      <c r="G370" s="12" t="s">
        <v>626</v>
      </c>
      <c r="H370" t="s">
        <v>25</v>
      </c>
      <c r="I370" t="s">
        <v>16</v>
      </c>
    </row>
    <row r="371" spans="1:9" ht="75" x14ac:dyDescent="0.25">
      <c r="A371" s="3" t="s">
        <v>7</v>
      </c>
      <c r="B371" t="str">
        <f>HYPERLINK("https://scholarships.uow.edu.au/scholarships/search?scholarship=2682", "Morrisons Law Work Integrated Learning Scholarship")</f>
        <v>Morrisons Law Work Integrated Learning Scholarship</v>
      </c>
      <c r="C371" t="s">
        <v>317</v>
      </c>
      <c r="D371" s="12" t="s">
        <v>292</v>
      </c>
      <c r="E371" t="s">
        <v>201</v>
      </c>
      <c r="F371" t="s">
        <v>13</v>
      </c>
      <c r="G371" s="12" t="s">
        <v>627</v>
      </c>
      <c r="H371" t="s">
        <v>25</v>
      </c>
      <c r="I371" t="s">
        <v>16</v>
      </c>
    </row>
    <row r="372" spans="1:9" ht="90" x14ac:dyDescent="0.25">
      <c r="A372" s="3" t="s">
        <v>7</v>
      </c>
      <c r="B372" t="str">
        <f>HYPERLINK("https://scholarships.uow.edu.au/scholarships/search?scholarship=3081", "IGS Limited Work Integrated Learning Scholarship in Engineering")</f>
        <v>IGS Limited Work Integrated Learning Scholarship in Engineering</v>
      </c>
      <c r="C372" t="s">
        <v>317</v>
      </c>
      <c r="D372" s="12" t="s">
        <v>275</v>
      </c>
      <c r="E372" t="s">
        <v>201</v>
      </c>
      <c r="F372" t="s">
        <v>13</v>
      </c>
      <c r="G372" s="12" t="s">
        <v>628</v>
      </c>
      <c r="H372" t="s">
        <v>25</v>
      </c>
      <c r="I372" t="s">
        <v>16</v>
      </c>
    </row>
    <row r="373" spans="1:9" ht="90" x14ac:dyDescent="0.25">
      <c r="A373" s="3" t="s">
        <v>7</v>
      </c>
      <c r="B373" t="str">
        <f>HYPERLINK("https://scholarships.uow.edu.au/scholarships/search?scholarship=3082", "SJL Consulting Engineers Work Integrated Learning Scholarship")</f>
        <v>SJL Consulting Engineers Work Integrated Learning Scholarship</v>
      </c>
      <c r="C373" t="s">
        <v>317</v>
      </c>
      <c r="D373" s="12" t="s">
        <v>292</v>
      </c>
      <c r="E373" t="s">
        <v>201</v>
      </c>
      <c r="F373" t="s">
        <v>13</v>
      </c>
      <c r="G373" s="12" t="s">
        <v>629</v>
      </c>
      <c r="H373" t="s">
        <v>25</v>
      </c>
      <c r="I373" t="s">
        <v>16</v>
      </c>
    </row>
    <row r="374" spans="1:9" ht="105" x14ac:dyDescent="0.25">
      <c r="A374" s="3" t="s">
        <v>7</v>
      </c>
      <c r="B374" t="str">
        <f>HYPERLINK("https://scholarships.uow.edu.au/scholarships/search?scholarship=2781", "542 Partners Work Integrated Learning Scholarship in Accounting")</f>
        <v>542 Partners Work Integrated Learning Scholarship in Accounting</v>
      </c>
      <c r="C374" t="s">
        <v>317</v>
      </c>
      <c r="D374" s="12" t="s">
        <v>292</v>
      </c>
      <c r="E374" t="s">
        <v>201</v>
      </c>
      <c r="F374" t="s">
        <v>13</v>
      </c>
      <c r="G374" s="12" t="s">
        <v>630</v>
      </c>
      <c r="H374" t="s">
        <v>25</v>
      </c>
      <c r="I374" t="s">
        <v>16</v>
      </c>
    </row>
    <row r="375" spans="1:9" ht="90" x14ac:dyDescent="0.25">
      <c r="A375" s="3" t="s">
        <v>7</v>
      </c>
      <c r="B375" t="str">
        <f>HYPERLINK("https://scholarships.uow.edu.au/scholarships/search?scholarship=2502", "Motion Asia Pacific Work Integrated Learning Scholarship in Engineering")</f>
        <v>Motion Asia Pacific Work Integrated Learning Scholarship in Engineering</v>
      </c>
      <c r="C375" t="s">
        <v>317</v>
      </c>
      <c r="D375" s="12" t="s">
        <v>319</v>
      </c>
      <c r="E375" t="s">
        <v>201</v>
      </c>
      <c r="F375" t="s">
        <v>13</v>
      </c>
      <c r="G375" s="12" t="s">
        <v>631</v>
      </c>
      <c r="H375" t="s">
        <v>25</v>
      </c>
      <c r="I375" t="s">
        <v>16</v>
      </c>
    </row>
    <row r="376" spans="1:9" ht="210" x14ac:dyDescent="0.25">
      <c r="A376" s="3" t="s">
        <v>7</v>
      </c>
      <c r="B376" t="str">
        <f>HYPERLINK("https://scholarships.uow.edu.au/scholarships/search?scholarship=1001", "Southern Districts Rugby Club Scholarship")</f>
        <v>Southern Districts Rugby Club Scholarship</v>
      </c>
      <c r="C376" t="s">
        <v>320</v>
      </c>
      <c r="D376" s="12" t="s">
        <v>282</v>
      </c>
      <c r="E376" t="s">
        <v>201</v>
      </c>
      <c r="F376" t="s">
        <v>35</v>
      </c>
      <c r="G376" s="12" t="s">
        <v>632</v>
      </c>
      <c r="H376" t="s">
        <v>25</v>
      </c>
      <c r="I376" t="s">
        <v>25</v>
      </c>
    </row>
    <row r="377" spans="1:9" ht="180" x14ac:dyDescent="0.25">
      <c r="A377" s="3" t="s">
        <v>7</v>
      </c>
      <c r="B377" t="str">
        <f>HYPERLINK("https://scholarships.uow.edu.au/scholarships/search?scholarship=281", "Col Purcell Illawarra Rugby League Centenary Scholarship")</f>
        <v>Col Purcell Illawarra Rugby League Centenary Scholarship</v>
      </c>
      <c r="C377" t="s">
        <v>320</v>
      </c>
      <c r="D377" s="12" t="s">
        <v>321</v>
      </c>
      <c r="E377" t="s">
        <v>201</v>
      </c>
      <c r="F377" t="s">
        <v>13</v>
      </c>
      <c r="G377" s="12" t="s">
        <v>633</v>
      </c>
      <c r="H377" t="s">
        <v>25</v>
      </c>
      <c r="I377" t="s">
        <v>25</v>
      </c>
    </row>
    <row r="378" spans="1:9" ht="180" x14ac:dyDescent="0.25">
      <c r="A378" s="3" t="s">
        <v>7</v>
      </c>
      <c r="B378" t="str">
        <f>HYPERLINK("https://scholarships.uow.edu.au/scholarships/search?scholarship=3101", "McLoughlin Minerva Scholarship for Sportswomen")</f>
        <v>McLoughlin Minerva Scholarship for Sportswomen</v>
      </c>
      <c r="C378" t="s">
        <v>267</v>
      </c>
      <c r="D378" s="12" t="s">
        <v>291</v>
      </c>
      <c r="E378" t="s">
        <v>269</v>
      </c>
      <c r="F378" t="s">
        <v>13</v>
      </c>
      <c r="G378" s="12" t="s">
        <v>634</v>
      </c>
      <c r="H378" t="s">
        <v>25</v>
      </c>
      <c r="I378" t="s">
        <v>25</v>
      </c>
    </row>
    <row r="379" spans="1:9" ht="75" x14ac:dyDescent="0.25">
      <c r="A379" s="13" t="s">
        <v>10</v>
      </c>
      <c r="B379" t="str">
        <f>HYPERLINK("https://www.scholarships.unsw.edu.au/scholarships/id/1757/6557", "John Lions Computer Science Honours Award")</f>
        <v>John Lions Computer Science Honours Award</v>
      </c>
      <c r="C379" t="s">
        <v>27</v>
      </c>
      <c r="D379" t="s">
        <v>248</v>
      </c>
      <c r="E379" t="s">
        <v>201</v>
      </c>
      <c r="F379" t="s">
        <v>13</v>
      </c>
      <c r="G379" s="12" t="s">
        <v>635</v>
      </c>
      <c r="H379" t="s">
        <v>25</v>
      </c>
      <c r="I379" t="s">
        <v>25</v>
      </c>
    </row>
    <row r="380" spans="1:9" ht="45" x14ac:dyDescent="0.25">
      <c r="A380" s="13" t="s">
        <v>10</v>
      </c>
      <c r="B380" t="str">
        <f>HYPERLINK("https://www.scholarships.unsw.edu.au/scholarships/id/981/6540", "NSWMC Newcastle Mining Engineering Transfer Program")</f>
        <v>NSWMC Newcastle Mining Engineering Transfer Program</v>
      </c>
      <c r="C380" t="s">
        <v>27</v>
      </c>
      <c r="D380" t="s">
        <v>248</v>
      </c>
      <c r="E380" t="s">
        <v>41</v>
      </c>
      <c r="F380" t="s">
        <v>13</v>
      </c>
      <c r="G380" s="12" t="s">
        <v>636</v>
      </c>
      <c r="H380" t="s">
        <v>25</v>
      </c>
      <c r="I380" t="s">
        <v>25</v>
      </c>
    </row>
    <row r="381" spans="1:9" ht="90" x14ac:dyDescent="0.25">
      <c r="A381" s="13" t="s">
        <v>10</v>
      </c>
      <c r="B381" t="str">
        <f>HYPERLINK("https://www.scholarships.unsw.edu.au/scholarships/id/537/6535", "Andrew Thyne Reid Scholarship")</f>
        <v>Andrew Thyne Reid Scholarship</v>
      </c>
      <c r="C381" t="s">
        <v>27</v>
      </c>
      <c r="D381" t="s">
        <v>322</v>
      </c>
      <c r="E381" t="s">
        <v>41</v>
      </c>
      <c r="F381" t="s">
        <v>51</v>
      </c>
      <c r="G381" s="12" t="s">
        <v>637</v>
      </c>
      <c r="H381" t="s">
        <v>25</v>
      </c>
      <c r="I381" t="s">
        <v>25</v>
      </c>
    </row>
    <row r="382" spans="1:9" ht="75" x14ac:dyDescent="0.25">
      <c r="A382" s="13" t="s">
        <v>10</v>
      </c>
      <c r="B382" t="str">
        <f>HYPERLINK("https://www.scholarships.unsw.edu.au/scholarships/id/1005/6542", "UNSW Law Postgraduate Coursework Academic Excellence Scholarship")</f>
        <v>UNSW Law Postgraduate Coursework Academic Excellence Scholarship</v>
      </c>
      <c r="C382" t="s">
        <v>27</v>
      </c>
      <c r="D382" t="s">
        <v>202</v>
      </c>
      <c r="E382" t="s">
        <v>201</v>
      </c>
      <c r="F382" t="s">
        <v>51</v>
      </c>
      <c r="G382" s="12" t="s">
        <v>638</v>
      </c>
      <c r="H382" t="s">
        <v>25</v>
      </c>
      <c r="I382" t="s">
        <v>25</v>
      </c>
    </row>
    <row r="383" spans="1:9" x14ac:dyDescent="0.25">
      <c r="A383" s="13" t="s">
        <v>10</v>
      </c>
      <c r="B383" t="str">
        <f>HYPERLINK("https://www.scholarships.unsw.edu.au/scholarships/id/701/6533", "The Faculty of Law Juris Doctor Scholarship for Academic Excellence")</f>
        <v>The Faculty of Law Juris Doctor Scholarship for Academic Excellence</v>
      </c>
      <c r="C383" t="s">
        <v>27</v>
      </c>
      <c r="D383" t="s">
        <v>234</v>
      </c>
      <c r="E383" t="s">
        <v>41</v>
      </c>
      <c r="F383" t="s">
        <v>51</v>
      </c>
      <c r="G383" s="12" t="s">
        <v>639</v>
      </c>
      <c r="H383" t="s">
        <v>25</v>
      </c>
      <c r="I383" t="s">
        <v>25</v>
      </c>
    </row>
    <row r="384" spans="1:9" ht="30" x14ac:dyDescent="0.25">
      <c r="A384" s="13" t="s">
        <v>10</v>
      </c>
      <c r="B384" t="str">
        <f>HYPERLINK("https://www.scholarships.unsw.edu.au/scholarships/id/1839/6561", "Commissioner Hoffman Scholarship")</f>
        <v>Commissioner Hoffman Scholarship</v>
      </c>
      <c r="C384" t="s">
        <v>27</v>
      </c>
      <c r="D384" t="s">
        <v>208</v>
      </c>
      <c r="E384" t="s">
        <v>41</v>
      </c>
      <c r="F384" t="s">
        <v>51</v>
      </c>
      <c r="G384" s="12" t="s">
        <v>640</v>
      </c>
      <c r="H384" t="s">
        <v>25</v>
      </c>
      <c r="I384" t="s">
        <v>25</v>
      </c>
    </row>
    <row r="385" spans="1:9" ht="30" x14ac:dyDescent="0.25">
      <c r="A385" s="13" t="s">
        <v>10</v>
      </c>
      <c r="B385" t="str">
        <f>HYPERLINK("https://www.scholarships.unsw.edu.au/scholarships/id/906/6534", "John Haskell Scholarship")</f>
        <v>John Haskell Scholarship</v>
      </c>
      <c r="C385" t="s">
        <v>27</v>
      </c>
      <c r="D385" t="s">
        <v>208</v>
      </c>
      <c r="E385" t="s">
        <v>41</v>
      </c>
      <c r="F385" t="s">
        <v>51</v>
      </c>
      <c r="G385" s="12" t="s">
        <v>641</v>
      </c>
      <c r="H385" t="s">
        <v>25</v>
      </c>
      <c r="I385" t="s">
        <v>25</v>
      </c>
    </row>
    <row r="386" spans="1:9" ht="409.5" x14ac:dyDescent="0.25">
      <c r="A386" s="13" t="s">
        <v>10</v>
      </c>
      <c r="B386" s="14" t="str">
        <f>HYPERLINK("https://www.scholarships.unsw.edu.au/scholarships/id/1583/6523", "Sanctuary Scholarship for People Seeking Asylum and Refugees with Temporary Protection")</f>
        <v>Sanctuary Scholarship for People Seeking Asylum and Refugees with Temporary Protection</v>
      </c>
      <c r="C386" t="s">
        <v>148</v>
      </c>
      <c r="D386" t="s">
        <v>208</v>
      </c>
      <c r="E386" t="s">
        <v>41</v>
      </c>
      <c r="F386" t="s">
        <v>13</v>
      </c>
      <c r="G386" s="12" t="s">
        <v>323</v>
      </c>
      <c r="H386" t="s">
        <v>25</v>
      </c>
      <c r="I386" t="s">
        <v>25</v>
      </c>
    </row>
    <row r="387" spans="1:9" ht="409.5" x14ac:dyDescent="0.25">
      <c r="A387" s="13" t="s">
        <v>10</v>
      </c>
      <c r="B387" t="str">
        <f>HYPERLINK("https://www.scholarships.unsw.edu.au/scholarships/id/1582/6524", "Welcome Scholarship for Students from Refugee Backgrounds")</f>
        <v>Welcome Scholarship for Students from Refugee Backgrounds</v>
      </c>
      <c r="C387" t="s">
        <v>148</v>
      </c>
      <c r="D387" t="s">
        <v>202</v>
      </c>
      <c r="E387" t="s">
        <v>41</v>
      </c>
      <c r="F387" t="s">
        <v>13</v>
      </c>
      <c r="G387" s="12" t="s">
        <v>324</v>
      </c>
      <c r="H387" t="s">
        <v>25</v>
      </c>
      <c r="I387" t="s">
        <v>25</v>
      </c>
    </row>
    <row r="388" spans="1:9" ht="210" x14ac:dyDescent="0.25">
      <c r="A388" s="13" t="s">
        <v>10</v>
      </c>
      <c r="B388" t="str">
        <f>HYPERLINK("https://www.scholarships.unsw.edu.au/scholarships/id/1817/6403", "UNSW Sport Scholarships Term 1, 2025")</f>
        <v>UNSW Sport Scholarships Term 1, 2025</v>
      </c>
      <c r="C388" t="s">
        <v>320</v>
      </c>
      <c r="D388" t="s">
        <v>208</v>
      </c>
      <c r="E388" t="s">
        <v>201</v>
      </c>
      <c r="F388" t="s">
        <v>35</v>
      </c>
      <c r="G388" s="12" t="s">
        <v>642</v>
      </c>
      <c r="H388" t="s">
        <v>25</v>
      </c>
      <c r="I388" t="s">
        <v>25</v>
      </c>
    </row>
    <row r="389" spans="1:9" ht="75" x14ac:dyDescent="0.25">
      <c r="A389" s="13" t="s">
        <v>10</v>
      </c>
      <c r="B389" t="str">
        <f>HYPERLINK("https://www.scholarships.unsw.edu.au/scholarships/id/1328/6409", "UNSW Veterans Scholarship")</f>
        <v>UNSW Veterans Scholarship</v>
      </c>
      <c r="C389" t="s">
        <v>14</v>
      </c>
      <c r="D389" t="s">
        <v>208</v>
      </c>
      <c r="E389" t="s">
        <v>41</v>
      </c>
      <c r="F389" t="s">
        <v>35</v>
      </c>
      <c r="G389" s="12" t="s">
        <v>643</v>
      </c>
      <c r="H389" t="s">
        <v>25</v>
      </c>
      <c r="I389" t="s">
        <v>25</v>
      </c>
    </row>
    <row r="390" spans="1:9" ht="135" x14ac:dyDescent="0.25">
      <c r="A390" s="13" t="s">
        <v>10</v>
      </c>
      <c r="B390" t="str">
        <f>HYPERLINK("https://www.scholarships.unsw.edu.au/scholarships/id/1820/6428", "Mike Brungs Scholarship for Women in Chemical Engineering")</f>
        <v>Mike Brungs Scholarship for Women in Chemical Engineering</v>
      </c>
      <c r="C390" t="s">
        <v>14</v>
      </c>
      <c r="D390" t="s">
        <v>202</v>
      </c>
      <c r="E390" t="s">
        <v>41</v>
      </c>
      <c r="F390" t="s">
        <v>13</v>
      </c>
      <c r="G390" s="12" t="s">
        <v>644</v>
      </c>
      <c r="H390" t="s">
        <v>25</v>
      </c>
      <c r="I390" t="s">
        <v>25</v>
      </c>
    </row>
    <row r="391" spans="1:9" ht="30" x14ac:dyDescent="0.25">
      <c r="A391" s="13" t="s">
        <v>10</v>
      </c>
      <c r="B391" t="str">
        <f>HYPERLINK("https://www.scholarships.unsw.edu.au/scholarships/id/102/6399", "Scientia Scholarship")</f>
        <v>Scientia Scholarship</v>
      </c>
      <c r="C391" t="s">
        <v>14</v>
      </c>
      <c r="D391" t="s">
        <v>202</v>
      </c>
      <c r="E391" t="s">
        <v>41</v>
      </c>
      <c r="F391" t="s">
        <v>13</v>
      </c>
      <c r="G391" s="12" t="s">
        <v>645</v>
      </c>
      <c r="H391" t="s">
        <v>25</v>
      </c>
      <c r="I391" t="s">
        <v>25</v>
      </c>
    </row>
    <row r="392" spans="1:9" ht="30" x14ac:dyDescent="0.25">
      <c r="A392" s="13" t="s">
        <v>10</v>
      </c>
      <c r="B392" t="str">
        <f>HYPERLINK("https://www.scholarships.unsw.edu.au/scholarships/id/1/6398", "Academic Achievement Award (AAA)")</f>
        <v>Academic Achievement Award (AAA)</v>
      </c>
      <c r="C392" t="s">
        <v>14</v>
      </c>
      <c r="D392" t="s">
        <v>208</v>
      </c>
      <c r="E392" t="s">
        <v>201</v>
      </c>
      <c r="F392" t="s">
        <v>13</v>
      </c>
      <c r="G392" s="12" t="s">
        <v>645</v>
      </c>
      <c r="H392" t="s">
        <v>25</v>
      </c>
      <c r="I392" t="s">
        <v>25</v>
      </c>
    </row>
    <row r="393" spans="1:9" ht="195" x14ac:dyDescent="0.25">
      <c r="A393" s="13" t="s">
        <v>10</v>
      </c>
      <c r="B393" t="str">
        <f>HYPERLINK("https://www.scholarships.unsw.edu.au/scholarships/id/1824/6563", "UNSW Cyber Security Award")</f>
        <v>UNSW Cyber Security Award</v>
      </c>
      <c r="C393" t="s">
        <v>14</v>
      </c>
      <c r="D393" t="s">
        <v>208</v>
      </c>
      <c r="E393" t="s">
        <v>201</v>
      </c>
      <c r="F393" t="s">
        <v>13</v>
      </c>
      <c r="G393" s="12" t="s">
        <v>646</v>
      </c>
      <c r="H393" t="s">
        <v>21</v>
      </c>
      <c r="I393" t="s">
        <v>25</v>
      </c>
    </row>
    <row r="394" spans="1:9" ht="90" x14ac:dyDescent="0.25">
      <c r="A394" s="13" t="s">
        <v>10</v>
      </c>
      <c r="B394" t="str">
        <f>HYPERLINK("https://www.scholarships.unsw.edu.au/scholarships/id/1462/6402", "Daniel and Helen Gauchat Port Macquarie Award for Rural Medical Students")</f>
        <v>Daniel and Helen Gauchat Port Macquarie Award for Rural Medical Students</v>
      </c>
      <c r="C394" t="s">
        <v>14</v>
      </c>
      <c r="D394" t="s">
        <v>208</v>
      </c>
      <c r="E394" t="s">
        <v>201</v>
      </c>
      <c r="F394" t="s">
        <v>13</v>
      </c>
      <c r="G394" s="12" t="s">
        <v>647</v>
      </c>
      <c r="H394" t="s">
        <v>25</v>
      </c>
      <c r="I394" t="s">
        <v>25</v>
      </c>
    </row>
    <row r="395" spans="1:9" x14ac:dyDescent="0.25">
      <c r="A395" s="13" t="s">
        <v>10</v>
      </c>
      <c r="B395" t="str">
        <f>HYPERLINK("https://www.scholarships.unsw.edu.au/scholarships/id/1656", "David Nunan Rural Residential Scholarship")</f>
        <v>David Nunan Rural Residential Scholarship</v>
      </c>
      <c r="C395" t="s">
        <v>27</v>
      </c>
      <c r="D395" t="s">
        <v>204</v>
      </c>
      <c r="E395" t="s">
        <v>262</v>
      </c>
      <c r="F395" t="s">
        <v>13</v>
      </c>
      <c r="G395" s="12" t="s">
        <v>648</v>
      </c>
      <c r="H395" t="s">
        <v>25</v>
      </c>
      <c r="I395" t="s">
        <v>25</v>
      </c>
    </row>
    <row r="396" spans="1:9" x14ac:dyDescent="0.25">
      <c r="A396" s="13" t="s">
        <v>10</v>
      </c>
      <c r="B396" t="str">
        <f>HYPERLINK("https://www.scholarships.unsw.edu.au/scholarships/id/1223", "Vanessa Hardman Memorial Endowed Scholarship")</f>
        <v>Vanessa Hardman Memorial Endowed Scholarship</v>
      </c>
      <c r="C396" t="s">
        <v>27</v>
      </c>
      <c r="D396" t="s">
        <v>325</v>
      </c>
      <c r="E396" t="s">
        <v>41</v>
      </c>
      <c r="F396" t="s">
        <v>13</v>
      </c>
      <c r="G396" s="12" t="s">
        <v>649</v>
      </c>
      <c r="H396" t="s">
        <v>25</v>
      </c>
      <c r="I396" t="s">
        <v>25</v>
      </c>
    </row>
    <row r="397" spans="1:9" ht="60" x14ac:dyDescent="0.25">
      <c r="A397" s="13" t="s">
        <v>10</v>
      </c>
      <c r="B397" t="str">
        <f>HYPERLINK("https://www.scholarships.unsw.edu.au/scholarships/id/158", "David Garlick Memorial Scholarship")</f>
        <v>David Garlick Memorial Scholarship</v>
      </c>
      <c r="C397" t="s">
        <v>27</v>
      </c>
      <c r="D397" t="s">
        <v>208</v>
      </c>
      <c r="E397" t="s">
        <v>41</v>
      </c>
      <c r="F397" t="s">
        <v>35</v>
      </c>
      <c r="G397" s="12" t="s">
        <v>678</v>
      </c>
      <c r="H397" t="s">
        <v>25</v>
      </c>
      <c r="I397" t="s">
        <v>25</v>
      </c>
    </row>
    <row r="398" spans="1:9" ht="90" x14ac:dyDescent="0.25">
      <c r="A398" s="13" t="s">
        <v>10</v>
      </c>
      <c r="B398" t="str">
        <f>HYPERLINK("https://www.scholarships.unsw.edu.au/scholarships/id/1259", "Roberts Co Women in Built Environment Scholarship")</f>
        <v>Roberts Co Women in Built Environment Scholarship</v>
      </c>
      <c r="C398" t="s">
        <v>27</v>
      </c>
      <c r="D398" t="s">
        <v>208</v>
      </c>
      <c r="E398" t="s">
        <v>41</v>
      </c>
      <c r="F398" t="s">
        <v>13</v>
      </c>
      <c r="G398" s="12" t="s">
        <v>650</v>
      </c>
      <c r="H398" t="s">
        <v>25</v>
      </c>
      <c r="I398" t="s">
        <v>25</v>
      </c>
    </row>
    <row r="399" spans="1:9" ht="30" x14ac:dyDescent="0.25">
      <c r="A399" s="13" t="s">
        <v>10</v>
      </c>
      <c r="B399" t="str">
        <f>HYPERLINK("https://www.scholarships.unsw.edu.au/scholarships/id/1408", "Berk Family Scholarship")</f>
        <v>Berk Family Scholarship</v>
      </c>
      <c r="C399" t="s">
        <v>27</v>
      </c>
      <c r="D399" t="s">
        <v>208</v>
      </c>
      <c r="E399" t="s">
        <v>41</v>
      </c>
      <c r="F399" t="s">
        <v>51</v>
      </c>
      <c r="G399" s="12" t="s">
        <v>414</v>
      </c>
      <c r="H399" t="s">
        <v>25</v>
      </c>
      <c r="I399" t="s">
        <v>25</v>
      </c>
    </row>
    <row r="400" spans="1:9" ht="90" x14ac:dyDescent="0.25">
      <c r="A400" s="13" t="s">
        <v>10</v>
      </c>
      <c r="B400" t="str">
        <f>HYPERLINK("https://www.scholarships.unsw.edu.au/scholarships/id/1530", "Tertiary Access Payment (TAP) Program")</f>
        <v>Tertiary Access Payment (TAP) Program</v>
      </c>
      <c r="C400" t="s">
        <v>14</v>
      </c>
      <c r="D400" s="7" t="s">
        <v>441</v>
      </c>
      <c r="E400" t="s">
        <v>201</v>
      </c>
      <c r="F400" t="s">
        <v>68</v>
      </c>
      <c r="G400" s="12" t="s">
        <v>442</v>
      </c>
      <c r="H400" t="s">
        <v>25</v>
      </c>
      <c r="I400" t="s">
        <v>25</v>
      </c>
    </row>
    <row r="401" spans="1:9" ht="60" x14ac:dyDescent="0.25">
      <c r="A401" s="13" t="s">
        <v>10</v>
      </c>
      <c r="B401" t="str">
        <f>HYPERLINK("https://www.scholarships.unsw.edu.au/scholarships/id/555", "AGSM Alumni Community Leader Scholarship")</f>
        <v>AGSM Alumni Community Leader Scholarship</v>
      </c>
      <c r="C401" t="s">
        <v>27</v>
      </c>
      <c r="D401" t="s">
        <v>326</v>
      </c>
      <c r="E401" t="s">
        <v>41</v>
      </c>
      <c r="F401" t="s">
        <v>51</v>
      </c>
      <c r="G401" s="12" t="s">
        <v>651</v>
      </c>
      <c r="H401" t="s">
        <v>25</v>
      </c>
      <c r="I401" t="s">
        <v>25</v>
      </c>
    </row>
    <row r="402" spans="1:9" ht="60" x14ac:dyDescent="0.25">
      <c r="A402" s="13" t="s">
        <v>10</v>
      </c>
      <c r="B402" t="str">
        <f>HYPERLINK("https://www.scholarships.unsw.edu.au/scholarships/id/1674", "UNSW Sydney Swans AFLW/ Academy Award (T1, 2024)")</f>
        <v>UNSW Sydney Swans AFLW/ Academy Award (T1, 2024)</v>
      </c>
      <c r="C402" t="s">
        <v>320</v>
      </c>
      <c r="D402" t="s">
        <v>202</v>
      </c>
      <c r="E402" t="s">
        <v>201</v>
      </c>
      <c r="F402" t="s">
        <v>35</v>
      </c>
      <c r="G402" s="12" t="s">
        <v>652</v>
      </c>
      <c r="H402" t="s">
        <v>25</v>
      </c>
      <c r="I402" t="s">
        <v>25</v>
      </c>
    </row>
    <row r="403" spans="1:9" ht="45" x14ac:dyDescent="0.25">
      <c r="A403" s="13" t="s">
        <v>10</v>
      </c>
      <c r="B403" t="str">
        <f>HYPERLINK("https://www.scholarships.unsw.edu.au/scholarships/id/850", "Late Stephen Robjohns Science Scholarship")</f>
        <v>Late Stephen Robjohns Science Scholarship</v>
      </c>
      <c r="C403" t="s">
        <v>27</v>
      </c>
      <c r="D403" t="s">
        <v>327</v>
      </c>
      <c r="E403" t="s">
        <v>262</v>
      </c>
      <c r="F403" t="s">
        <v>13</v>
      </c>
      <c r="G403" s="12" t="s">
        <v>415</v>
      </c>
      <c r="H403" t="s">
        <v>25</v>
      </c>
      <c r="I403" t="s">
        <v>25</v>
      </c>
    </row>
    <row r="404" spans="1:9" ht="60" x14ac:dyDescent="0.25">
      <c r="A404" s="13" t="s">
        <v>10</v>
      </c>
      <c r="B404" t="str">
        <f>HYPERLINK("https://www.scholarships.unsw.edu.au/scholarships/id/1792", "Moses Honours Year Scholarship")</f>
        <v>Moses Honours Year Scholarship</v>
      </c>
      <c r="C404" t="s">
        <v>27</v>
      </c>
      <c r="D404" t="s">
        <v>202</v>
      </c>
      <c r="E404" t="s">
        <v>201</v>
      </c>
      <c r="F404" t="s">
        <v>137</v>
      </c>
      <c r="G404" s="12" t="s">
        <v>416</v>
      </c>
      <c r="H404" t="s">
        <v>25</v>
      </c>
      <c r="I404" t="s">
        <v>25</v>
      </c>
    </row>
    <row r="405" spans="1:9" ht="45" x14ac:dyDescent="0.25">
      <c r="A405" s="13" t="s">
        <v>10</v>
      </c>
      <c r="B405" t="str">
        <f>HYPERLINK("https://www.scholarships.unsw.edu.au/scholarships/id/1788", "Pinnacle Investment Management Women in Finance Scholarship")</f>
        <v>Pinnacle Investment Management Women in Finance Scholarship</v>
      </c>
      <c r="C405" t="s">
        <v>27</v>
      </c>
      <c r="D405" t="s">
        <v>202</v>
      </c>
      <c r="E405" t="s">
        <v>201</v>
      </c>
      <c r="F405" t="s">
        <v>13</v>
      </c>
      <c r="G405" s="12" t="s">
        <v>653</v>
      </c>
      <c r="H405" t="s">
        <v>25</v>
      </c>
      <c r="I405" t="s">
        <v>25</v>
      </c>
    </row>
    <row r="406" spans="1:9" ht="180" x14ac:dyDescent="0.25">
      <c r="A406" s="13" t="s">
        <v>10</v>
      </c>
      <c r="B406" t="str">
        <f>HYPERLINK("https://www.scholarships.unsw.edu.au/scholarships/id/871", "CEPAR Honours Scholarship")</f>
        <v>CEPAR Honours Scholarship</v>
      </c>
      <c r="C406" t="s">
        <v>27</v>
      </c>
      <c r="D406" t="s">
        <v>208</v>
      </c>
      <c r="E406" t="s">
        <v>201</v>
      </c>
      <c r="F406" t="s">
        <v>137</v>
      </c>
      <c r="G406" s="12" t="s">
        <v>654</v>
      </c>
      <c r="H406" t="s">
        <v>25</v>
      </c>
      <c r="I406" t="s">
        <v>25</v>
      </c>
    </row>
    <row r="407" spans="1:9" ht="75" x14ac:dyDescent="0.25">
      <c r="A407" s="13" t="s">
        <v>10</v>
      </c>
      <c r="B407" t="str">
        <f>HYPERLINK("https://www.scholarships.unsw.edu.au/scholarships/id/1762", "Faculty of Engineering Honours Scholarships")</f>
        <v>Faculty of Engineering Honours Scholarships</v>
      </c>
      <c r="C407" t="s">
        <v>27</v>
      </c>
      <c r="D407" s="12" t="s">
        <v>677</v>
      </c>
      <c r="E407" t="s">
        <v>201</v>
      </c>
      <c r="F407" t="s">
        <v>197</v>
      </c>
      <c r="G407" s="12" t="s">
        <v>661</v>
      </c>
      <c r="H407" t="s">
        <v>25</v>
      </c>
      <c r="I407" t="s">
        <v>25</v>
      </c>
    </row>
    <row r="408" spans="1:9" ht="75" x14ac:dyDescent="0.25">
      <c r="A408" s="13" t="s">
        <v>10</v>
      </c>
      <c r="B408" t="str">
        <f>HYPERLINK("https://www.scholarships.unsw.edu.au/scholarships/id/1764", "UNSW Faculty of Medicine Honours Scholarships 2024")</f>
        <v>UNSW Faculty of Medicine Honours Scholarships 2024</v>
      </c>
      <c r="C408" t="s">
        <v>27</v>
      </c>
      <c r="D408" s="12" t="s">
        <v>676</v>
      </c>
      <c r="E408" t="s">
        <v>201</v>
      </c>
      <c r="F408" t="s">
        <v>197</v>
      </c>
      <c r="G408" s="12" t="s">
        <v>661</v>
      </c>
      <c r="H408" t="s">
        <v>25</v>
      </c>
      <c r="I408" t="s">
        <v>25</v>
      </c>
    </row>
    <row r="409" spans="1:9" ht="75" x14ac:dyDescent="0.25">
      <c r="A409" s="13" t="s">
        <v>10</v>
      </c>
      <c r="B409" t="str">
        <f>HYPERLINK("https://www.scholarships.unsw.edu.au/scholarships/id/1795", "UNSW Women Electrical Engineering Scholarships")</f>
        <v>UNSW Women Electrical Engineering Scholarships</v>
      </c>
      <c r="C409" t="s">
        <v>27</v>
      </c>
      <c r="D409" s="12" t="s">
        <v>675</v>
      </c>
      <c r="E409" t="s">
        <v>262</v>
      </c>
      <c r="F409" t="s">
        <v>197</v>
      </c>
      <c r="G409" s="12" t="s">
        <v>666</v>
      </c>
      <c r="H409" t="s">
        <v>25</v>
      </c>
      <c r="I409" t="s">
        <v>25</v>
      </c>
    </row>
    <row r="410" spans="1:9" ht="60" x14ac:dyDescent="0.25">
      <c r="A410" s="13" t="s">
        <v>10</v>
      </c>
      <c r="B410" t="str">
        <f>HYPERLINK("https://www.scholarships.unsw.edu.au/scholarships/id/1161", "AFGW NSW Joan Bielski AO Memorial Scholarship")</f>
        <v>AFGW NSW Joan Bielski AO Memorial Scholarship</v>
      </c>
      <c r="C410" t="s">
        <v>14</v>
      </c>
      <c r="D410" s="9" t="s">
        <v>443</v>
      </c>
      <c r="E410" t="s">
        <v>269</v>
      </c>
      <c r="F410" t="s">
        <v>13</v>
      </c>
      <c r="G410" s="12" t="s">
        <v>444</v>
      </c>
      <c r="H410" t="s">
        <v>25</v>
      </c>
      <c r="I410" t="s">
        <v>25</v>
      </c>
    </row>
    <row r="411" spans="1:9" ht="75" x14ac:dyDescent="0.25">
      <c r="A411" s="13" t="s">
        <v>10</v>
      </c>
      <c r="B411" t="str">
        <f>HYPERLINK("https://www.scholarships.unsw.edu.au/scholarships/id/255", "Joseph Barling Fellowship")</f>
        <v>Joseph Barling Fellowship</v>
      </c>
      <c r="C411" t="s">
        <v>27</v>
      </c>
      <c r="D411" t="s">
        <v>261</v>
      </c>
      <c r="E411" t="s">
        <v>41</v>
      </c>
      <c r="F411" t="s">
        <v>35</v>
      </c>
      <c r="G411" s="12" t="s">
        <v>655</v>
      </c>
      <c r="H411" t="s">
        <v>25</v>
      </c>
      <c r="I411" t="s">
        <v>25</v>
      </c>
    </row>
    <row r="412" spans="1:9" ht="60" x14ac:dyDescent="0.25">
      <c r="A412" s="13" t="s">
        <v>10</v>
      </c>
      <c r="B412" t="str">
        <f>HYPERLINK("https://www.scholarships.unsw.edu.au/scholarships/id/1707", "UNSW Touch Football Leadership Award")</f>
        <v>UNSW Touch Football Leadership Award</v>
      </c>
      <c r="C412" t="s">
        <v>27</v>
      </c>
      <c r="D412" t="s">
        <v>208</v>
      </c>
      <c r="E412" t="s">
        <v>201</v>
      </c>
      <c r="F412" t="s">
        <v>197</v>
      </c>
      <c r="G412" s="12" t="s">
        <v>674</v>
      </c>
      <c r="H412" t="s">
        <v>25</v>
      </c>
      <c r="I412" t="s">
        <v>25</v>
      </c>
    </row>
    <row r="413" spans="1:9" ht="60" x14ac:dyDescent="0.25">
      <c r="A413" s="13" t="s">
        <v>10</v>
      </c>
      <c r="B413" t="str">
        <f>HYPERLINK("https://www.scholarships.unsw.edu.au/scholarships/id/1593", "Tyree Nuclear Masters by Coursework Scholarship")</f>
        <v>Tyree Nuclear Masters by Coursework Scholarship</v>
      </c>
      <c r="C413" t="s">
        <v>27</v>
      </c>
      <c r="D413" t="s">
        <v>204</v>
      </c>
      <c r="E413" t="s">
        <v>41</v>
      </c>
      <c r="F413" t="s">
        <v>51</v>
      </c>
      <c r="G413" s="12" t="s">
        <v>417</v>
      </c>
      <c r="H413" t="s">
        <v>25</v>
      </c>
      <c r="I413" t="s">
        <v>25</v>
      </c>
    </row>
    <row r="414" spans="1:9" ht="45" x14ac:dyDescent="0.25">
      <c r="A414" s="13" t="s">
        <v>10</v>
      </c>
      <c r="B414" t="str">
        <f>HYPERLINK("https://www.scholarships.unsw.edu.au/scholarships/id/1102", "Elias Duek-Cohen Urban Design Award")</f>
        <v>Elias Duek-Cohen Urban Design Award</v>
      </c>
      <c r="C414" t="s">
        <v>27</v>
      </c>
      <c r="D414" t="s">
        <v>208</v>
      </c>
      <c r="E414" t="s">
        <v>201</v>
      </c>
      <c r="F414" t="s">
        <v>13</v>
      </c>
      <c r="G414" s="12" t="s">
        <v>418</v>
      </c>
      <c r="H414" t="s">
        <v>25</v>
      </c>
      <c r="I414" t="s">
        <v>25</v>
      </c>
    </row>
    <row r="415" spans="1:9" ht="409.5" x14ac:dyDescent="0.25">
      <c r="A415" s="13" t="s">
        <v>10</v>
      </c>
      <c r="B415" t="str">
        <f>HYPERLINK("https://www.scholarships.unsw.edu.au/scholarships/id/1797", "RODE Microphones")</f>
        <v>RODE Microphones</v>
      </c>
      <c r="C415" t="s">
        <v>27</v>
      </c>
      <c r="D415" t="s">
        <v>202</v>
      </c>
      <c r="E415" t="s">
        <v>205</v>
      </c>
      <c r="F415" t="s">
        <v>197</v>
      </c>
      <c r="G415" s="12" t="s">
        <v>328</v>
      </c>
      <c r="H415" t="s">
        <v>25</v>
      </c>
      <c r="I415" t="s">
        <v>25</v>
      </c>
    </row>
    <row r="416" spans="1:9" ht="45" x14ac:dyDescent="0.25">
      <c r="A416" s="13" t="s">
        <v>10</v>
      </c>
      <c r="B416" t="str">
        <f>HYPERLINK("https://www.scholarships.unsw.edu.au/scholarships/id/112", "John Niland Scholarship")</f>
        <v>John Niland Scholarship</v>
      </c>
      <c r="C416" t="s">
        <v>27</v>
      </c>
      <c r="D416" t="s">
        <v>327</v>
      </c>
      <c r="E416" t="s">
        <v>201</v>
      </c>
      <c r="F416" t="s">
        <v>13</v>
      </c>
      <c r="G416" s="12" t="s">
        <v>419</v>
      </c>
      <c r="H416" t="s">
        <v>25</v>
      </c>
      <c r="I416" t="s">
        <v>25</v>
      </c>
    </row>
    <row r="417" spans="1:9" x14ac:dyDescent="0.25">
      <c r="A417" s="13" t="s">
        <v>10</v>
      </c>
      <c r="B417" t="str">
        <f>HYPERLINK("https://www.scholarships.unsw.edu.au/scholarships/id/1813", "2025 General Merit Undergraduate Scholarships for Commencing Students")</f>
        <v>2025 General Merit Undergraduate Scholarships for Commencing Students</v>
      </c>
      <c r="C417" t="s">
        <v>27</v>
      </c>
      <c r="D417" t="s">
        <v>208</v>
      </c>
      <c r="E417" t="s">
        <v>41</v>
      </c>
      <c r="F417" t="s">
        <v>13</v>
      </c>
      <c r="G417" s="12" t="s">
        <v>656</v>
      </c>
      <c r="H417" t="s">
        <v>25</v>
      </c>
      <c r="I417" t="s">
        <v>25</v>
      </c>
    </row>
    <row r="418" spans="1:9" ht="60" x14ac:dyDescent="0.25">
      <c r="A418" s="13" t="s">
        <v>10</v>
      </c>
      <c r="B418" t="str">
        <f>HYPERLINK("https://www.scholarships.unsw.edu.au/scholarships/id/1633", "School of Chemical Engineering High Achiever Award")</f>
        <v>School of Chemical Engineering High Achiever Award</v>
      </c>
      <c r="C418" t="s">
        <v>27</v>
      </c>
      <c r="D418" t="s">
        <v>208</v>
      </c>
      <c r="E418" t="s">
        <v>201</v>
      </c>
      <c r="F418" t="s">
        <v>13</v>
      </c>
      <c r="G418" s="12" t="s">
        <v>671</v>
      </c>
      <c r="H418" t="s">
        <v>25</v>
      </c>
      <c r="I418" t="s">
        <v>25</v>
      </c>
    </row>
    <row r="419" spans="1:9" ht="75" x14ac:dyDescent="0.25">
      <c r="A419" s="13" t="s">
        <v>10</v>
      </c>
      <c r="B419" t="str">
        <f>HYPERLINK("https://www.scholarships.unsw.edu.au/scholarships/id/1635", "School of Computer Science &amp; Engineering Scholarships for Students Commencing Term 1, 2025")</f>
        <v>School of Computer Science &amp; Engineering Scholarships for Students Commencing Term 1, 2025</v>
      </c>
      <c r="C419" s="12" t="s">
        <v>670</v>
      </c>
      <c r="D419" t="s">
        <v>208</v>
      </c>
      <c r="E419" t="s">
        <v>201</v>
      </c>
      <c r="F419" t="s">
        <v>197</v>
      </c>
      <c r="G419" s="12" t="s">
        <v>661</v>
      </c>
      <c r="H419" t="s">
        <v>25</v>
      </c>
      <c r="I419" t="s">
        <v>25</v>
      </c>
    </row>
    <row r="420" spans="1:9" ht="75" x14ac:dyDescent="0.25">
      <c r="A420" s="13" t="s">
        <v>10</v>
      </c>
      <c r="B420" t="str">
        <f>HYPERLINK("https://www.scholarships.unsw.edu.au/scholarships/id/1816", "UNSW Engineering Rural Scholarships Program for Students Commencing Term 1, 2025")</f>
        <v>UNSW Engineering Rural Scholarships Program for Students Commencing Term 1, 2025</v>
      </c>
      <c r="C420" t="s">
        <v>27</v>
      </c>
      <c r="D420" s="12" t="s">
        <v>669</v>
      </c>
      <c r="E420" t="s">
        <v>41</v>
      </c>
      <c r="F420" t="s">
        <v>197</v>
      </c>
      <c r="G420" s="12" t="s">
        <v>661</v>
      </c>
      <c r="H420" t="s">
        <v>25</v>
      </c>
      <c r="I420" t="s">
        <v>25</v>
      </c>
    </row>
    <row r="421" spans="1:9" ht="30" x14ac:dyDescent="0.25">
      <c r="A421" s="13" t="s">
        <v>10</v>
      </c>
      <c r="B421" t="str">
        <f>HYPERLINK("https://www.scholarships.unsw.edu.au/scholarships/id/1818", "UNSW Minerals and Energy Resources Engineering Scholarships for Students Commencing Term 1, 2025")</f>
        <v>UNSW Minerals and Energy Resources Engineering Scholarships for Students Commencing Term 1, 2025</v>
      </c>
      <c r="C421" t="s">
        <v>27</v>
      </c>
      <c r="D421" t="s">
        <v>248</v>
      </c>
      <c r="E421" t="s">
        <v>41</v>
      </c>
      <c r="F421" t="s">
        <v>13</v>
      </c>
      <c r="G421" s="12" t="s">
        <v>420</v>
      </c>
      <c r="H421" t="s">
        <v>25</v>
      </c>
      <c r="I421" t="s">
        <v>25</v>
      </c>
    </row>
    <row r="422" spans="1:9" ht="75" x14ac:dyDescent="0.25">
      <c r="A422" s="13" t="s">
        <v>10</v>
      </c>
      <c r="B422" t="str">
        <f>HYPERLINK("https://www.scholarships.unsw.edu.au/scholarships/id/1814", "UNSW Women in Engineering Scholarship Program for Students Commencing Term 1, 2025")</f>
        <v>UNSW Women in Engineering Scholarship Program for Students Commencing Term 1, 2025</v>
      </c>
      <c r="C422" t="s">
        <v>27</v>
      </c>
      <c r="D422" s="12" t="s">
        <v>668</v>
      </c>
      <c r="E422" t="s">
        <v>41</v>
      </c>
      <c r="F422" t="s">
        <v>197</v>
      </c>
      <c r="G422" s="12" t="s">
        <v>661</v>
      </c>
      <c r="H422" t="s">
        <v>25</v>
      </c>
      <c r="I422" t="s">
        <v>25</v>
      </c>
    </row>
    <row r="423" spans="1:9" x14ac:dyDescent="0.25">
      <c r="A423" s="13" t="s">
        <v>10</v>
      </c>
      <c r="B423" t="str">
        <f>HYPERLINK("https://www.scholarships.unsw.edu.au/scholarships/id/1735", "Gail Kelly Young Women Leaders Scholarship")</f>
        <v>Gail Kelly Young Women Leaders Scholarship</v>
      </c>
      <c r="C423" t="s">
        <v>27</v>
      </c>
      <c r="D423" t="s">
        <v>202</v>
      </c>
      <c r="E423" t="s">
        <v>262</v>
      </c>
      <c r="F423" t="s">
        <v>13</v>
      </c>
      <c r="G423" s="12" t="s">
        <v>421</v>
      </c>
      <c r="H423" t="s">
        <v>25</v>
      </c>
      <c r="I423" t="s">
        <v>25</v>
      </c>
    </row>
    <row r="424" spans="1:9" ht="75" x14ac:dyDescent="0.25">
      <c r="A424" s="13" t="s">
        <v>10</v>
      </c>
      <c r="B424" t="str">
        <f>HYPERLINK("https://www.scholarships.unsw.edu.au/scholarships/id/1490", "Mike Cannon-Brookes Endowed Scholarship")</f>
        <v>Mike Cannon-Brookes Endowed Scholarship</v>
      </c>
      <c r="C424" t="s">
        <v>27</v>
      </c>
      <c r="D424" t="s">
        <v>202</v>
      </c>
      <c r="E424" t="s">
        <v>41</v>
      </c>
      <c r="F424" t="s">
        <v>13</v>
      </c>
      <c r="G424" s="12" t="s">
        <v>422</v>
      </c>
      <c r="H424" t="s">
        <v>25</v>
      </c>
      <c r="I424" t="s">
        <v>25</v>
      </c>
    </row>
    <row r="425" spans="1:9" ht="75" x14ac:dyDescent="0.25">
      <c r="A425" s="13" t="s">
        <v>10</v>
      </c>
      <c r="B425" t="str">
        <f>HYPERLINK("https://www.scholarships.unsw.edu.au/scholarships/id/1806", "UNSW Business School Merit Scholarships Program for Students Commencing Term 1, 2025")</f>
        <v>UNSW Business School Merit Scholarships Program for Students Commencing Term 1, 2025</v>
      </c>
      <c r="C425" t="s">
        <v>27</v>
      </c>
      <c r="D425" s="12" t="s">
        <v>667</v>
      </c>
      <c r="E425" t="s">
        <v>41</v>
      </c>
      <c r="F425" t="s">
        <v>197</v>
      </c>
      <c r="G425" s="12" t="s">
        <v>661</v>
      </c>
      <c r="H425" t="s">
        <v>25</v>
      </c>
      <c r="I425" t="s">
        <v>25</v>
      </c>
    </row>
    <row r="426" spans="1:9" ht="75" x14ac:dyDescent="0.25">
      <c r="A426" s="13" t="s">
        <v>10</v>
      </c>
      <c r="B426" t="str">
        <f>HYPERLINK("https://www.scholarships.unsw.edu.au/scholarships/id/898", "Ian Somervaille Scholarship")</f>
        <v>Ian Somervaille Scholarship</v>
      </c>
      <c r="C426" t="s">
        <v>27</v>
      </c>
      <c r="D426" t="s">
        <v>208</v>
      </c>
      <c r="E426" t="s">
        <v>41</v>
      </c>
      <c r="F426" t="s">
        <v>13</v>
      </c>
      <c r="G426" s="12" t="s">
        <v>423</v>
      </c>
      <c r="H426" t="s">
        <v>25</v>
      </c>
      <c r="I426" t="s">
        <v>25</v>
      </c>
    </row>
    <row r="427" spans="1:9" ht="75" x14ac:dyDescent="0.25">
      <c r="A427" s="13" t="s">
        <v>10</v>
      </c>
      <c r="B427" t="str">
        <f>HYPERLINK("https://www.scholarships.unsw.edu.au/scholarships/id/1810", "UNSW Arts, Design &amp; Architecture Undergraduate Scholarships for Students Commencing Term 1, 2025")</f>
        <v>UNSW Arts, Design &amp; Architecture Undergraduate Scholarships for Students Commencing Term 1, 2025</v>
      </c>
      <c r="C427" t="s">
        <v>27</v>
      </c>
      <c r="D427" s="12" t="s">
        <v>665</v>
      </c>
      <c r="E427" t="s">
        <v>201</v>
      </c>
      <c r="F427" t="s">
        <v>197</v>
      </c>
      <c r="G427" s="12" t="s">
        <v>666</v>
      </c>
      <c r="H427" t="s">
        <v>25</v>
      </c>
      <c r="I427" t="s">
        <v>25</v>
      </c>
    </row>
    <row r="428" spans="1:9" ht="45" x14ac:dyDescent="0.25">
      <c r="A428" s="13" t="s">
        <v>10</v>
      </c>
      <c r="B428" t="str">
        <f>HYPERLINK("https://www.scholarships.unsw.edu.au/scholarships/id/1664", "UNSW Law &amp; Justice Undergraduate Criminology and Criminal Justice Excellence Award")</f>
        <v>UNSW Law &amp; Justice Undergraduate Criminology and Criminal Justice Excellence Award</v>
      </c>
      <c r="C428" t="s">
        <v>27</v>
      </c>
      <c r="D428" t="s">
        <v>208</v>
      </c>
      <c r="E428" t="s">
        <v>201</v>
      </c>
      <c r="F428" t="s">
        <v>13</v>
      </c>
      <c r="G428" s="12" t="s">
        <v>424</v>
      </c>
      <c r="H428" t="s">
        <v>25</v>
      </c>
      <c r="I428" t="s">
        <v>25</v>
      </c>
    </row>
    <row r="429" spans="1:9" ht="75" x14ac:dyDescent="0.25">
      <c r="A429" s="13" t="s">
        <v>10</v>
      </c>
      <c r="B429"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29" t="s">
        <v>27</v>
      </c>
      <c r="D429" s="12" t="s">
        <v>664</v>
      </c>
      <c r="E429" t="s">
        <v>41</v>
      </c>
      <c r="F429" t="s">
        <v>197</v>
      </c>
      <c r="G429" s="12" t="s">
        <v>661</v>
      </c>
      <c r="H429" t="s">
        <v>25</v>
      </c>
      <c r="I429" t="s">
        <v>25</v>
      </c>
    </row>
    <row r="430" spans="1:9" ht="60" x14ac:dyDescent="0.25">
      <c r="A430" s="13" t="s">
        <v>10</v>
      </c>
      <c r="B430" t="str">
        <f>HYPERLINK("https://www.scholarships.unsw.edu.au/scholarships/id/1812", "UNSW Science Undergraduate Scholarships for Students Commencing Term 1, 2025")</f>
        <v>UNSW Science Undergraduate Scholarships for Students Commencing Term 1, 2025</v>
      </c>
      <c r="C430" t="s">
        <v>27</v>
      </c>
      <c r="D430" t="s">
        <v>208</v>
      </c>
      <c r="E430" t="s">
        <v>41</v>
      </c>
      <c r="F430" t="s">
        <v>197</v>
      </c>
      <c r="G430" s="12" t="s">
        <v>663</v>
      </c>
      <c r="H430" t="s">
        <v>25</v>
      </c>
      <c r="I430" t="s">
        <v>25</v>
      </c>
    </row>
    <row r="431" spans="1:9" ht="135" x14ac:dyDescent="0.25">
      <c r="A431" s="13" t="s">
        <v>10</v>
      </c>
      <c r="B431" t="str">
        <f>HYPERLINK("https://www.scholarships.unsw.edu.au/scholarships/id/1840", "Yiu-Cheung Medical Gateway Scholarship")</f>
        <v>Yiu-Cheung Medical Gateway Scholarship</v>
      </c>
      <c r="C431" t="s">
        <v>27</v>
      </c>
      <c r="D431" t="s">
        <v>202</v>
      </c>
      <c r="E431" t="s">
        <v>41</v>
      </c>
      <c r="F431" t="s">
        <v>13</v>
      </c>
      <c r="G431" s="12" t="s">
        <v>425</v>
      </c>
      <c r="H431" t="s">
        <v>25</v>
      </c>
      <c r="I431" t="s">
        <v>25</v>
      </c>
    </row>
    <row r="432" spans="1:9" ht="135" x14ac:dyDescent="0.25">
      <c r="A432" s="13" t="s">
        <v>10</v>
      </c>
      <c r="B432" t="str">
        <f>HYPERLINK("https://www.scholarships.unsw.edu.au/scholarships/id/1809", "UNSW Community Plus Scholarship")</f>
        <v>UNSW Community Plus Scholarship</v>
      </c>
      <c r="C432" t="s">
        <v>14</v>
      </c>
      <c r="D432" t="s">
        <v>253</v>
      </c>
      <c r="E432" t="s">
        <v>41</v>
      </c>
      <c r="F432" t="s">
        <v>13</v>
      </c>
      <c r="G432" s="12" t="s">
        <v>672</v>
      </c>
      <c r="H432" t="s">
        <v>25</v>
      </c>
      <c r="I432" t="s">
        <v>25</v>
      </c>
    </row>
    <row r="433" spans="1:9" ht="105" x14ac:dyDescent="0.25">
      <c r="A433" s="13" t="s">
        <v>10</v>
      </c>
      <c r="B433" t="str">
        <f>HYPERLINK("https://www.scholarships.unsw.edu.au/scholarships/id/1841", "ARC Centre of Excellence for Weather of the 21st Century Honours Research Award")</f>
        <v>ARC Centre of Excellence for Weather of the 21st Century Honours Research Award</v>
      </c>
      <c r="C433" t="s">
        <v>27</v>
      </c>
      <c r="D433" t="s">
        <v>212</v>
      </c>
      <c r="E433" t="s">
        <v>201</v>
      </c>
      <c r="F433" t="s">
        <v>137</v>
      </c>
      <c r="G433" s="12" t="s">
        <v>673</v>
      </c>
      <c r="H433" t="s">
        <v>25</v>
      </c>
      <c r="I433" t="s">
        <v>25</v>
      </c>
    </row>
    <row r="434" spans="1:9" ht="75" x14ac:dyDescent="0.25">
      <c r="A434" s="13" t="s">
        <v>10</v>
      </c>
      <c r="B434" t="str">
        <f>HYPERLINK("https://www.scholarships.unsw.edu.au/scholarships/id/1845", "Faculty of Science Honours Scholarships - Term 1, 2025")</f>
        <v>Faculty of Science Honours Scholarships - Term 1, 2025</v>
      </c>
      <c r="C434" t="s">
        <v>27</v>
      </c>
      <c r="D434" s="12" t="s">
        <v>662</v>
      </c>
      <c r="E434" t="s">
        <v>201</v>
      </c>
      <c r="F434" t="s">
        <v>197</v>
      </c>
      <c r="G434" s="12" t="s">
        <v>661</v>
      </c>
      <c r="H434" t="s">
        <v>25</v>
      </c>
      <c r="I434" t="s">
        <v>25</v>
      </c>
    </row>
    <row r="435" spans="1:9" ht="45" x14ac:dyDescent="0.25">
      <c r="A435" s="13" t="s">
        <v>10</v>
      </c>
      <c r="B435" t="str">
        <f>HYPERLINK("https://www.scholarships.unsw.edu.au/scholarships/id/142", "Lee Whitmont Scholarship")</f>
        <v>Lee Whitmont Scholarship</v>
      </c>
      <c r="C435" t="s">
        <v>27</v>
      </c>
      <c r="D435" t="s">
        <v>208</v>
      </c>
      <c r="E435" t="s">
        <v>201</v>
      </c>
      <c r="F435" t="s">
        <v>13</v>
      </c>
      <c r="G435" s="12" t="s">
        <v>426</v>
      </c>
      <c r="H435" t="s">
        <v>25</v>
      </c>
      <c r="I435" t="s">
        <v>25</v>
      </c>
    </row>
    <row r="436" spans="1:9" ht="60" x14ac:dyDescent="0.25">
      <c r="A436" s="13" t="s">
        <v>10</v>
      </c>
      <c r="B436" t="str">
        <f>HYPERLINK("https://www.scholarships.unsw.edu.au/scholarships/id/1844", "Retinal Research Group Honours Award for Innovation")</f>
        <v>Retinal Research Group Honours Award for Innovation</v>
      </c>
      <c r="C436" t="s">
        <v>27</v>
      </c>
      <c r="D436" t="s">
        <v>208</v>
      </c>
      <c r="E436" t="s">
        <v>201</v>
      </c>
      <c r="F436" t="s">
        <v>137</v>
      </c>
      <c r="G436" s="12" t="s">
        <v>427</v>
      </c>
      <c r="H436" t="s">
        <v>25</v>
      </c>
      <c r="I436" t="s">
        <v>25</v>
      </c>
    </row>
    <row r="437" spans="1:9" ht="45" x14ac:dyDescent="0.25">
      <c r="A437" s="13" t="s">
        <v>10</v>
      </c>
      <c r="B437" t="str">
        <f>HYPERLINK("https://www.scholarships.unsw.edu.au/scholarships/id/1484", "Samar Memorial Honours Award")</f>
        <v>Samar Memorial Honours Award</v>
      </c>
      <c r="C437" t="s">
        <v>27</v>
      </c>
      <c r="D437" t="s">
        <v>208</v>
      </c>
      <c r="E437" t="s">
        <v>201</v>
      </c>
      <c r="F437" t="s">
        <v>137</v>
      </c>
      <c r="G437" s="12" t="s">
        <v>657</v>
      </c>
      <c r="H437" t="s">
        <v>25</v>
      </c>
      <c r="I437" t="s">
        <v>25</v>
      </c>
    </row>
    <row r="438" spans="1:9" ht="60" x14ac:dyDescent="0.25">
      <c r="A438" s="13" t="s">
        <v>10</v>
      </c>
      <c r="B438" t="str">
        <f>HYPERLINK("https://www.scholarships.unsw.edu.au/scholarships/id/1838", "Synergy Protection Agency Award")</f>
        <v>Synergy Protection Agency Award</v>
      </c>
      <c r="C438" t="s">
        <v>27</v>
      </c>
      <c r="D438" t="s">
        <v>208</v>
      </c>
      <c r="E438" t="s">
        <v>201</v>
      </c>
      <c r="F438" t="s">
        <v>51</v>
      </c>
      <c r="G438" s="12" t="s">
        <v>428</v>
      </c>
      <c r="H438" t="s">
        <v>25</v>
      </c>
      <c r="I438" t="s">
        <v>25</v>
      </c>
    </row>
    <row r="439" spans="1:9" ht="75" x14ac:dyDescent="0.25">
      <c r="A439" s="13" t="s">
        <v>10</v>
      </c>
      <c r="B439" t="str">
        <f>HYPERLINK("https://www.scholarships.unsw.edu.au/scholarships/id/1843", "UNSW Arts, Design &amp; Architecture Honours Scholarships - Commencing Term 1, 2025")</f>
        <v>UNSW Arts, Design &amp; Architecture Honours Scholarships - Commencing Term 1, 2025</v>
      </c>
      <c r="C439" t="s">
        <v>27</v>
      </c>
      <c r="D439" s="12" t="s">
        <v>660</v>
      </c>
      <c r="E439" t="s">
        <v>201</v>
      </c>
      <c r="F439" t="s">
        <v>197</v>
      </c>
      <c r="G439" s="12" t="s">
        <v>661</v>
      </c>
      <c r="H439" t="s">
        <v>25</v>
      </c>
      <c r="I439" t="s">
        <v>25</v>
      </c>
    </row>
    <row r="440" spans="1:9" ht="30" x14ac:dyDescent="0.25">
      <c r="A440" s="13" t="s">
        <v>10</v>
      </c>
      <c r="B440" t="str">
        <f>HYPERLINK("https://www.scholarships.unsw.edu.au/scholarships/id/1668", "UNSW Business School Honours Scholarships")</f>
        <v>UNSW Business School Honours Scholarships</v>
      </c>
      <c r="C440" t="s">
        <v>27</v>
      </c>
      <c r="D440" t="s">
        <v>658</v>
      </c>
      <c r="E440" t="s">
        <v>201</v>
      </c>
      <c r="F440" t="s">
        <v>197</v>
      </c>
      <c r="G440" s="12" t="s">
        <v>659</v>
      </c>
      <c r="H440" t="s">
        <v>25</v>
      </c>
      <c r="I440" t="s">
        <v>25</v>
      </c>
    </row>
    <row r="441" spans="1:9" ht="195" x14ac:dyDescent="0.25">
      <c r="A441" s="13" t="s">
        <v>10</v>
      </c>
      <c r="B441" t="str">
        <f>HYPERLINK("https://www.scholarships.unsw.edu.au/scholarships/id/1741", "Women in Construction Honours &amp; Postgraduate Award")</f>
        <v>Women in Construction Honours &amp; Postgraduate Award</v>
      </c>
      <c r="C441" t="s">
        <v>27</v>
      </c>
      <c r="D441" t="s">
        <v>208</v>
      </c>
      <c r="E441" t="s">
        <v>201</v>
      </c>
      <c r="F441" t="s">
        <v>35</v>
      </c>
      <c r="G441" s="12" t="s">
        <v>429</v>
      </c>
      <c r="H441" t="s">
        <v>25</v>
      </c>
      <c r="I441" t="s">
        <v>25</v>
      </c>
    </row>
    <row r="442" spans="1:9" ht="75" x14ac:dyDescent="0.25">
      <c r="A442" s="4" t="s">
        <v>8</v>
      </c>
      <c r="B442" s="8" t="str">
        <f>HYPERLINK(" https://www.uts.edu.au/scholarship/wanago-access-scholarship-young-women", "The Wanago Access Scholarship for Young Women")</f>
        <v>The Wanago Access Scholarship for Young Women</v>
      </c>
      <c r="C442" s="7" t="s">
        <v>14</v>
      </c>
      <c r="D442" s="9">
        <v>10000</v>
      </c>
      <c r="E442" s="7">
        <v>5</v>
      </c>
      <c r="F442" s="7" t="s">
        <v>13</v>
      </c>
      <c r="G442" s="10" t="s">
        <v>57</v>
      </c>
      <c r="H442" t="s">
        <v>25</v>
      </c>
      <c r="I442" s="7" t="s">
        <v>25</v>
      </c>
    </row>
    <row r="443" spans="1:9" ht="30" x14ac:dyDescent="0.25">
      <c r="A443" s="4" t="s">
        <v>8</v>
      </c>
      <c r="B443" s="8" t="str">
        <f>HYPERLINK(" https://www.uts.edu.au/scholarship/business-deans-scholarship", "Business Dean's Scholarship")</f>
        <v>Business Dean's Scholarship</v>
      </c>
      <c r="C443" s="7" t="s">
        <v>27</v>
      </c>
      <c r="D443" s="9">
        <v>10000</v>
      </c>
      <c r="E443" s="7">
        <v>3</v>
      </c>
      <c r="F443" s="7" t="s">
        <v>13</v>
      </c>
      <c r="G443" s="10" t="s">
        <v>30</v>
      </c>
      <c r="H443" t="s">
        <v>25</v>
      </c>
      <c r="I443" s="7" t="s">
        <v>25</v>
      </c>
    </row>
    <row r="444" spans="1:9" ht="30" x14ac:dyDescent="0.25">
      <c r="A444" s="4" t="s">
        <v>8</v>
      </c>
      <c r="B444" s="8" t="str">
        <f>HYPERLINK("https://www.uts.edu.au/scholarship/faculty-arts-and-social-sciences-undergraduate-student-merit-scholarship", "Faculty of Arts and Social Sciences Undergraduate Student Merit Scholarship")</f>
        <v>Faculty of Arts and Social Sciences Undergraduate Student Merit Scholarship</v>
      </c>
      <c r="C444" s="7" t="s">
        <v>14</v>
      </c>
      <c r="D444" s="9">
        <v>5000</v>
      </c>
      <c r="E444" s="7">
        <v>1</v>
      </c>
      <c r="F444" s="7" t="s">
        <v>13</v>
      </c>
      <c r="G444" s="10" t="s">
        <v>58</v>
      </c>
      <c r="H444" t="s">
        <v>21</v>
      </c>
      <c r="I444" s="7" t="s">
        <v>25</v>
      </c>
    </row>
    <row r="445" spans="1:9" ht="75" x14ac:dyDescent="0.25">
      <c r="A445" s="4" t="s">
        <v>8</v>
      </c>
      <c r="B445" s="8" t="str">
        <f>HYPERLINK(" https://www.uts.edu.au/scholarship/hansen-yuncken-scholarship-women-construction-and-engineering", "Hansen Yuncken Scholarship for Women in Construction and Engineering")</f>
        <v>Hansen Yuncken Scholarship for Women in Construction and Engineering</v>
      </c>
      <c r="C445" s="7" t="s">
        <v>27</v>
      </c>
      <c r="D445" s="7" t="s">
        <v>59</v>
      </c>
      <c r="E445" s="7">
        <v>1</v>
      </c>
      <c r="F445" s="7" t="s">
        <v>13</v>
      </c>
      <c r="G445" s="10" t="s">
        <v>60</v>
      </c>
      <c r="H445" t="s">
        <v>25</v>
      </c>
      <c r="I445" s="7" t="s">
        <v>16</v>
      </c>
    </row>
    <row r="446" spans="1:9" ht="60" x14ac:dyDescent="0.25">
      <c r="A446" s="4" t="s">
        <v>8</v>
      </c>
      <c r="B446" s="8" t="str">
        <f>HYPERLINK(" https://www.uts.edu.au/scholarship/essence-project-management-scholarship", "Essence Project Management Scholarship")</f>
        <v>Essence Project Management Scholarship</v>
      </c>
      <c r="C446" s="7" t="s">
        <v>27</v>
      </c>
      <c r="D446" s="9">
        <v>10000</v>
      </c>
      <c r="E446" s="7">
        <v>1</v>
      </c>
      <c r="F446" s="7" t="s">
        <v>13</v>
      </c>
      <c r="G446" s="10" t="s">
        <v>61</v>
      </c>
      <c r="H446" t="s">
        <v>25</v>
      </c>
      <c r="I446" t="s">
        <v>16</v>
      </c>
    </row>
    <row r="447" spans="1:9" ht="30" x14ac:dyDescent="0.25">
      <c r="A447" s="4" t="s">
        <v>8</v>
      </c>
      <c r="B447" s="8" t="str">
        <f>HYPERLINK(" https://www.uts.edu.au/scholarship/carl-nielsen-professional-development-scholarship", "Carl Nielsen Professional Development Scholarship")</f>
        <v>Carl Nielsen Professional Development Scholarship</v>
      </c>
      <c r="C447" s="7" t="s">
        <v>27</v>
      </c>
      <c r="D447" s="9">
        <v>5000</v>
      </c>
      <c r="E447" s="7">
        <v>1</v>
      </c>
      <c r="F447" s="7" t="s">
        <v>13</v>
      </c>
      <c r="G447" s="10" t="s">
        <v>62</v>
      </c>
      <c r="H447" t="s">
        <v>25</v>
      </c>
      <c r="I447" t="s">
        <v>25</v>
      </c>
    </row>
    <row r="448" spans="1:9" ht="30" x14ac:dyDescent="0.25">
      <c r="A448" s="4" t="s">
        <v>8</v>
      </c>
      <c r="B448" s="8" t="str">
        <f>HYPERLINK(" https://www.uts.edu.au/scholarship/garth-barnett-scholarship", "Garth Barnett Scholarship")</f>
        <v>Garth Barnett Scholarship</v>
      </c>
      <c r="C448" s="7" t="s">
        <v>27</v>
      </c>
      <c r="D448" s="9">
        <v>9000</v>
      </c>
      <c r="E448" s="7">
        <v>2</v>
      </c>
      <c r="F448" s="7" t="s">
        <v>13</v>
      </c>
      <c r="G448" s="10" t="s">
        <v>62</v>
      </c>
      <c r="H448" t="s">
        <v>25</v>
      </c>
      <c r="I448" t="s">
        <v>25</v>
      </c>
    </row>
    <row r="449" spans="1:9" ht="60" x14ac:dyDescent="0.25">
      <c r="A449" s="4" t="s">
        <v>8</v>
      </c>
      <c r="B449" s="8" t="str">
        <f>HYPERLINK("https://www.uts.edu.au/scholarship/richard-crookes-constructions-merit-scholarship-women", "Richard Crookes Constructions Merit Scholarship for Women")</f>
        <v>Richard Crookes Constructions Merit Scholarship for Women</v>
      </c>
      <c r="C449" s="7" t="s">
        <v>27</v>
      </c>
      <c r="D449" s="9">
        <v>5000</v>
      </c>
      <c r="E449" s="7">
        <v>2</v>
      </c>
      <c r="F449" s="7" t="s">
        <v>13</v>
      </c>
      <c r="G449" s="10" t="s">
        <v>63</v>
      </c>
      <c r="H449" t="s">
        <v>25</v>
      </c>
      <c r="I449" t="s">
        <v>16</v>
      </c>
    </row>
    <row r="450" spans="1:9" ht="45" x14ac:dyDescent="0.25">
      <c r="A450" s="4" t="s">
        <v>8</v>
      </c>
      <c r="B450" s="8" t="str">
        <f>HYPERLINK(" https://www.uts.edu.au/scholarship/charter-hall-property-economics-scholarship", "Charter Hall Property Economics Scholarship")</f>
        <v>Charter Hall Property Economics Scholarship</v>
      </c>
      <c r="C450" s="7" t="s">
        <v>27</v>
      </c>
      <c r="D450" s="9">
        <v>10000</v>
      </c>
      <c r="E450" s="7">
        <v>1</v>
      </c>
      <c r="F450" s="7" t="s">
        <v>13</v>
      </c>
      <c r="G450" s="10" t="s">
        <v>64</v>
      </c>
      <c r="H450" t="s">
        <v>21</v>
      </c>
      <c r="I450" t="s">
        <v>16</v>
      </c>
    </row>
    <row r="451" spans="1:9" ht="60" x14ac:dyDescent="0.25">
      <c r="A451" s="4" t="s">
        <v>8</v>
      </c>
      <c r="B451" s="8" t="str">
        <f>HYPERLINK(" https://www.uts.edu.au/scholarship/cox-architecture-scholarship", "Cox Architecture Scholarship")</f>
        <v>Cox Architecture Scholarship</v>
      </c>
      <c r="C451" s="7" t="s">
        <v>27</v>
      </c>
      <c r="D451" s="9">
        <v>10000</v>
      </c>
      <c r="E451" s="7">
        <v>1</v>
      </c>
      <c r="F451" s="7" t="s">
        <v>13</v>
      </c>
      <c r="G451" s="10" t="s">
        <v>65</v>
      </c>
      <c r="H451" t="s">
        <v>25</v>
      </c>
      <c r="I451" t="s">
        <v>16</v>
      </c>
    </row>
    <row r="452" spans="1:9" ht="75" x14ac:dyDescent="0.25">
      <c r="A452" s="4" t="s">
        <v>8</v>
      </c>
      <c r="B452" s="8" t="str">
        <f>HYPERLINK(" https://www.uts.edu.au/scholarship/mirvac-group-merit-scholarship-women-construction", "Mirvac Group Merit Scholarship for Women in Construction")</f>
        <v>Mirvac Group Merit Scholarship for Women in Construction</v>
      </c>
      <c r="C452" s="7" t="s">
        <v>27</v>
      </c>
      <c r="D452" s="9">
        <v>15000</v>
      </c>
      <c r="E452" s="7">
        <v>1</v>
      </c>
      <c r="F452" s="7" t="s">
        <v>13</v>
      </c>
      <c r="G452" s="10" t="s">
        <v>66</v>
      </c>
      <c r="H452" t="s">
        <v>25</v>
      </c>
      <c r="I452" t="s">
        <v>16</v>
      </c>
    </row>
    <row r="453" spans="1:9" ht="45" x14ac:dyDescent="0.25">
      <c r="A453" s="4" t="s">
        <v>8</v>
      </c>
      <c r="B453" s="8" t="str">
        <f>HYPERLINK("https://www.uts.edu.au/scholarship/order-australia-association-foundation-scholarship", "The Order of Australia Association Foundation Scholarship")</f>
        <v>The Order of Australia Association Foundation Scholarship</v>
      </c>
      <c r="C453" s="7" t="s">
        <v>27</v>
      </c>
      <c r="D453" s="9">
        <v>40000</v>
      </c>
      <c r="E453" s="7">
        <v>2</v>
      </c>
      <c r="F453" s="7" t="s">
        <v>13</v>
      </c>
      <c r="G453" s="10" t="s">
        <v>67</v>
      </c>
      <c r="H453" t="s">
        <v>25</v>
      </c>
      <c r="I453" t="s">
        <v>25</v>
      </c>
    </row>
    <row r="454" spans="1:9" ht="45" x14ac:dyDescent="0.25">
      <c r="A454" s="4" t="s">
        <v>8</v>
      </c>
      <c r="B454" s="8" t="str">
        <f>HYPERLINK("https://www.uts.edu.au/scholarship/toshiba-nathan-godby-engineering-scholarship", "Toshiba Nathan Godby Engineering Scholarship")</f>
        <v>Toshiba Nathan Godby Engineering Scholarship</v>
      </c>
      <c r="C454" s="7" t="s">
        <v>27</v>
      </c>
      <c r="D454" s="9">
        <v>25000</v>
      </c>
      <c r="E454" s="7">
        <v>0.5</v>
      </c>
      <c r="F454" s="7" t="s">
        <v>68</v>
      </c>
      <c r="G454" s="10" t="s">
        <v>69</v>
      </c>
      <c r="H454" t="s">
        <v>25</v>
      </c>
      <c r="I454" s="7" t="s">
        <v>16</v>
      </c>
    </row>
    <row r="455" spans="1:9" ht="60" x14ac:dyDescent="0.25">
      <c r="A455" s="4" t="s">
        <v>8</v>
      </c>
      <c r="B455" s="8" t="str">
        <f>HYPERLINK("https://www.uts.edu.au/scholarship/john-heine-memorial-scholarship-women-engineering", "John Heine Memorial Scholarship for Women in Engineering")</f>
        <v>John Heine Memorial Scholarship for Women in Engineering</v>
      </c>
      <c r="C455" s="7" t="s">
        <v>27</v>
      </c>
      <c r="D455" s="9">
        <v>23000</v>
      </c>
      <c r="E455" s="7">
        <v>5</v>
      </c>
      <c r="F455" s="7" t="s">
        <v>68</v>
      </c>
      <c r="G455" s="10" t="s">
        <v>70</v>
      </c>
      <c r="H455" t="s">
        <v>25</v>
      </c>
      <c r="I455" t="s">
        <v>25</v>
      </c>
    </row>
    <row r="456" spans="1:9" ht="60" x14ac:dyDescent="0.25">
      <c r="A456" s="4" t="s">
        <v>8</v>
      </c>
      <c r="B456" s="8" t="str">
        <f>HYPERLINK("https://www.uts.edu.au/scholarship/wj-lm-sinclair-scholarship-engineering", "WJ &amp; LM Sinclair Scholarship in Engineering")</f>
        <v>WJ &amp; LM Sinclair Scholarship in Engineering</v>
      </c>
      <c r="C456" s="7" t="s">
        <v>14</v>
      </c>
      <c r="D456" s="9">
        <v>20000</v>
      </c>
      <c r="E456" s="7">
        <v>5</v>
      </c>
      <c r="F456" s="7" t="s">
        <v>68</v>
      </c>
      <c r="G456" s="10" t="s">
        <v>71</v>
      </c>
      <c r="H456" t="s">
        <v>21</v>
      </c>
      <c r="I456" s="7" t="s">
        <v>25</v>
      </c>
    </row>
    <row r="457" spans="1:9" ht="45" x14ac:dyDescent="0.25">
      <c r="A457" s="4" t="s">
        <v>8</v>
      </c>
      <c r="B457" s="8" t="str">
        <f>HYPERLINK("https://www.uts.edu.au/scholarship/canon-medical-systems-uts-engineering-scholarship", "Canon Medical Systems – UTS Engineering Scholarship")</f>
        <v>Canon Medical Systems – UTS Engineering Scholarship</v>
      </c>
      <c r="C457" s="7" t="s">
        <v>27</v>
      </c>
      <c r="D457" s="9">
        <v>29000</v>
      </c>
      <c r="E457" s="7">
        <v>1</v>
      </c>
      <c r="F457" s="7" t="s">
        <v>68</v>
      </c>
      <c r="G457" s="10" t="s">
        <v>69</v>
      </c>
      <c r="H457" t="s">
        <v>25</v>
      </c>
      <c r="I457" s="7" t="s">
        <v>16</v>
      </c>
    </row>
    <row r="458" spans="1:9" ht="30" x14ac:dyDescent="0.25">
      <c r="A458" s="4" t="s">
        <v>8</v>
      </c>
      <c r="B458" s="8" t="str">
        <f>HYPERLINK("https://www.uts.edu.au/scholarship/eleanor-dunn-scholarship-engineering", "The Eleanor Dunn Scholarship in Engineering")</f>
        <v>The Eleanor Dunn Scholarship in Engineering</v>
      </c>
      <c r="C458" s="7" t="s">
        <v>14</v>
      </c>
      <c r="D458" s="7" t="s">
        <v>72</v>
      </c>
      <c r="E458" s="7">
        <v>5</v>
      </c>
      <c r="F458" s="7" t="s">
        <v>68</v>
      </c>
      <c r="G458" s="10" t="s">
        <v>73</v>
      </c>
      <c r="H458" t="s">
        <v>25</v>
      </c>
      <c r="I458" s="7" t="s">
        <v>25</v>
      </c>
    </row>
    <row r="459" spans="1:9" ht="60" x14ac:dyDescent="0.25">
      <c r="A459" s="4" t="s">
        <v>8</v>
      </c>
      <c r="B459" s="8" t="str">
        <f>HYPERLINK("https://www.uts.edu.au/scholarship/ericsson-scholarship-women-ict-and-engineering", "Ericsson Scholarship for Women in ICT and Engineering")</f>
        <v>Ericsson Scholarship for Women in ICT and Engineering</v>
      </c>
      <c r="C459" s="7" t="s">
        <v>27</v>
      </c>
      <c r="D459" s="7" t="s">
        <v>74</v>
      </c>
      <c r="E459" s="7" t="s">
        <v>75</v>
      </c>
      <c r="F459" s="7" t="s">
        <v>68</v>
      </c>
      <c r="G459" s="10" t="s">
        <v>76</v>
      </c>
      <c r="H459" t="s">
        <v>25</v>
      </c>
      <c r="I459" s="7" t="s">
        <v>16</v>
      </c>
    </row>
    <row r="460" spans="1:9" ht="45" x14ac:dyDescent="0.25">
      <c r="A460" s="4" t="s">
        <v>8</v>
      </c>
      <c r="B460" s="8" t="str">
        <f>HYPERLINK("https://www.uts.edu.au/scholarship/thales-senior-cooperative-scholarship", "The Thales Senior Cooperative Scholarship")</f>
        <v>The Thales Senior Cooperative Scholarship</v>
      </c>
      <c r="C460" s="7" t="s">
        <v>27</v>
      </c>
      <c r="D460" s="7" t="s">
        <v>77</v>
      </c>
      <c r="E460" s="7" t="s">
        <v>78</v>
      </c>
      <c r="F460" s="7" t="s">
        <v>68</v>
      </c>
      <c r="G460" s="10" t="s">
        <v>79</v>
      </c>
      <c r="H460" t="s">
        <v>25</v>
      </c>
      <c r="I460" s="7" t="s">
        <v>16</v>
      </c>
    </row>
    <row r="461" spans="1:9" ht="60" x14ac:dyDescent="0.25">
      <c r="A461" s="4" t="s">
        <v>8</v>
      </c>
      <c r="B461" s="8" t="str">
        <f>HYPERLINK("https://www.uts.edu.au/scholarship/linden-little-engineering-equity-scholarship", "Linden Little Engineering Equity Scholarship")</f>
        <v>Linden Little Engineering Equity Scholarship</v>
      </c>
      <c r="C461" s="7" t="s">
        <v>14</v>
      </c>
      <c r="D461" s="9">
        <v>17500</v>
      </c>
      <c r="E461" s="7">
        <v>2</v>
      </c>
      <c r="F461" s="7" t="s">
        <v>68</v>
      </c>
      <c r="G461" s="10" t="s">
        <v>71</v>
      </c>
      <c r="H461" t="s">
        <v>25</v>
      </c>
      <c r="I461" t="s">
        <v>25</v>
      </c>
    </row>
    <row r="462" spans="1:9" ht="60" x14ac:dyDescent="0.25">
      <c r="A462" s="4" t="s">
        <v>8</v>
      </c>
      <c r="B462" s="8" t="str">
        <f>HYPERLINK("https://www.uts.edu.au/scholarship/john-heine-memorial-scholarship-engineering", "John Heine Memorial Scholarship in Engineering")</f>
        <v>John Heine Memorial Scholarship in Engineering</v>
      </c>
      <c r="C462" s="7" t="s">
        <v>14</v>
      </c>
      <c r="D462" s="9">
        <v>23000</v>
      </c>
      <c r="E462" s="7">
        <v>5</v>
      </c>
      <c r="F462" s="7" t="s">
        <v>68</v>
      </c>
      <c r="G462" s="10" t="s">
        <v>71</v>
      </c>
      <c r="H462" t="s">
        <v>25</v>
      </c>
      <c r="I462" t="s">
        <v>25</v>
      </c>
    </row>
    <row r="463" spans="1:9" ht="45" x14ac:dyDescent="0.25">
      <c r="A463" s="4" t="s">
        <v>8</v>
      </c>
      <c r="B463" s="8" t="str">
        <f>HYPERLINK("https://www.uts.edu.au/scholarship/engineering-and-information-technology-deans-scholarship", "Engineering and Information Technology Dean’s Scholarship")</f>
        <v>Engineering and Information Technology Dean’s Scholarship</v>
      </c>
      <c r="C463" s="7" t="s">
        <v>27</v>
      </c>
      <c r="D463" s="9">
        <v>30000</v>
      </c>
      <c r="E463" s="7">
        <v>2</v>
      </c>
      <c r="F463" s="7" t="s">
        <v>13</v>
      </c>
      <c r="G463" s="10" t="s">
        <v>79</v>
      </c>
      <c r="H463" t="s">
        <v>25</v>
      </c>
      <c r="I463" t="s">
        <v>25</v>
      </c>
    </row>
    <row r="464" spans="1:9" ht="30" x14ac:dyDescent="0.25">
      <c r="A464" s="4" t="s">
        <v>8</v>
      </c>
      <c r="B464" s="8" t="str">
        <f>HYPERLINK("https://www.uts.edu.au/scholarship/health-deans-scholarship", "Health Dean’s Scholarship")</f>
        <v>Health Dean’s Scholarship</v>
      </c>
      <c r="C464" s="7" t="s">
        <v>27</v>
      </c>
      <c r="D464" s="9">
        <v>10000</v>
      </c>
      <c r="E464" s="7">
        <v>1</v>
      </c>
      <c r="F464" s="7" t="s">
        <v>13</v>
      </c>
      <c r="G464" s="10" t="s">
        <v>81</v>
      </c>
      <c r="H464" t="s">
        <v>25</v>
      </c>
      <c r="I464" t="s">
        <v>25</v>
      </c>
    </row>
    <row r="465" spans="1:9" ht="45" x14ac:dyDescent="0.25">
      <c r="A465" s="4" t="s">
        <v>8</v>
      </c>
      <c r="B465" s="8" t="str">
        <f>HYPERLINK("https://www.uts.edu.au/scholarship/challenger-it-scholarship", "Challenger IT Scholarship")</f>
        <v>Challenger IT Scholarship</v>
      </c>
      <c r="C465" s="7" t="s">
        <v>27</v>
      </c>
      <c r="D465" s="9">
        <v>43000</v>
      </c>
      <c r="E465" s="7">
        <v>1</v>
      </c>
      <c r="F465" s="7" t="s">
        <v>68</v>
      </c>
      <c r="G465" s="10" t="s">
        <v>82</v>
      </c>
      <c r="H465" t="s">
        <v>25</v>
      </c>
      <c r="I465" s="7" t="s">
        <v>16</v>
      </c>
    </row>
    <row r="466" spans="1:9" ht="60" x14ac:dyDescent="0.25">
      <c r="A466" s="4" t="s">
        <v>8</v>
      </c>
      <c r="B466" s="8" t="str">
        <f>HYPERLINK("https://www.uts.edu.au/scholarship/bachelor-information-technology-co-operative-scholarship-program", "Bachelor of Information Technology Co-operative Scholarship Program")</f>
        <v>Bachelor of Information Technology Co-operative Scholarship Program</v>
      </c>
      <c r="C466" s="7" t="s">
        <v>27</v>
      </c>
      <c r="D466" s="11" t="s">
        <v>83</v>
      </c>
      <c r="E466" s="7">
        <v>3</v>
      </c>
      <c r="F466" s="7" t="s">
        <v>13</v>
      </c>
      <c r="G466" s="10" t="s">
        <v>84</v>
      </c>
      <c r="H466" t="s">
        <v>25</v>
      </c>
      <c r="I466" s="7" t="s">
        <v>16</v>
      </c>
    </row>
    <row r="467" spans="1:9" ht="30" x14ac:dyDescent="0.25">
      <c r="A467" s="4" t="s">
        <v>8</v>
      </c>
      <c r="B467" s="8" t="str">
        <f>HYPERLINK("https://www.uts.edu.au/scholarship/law-equity-scholarship", "Law Equity Scholarship")</f>
        <v>Law Equity Scholarship</v>
      </c>
      <c r="C467" s="7" t="s">
        <v>14</v>
      </c>
      <c r="D467" s="9">
        <v>5000</v>
      </c>
      <c r="E467" s="7">
        <v>4</v>
      </c>
      <c r="F467" s="7" t="s">
        <v>13</v>
      </c>
      <c r="G467" s="10" t="s">
        <v>85</v>
      </c>
      <c r="H467" t="s">
        <v>25</v>
      </c>
      <c r="I467" t="s">
        <v>25</v>
      </c>
    </row>
    <row r="468" spans="1:9" ht="45" x14ac:dyDescent="0.25">
      <c r="A468" s="4" t="s">
        <v>8</v>
      </c>
      <c r="B468" s="8" t="str">
        <f>HYPERLINK("https://www.uts.edu.au/scholarship/ezekiel-solomon-scholarship", "Ezekiel Solomon Scholarship")</f>
        <v>Ezekiel Solomon Scholarship</v>
      </c>
      <c r="C468" s="7" t="s">
        <v>14</v>
      </c>
      <c r="D468" s="9">
        <v>5000</v>
      </c>
      <c r="E468" s="7">
        <v>1</v>
      </c>
      <c r="F468" s="7" t="s">
        <v>13</v>
      </c>
      <c r="G468" s="10" t="s">
        <v>86</v>
      </c>
      <c r="H468" t="s">
        <v>25</v>
      </c>
      <c r="I468" t="s">
        <v>25</v>
      </c>
    </row>
    <row r="469" spans="1:9" ht="45" x14ac:dyDescent="0.25">
      <c r="A469" s="4" t="s">
        <v>8</v>
      </c>
      <c r="B469" s="8" t="str">
        <f>HYPERLINK("https://www.uts.edu.au/scholarship/eric-dreikurs-scholarship", "Eric Dreikurs Scholarship")</f>
        <v>Eric Dreikurs Scholarship</v>
      </c>
      <c r="C469" s="7" t="s">
        <v>14</v>
      </c>
      <c r="D469" s="9">
        <v>6000</v>
      </c>
      <c r="E469" s="7">
        <v>1</v>
      </c>
      <c r="F469" s="7" t="s">
        <v>13</v>
      </c>
      <c r="G469" s="10" t="s">
        <v>86</v>
      </c>
      <c r="H469" t="s">
        <v>25</v>
      </c>
      <c r="I469" t="s">
        <v>25</v>
      </c>
    </row>
    <row r="470" spans="1:9" ht="30" x14ac:dyDescent="0.25">
      <c r="A470" s="4" t="s">
        <v>8</v>
      </c>
      <c r="B470" s="8" t="str">
        <f>HYPERLINK("https://www.uts.edu.au/scholarship/law-deans-scholarship", "Law Dean’s Scholarship")</f>
        <v>Law Dean’s Scholarship</v>
      </c>
      <c r="C470" s="7" t="s">
        <v>27</v>
      </c>
      <c r="D470" s="9">
        <v>10000</v>
      </c>
      <c r="E470" s="7">
        <v>1</v>
      </c>
      <c r="F470" s="7" t="s">
        <v>13</v>
      </c>
      <c r="G470" s="10" t="s">
        <v>87</v>
      </c>
      <c r="H470" t="s">
        <v>25</v>
      </c>
      <c r="I470" t="s">
        <v>25</v>
      </c>
    </row>
    <row r="471" spans="1:9" ht="60" x14ac:dyDescent="0.25">
      <c r="A471" s="4" t="s">
        <v>8</v>
      </c>
      <c r="B471" s="8" t="str">
        <f>HYPERLINK("https://www.uts.edu.au/scholarship/law-diversity-and-equity-scholarship", "Law Diversity and Equity Scholarship")</f>
        <v>Law Diversity and Equity Scholarship</v>
      </c>
      <c r="C471" s="7" t="s">
        <v>14</v>
      </c>
      <c r="D471" s="9">
        <v>10000</v>
      </c>
      <c r="E471" s="7">
        <v>1</v>
      </c>
      <c r="F471" s="7" t="s">
        <v>13</v>
      </c>
      <c r="G471" s="10" t="s">
        <v>88</v>
      </c>
      <c r="H471" t="s">
        <v>21</v>
      </c>
      <c r="I471" t="s">
        <v>25</v>
      </c>
    </row>
    <row r="472" spans="1:9" ht="30" x14ac:dyDescent="0.25">
      <c r="A472" s="4" t="s">
        <v>8</v>
      </c>
      <c r="B472" s="8" t="str">
        <f>HYPERLINK("https://www.uts.edu.au/scholarship/science-deans-scholarship", "Science Dean's Scholarship")</f>
        <v>Science Dean's Scholarship</v>
      </c>
      <c r="C472" s="7" t="s">
        <v>27</v>
      </c>
      <c r="D472" s="9">
        <v>15000</v>
      </c>
      <c r="E472" s="7">
        <v>3</v>
      </c>
      <c r="F472" s="7" t="s">
        <v>13</v>
      </c>
      <c r="G472" s="10" t="s">
        <v>90</v>
      </c>
      <c r="H472" t="s">
        <v>25</v>
      </c>
      <c r="I472" t="s">
        <v>25</v>
      </c>
    </row>
    <row r="473" spans="1:9" ht="45" x14ac:dyDescent="0.25">
      <c r="A473" s="4" t="s">
        <v>8</v>
      </c>
      <c r="B473" s="8" t="str">
        <f>HYPERLINK(" https://www.uts.edu.au/scholarship/science-deans-scholarship-women", "Science Dean’s Scholarship for Women")</f>
        <v>Science Dean’s Scholarship for Women</v>
      </c>
      <c r="C473" s="7" t="s">
        <v>27</v>
      </c>
      <c r="D473" s="9">
        <v>15000</v>
      </c>
      <c r="E473" s="7">
        <v>3</v>
      </c>
      <c r="F473" s="7" t="s">
        <v>13</v>
      </c>
      <c r="G473" s="10" t="s">
        <v>89</v>
      </c>
      <c r="H473" t="s">
        <v>25</v>
      </c>
      <c r="I473" t="s">
        <v>25</v>
      </c>
    </row>
    <row r="474" spans="1:9" ht="45" x14ac:dyDescent="0.25">
      <c r="A474" s="4" t="s">
        <v>8</v>
      </c>
      <c r="B474" s="8" t="str">
        <f>HYPERLINK("https://www.uts.edu.au/scholarship/uts-science-high-achievers-scholarship-0", "UTS Science High Achiever’s Scholarship")</f>
        <v>UTS Science High Achiever’s Scholarship</v>
      </c>
      <c r="C474" s="7" t="s">
        <v>27</v>
      </c>
      <c r="D474" s="9">
        <v>6000</v>
      </c>
      <c r="E474" s="7">
        <v>3</v>
      </c>
      <c r="F474" s="7" t="s">
        <v>13</v>
      </c>
      <c r="G474" s="10" t="s">
        <v>89</v>
      </c>
      <c r="H474" t="s">
        <v>25</v>
      </c>
      <c r="I474" t="s">
        <v>25</v>
      </c>
    </row>
    <row r="475" spans="1:9" ht="30" x14ac:dyDescent="0.25">
      <c r="A475" s="4" t="s">
        <v>8</v>
      </c>
      <c r="B475" s="8" t="str">
        <f>HYPERLINK("https://www.uts.edu.au/scholarship/ross-milbourne-elite-athlete-scholarship", "Ross Milbourne Elite Athlete Scholarship")</f>
        <v>Ross Milbourne Elite Athlete Scholarship</v>
      </c>
      <c r="C475" s="7" t="s">
        <v>27</v>
      </c>
      <c r="D475" s="9">
        <v>5000</v>
      </c>
      <c r="E475" s="7">
        <v>1</v>
      </c>
      <c r="F475" s="7" t="s">
        <v>91</v>
      </c>
      <c r="G475" s="10" t="s">
        <v>92</v>
      </c>
      <c r="H475" t="s">
        <v>25</v>
      </c>
      <c r="I475" t="s">
        <v>25</v>
      </c>
    </row>
    <row r="476" spans="1:9" ht="30" x14ac:dyDescent="0.25">
      <c r="A476" s="4" t="s">
        <v>8</v>
      </c>
      <c r="B476" s="8" t="str">
        <f>HYPERLINK("https://www.uts.edu.au/scholarship/tertiary-access-payment-tap", "Tertiary Access Payment (TAP)")</f>
        <v>Tertiary Access Payment (TAP)</v>
      </c>
      <c r="C476" s="7" t="s">
        <v>14</v>
      </c>
      <c r="D476" s="9" t="s">
        <v>23</v>
      </c>
      <c r="E476" s="7">
        <v>1</v>
      </c>
      <c r="F476" s="7" t="s">
        <v>93</v>
      </c>
      <c r="G476" s="10" t="s">
        <v>94</v>
      </c>
      <c r="H476" t="s">
        <v>25</v>
      </c>
      <c r="I476" t="s">
        <v>25</v>
      </c>
    </row>
    <row r="477" spans="1:9" ht="30" x14ac:dyDescent="0.25">
      <c r="A477" s="4" t="s">
        <v>8</v>
      </c>
      <c r="B477" s="8" t="str">
        <f>HYPERLINK("https://www.uts.edu.au/scholarship/gradwell-brungs-scholarship", "The Gradwell Brungs Scholarship")</f>
        <v>The Gradwell Brungs Scholarship</v>
      </c>
      <c r="C477" s="7" t="s">
        <v>27</v>
      </c>
      <c r="D477" s="11" t="s">
        <v>95</v>
      </c>
      <c r="E477" s="7">
        <v>4</v>
      </c>
      <c r="F477" s="7" t="s">
        <v>13</v>
      </c>
      <c r="G477" s="10" t="s">
        <v>96</v>
      </c>
      <c r="H477" t="s">
        <v>25</v>
      </c>
      <c r="I477" t="s">
        <v>25</v>
      </c>
    </row>
    <row r="478" spans="1:9" ht="45" x14ac:dyDescent="0.25">
      <c r="A478" s="4" t="s">
        <v>8</v>
      </c>
      <c r="B478" s="8" t="str">
        <f>HYPERLINK("https://www.uts.edu.au/scholarship/vice-chancellors-merit-scholarship", "Vice-Chancellor's Merit Scholarship")</f>
        <v>Vice-Chancellor's Merit Scholarship</v>
      </c>
      <c r="C478" s="7" t="s">
        <v>14</v>
      </c>
      <c r="D478" s="11" t="s">
        <v>97</v>
      </c>
      <c r="E478" s="7" t="s">
        <v>41</v>
      </c>
      <c r="F478" s="7" t="s">
        <v>13</v>
      </c>
      <c r="G478" s="10" t="s">
        <v>98</v>
      </c>
      <c r="H478" t="s">
        <v>25</v>
      </c>
      <c r="I478" t="s">
        <v>25</v>
      </c>
    </row>
    <row r="479" spans="1:9" x14ac:dyDescent="0.25">
      <c r="A479" s="4" t="s">
        <v>8</v>
      </c>
      <c r="B479" s="8" t="str">
        <f>HYPERLINK("https://www.uts.edu.au/scholarship/vice-chancellors-outstanding-achievement-scholarship", "Vice-Chancellor's Outstanding Achievement Scholarship")</f>
        <v>Vice-Chancellor's Outstanding Achievement Scholarship</v>
      </c>
      <c r="C479" s="7" t="s">
        <v>27</v>
      </c>
      <c r="D479" s="11" t="s">
        <v>97</v>
      </c>
      <c r="E479" s="7" t="s">
        <v>41</v>
      </c>
      <c r="F479" s="7" t="s">
        <v>13</v>
      </c>
      <c r="G479" s="7" t="s">
        <v>99</v>
      </c>
      <c r="H479" t="s">
        <v>25</v>
      </c>
      <c r="I479" t="s">
        <v>25</v>
      </c>
    </row>
    <row r="480" spans="1:9" x14ac:dyDescent="0.25">
      <c r="A480" s="4" t="s">
        <v>8</v>
      </c>
      <c r="B480" s="8" t="str">
        <f>HYPERLINK("https://www.uts.edu.au/scholarship/lawrence-vidoni-memorial-scholarship-0", "Lawrence Vidoni Memorial Scholarship")</f>
        <v>Lawrence Vidoni Memorial Scholarship</v>
      </c>
      <c r="C480" s="7" t="s">
        <v>14</v>
      </c>
      <c r="D480" s="9">
        <v>9000</v>
      </c>
      <c r="E480" s="7">
        <v>3</v>
      </c>
      <c r="F480" s="7" t="s">
        <v>13</v>
      </c>
      <c r="G480" s="7" t="s">
        <v>100</v>
      </c>
      <c r="H480" t="s">
        <v>25</v>
      </c>
      <c r="I480" t="s">
        <v>25</v>
      </c>
    </row>
    <row r="481" spans="1:9" ht="45" x14ac:dyDescent="0.25">
      <c r="A481" s="4" t="s">
        <v>8</v>
      </c>
      <c r="B481" s="8" t="str">
        <f>HYPERLINK("https://www.uts.edu.au/scholarship/uts-economics-discipline-group-honours-scholarship", "UTS Business School Economics Honours Scholarship")</f>
        <v>UTS Business School Economics Honours Scholarship</v>
      </c>
      <c r="C481" s="7" t="s">
        <v>27</v>
      </c>
      <c r="D481" s="9">
        <v>5000</v>
      </c>
      <c r="E481" s="7">
        <v>1</v>
      </c>
      <c r="F481" s="7" t="s">
        <v>13</v>
      </c>
      <c r="G481" s="10" t="s">
        <v>101</v>
      </c>
      <c r="H481" t="s">
        <v>25</v>
      </c>
      <c r="I481" t="s">
        <v>25</v>
      </c>
    </row>
    <row r="482" spans="1:9" ht="45" x14ac:dyDescent="0.25">
      <c r="A482" s="4" t="s">
        <v>8</v>
      </c>
      <c r="B482" s="8" t="str">
        <f>HYPERLINK("https://www.uts.edu.au/scholarship/refinitiv-finance-honours-scholarship", "Refinitiv Finance Honours Scholarship")</f>
        <v>Refinitiv Finance Honours Scholarship</v>
      </c>
      <c r="C482" s="7" t="s">
        <v>27</v>
      </c>
      <c r="D482" s="9">
        <v>5000</v>
      </c>
      <c r="E482" s="7">
        <v>2</v>
      </c>
      <c r="F482" s="7" t="s">
        <v>13</v>
      </c>
      <c r="G482" s="10" t="s">
        <v>102</v>
      </c>
      <c r="H482" t="s">
        <v>25</v>
      </c>
      <c r="I482" t="s">
        <v>25</v>
      </c>
    </row>
    <row r="483" spans="1:9" ht="45" x14ac:dyDescent="0.25">
      <c r="A483" s="4" t="s">
        <v>8</v>
      </c>
      <c r="B483" s="8" t="str">
        <f>HYPERLINK("https://www.uts.edu.au/scholarship/uts-business-school-honours-scholarship", "UTS Business School Honours Scholarship")</f>
        <v>UTS Business School Honours Scholarship</v>
      </c>
      <c r="C483" s="7" t="s">
        <v>27</v>
      </c>
      <c r="D483" s="9">
        <v>5000</v>
      </c>
      <c r="E483" s="7">
        <v>1</v>
      </c>
      <c r="F483" s="7" t="s">
        <v>103</v>
      </c>
      <c r="G483" s="10" t="s">
        <v>104</v>
      </c>
      <c r="H483" t="s">
        <v>25</v>
      </c>
      <c r="I483" t="s">
        <v>25</v>
      </c>
    </row>
    <row r="484" spans="1:9" ht="45" x14ac:dyDescent="0.25">
      <c r="A484" s="4" t="s">
        <v>8</v>
      </c>
      <c r="B484" s="8" t="str">
        <f>HYPERLINK(" https://www.uts.edu.au/scholarship/marketing-honours-scholarship", "Marketing Honours Scholarship")</f>
        <v>Marketing Honours Scholarship</v>
      </c>
      <c r="C484" s="7" t="s">
        <v>27</v>
      </c>
      <c r="D484" s="9">
        <v>5000</v>
      </c>
      <c r="E484" s="7">
        <v>1</v>
      </c>
      <c r="F484" s="7" t="s">
        <v>103</v>
      </c>
      <c r="G484" s="10" t="s">
        <v>105</v>
      </c>
      <c r="H484" t="s">
        <v>25</v>
      </c>
      <c r="I484" t="s">
        <v>25</v>
      </c>
    </row>
    <row r="485" spans="1:9" ht="45" x14ac:dyDescent="0.25">
      <c r="A485" s="4" t="s">
        <v>8</v>
      </c>
      <c r="B485" s="8" t="str">
        <f>HYPERLINK("https://www.uts.edu.au/scholarship/accounting-honours-scholarship", "Accounting Honours Scholarship")</f>
        <v>Accounting Honours Scholarship</v>
      </c>
      <c r="C485" s="7" t="s">
        <v>27</v>
      </c>
      <c r="D485" s="9">
        <v>5000</v>
      </c>
      <c r="E485" s="7">
        <v>1</v>
      </c>
      <c r="F485" s="7" t="s">
        <v>103</v>
      </c>
      <c r="G485" s="10" t="s">
        <v>106</v>
      </c>
      <c r="H485" t="s">
        <v>25</v>
      </c>
      <c r="I485" t="s">
        <v>25</v>
      </c>
    </row>
    <row r="486" spans="1:9" ht="60" x14ac:dyDescent="0.25">
      <c r="A486" s="4" t="s">
        <v>8</v>
      </c>
      <c r="B486" s="8" t="str">
        <f>HYPERLINK("https://www.uts.edu.au/scholarship/plato-investment-management-scholarship-women-finance", "The Plato Investment Management Scholarship for Women in Finance")</f>
        <v>The Plato Investment Management Scholarship for Women in Finance</v>
      </c>
      <c r="C486" s="7" t="s">
        <v>27</v>
      </c>
      <c r="D486" s="9">
        <v>5000</v>
      </c>
      <c r="E486" s="7">
        <v>1</v>
      </c>
      <c r="F486" s="7" t="s">
        <v>107</v>
      </c>
      <c r="G486" s="10" t="s">
        <v>108</v>
      </c>
      <c r="H486" t="s">
        <v>25</v>
      </c>
      <c r="I486" t="s">
        <v>25</v>
      </c>
    </row>
    <row r="487" spans="1:9" ht="60" x14ac:dyDescent="0.25">
      <c r="A487" s="4" t="s">
        <v>8</v>
      </c>
      <c r="B487" s="8" t="str">
        <f>HYPERLINK("https://www.uts.edu.au/scholarship/women-engineering-and-it-cooperative-scholarship", "Women in Engineering and IT Cooperative Scholarship")</f>
        <v>Women in Engineering and IT Cooperative Scholarship</v>
      </c>
      <c r="C487" s="7" t="s">
        <v>27</v>
      </c>
      <c r="D487" s="9" t="s">
        <v>109</v>
      </c>
      <c r="E487" s="7">
        <v>4</v>
      </c>
      <c r="F487" s="7" t="s">
        <v>68</v>
      </c>
      <c r="G487" s="10" t="s">
        <v>70</v>
      </c>
      <c r="H487" t="s">
        <v>25</v>
      </c>
      <c r="I487" t="s">
        <v>16</v>
      </c>
    </row>
    <row r="488" spans="1:9" ht="30" x14ac:dyDescent="0.25">
      <c r="A488" s="4" t="s">
        <v>8</v>
      </c>
      <c r="B488" s="8" t="str">
        <f>HYPERLINK("https://www.uts.edu.au/scholarship/mba-scholarship-outstanding-students-commencing", "MBA Scholarship for Outstanding Students (Commencing)")</f>
        <v>MBA Scholarship for Outstanding Students (Commencing)</v>
      </c>
      <c r="C488" s="7" t="s">
        <v>27</v>
      </c>
      <c r="D488" s="9" t="s">
        <v>110</v>
      </c>
      <c r="E488" s="7">
        <v>1</v>
      </c>
      <c r="F488" s="7" t="s">
        <v>51</v>
      </c>
      <c r="G488" s="10" t="s">
        <v>111</v>
      </c>
      <c r="H488" t="s">
        <v>25</v>
      </c>
      <c r="I488" t="s">
        <v>25</v>
      </c>
    </row>
    <row r="489" spans="1:9" ht="30" x14ac:dyDescent="0.25">
      <c r="A489" s="4" t="s">
        <v>8</v>
      </c>
      <c r="B489" s="8" t="str">
        <f>HYPERLINK("https://www.uts.edu.au/scholarship/mba-scholarship-outstanding-students-current", "MBA Scholarship for Outstanding Students (Current)")</f>
        <v>MBA Scholarship for Outstanding Students (Current)</v>
      </c>
      <c r="C489" s="7" t="s">
        <v>27</v>
      </c>
      <c r="D489" s="9" t="s">
        <v>112</v>
      </c>
      <c r="E489" s="7">
        <v>1</v>
      </c>
      <c r="F489" s="7" t="s">
        <v>51</v>
      </c>
      <c r="G489" s="10" t="s">
        <v>56</v>
      </c>
      <c r="H489" t="s">
        <v>25</v>
      </c>
      <c r="I489" t="s">
        <v>25</v>
      </c>
    </row>
    <row r="490" spans="1:9" ht="30" x14ac:dyDescent="0.25">
      <c r="A490" s="4" t="s">
        <v>8</v>
      </c>
      <c r="B490" s="8" t="str">
        <f>HYPERLINK("https://www.uts.edu.au/scholarship/seerpharma-scholarship", "The SeerPharma Scholarship")</f>
        <v>The SeerPharma Scholarship</v>
      </c>
      <c r="C490" s="7" t="s">
        <v>27</v>
      </c>
      <c r="D490" s="7" t="s">
        <v>113</v>
      </c>
      <c r="E490" s="7">
        <v>1</v>
      </c>
      <c r="F490" s="7" t="s">
        <v>51</v>
      </c>
      <c r="G490" s="10" t="s">
        <v>114</v>
      </c>
      <c r="H490" t="s">
        <v>25</v>
      </c>
      <c r="I490" t="s">
        <v>25</v>
      </c>
    </row>
    <row r="491" spans="1:9" ht="30" x14ac:dyDescent="0.25">
      <c r="A491" s="4" t="s">
        <v>8</v>
      </c>
      <c r="B491" s="8" t="str">
        <f>HYPERLINK("https://www.uts.edu.au/scholarship/andrew-and-lina-gullotta-uts-pharmacy-scholarship", "Andrew and Lina Gullotta UTS Pharmacy Scholarship")</f>
        <v>Andrew and Lina Gullotta UTS Pharmacy Scholarship</v>
      </c>
      <c r="C491" s="7" t="s">
        <v>27</v>
      </c>
      <c r="D491" s="9">
        <v>1500</v>
      </c>
      <c r="E491" s="7">
        <v>1</v>
      </c>
      <c r="F491" s="7" t="s">
        <v>51</v>
      </c>
      <c r="G491" s="10" t="s">
        <v>115</v>
      </c>
      <c r="H491" t="s">
        <v>25</v>
      </c>
      <c r="I491" t="s">
        <v>25</v>
      </c>
    </row>
    <row r="492" spans="1:9" ht="45" x14ac:dyDescent="0.25">
      <c r="A492" s="4" t="s">
        <v>8</v>
      </c>
      <c r="B492" s="8" t="str">
        <f>HYPERLINK("https://www.uts.edu.au/scholarship/uts-science-postgraduate-academic-merit-scholarship", "UTS Science Postgraduate Academic Merit Scholarship")</f>
        <v>UTS Science Postgraduate Academic Merit Scholarship</v>
      </c>
      <c r="C492" s="7" t="s">
        <v>27</v>
      </c>
      <c r="D492" s="7" t="s">
        <v>117</v>
      </c>
      <c r="E492" s="7" t="s">
        <v>41</v>
      </c>
      <c r="F492" s="7" t="s">
        <v>51</v>
      </c>
      <c r="G492" s="10" t="s">
        <v>116</v>
      </c>
      <c r="H492" t="s">
        <v>25</v>
      </c>
      <c r="I492" t="s">
        <v>25</v>
      </c>
    </row>
    <row r="493" spans="1:9" ht="60" x14ac:dyDescent="0.25">
      <c r="A493" s="4" t="s">
        <v>8</v>
      </c>
      <c r="B493" s="8" t="str">
        <f>HYPERLINK("https://www.uts.edu.au/scholarship/uts-dr-con-moshegov-orthoptics-scholarship", "UTS Dr Con Moshegov Orthoptics Scholarship")</f>
        <v>UTS Dr Con Moshegov Orthoptics Scholarship</v>
      </c>
      <c r="C493" s="7" t="s">
        <v>14</v>
      </c>
      <c r="D493" s="9">
        <v>5000</v>
      </c>
      <c r="E493" s="7">
        <v>2</v>
      </c>
      <c r="F493" s="7" t="s">
        <v>51</v>
      </c>
      <c r="G493" s="10" t="s">
        <v>118</v>
      </c>
      <c r="H493" t="s">
        <v>25</v>
      </c>
      <c r="I493" t="s">
        <v>25</v>
      </c>
    </row>
    <row r="494" spans="1:9" ht="75" x14ac:dyDescent="0.25">
      <c r="A494" s="4" t="s">
        <v>8</v>
      </c>
      <c r="B494" s="8" t="str">
        <f>HYPERLINK("https://www.uts.edu.au/scholarship/longevity-pt-scholarship-masters-clinical-exercise-physiology", "Longevity PT Scholarship (Masters of Clinical Exercise Physiology)")</f>
        <v>Longevity PT Scholarship (Masters of Clinical Exercise Physiology)</v>
      </c>
      <c r="C494" s="7" t="s">
        <v>14</v>
      </c>
      <c r="D494" s="7" t="s">
        <v>119</v>
      </c>
      <c r="E494" s="7">
        <v>1</v>
      </c>
      <c r="F494" s="7" t="s">
        <v>51</v>
      </c>
      <c r="G494" s="10" t="s">
        <v>120</v>
      </c>
      <c r="H494" t="s">
        <v>21</v>
      </c>
      <c r="I494" t="s">
        <v>25</v>
      </c>
    </row>
    <row r="495" spans="1:9" ht="90" x14ac:dyDescent="0.25">
      <c r="A495" s="4" t="s">
        <v>8</v>
      </c>
      <c r="B495" s="8" t="str">
        <f>HYPERLINK("https://www.uts.edu.au/scholarship/doctors-co-scholarship", "Doctors &amp; Co Scholarship")</f>
        <v>Doctors &amp; Co Scholarship</v>
      </c>
      <c r="C495" s="7" t="s">
        <v>14</v>
      </c>
      <c r="D495" s="9">
        <v>5000</v>
      </c>
      <c r="E495" s="7">
        <v>1</v>
      </c>
      <c r="F495" s="7" t="s">
        <v>35</v>
      </c>
      <c r="G495" s="10" t="s">
        <v>121</v>
      </c>
      <c r="H495" t="s">
        <v>25</v>
      </c>
      <c r="I495" t="s">
        <v>25</v>
      </c>
    </row>
    <row r="496" spans="1:9" ht="45" x14ac:dyDescent="0.25">
      <c r="A496" s="4" t="s">
        <v>8</v>
      </c>
      <c r="B496" s="8" t="str">
        <f>HYPERLINK("https://www.uts.edu.au/scholarship/wanda-jamrozik-scholarship-journalism", "The Wanda Jamrozik Scholarship in Journalism")</f>
        <v>The Wanda Jamrozik Scholarship in Journalism</v>
      </c>
      <c r="C496" s="7" t="s">
        <v>27</v>
      </c>
      <c r="D496" s="9" t="s">
        <v>122</v>
      </c>
      <c r="E496" s="7">
        <v>0.5</v>
      </c>
      <c r="F496" s="7" t="s">
        <v>35</v>
      </c>
      <c r="G496" s="10" t="s">
        <v>123</v>
      </c>
      <c r="H496" t="s">
        <v>25</v>
      </c>
      <c r="I496" t="s">
        <v>25</v>
      </c>
    </row>
    <row r="497" spans="1:9" ht="45" x14ac:dyDescent="0.25">
      <c r="A497" s="4" t="s">
        <v>8</v>
      </c>
      <c r="B497" s="8" t="str">
        <f>HYPERLINK("https://www.uts.edu.au/scholarship/gordon-young-memorial-scholarship", "https://www.uts.edu.au/scholarship/gordon-young-memorial-scholarship")</f>
        <v>https://www.uts.edu.au/scholarship/gordon-young-memorial-scholarship</v>
      </c>
      <c r="C497" s="7" t="s">
        <v>27</v>
      </c>
      <c r="D497" s="7" t="s">
        <v>126</v>
      </c>
      <c r="E497" s="7">
        <v>1</v>
      </c>
      <c r="F497" s="7" t="s">
        <v>125</v>
      </c>
      <c r="G497" s="10" t="s">
        <v>124</v>
      </c>
      <c r="H497" t="s">
        <v>25</v>
      </c>
      <c r="I497" t="s">
        <v>25</v>
      </c>
    </row>
    <row r="498" spans="1:9" ht="75" x14ac:dyDescent="0.25">
      <c r="A498" s="4" t="s">
        <v>8</v>
      </c>
      <c r="B498" s="8" t="str">
        <f>HYPERLINK("https://www.uts.edu.au/scholarship/mark-lyons-not-profit-and-social-enterprise-management-scholarship", "Mark Lyons Not-for-Profit and Social Enterprise Management Scholarship")</f>
        <v>Mark Lyons Not-for-Profit and Social Enterprise Management Scholarship</v>
      </c>
      <c r="C498" s="7" t="s">
        <v>14</v>
      </c>
      <c r="D498" s="9">
        <v>5000</v>
      </c>
      <c r="E498" s="7">
        <v>1</v>
      </c>
      <c r="F498" s="7" t="s">
        <v>51</v>
      </c>
      <c r="G498" s="10" t="s">
        <v>127</v>
      </c>
      <c r="H498" t="s">
        <v>25</v>
      </c>
      <c r="I498" t="s">
        <v>25</v>
      </c>
    </row>
    <row r="499" spans="1:9" ht="30" x14ac:dyDescent="0.25">
      <c r="A499" s="4" t="s">
        <v>8</v>
      </c>
      <c r="B499" s="8" t="str">
        <f>HYPERLINK("https://www.uts.edu.au/scholarship/postgraduate-business-alumni-scholarship", "Postgraduate Business Alumni Scholarship")</f>
        <v>Postgraduate Business Alumni Scholarship</v>
      </c>
      <c r="C499" s="7" t="s">
        <v>27</v>
      </c>
      <c r="D499" s="7" t="s">
        <v>128</v>
      </c>
      <c r="E499" s="7">
        <v>1</v>
      </c>
      <c r="F499" s="7" t="s">
        <v>51</v>
      </c>
      <c r="G499" s="10" t="s">
        <v>129</v>
      </c>
      <c r="H499" t="s">
        <v>25</v>
      </c>
      <c r="I499" t="s">
        <v>25</v>
      </c>
    </row>
    <row r="500" spans="1:9" x14ac:dyDescent="0.25">
      <c r="A500" s="4" t="s">
        <v>8</v>
      </c>
      <c r="B500" s="8" t="str">
        <f>HYPERLINK("https://www.uts.edu.au/scholarship/equal-access-scholarship-institution-equity-scholarship", "Equal Access Scholarship (Institution Equity Scholarship)")</f>
        <v>Equal Access Scholarship (Institution Equity Scholarship)</v>
      </c>
      <c r="C500" s="7" t="s">
        <v>14</v>
      </c>
      <c r="D500" s="7" t="s">
        <v>130</v>
      </c>
      <c r="E500" s="7">
        <v>1</v>
      </c>
      <c r="F500" s="7" t="s">
        <v>131</v>
      </c>
      <c r="G500" s="7" t="s">
        <v>132</v>
      </c>
      <c r="H500" t="s">
        <v>25</v>
      </c>
      <c r="I500" t="s">
        <v>25</v>
      </c>
    </row>
    <row r="501" spans="1:9" ht="45" x14ac:dyDescent="0.25">
      <c r="A501" s="4" t="s">
        <v>8</v>
      </c>
      <c r="B501" s="8" t="str">
        <f>HYPERLINK("https://www.uts.edu.au/scholarship/ericsson-technology-scholarship", "Ericsson Technology Scholarship")</f>
        <v>Ericsson Technology Scholarship</v>
      </c>
      <c r="C501" s="7" t="s">
        <v>27</v>
      </c>
      <c r="D501" s="9">
        <v>24000</v>
      </c>
      <c r="E501" s="7">
        <v>0.5</v>
      </c>
      <c r="F501" s="7" t="s">
        <v>68</v>
      </c>
      <c r="G501" s="10" t="s">
        <v>79</v>
      </c>
      <c r="H501" t="s">
        <v>25</v>
      </c>
      <c r="I501" t="s">
        <v>16</v>
      </c>
    </row>
    <row r="502" spans="1:9" ht="45" x14ac:dyDescent="0.25">
      <c r="A502" s="4" t="s">
        <v>8</v>
      </c>
      <c r="B502" s="8" t="str">
        <f>HYPERLINK("https://www.uts.edu.au/scholarship/telstra-enterprise-certitude-scholarship", "Telstra Enterprise Certitude Scholarship")</f>
        <v>Telstra Enterprise Certitude Scholarship</v>
      </c>
      <c r="C502" s="7" t="s">
        <v>27</v>
      </c>
      <c r="D502" s="7" t="s">
        <v>133</v>
      </c>
      <c r="E502" s="7" t="s">
        <v>134</v>
      </c>
      <c r="F502" s="7" t="s">
        <v>68</v>
      </c>
      <c r="G502" s="10" t="s">
        <v>82</v>
      </c>
      <c r="H502" t="s">
        <v>25</v>
      </c>
      <c r="I502" t="s">
        <v>16</v>
      </c>
    </row>
    <row r="503" spans="1:9" ht="30" x14ac:dyDescent="0.25">
      <c r="A503" s="4" t="s">
        <v>8</v>
      </c>
      <c r="B503" s="8" t="str">
        <f>HYPERLINK("https://www.uts.edu.au/scholarship/levo-scholarship-women-technology", "LEVO Scholarship for Women in Technology")</f>
        <v>LEVO Scholarship for Women in Technology</v>
      </c>
      <c r="C503" s="7" t="s">
        <v>27</v>
      </c>
      <c r="D503" s="7" t="s">
        <v>135</v>
      </c>
      <c r="E503" s="7">
        <v>4</v>
      </c>
      <c r="F503" s="7" t="s">
        <v>68</v>
      </c>
      <c r="G503" s="10" t="s">
        <v>136</v>
      </c>
      <c r="H503" t="s">
        <v>25</v>
      </c>
      <c r="I503" t="s">
        <v>16</v>
      </c>
    </row>
    <row r="504" spans="1:9" ht="45" x14ac:dyDescent="0.25">
      <c r="A504" s="4" t="s">
        <v>8</v>
      </c>
      <c r="B504" s="8" t="str">
        <f>HYPERLINK("https://www.uts.edu.au/scholarship/pendal-group-finance-honours-scholarship", "The Pendal Group Finance Honours Scholarship")</f>
        <v>The Pendal Group Finance Honours Scholarship</v>
      </c>
      <c r="C504" s="7" t="s">
        <v>27</v>
      </c>
      <c r="D504" s="9">
        <v>10000</v>
      </c>
      <c r="E504" s="7">
        <v>1</v>
      </c>
      <c r="F504" s="7" t="s">
        <v>137</v>
      </c>
      <c r="G504" s="10" t="s">
        <v>138</v>
      </c>
      <c r="H504" t="s">
        <v>25</v>
      </c>
      <c r="I504" t="s">
        <v>25</v>
      </c>
    </row>
    <row r="505" spans="1:9" ht="45" x14ac:dyDescent="0.25">
      <c r="A505" s="4" t="s">
        <v>8</v>
      </c>
      <c r="B505" s="8" t="str">
        <f>HYPERLINK("https://www.uts.edu.au/scholarship/richard-butler-scholarship", "Richard Butler Scholarship")</f>
        <v>Richard Butler Scholarship</v>
      </c>
      <c r="C505" s="7" t="s">
        <v>27</v>
      </c>
      <c r="D505" s="9">
        <v>10000</v>
      </c>
      <c r="E505" s="7">
        <v>1</v>
      </c>
      <c r="F505" s="7" t="s">
        <v>13</v>
      </c>
      <c r="G505" s="10" t="s">
        <v>139</v>
      </c>
      <c r="H505" t="s">
        <v>25</v>
      </c>
      <c r="I505" t="s">
        <v>25</v>
      </c>
    </row>
    <row r="506" spans="1:9" ht="75" x14ac:dyDescent="0.25">
      <c r="A506" s="4" t="s">
        <v>8</v>
      </c>
      <c r="B506" s="8" t="str">
        <f>HYPERLINK("https://www.uts.edu.au/scholarship/epm-projects-scholarship", "EPM Projects Scholarship")</f>
        <v>EPM Projects Scholarship</v>
      </c>
      <c r="C506" s="7" t="s">
        <v>27</v>
      </c>
      <c r="D506" s="9">
        <v>10000</v>
      </c>
      <c r="E506" s="7">
        <v>1</v>
      </c>
      <c r="F506" s="7" t="s">
        <v>13</v>
      </c>
      <c r="G506" s="10" t="s">
        <v>66</v>
      </c>
      <c r="H506" t="s">
        <v>25</v>
      </c>
      <c r="I506" t="s">
        <v>16</v>
      </c>
    </row>
    <row r="507" spans="1:9" ht="60" x14ac:dyDescent="0.25">
      <c r="A507" s="4" t="s">
        <v>8</v>
      </c>
      <c r="B507" s="8" t="str">
        <f>HYPERLINK("https://www.uts.edu.au/scholarship/magdalena-mauchle-fashion-textiles-scholarship", "The Magdalena Mauchle Fashion &amp; Textiles Scholarship")</f>
        <v>The Magdalena Mauchle Fashion &amp; Textiles Scholarship</v>
      </c>
      <c r="C507" s="7" t="s">
        <v>14</v>
      </c>
      <c r="D507" s="9">
        <v>5000</v>
      </c>
      <c r="E507" s="7">
        <v>1</v>
      </c>
      <c r="F507" s="7" t="s">
        <v>13</v>
      </c>
      <c r="G507" s="10" t="s">
        <v>140</v>
      </c>
      <c r="H507" t="s">
        <v>25</v>
      </c>
      <c r="I507" t="s">
        <v>25</v>
      </c>
    </row>
    <row r="508" spans="1:9" ht="60" x14ac:dyDescent="0.25">
      <c r="A508" s="4" t="s">
        <v>8</v>
      </c>
      <c r="B508" s="8" t="str">
        <f>HYPERLINK("https://www.uts.edu.au/scholarship/feit-women-engineering-and-it-scholarship", "The FEIT Women in Engineering and IT Scholarship")</f>
        <v>The FEIT Women in Engineering and IT Scholarship</v>
      </c>
      <c r="C508" s="7" t="s">
        <v>27</v>
      </c>
      <c r="D508" s="9">
        <v>10000</v>
      </c>
      <c r="E508" s="7">
        <v>1</v>
      </c>
      <c r="F508" s="7" t="s">
        <v>13</v>
      </c>
      <c r="G508" s="10" t="s">
        <v>141</v>
      </c>
      <c r="H508" t="s">
        <v>25</v>
      </c>
      <c r="I508" t="s">
        <v>25</v>
      </c>
    </row>
    <row r="509" spans="1:9" ht="30" x14ac:dyDescent="0.25">
      <c r="A509" s="4" t="s">
        <v>8</v>
      </c>
      <c r="B509" s="8" t="str">
        <f>HYPERLINK("https://www.uts.edu.au/scholarship/frank-martin-orthoptics-scholarship", "Frank Martin Orthoptics Scholarship")</f>
        <v>Frank Martin Orthoptics Scholarship</v>
      </c>
      <c r="C509" s="7" t="s">
        <v>27</v>
      </c>
      <c r="D509" s="9">
        <v>3000</v>
      </c>
      <c r="E509" s="7">
        <v>2</v>
      </c>
      <c r="F509" s="7" t="s">
        <v>51</v>
      </c>
      <c r="G509" s="10" t="s">
        <v>142</v>
      </c>
      <c r="H509" t="s">
        <v>25</v>
      </c>
      <c r="I509" t="s">
        <v>25</v>
      </c>
    </row>
    <row r="510" spans="1:9" ht="45" x14ac:dyDescent="0.25">
      <c r="A510" s="4" t="s">
        <v>8</v>
      </c>
      <c r="B510" s="8" t="str">
        <f>HYPERLINK("https://www.uts.edu.au/scholarship/animal-logic-scholarship", "The Animal Logic Scholarship")</f>
        <v>The Animal Logic Scholarship</v>
      </c>
      <c r="C510" s="7" t="s">
        <v>14</v>
      </c>
      <c r="D510" s="9">
        <v>18000</v>
      </c>
      <c r="E510" s="7">
        <v>1</v>
      </c>
      <c r="F510" s="7" t="s">
        <v>51</v>
      </c>
      <c r="G510" s="10" t="s">
        <v>143</v>
      </c>
      <c r="H510" t="s">
        <v>25</v>
      </c>
      <c r="I510" t="s">
        <v>25</v>
      </c>
    </row>
    <row r="511" spans="1:9" ht="30" x14ac:dyDescent="0.25">
      <c r="A511" s="4" t="s">
        <v>8</v>
      </c>
      <c r="B511" s="8" t="str">
        <f>HYPERLINK("https://www.uts.edu.au/scholarship/deans-academic-merit-scholarship-juris-doctor", "Dean's Academic Merit Scholarship Juris Doctor")</f>
        <v>Dean's Academic Merit Scholarship Juris Doctor</v>
      </c>
      <c r="C511" s="7" t="s">
        <v>27</v>
      </c>
      <c r="D511" s="7" t="s">
        <v>144</v>
      </c>
      <c r="E511" s="7" t="s">
        <v>41</v>
      </c>
      <c r="F511" s="7" t="s">
        <v>51</v>
      </c>
      <c r="G511" s="10" t="s">
        <v>145</v>
      </c>
      <c r="H511" t="s">
        <v>25</v>
      </c>
      <c r="I511" t="s">
        <v>25</v>
      </c>
    </row>
    <row r="512" spans="1:9" ht="60" x14ac:dyDescent="0.25">
      <c r="A512" s="4" t="s">
        <v>8</v>
      </c>
      <c r="B512" s="8" t="str">
        <f>HYPERLINK("https://www.uts.edu.au/scholarship/uts-quantitative-finance-postgraduate-scholarship", "UTS Quantitative Finance Postgraduate Scholarship")</f>
        <v>UTS Quantitative Finance Postgraduate Scholarship</v>
      </c>
      <c r="C512" s="7" t="s">
        <v>27</v>
      </c>
      <c r="D512" s="7" t="s">
        <v>146</v>
      </c>
      <c r="E512" s="7" t="s">
        <v>41</v>
      </c>
      <c r="F512" s="7" t="s">
        <v>51</v>
      </c>
      <c r="G512" s="10" t="s">
        <v>147</v>
      </c>
      <c r="H512" t="s">
        <v>25</v>
      </c>
      <c r="I512" t="s">
        <v>25</v>
      </c>
    </row>
    <row r="513" spans="1:9" ht="90" x14ac:dyDescent="0.25">
      <c r="A513" s="4" t="s">
        <v>8</v>
      </c>
      <c r="B513" s="8" t="str">
        <f>HYPERLINK("https://www.uts.edu.au/scholarship/crescent-leadership-scholarship", "Crescent Leadership Scholarship")</f>
        <v>Crescent Leadership Scholarship</v>
      </c>
      <c r="C513" s="7" t="s">
        <v>148</v>
      </c>
      <c r="D513" s="9">
        <v>5000</v>
      </c>
      <c r="E513" s="7">
        <v>1</v>
      </c>
      <c r="F513" s="7" t="s">
        <v>35</v>
      </c>
      <c r="G513" s="10" t="s">
        <v>149</v>
      </c>
      <c r="H513" t="s">
        <v>25</v>
      </c>
      <c r="I513" t="s">
        <v>25</v>
      </c>
    </row>
    <row r="514" spans="1:9" ht="60" x14ac:dyDescent="0.25">
      <c r="A514" s="4" t="s">
        <v>8</v>
      </c>
      <c r="B514" s="8" t="str">
        <f>HYPERLINK("https://www.uts.edu.au/scholarship/uts-housing-resident-networker-scholarship", "UTS Housing Resident Networker Scholarship")</f>
        <v>UTS Housing Resident Networker Scholarship</v>
      </c>
      <c r="C514" s="7" t="s">
        <v>27</v>
      </c>
      <c r="D514" s="9">
        <v>5500</v>
      </c>
      <c r="E514" s="7">
        <v>1</v>
      </c>
      <c r="F514" s="7" t="s">
        <v>131</v>
      </c>
      <c r="G514" s="10" t="s">
        <v>150</v>
      </c>
      <c r="H514" t="s">
        <v>25</v>
      </c>
      <c r="I514" t="s">
        <v>25</v>
      </c>
    </row>
  </sheetData>
  <autoFilter ref="A1:I514" xr:uid="{5773BD61-A8F4-4ACA-BB03-11DEBD312DAE}">
    <sortState xmlns:xlrd2="http://schemas.microsoft.com/office/spreadsheetml/2017/richdata2" ref="A2:I514">
      <sortCondition ref="A1:A514"/>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2024-11-12T03:56:50Z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