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tabRatio="868" firstSheet="9" activeTab="11"/>
  </bookViews>
  <sheets>
    <sheet name="EstimativadeCustoUnitario" sheetId="2" r:id="rId1"/>
    <sheet name="EstimativadosInvestimentosFixos" sheetId="1" r:id="rId2"/>
    <sheet name="CapitaldeGiro" sheetId="5" r:id="rId3"/>
    <sheet name="EstudodeFornecedores" sheetId="6" r:id="rId4"/>
    <sheet name="InvestimentosPreOperacionais" sheetId="7" r:id="rId5"/>
    <sheet name="InvestimentoTotal" sheetId="8" r:id="rId6"/>
    <sheet name="CustosdeComercialização" sheetId="9" r:id="rId7"/>
    <sheet name="CustodosMateriaisDiretos" sheetId="10" r:id="rId8"/>
    <sheet name="CustoscomMãodeObra" sheetId="11" r:id="rId9"/>
    <sheet name="CustosFixosOperacionaisMensais" sheetId="15" r:id="rId10"/>
    <sheet name="DemonstrativodeResultado" sheetId="16" r:id="rId11"/>
    <sheet name="IndicadoresdeViabilidade" sheetId="18" r:id="rId12"/>
    <sheet name="CustocomDepreciação" sheetId="12" r:id="rId13"/>
    <sheet name="EstimativadoFaturamentoMensal" sheetId="3" r:id="rId14"/>
  </sheets>
  <calcPr calcId="145621"/>
</workbook>
</file>

<file path=xl/calcChain.xml><?xml version="1.0" encoding="utf-8"?>
<calcChain xmlns="http://schemas.openxmlformats.org/spreadsheetml/2006/main">
  <c r="B6" i="18" l="1"/>
  <c r="F8" i="18"/>
  <c r="B4" i="18"/>
  <c r="B5" i="18"/>
  <c r="G4" i="18"/>
  <c r="B3" i="18"/>
  <c r="B2" i="18"/>
  <c r="B1" i="18"/>
  <c r="B8" i="16"/>
  <c r="G3" i="18"/>
  <c r="K3" i="9"/>
  <c r="K4" i="9"/>
  <c r="K5" i="9" s="1"/>
  <c r="B7" i="15"/>
  <c r="B17" i="15"/>
  <c r="B16" i="15"/>
  <c r="B15" i="15"/>
  <c r="B13" i="15"/>
  <c r="B12" i="15"/>
  <c r="B10" i="15"/>
  <c r="B6" i="15"/>
  <c r="B5" i="15"/>
  <c r="B4" i="15"/>
  <c r="C3" i="3"/>
  <c r="C2" i="3"/>
  <c r="I2" i="2" l="1"/>
  <c r="E11" i="8"/>
  <c r="E10" i="8"/>
  <c r="D10" i="8"/>
  <c r="D11" i="8"/>
  <c r="C11" i="8"/>
  <c r="B10" i="8"/>
  <c r="E9" i="8"/>
  <c r="E8" i="8"/>
  <c r="D9" i="8"/>
  <c r="D8" i="8"/>
  <c r="C9" i="8"/>
  <c r="M23" i="2" l="1"/>
  <c r="M17" i="2"/>
  <c r="M18" i="2"/>
  <c r="M19" i="2"/>
  <c r="M20" i="2"/>
  <c r="M21" i="2"/>
  <c r="M22" i="2"/>
  <c r="M16" i="2"/>
  <c r="F17" i="2"/>
  <c r="F18" i="2"/>
  <c r="F19" i="2"/>
  <c r="F20" i="2"/>
  <c r="F21" i="2"/>
  <c r="F22" i="2"/>
  <c r="F16" i="2"/>
  <c r="M3" i="2"/>
  <c r="M4" i="2"/>
  <c r="M5" i="2"/>
  <c r="M6" i="2"/>
  <c r="M7" i="2"/>
  <c r="M8" i="2"/>
  <c r="M9" i="2"/>
  <c r="M10" i="2"/>
  <c r="L10" i="2"/>
  <c r="N3" i="2"/>
  <c r="N4" i="2"/>
  <c r="N5" i="2"/>
  <c r="N6" i="2"/>
  <c r="N7" i="2"/>
  <c r="N8" i="2"/>
  <c r="N9" i="2"/>
  <c r="N10" i="2"/>
  <c r="L3" i="2"/>
  <c r="L4" i="2"/>
  <c r="L5" i="2"/>
  <c r="L6" i="2"/>
  <c r="L7" i="2"/>
  <c r="L8" i="2"/>
  <c r="L9" i="2"/>
  <c r="F3" i="2"/>
  <c r="F4" i="2"/>
  <c r="F5" i="2"/>
  <c r="F6" i="2"/>
  <c r="F7" i="2"/>
  <c r="F8" i="2"/>
  <c r="F9" i="2"/>
  <c r="F10" i="2"/>
  <c r="F2" i="2"/>
  <c r="G7" i="12"/>
  <c r="F6" i="12"/>
  <c r="B76" i="5"/>
  <c r="A5" i="6"/>
  <c r="F4" i="11" l="1"/>
  <c r="F2" i="11"/>
  <c r="E2" i="11"/>
  <c r="B7" i="7"/>
  <c r="E3" i="11"/>
  <c r="F3" i="11" s="1"/>
  <c r="E20" i="5"/>
  <c r="M20" i="5" s="1"/>
  <c r="D15" i="5"/>
  <c r="C15" i="5" s="1"/>
  <c r="E15" i="5" s="1"/>
  <c r="I15" i="5" s="1"/>
  <c r="D14" i="5"/>
  <c r="C14" i="5" s="1"/>
  <c r="E14" i="5" s="1"/>
  <c r="D13" i="5"/>
  <c r="C13" i="5" s="1"/>
  <c r="E13" i="5" s="1"/>
  <c r="D12" i="5"/>
  <c r="C12" i="5" s="1"/>
  <c r="E12" i="5" s="1"/>
  <c r="D11" i="5"/>
  <c r="D10" i="5"/>
  <c r="C10" i="5" s="1"/>
  <c r="E10" i="5" s="1"/>
  <c r="D9" i="5"/>
  <c r="C9" i="5" s="1"/>
  <c r="E9" i="5" s="1"/>
  <c r="K9" i="5" s="1"/>
  <c r="D8" i="5"/>
  <c r="C8" i="5" s="1"/>
  <c r="E8" i="5" s="1"/>
  <c r="D7" i="5"/>
  <c r="C7" i="5" s="1"/>
  <c r="E7" i="5" s="1"/>
  <c r="D6" i="5"/>
  <c r="C6" i="5" s="1"/>
  <c r="E6" i="5" s="1"/>
  <c r="D5" i="5"/>
  <c r="B3" i="3"/>
  <c r="B3" i="10" s="1"/>
  <c r="B2" i="3"/>
  <c r="B2" i="10"/>
  <c r="E17" i="2"/>
  <c r="E18" i="2"/>
  <c r="E19" i="2"/>
  <c r="E20" i="2"/>
  <c r="E21" i="2"/>
  <c r="E22" i="2"/>
  <c r="E16" i="2"/>
  <c r="E3" i="2"/>
  <c r="E4" i="2"/>
  <c r="E5" i="2"/>
  <c r="E6" i="2"/>
  <c r="E7" i="2"/>
  <c r="E8" i="2"/>
  <c r="E9" i="2"/>
  <c r="E10" i="2"/>
  <c r="E2" i="2"/>
  <c r="B16" i="12"/>
  <c r="B15" i="12"/>
  <c r="F41" i="12"/>
  <c r="F42" i="12"/>
  <c r="G42" i="12" s="1"/>
  <c r="F39" i="12"/>
  <c r="F40" i="12"/>
  <c r="F37" i="12"/>
  <c r="F38" i="12"/>
  <c r="F35" i="12"/>
  <c r="G35" i="12" s="1"/>
  <c r="F36" i="12"/>
  <c r="F33" i="12"/>
  <c r="F34" i="12"/>
  <c r="G34" i="12" s="1"/>
  <c r="F31" i="12"/>
  <c r="F32" i="12"/>
  <c r="F29" i="12"/>
  <c r="F30" i="12"/>
  <c r="G30" i="12" s="1"/>
  <c r="F27" i="12"/>
  <c r="G27" i="12" s="1"/>
  <c r="F28" i="12"/>
  <c r="F25" i="12"/>
  <c r="F26" i="12"/>
  <c r="F23" i="12"/>
  <c r="F24" i="12"/>
  <c r="F21" i="12"/>
  <c r="F22" i="12"/>
  <c r="F19" i="12"/>
  <c r="F20" i="12"/>
  <c r="G20" i="12" s="1"/>
  <c r="F17" i="12"/>
  <c r="G17" i="12" s="1"/>
  <c r="F16" i="12"/>
  <c r="G16" i="12" s="1"/>
  <c r="F15" i="12"/>
  <c r="G15" i="12" s="1"/>
  <c r="F14" i="12"/>
  <c r="F11" i="12"/>
  <c r="G11" i="12" s="1"/>
  <c r="F10" i="12"/>
  <c r="F9" i="12"/>
  <c r="F3" i="12"/>
  <c r="G3" i="12" s="1"/>
  <c r="F4" i="12"/>
  <c r="G4" i="12" s="1"/>
  <c r="F5" i="12"/>
  <c r="G5" i="12" s="1"/>
  <c r="G6" i="12"/>
  <c r="F7" i="12"/>
  <c r="F2" i="12"/>
  <c r="G2" i="12" s="1"/>
  <c r="C42" i="12"/>
  <c r="D42" i="12"/>
  <c r="B42" i="12"/>
  <c r="G22" i="12"/>
  <c r="G23" i="12"/>
  <c r="G24" i="12"/>
  <c r="G25" i="12"/>
  <c r="G29" i="12"/>
  <c r="G40" i="12"/>
  <c r="G19" i="12"/>
  <c r="G21" i="12"/>
  <c r="G26" i="12"/>
  <c r="G28" i="12"/>
  <c r="G31" i="12"/>
  <c r="G32" i="12"/>
  <c r="G33" i="12"/>
  <c r="G36" i="12"/>
  <c r="G37" i="12"/>
  <c r="G38" i="12"/>
  <c r="G39" i="12"/>
  <c r="G41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18" i="12"/>
  <c r="F18" i="12" s="1"/>
  <c r="G18" i="12" s="1"/>
  <c r="D18" i="12"/>
  <c r="G10" i="12"/>
  <c r="G9" i="12"/>
  <c r="G14" i="12"/>
  <c r="B37" i="12"/>
  <c r="B38" i="12"/>
  <c r="B39" i="12"/>
  <c r="B40" i="12"/>
  <c r="B41" i="12"/>
  <c r="B29" i="12"/>
  <c r="B30" i="12"/>
  <c r="B31" i="12"/>
  <c r="B32" i="12"/>
  <c r="B33" i="12"/>
  <c r="B34" i="12"/>
  <c r="B35" i="12"/>
  <c r="B36" i="12"/>
  <c r="B19" i="12"/>
  <c r="B20" i="12"/>
  <c r="B21" i="12"/>
  <c r="B22" i="12"/>
  <c r="B23" i="12"/>
  <c r="B24" i="12"/>
  <c r="B25" i="12"/>
  <c r="B26" i="12"/>
  <c r="B27" i="12"/>
  <c r="B28" i="12"/>
  <c r="B18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3" i="12"/>
  <c r="B11" i="12"/>
  <c r="C11" i="12"/>
  <c r="B12" i="12"/>
  <c r="C12" i="12"/>
  <c r="F12" i="12" s="1"/>
  <c r="G12" i="12" s="1"/>
  <c r="B13" i="12"/>
  <c r="C13" i="12"/>
  <c r="F13" i="12" s="1"/>
  <c r="G13" i="12" s="1"/>
  <c r="B14" i="12"/>
  <c r="C14" i="12"/>
  <c r="C15" i="12"/>
  <c r="C16" i="12"/>
  <c r="B17" i="12"/>
  <c r="C17" i="12"/>
  <c r="B4" i="12"/>
  <c r="C4" i="12"/>
  <c r="B5" i="12"/>
  <c r="C5" i="12"/>
  <c r="B6" i="12"/>
  <c r="C6" i="12"/>
  <c r="B7" i="12"/>
  <c r="C7" i="12"/>
  <c r="B8" i="12"/>
  <c r="C8" i="12"/>
  <c r="F8" i="12" s="1"/>
  <c r="B9" i="12"/>
  <c r="C9" i="12"/>
  <c r="B10" i="12"/>
  <c r="C10" i="12"/>
  <c r="C3" i="12"/>
  <c r="B3" i="12"/>
  <c r="D2" i="12"/>
  <c r="A3" i="10"/>
  <c r="A2" i="10"/>
  <c r="O23" i="2"/>
  <c r="F5" i="8"/>
  <c r="G3" i="8" s="1"/>
  <c r="B8" i="7"/>
  <c r="B4" i="8" s="1"/>
  <c r="B75" i="5"/>
  <c r="B74" i="5"/>
  <c r="B71" i="5"/>
  <c r="D59" i="5"/>
  <c r="D58" i="5"/>
  <c r="D57" i="5"/>
  <c r="D56" i="5"/>
  <c r="D49" i="5"/>
  <c r="D48" i="5"/>
  <c r="D50" i="5" s="1"/>
  <c r="B70" i="5" s="1"/>
  <c r="B72" i="5" s="1"/>
  <c r="B41" i="5" s="1"/>
  <c r="M22" i="5"/>
  <c r="M26" i="5"/>
  <c r="N26" i="5" s="1"/>
  <c r="M27" i="5"/>
  <c r="I22" i="5"/>
  <c r="G22" i="5"/>
  <c r="G23" i="5"/>
  <c r="G24" i="5"/>
  <c r="G25" i="5"/>
  <c r="G26" i="5"/>
  <c r="G27" i="5"/>
  <c r="G28" i="5"/>
  <c r="G29" i="5"/>
  <c r="G21" i="5"/>
  <c r="G20" i="5"/>
  <c r="E21" i="5"/>
  <c r="M21" i="5" s="1"/>
  <c r="E22" i="5"/>
  <c r="K22" i="5" s="1"/>
  <c r="E23" i="5"/>
  <c r="M23" i="5" s="1"/>
  <c r="E24" i="5"/>
  <c r="M24" i="5" s="1"/>
  <c r="E25" i="5"/>
  <c r="K25" i="5" s="1"/>
  <c r="E26" i="5"/>
  <c r="H26" i="5" s="1"/>
  <c r="E27" i="5"/>
  <c r="K27" i="5" s="1"/>
  <c r="L27" i="5" s="1"/>
  <c r="E28" i="5"/>
  <c r="M28" i="5" s="1"/>
  <c r="E29" i="5"/>
  <c r="H29" i="5" s="1"/>
  <c r="A21" i="5"/>
  <c r="A22" i="5" s="1"/>
  <c r="A23" i="5" s="1"/>
  <c r="A24" i="5" s="1"/>
  <c r="A25" i="5" s="1"/>
  <c r="A26" i="5" s="1"/>
  <c r="A27" i="5" s="1"/>
  <c r="A28" i="5" s="1"/>
  <c r="A29" i="5" s="1"/>
  <c r="A20" i="5"/>
  <c r="G15" i="5"/>
  <c r="G14" i="5"/>
  <c r="G13" i="5"/>
  <c r="G12" i="5"/>
  <c r="G11" i="5"/>
  <c r="G10" i="5"/>
  <c r="G9" i="5"/>
  <c r="G8" i="5"/>
  <c r="G7" i="5"/>
  <c r="G6" i="5"/>
  <c r="G5" i="5"/>
  <c r="C11" i="5"/>
  <c r="E11" i="5" s="1"/>
  <c r="D22" i="2"/>
  <c r="C22" i="2"/>
  <c r="C19" i="2"/>
  <c r="I20" i="2"/>
  <c r="J20" i="2" s="1"/>
  <c r="K20" i="2" s="1"/>
  <c r="I18" i="2"/>
  <c r="J18" i="2" s="1"/>
  <c r="I16" i="2"/>
  <c r="J16" i="2" s="1"/>
  <c r="I17" i="2"/>
  <c r="J17" i="2" s="1"/>
  <c r="I19" i="2"/>
  <c r="J19" i="2" s="1"/>
  <c r="I7" i="2"/>
  <c r="J7" i="2" s="1"/>
  <c r="K7" i="2" s="1"/>
  <c r="I21" i="2"/>
  <c r="I22" i="2"/>
  <c r="J22" i="2" s="1"/>
  <c r="L22" i="2" s="1"/>
  <c r="N22" i="2" s="1"/>
  <c r="I10" i="2"/>
  <c r="J10" i="2" s="1"/>
  <c r="C10" i="2"/>
  <c r="D10" i="2"/>
  <c r="I9" i="2"/>
  <c r="J9" i="2" s="1"/>
  <c r="K9" i="2" s="1"/>
  <c r="I8" i="2"/>
  <c r="J8" i="2" s="1"/>
  <c r="I6" i="2"/>
  <c r="J6" i="2" s="1"/>
  <c r="I5" i="2"/>
  <c r="J5" i="2" s="1"/>
  <c r="I4" i="2"/>
  <c r="J4" i="2" s="1"/>
  <c r="I3" i="2"/>
  <c r="J3" i="2" s="1"/>
  <c r="J2" i="2"/>
  <c r="D20" i="2"/>
  <c r="D21" i="2"/>
  <c r="A70" i="6"/>
  <c r="C57" i="1"/>
  <c r="E51" i="1"/>
  <c r="E50" i="1"/>
  <c r="E46" i="1"/>
  <c r="C56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2" i="1"/>
  <c r="E4" i="1"/>
  <c r="E5" i="1"/>
  <c r="E6" i="1"/>
  <c r="E7" i="1"/>
  <c r="E8" i="1"/>
  <c r="E9" i="1"/>
  <c r="E10" i="1"/>
  <c r="E11" i="1"/>
  <c r="E18" i="1" s="1"/>
  <c r="C55" i="1" s="1"/>
  <c r="E12" i="1"/>
  <c r="E13" i="1"/>
  <c r="E14" i="1"/>
  <c r="E15" i="1"/>
  <c r="E16" i="1"/>
  <c r="E17" i="1"/>
  <c r="E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68" i="6"/>
  <c r="A69" i="6" s="1"/>
  <c r="A71" i="6" s="1"/>
  <c r="A72" i="6" s="1"/>
  <c r="A76" i="6"/>
  <c r="A77" i="6" s="1"/>
  <c r="A78" i="6" s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A4" i="6"/>
  <c r="A6" i="6" s="1"/>
  <c r="A7" i="6" s="1"/>
  <c r="A8" i="6" s="1"/>
  <c r="A9" i="6" s="1"/>
  <c r="A10" i="6" s="1"/>
  <c r="A11" i="6" s="1"/>
  <c r="A12" i="6" s="1"/>
  <c r="A13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C17" i="2"/>
  <c r="C18" i="2"/>
  <c r="D18" i="2" s="1"/>
  <c r="D19" i="2"/>
  <c r="C16" i="2"/>
  <c r="D16" i="2" s="1"/>
  <c r="C3" i="2"/>
  <c r="D3" i="2" s="1"/>
  <c r="C4" i="2"/>
  <c r="D4" i="2" s="1"/>
  <c r="C5" i="2"/>
  <c r="D5" i="2" s="1"/>
  <c r="C6" i="2"/>
  <c r="D6" i="2" s="1"/>
  <c r="C7" i="2"/>
  <c r="D7" i="2" s="1"/>
  <c r="C8" i="2"/>
  <c r="O11" i="2" s="1"/>
  <c r="P11" i="2" s="1"/>
  <c r="C9" i="2"/>
  <c r="D9" i="2" s="1"/>
  <c r="C2" i="2"/>
  <c r="J21" i="2"/>
  <c r="M2" i="2" l="1"/>
  <c r="M11" i="2" s="1"/>
  <c r="L2" i="2"/>
  <c r="K2" i="2"/>
  <c r="N2" i="2" s="1"/>
  <c r="N11" i="2" s="1"/>
  <c r="C5" i="5"/>
  <c r="E5" i="5" s="1"/>
  <c r="I27" i="5"/>
  <c r="I26" i="5"/>
  <c r="J26" i="5" s="1"/>
  <c r="K26" i="5"/>
  <c r="M25" i="5"/>
  <c r="I25" i="5"/>
  <c r="N22" i="5"/>
  <c r="K20" i="5"/>
  <c r="N20" i="5"/>
  <c r="I20" i="5"/>
  <c r="D2" i="3"/>
  <c r="K22" i="2"/>
  <c r="D3" i="3"/>
  <c r="C58" i="1"/>
  <c r="B2" i="8" s="1"/>
  <c r="F43" i="12"/>
  <c r="G43" i="12" s="1"/>
  <c r="G8" i="12"/>
  <c r="G2" i="8"/>
  <c r="G4" i="8"/>
  <c r="J15" i="5"/>
  <c r="N27" i="5"/>
  <c r="L9" i="5"/>
  <c r="J27" i="5"/>
  <c r="N28" i="5"/>
  <c r="L26" i="5"/>
  <c r="I29" i="5"/>
  <c r="J29" i="5" s="1"/>
  <c r="I21" i="5"/>
  <c r="J21" i="5" s="1"/>
  <c r="K29" i="5"/>
  <c r="L29" i="5" s="1"/>
  <c r="K21" i="5"/>
  <c r="L21" i="5" s="1"/>
  <c r="M29" i="5"/>
  <c r="N29" i="5" s="1"/>
  <c r="L25" i="5"/>
  <c r="I28" i="5"/>
  <c r="J28" i="5" s="1"/>
  <c r="K28" i="5"/>
  <c r="L28" i="5" s="1"/>
  <c r="L20" i="5"/>
  <c r="I24" i="5"/>
  <c r="J24" i="5" s="1"/>
  <c r="K24" i="5"/>
  <c r="L24" i="5" s="1"/>
  <c r="L22" i="5"/>
  <c r="H28" i="5"/>
  <c r="I23" i="5"/>
  <c r="J23" i="5" s="1"/>
  <c r="J22" i="5"/>
  <c r="K23" i="5"/>
  <c r="L23" i="5" s="1"/>
  <c r="N23" i="5"/>
  <c r="H27" i="5"/>
  <c r="H24" i="5"/>
  <c r="H23" i="5"/>
  <c r="N25" i="5"/>
  <c r="J25" i="5"/>
  <c r="N21" i="5"/>
  <c r="H25" i="5"/>
  <c r="H20" i="5"/>
  <c r="H22" i="5"/>
  <c r="N24" i="5"/>
  <c r="H21" i="5"/>
  <c r="J20" i="5"/>
  <c r="K8" i="5"/>
  <c r="L8" i="5" s="1"/>
  <c r="I8" i="5"/>
  <c r="J8" i="5" s="1"/>
  <c r="M11" i="5"/>
  <c r="N11" i="5" s="1"/>
  <c r="K11" i="5"/>
  <c r="L11" i="5" s="1"/>
  <c r="I11" i="5"/>
  <c r="J11" i="5" s="1"/>
  <c r="M12" i="5"/>
  <c r="N12" i="5" s="1"/>
  <c r="I12" i="5"/>
  <c r="J12" i="5" s="1"/>
  <c r="K12" i="5"/>
  <c r="L12" i="5" s="1"/>
  <c r="M13" i="5"/>
  <c r="N13" i="5" s="1"/>
  <c r="I13" i="5"/>
  <c r="J13" i="5" s="1"/>
  <c r="K13" i="5"/>
  <c r="L13" i="5" s="1"/>
  <c r="M6" i="5"/>
  <c r="N6" i="5" s="1"/>
  <c r="I6" i="5"/>
  <c r="J6" i="5" s="1"/>
  <c r="K6" i="5"/>
  <c r="L6" i="5" s="1"/>
  <c r="M14" i="5"/>
  <c r="N14" i="5" s="1"/>
  <c r="I14" i="5"/>
  <c r="J14" i="5" s="1"/>
  <c r="K14" i="5"/>
  <c r="L14" i="5" s="1"/>
  <c r="M7" i="5"/>
  <c r="N7" i="5" s="1"/>
  <c r="K7" i="5"/>
  <c r="L7" i="5" s="1"/>
  <c r="I7" i="5"/>
  <c r="J7" i="5" s="1"/>
  <c r="M15" i="5"/>
  <c r="N15" i="5" s="1"/>
  <c r="K15" i="5"/>
  <c r="L15" i="5" s="1"/>
  <c r="H13" i="5"/>
  <c r="H6" i="5"/>
  <c r="K10" i="5"/>
  <c r="L10" i="5" s="1"/>
  <c r="I10" i="5"/>
  <c r="J10" i="5" s="1"/>
  <c r="M10" i="5"/>
  <c r="N10" i="5" s="1"/>
  <c r="M8" i="5"/>
  <c r="N8" i="5" s="1"/>
  <c r="H14" i="5"/>
  <c r="M9" i="5"/>
  <c r="N9" i="5" s="1"/>
  <c r="I9" i="5"/>
  <c r="J9" i="5" s="1"/>
  <c r="H15" i="5"/>
  <c r="H12" i="5"/>
  <c r="H11" i="5"/>
  <c r="H9" i="5"/>
  <c r="H7" i="5"/>
  <c r="H10" i="5"/>
  <c r="H8" i="5"/>
  <c r="L20" i="2"/>
  <c r="N20" i="2" s="1"/>
  <c r="L16" i="2"/>
  <c r="N16" i="2" s="1"/>
  <c r="K10" i="2"/>
  <c r="K16" i="2"/>
  <c r="D8" i="2"/>
  <c r="L19" i="2"/>
  <c r="N19" i="2" s="1"/>
  <c r="L18" i="2"/>
  <c r="N18" i="2" s="1"/>
  <c r="K17" i="2"/>
  <c r="L21" i="2"/>
  <c r="N21" i="2" s="1"/>
  <c r="K19" i="2"/>
  <c r="D2" i="2"/>
  <c r="K6" i="2"/>
  <c r="K4" i="2"/>
  <c r="K8" i="2"/>
  <c r="D17" i="2"/>
  <c r="L17" i="2" s="1"/>
  <c r="N17" i="2" s="1"/>
  <c r="K3" i="2"/>
  <c r="K18" i="2"/>
  <c r="K5" i="2"/>
  <c r="K21" i="2"/>
  <c r="P23" i="2"/>
  <c r="I5" i="5" l="1"/>
  <c r="J5" i="5" s="1"/>
  <c r="J16" i="5" s="1"/>
  <c r="H5" i="5"/>
  <c r="M5" i="5"/>
  <c r="N5" i="5" s="1"/>
  <c r="N16" i="5" s="1"/>
  <c r="K5" i="5"/>
  <c r="L5" i="5" s="1"/>
  <c r="K23" i="2"/>
  <c r="D4" i="3"/>
  <c r="L23" i="2"/>
  <c r="N23" i="2"/>
  <c r="C3" i="10" s="1"/>
  <c r="D3" i="10" s="1"/>
  <c r="G5" i="8"/>
  <c r="L30" i="5"/>
  <c r="J30" i="5"/>
  <c r="L31" i="5" s="1"/>
  <c r="N30" i="5"/>
  <c r="H16" i="5"/>
  <c r="L16" i="5"/>
  <c r="H30" i="5"/>
  <c r="K11" i="2"/>
  <c r="L11" i="2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C15" i="9" l="1"/>
  <c r="D15" i="9" s="1"/>
  <c r="C4" i="9"/>
  <c r="B4" i="9" s="1"/>
  <c r="B2" i="16"/>
  <c r="C2" i="16" s="1"/>
  <c r="N31" i="5"/>
  <c r="C8" i="9"/>
  <c r="D8" i="9" s="1"/>
  <c r="C13" i="9"/>
  <c r="D13" i="9" s="1"/>
  <c r="C14" i="9"/>
  <c r="D14" i="9" s="1"/>
  <c r="C6" i="9"/>
  <c r="D6" i="9" s="1"/>
  <c r="D5" i="3"/>
  <c r="C12" i="9"/>
  <c r="D12" i="9" s="1"/>
  <c r="C9" i="9"/>
  <c r="N17" i="5"/>
  <c r="J17" i="5"/>
  <c r="J31" i="5"/>
  <c r="B31" i="5"/>
  <c r="E38" i="5" s="1"/>
  <c r="L17" i="5"/>
  <c r="C2" i="10"/>
  <c r="D4" i="9" l="1"/>
  <c r="D9" i="9" s="1"/>
  <c r="B5" i="16" s="1"/>
  <c r="B9" i="9"/>
  <c r="D2" i="10"/>
  <c r="D4" i="10" s="1"/>
  <c r="B4" i="16" s="1"/>
  <c r="G2" i="18"/>
  <c r="H2" i="18" s="1"/>
  <c r="I2" i="18" s="1"/>
  <c r="J2" i="18" s="1"/>
  <c r="K2" i="18" s="1"/>
  <c r="L2" i="18" s="1"/>
  <c r="M2" i="18" s="1"/>
  <c r="N2" i="18" s="1"/>
  <c r="O2" i="18" s="1"/>
  <c r="P2" i="18" s="1"/>
  <c r="D16" i="9"/>
  <c r="B6" i="16" l="1"/>
  <c r="C6" i="16" s="1"/>
  <c r="C4" i="16"/>
  <c r="D17" i="9"/>
  <c r="B7" i="16" l="1"/>
  <c r="C5" i="16"/>
  <c r="B38" i="5" l="1"/>
  <c r="C7" i="16"/>
  <c r="C8" i="16" l="1"/>
  <c r="B19" i="15" l="1"/>
  <c r="B9" i="16" l="1"/>
  <c r="B37" i="5"/>
  <c r="B39" i="5" s="1"/>
  <c r="B40" i="5" s="1"/>
  <c r="B42" i="5" s="1"/>
  <c r="E39" i="5" s="1"/>
  <c r="E40" i="5" s="1"/>
  <c r="B3" i="8" s="1"/>
  <c r="B5" i="8" l="1"/>
  <c r="B10" i="16"/>
  <c r="C9" i="16"/>
  <c r="C3" i="8" l="1"/>
  <c r="H3" i="18"/>
  <c r="C10" i="16"/>
  <c r="C4" i="8"/>
  <c r="C2" i="8"/>
  <c r="F3" i="18"/>
  <c r="G5" i="18" l="1"/>
  <c r="H5" i="18" s="1"/>
  <c r="I5" i="18" s="1"/>
  <c r="J5" i="18" s="1"/>
  <c r="K5" i="18" s="1"/>
  <c r="L5" i="18" s="1"/>
  <c r="M5" i="18" s="1"/>
  <c r="N5" i="18" s="1"/>
  <c r="C5" i="8"/>
  <c r="F4" i="18"/>
  <c r="F5" i="18" s="1"/>
  <c r="F6" i="18" s="1"/>
  <c r="G6" i="18" s="1"/>
  <c r="H6" i="18" s="1"/>
  <c r="I6" i="18" s="1"/>
  <c r="J6" i="18" s="1"/>
  <c r="K6" i="18" s="1"/>
  <c r="L6" i="18" s="1"/>
  <c r="M6" i="18" s="1"/>
  <c r="N6" i="18" s="1"/>
  <c r="I3" i="18"/>
  <c r="H4" i="18"/>
  <c r="O5" i="18" l="1"/>
  <c r="O6" i="18" s="1"/>
  <c r="J3" i="18"/>
  <c r="I4" i="18"/>
  <c r="P5" i="18" l="1"/>
  <c r="P6" i="18" s="1"/>
  <c r="J4" i="18"/>
  <c r="K3" i="18"/>
  <c r="F7" i="18" l="1"/>
  <c r="K4" i="18"/>
  <c r="L3" i="18"/>
  <c r="L4" i="18" l="1"/>
  <c r="M3" i="18"/>
  <c r="M4" i="18" l="1"/>
  <c r="N3" i="18"/>
  <c r="N4" i="18" l="1"/>
  <c r="O3" i="18"/>
  <c r="P3" i="18" l="1"/>
  <c r="P4" i="18" s="1"/>
  <c r="O4" i="18"/>
</calcChain>
</file>

<file path=xl/sharedStrings.xml><?xml version="1.0" encoding="utf-8"?>
<sst xmlns="http://schemas.openxmlformats.org/spreadsheetml/2006/main" count="706" uniqueCount="383">
  <si>
    <t>Equipamentos</t>
  </si>
  <si>
    <t>Preço</t>
  </si>
  <si>
    <t>Preço (R$)</t>
  </si>
  <si>
    <t>Fornecedor</t>
  </si>
  <si>
    <t>Cerveja da Casa</t>
  </si>
  <si>
    <t>Moedor de Malte - Moinho 2 Rolos Junior</t>
  </si>
  <si>
    <t>Caldeirão em Inox com Válvula Tripartida de 1/2" 70L</t>
  </si>
  <si>
    <t>Caldeirão em Inox com Válvula Tripartida, Fundo Falso e Chuveiro Dispersor 70L</t>
  </si>
  <si>
    <t>Bomba Circulação Para Cerveja Artesanal 220v</t>
  </si>
  <si>
    <t>Mangueira Cristal Atóxica 3/8 X 2mm 6m</t>
  </si>
  <si>
    <t>Densímetro Mini 1.000 - 1.100 com Proveta 100ml</t>
  </si>
  <si>
    <t>Termômetro Analógico de Imersão</t>
  </si>
  <si>
    <t>Chiller Resfriador de Mosto em Serpentina 15m</t>
  </si>
  <si>
    <t>Colher Cervejeira Plástica</t>
  </si>
  <si>
    <t>Iodo 2%</t>
  </si>
  <si>
    <t>Iodo 2% INSUMO!</t>
  </si>
  <si>
    <t>Tampador / Arrolhador de Bancada Regulável</t>
  </si>
  <si>
    <t>IODOFOR 100mL INSUMO!</t>
  </si>
  <si>
    <t>Escova de cerdas sinteticas para limpeza</t>
  </si>
  <si>
    <t>Lavadora Spin Vinator para Garrafas</t>
  </si>
  <si>
    <t>Brewstand Cozinha 2 Mód. C/ Fogões Cerveja Artesanal 80-100l</t>
  </si>
  <si>
    <t>Enchedor de Garrafas com Válvula (bottle filler)</t>
  </si>
  <si>
    <t>Lamas Brew Shop</t>
  </si>
  <si>
    <t>Escorredor para 45 garrafas</t>
  </si>
  <si>
    <t>Erlenmeyer de vidro</t>
  </si>
  <si>
    <t>Quantidades</t>
  </si>
  <si>
    <t>Tampas pacote com 400 unidades INSUMO</t>
  </si>
  <si>
    <t>QtdxPreço</t>
  </si>
  <si>
    <t>Geladeira Usada Funcionando 220</t>
  </si>
  <si>
    <t>Bazar do Facebook</t>
  </si>
  <si>
    <t>Balança de Precisão Digital Sf-400 de 1g a 10Kg</t>
  </si>
  <si>
    <t>Medidor de PH Digital</t>
  </si>
  <si>
    <t>BlackBoard V1.0</t>
  </si>
  <si>
    <t>Robocore</t>
  </si>
  <si>
    <t>Sensor De Temperatura Ds18b20 Prova Água Waterproof Arduino</t>
  </si>
  <si>
    <t>BEST_BRASIL</t>
  </si>
  <si>
    <t>Display Lcd 16x2 com Backlight Azul</t>
  </si>
  <si>
    <t>Eletrogate</t>
  </si>
  <si>
    <t>Malte Pilsner</t>
  </si>
  <si>
    <t>Receita Weiss (Trigo)</t>
  </si>
  <si>
    <t>Malte de Trigo</t>
  </si>
  <si>
    <t>Lúpulo Perle</t>
  </si>
  <si>
    <t>Água Mineral</t>
  </si>
  <si>
    <t>Unidade</t>
  </si>
  <si>
    <t>Qtd. 20L</t>
  </si>
  <si>
    <t>Kg</t>
  </si>
  <si>
    <t>g</t>
  </si>
  <si>
    <t>pc</t>
  </si>
  <si>
    <t>L</t>
  </si>
  <si>
    <t>Valor</t>
  </si>
  <si>
    <t>Malte Carahell</t>
  </si>
  <si>
    <t>Qtd/compra</t>
  </si>
  <si>
    <t>We Consultoria</t>
  </si>
  <si>
    <t>Galão de água mineral 20L</t>
  </si>
  <si>
    <t>Disk Gas Alegre</t>
  </si>
  <si>
    <t>Valor/unidade</t>
  </si>
  <si>
    <t>TOTAL</t>
  </si>
  <si>
    <t>Unit.</t>
  </si>
  <si>
    <t>Tampa</t>
  </si>
  <si>
    <t>Valor de venda por garrafa</t>
  </si>
  <si>
    <t>Cerveja Lohn Weiss 500ml (CONCORRENTE)</t>
  </si>
  <si>
    <t>Receita Puro Pilsner</t>
  </si>
  <si>
    <t>Qtd 40L</t>
  </si>
  <si>
    <t>Cerveja Bierland Pilsen 500ml (CONCORRENTE)</t>
  </si>
  <si>
    <t>Garrafa 500mL</t>
  </si>
  <si>
    <t>Fermento Lager Fermentis w-34/70</t>
  </si>
  <si>
    <t>Fermento Weiss Fermentis wb-06</t>
  </si>
  <si>
    <t>Garrafa 600mL</t>
  </si>
  <si>
    <t>Garrafaria Serra Negra</t>
  </si>
  <si>
    <t>Bombona Fermentadora Completa 60l (c/ Torneira E Airlock)</t>
  </si>
  <si>
    <t>Qtd. 60L</t>
  </si>
  <si>
    <t>Valor gasto para produção de 60L</t>
  </si>
  <si>
    <t>Renda Estimada 60L</t>
  </si>
  <si>
    <t>Produto/Serviço</t>
  </si>
  <si>
    <t>Quantidade (Estimativa de Vendas)</t>
  </si>
  <si>
    <t>Preço de Venda Unitario (em R$)</t>
  </si>
  <si>
    <t>Faturamento Total (em R$)</t>
  </si>
  <si>
    <t>Cerveja Weiss</t>
  </si>
  <si>
    <t>Cerveja Pilsen</t>
  </si>
  <si>
    <t>Descrição</t>
  </si>
  <si>
    <t>Valor Unitario</t>
  </si>
  <si>
    <t>Total</t>
  </si>
  <si>
    <t>MATERIA-PRIMA</t>
  </si>
  <si>
    <t>Ordem</t>
  </si>
  <si>
    <t>Nome do Fornecedor</t>
  </si>
  <si>
    <t>Descrição do Item</t>
  </si>
  <si>
    <t>Localização</t>
  </si>
  <si>
    <t>Contato</t>
  </si>
  <si>
    <t>Malte Pilsner Saco 25Kg</t>
  </si>
  <si>
    <t>Malte de Trigo Saco 25Kg</t>
  </si>
  <si>
    <t>Malte Carahell Saco 25Kg</t>
  </si>
  <si>
    <t>Lúpulo Perle Saco 10g</t>
  </si>
  <si>
    <t>Fermento Lager Fermentis w-34/70 pacote 11,5g</t>
  </si>
  <si>
    <t>Fermento Weiss Fermentis wb-06 pacote 11,5g</t>
  </si>
  <si>
    <t>Depósito de Bebida Almeida</t>
  </si>
  <si>
    <t>Condições de Pagamento em dias</t>
  </si>
  <si>
    <t>Prazo de Entrega em dias</t>
  </si>
  <si>
    <t>Garrafa 600mL 2160 unidade</t>
  </si>
  <si>
    <t>Garrafa 500mL 2160 unidade</t>
  </si>
  <si>
    <t>Tampa 400 unidade</t>
  </si>
  <si>
    <t>Água Mineral galão de 20L</t>
  </si>
  <si>
    <t>Serviço de modificação por geladeira</t>
  </si>
  <si>
    <t>Sr. Getulio</t>
  </si>
  <si>
    <t>Veiculo VolksWagen Gol 1.0 Power 16v 4p Gasolina</t>
  </si>
  <si>
    <t>Propriedade do Sócio</t>
  </si>
  <si>
    <t>A - Máquinas e equipamentos</t>
  </si>
  <si>
    <t>Qtde.</t>
  </si>
  <si>
    <t>Valor Unitário</t>
  </si>
  <si>
    <t>B - Móveis e utensílios</t>
  </si>
  <si>
    <t>C - Veículos</t>
  </si>
  <si>
    <t>Mesa Aço Inox / Bancada de Apoio - 1,2m (120x70x90cm)</t>
  </si>
  <si>
    <t>Loja Brazil</t>
  </si>
  <si>
    <t>Estantes de Aço 6 prateleiras (92x30x200) suporta 180Kg</t>
  </si>
  <si>
    <t>Eduardo Móveis BH</t>
  </si>
  <si>
    <t>Mesa para Escritório com 3 Gavetas Laterais Office (136X45x76)</t>
  </si>
  <si>
    <t>Dafiti</t>
  </si>
  <si>
    <t>Cadeira de Escritório Giratória Travel Max - UM5B</t>
  </si>
  <si>
    <t>Magazine Luiza</t>
  </si>
  <si>
    <t>Ar Condicionado Split Electrolux Hi Wall Eco Turbo 12000 BTUs Quente/Frio 220v VE12R</t>
  </si>
  <si>
    <t>Furadeira Impacto Mondial 220V</t>
  </si>
  <si>
    <t>Privalia</t>
  </si>
  <si>
    <t>Vaporizador / Higienizador Britânia Vapor Express</t>
  </si>
  <si>
    <t>Ponto Frio</t>
  </si>
  <si>
    <t>BC Supermercados</t>
  </si>
  <si>
    <t>Vela pacote com 6 INSUMO</t>
  </si>
  <si>
    <t>Detergente Cletex Neutro 5 Litros Audax Butterfly</t>
  </si>
  <si>
    <t>Net Suprimentos</t>
  </si>
  <si>
    <t>Lixeira Branca 15 Litros com Pedal Santana</t>
  </si>
  <si>
    <t>Cloro (Hipoclorito de Sódio) 5 Litros Audax Butterfly</t>
  </si>
  <si>
    <t>Álcool Líquido 70° Hospitalar Archote - 1 Litro</t>
  </si>
  <si>
    <t>Sabonete Líquido Antisséptico 800ml Audax Premium</t>
  </si>
  <si>
    <t>Gas</t>
  </si>
  <si>
    <t>Propaganda Amostra Gratis</t>
  </si>
  <si>
    <t>Propaganda Desconto</t>
  </si>
  <si>
    <t>Impostos</t>
  </si>
  <si>
    <t>Luz</t>
  </si>
  <si>
    <t>Água</t>
  </si>
  <si>
    <t>Telefone/internet</t>
  </si>
  <si>
    <t>Faxineira</t>
  </si>
  <si>
    <t>Vassoura Mágica Inteligente 3 Em 1 Feiticeira Aspirador</t>
  </si>
  <si>
    <t>Lojas Americanas</t>
  </si>
  <si>
    <t>Super Balde Mop Spin 360° Vermelho Com 5 Esfregão Refil e Centrifuga em Inox</t>
  </si>
  <si>
    <t>Refil (4 Unidades) Para Esfregao Mop Limpeza Pratica</t>
  </si>
  <si>
    <t>Pano Ecologico Cru De Limpeza Esfrebom Para Pia 3 Peças</t>
  </si>
  <si>
    <t>Jaleco Masculino Oxford Manga Longa</t>
  </si>
  <si>
    <t>Maconequi</t>
  </si>
  <si>
    <t>Touca de cozinha personalizada c/bordado</t>
  </si>
  <si>
    <t>elo7</t>
  </si>
  <si>
    <t>Bota Capataz Cano Curto Branca - SPK061</t>
  </si>
  <si>
    <t>EPI Brasil</t>
  </si>
  <si>
    <t>Balde 30 Litros Com Tampa E Lacre</t>
  </si>
  <si>
    <t>Brasil Plasticos</t>
  </si>
  <si>
    <t>Botija de gás vazia usada</t>
  </si>
  <si>
    <t>Açúcar Refinado Com 1kg União</t>
  </si>
  <si>
    <t>Filme De Pvc 30cmx15m Wyda</t>
  </si>
  <si>
    <t>Gasolina</t>
  </si>
  <si>
    <t>Dona Alverina</t>
  </si>
  <si>
    <t>Total dos  Investimentos Fixos</t>
  </si>
  <si>
    <t>Subtotal (A + B + C)</t>
  </si>
  <si>
    <t>A</t>
  </si>
  <si>
    <t>B</t>
  </si>
  <si>
    <t>C</t>
  </si>
  <si>
    <t>Máquinas e equipamentos</t>
  </si>
  <si>
    <t>Móveis e utensílios</t>
  </si>
  <si>
    <t>Veículos</t>
  </si>
  <si>
    <t>INSUMO</t>
  </si>
  <si>
    <t>IODOFOR 100mL</t>
  </si>
  <si>
    <t>SERVIÇOS</t>
  </si>
  <si>
    <t>Serviço de Faxina por dia</t>
  </si>
  <si>
    <t>Serviço de Produção dos Rotulos</t>
  </si>
  <si>
    <t>MAQUINAS E EQUIPAMENTOS</t>
  </si>
  <si>
    <t>MOVEIS E UTENSILIOS</t>
  </si>
  <si>
    <t>VEICULOS</t>
  </si>
  <si>
    <t>INSUMOS CONSUMIVEIS</t>
  </si>
  <si>
    <t>Subtotal ( C )</t>
  </si>
  <si>
    <t>Subtotal ( B )</t>
  </si>
  <si>
    <t>Subtotal ( A )</t>
  </si>
  <si>
    <t>Qtd. 120L</t>
  </si>
  <si>
    <t>Custo Únitario</t>
  </si>
  <si>
    <t>Açucar Refinado</t>
  </si>
  <si>
    <t>Qtde. mínima para 3 meses</t>
  </si>
  <si>
    <t>Qtde/Mês</t>
  </si>
  <si>
    <t>Um lote de 2160</t>
  </si>
  <si>
    <t>Saco de 25Kg</t>
  </si>
  <si>
    <t>Pacote de 1Kg</t>
  </si>
  <si>
    <t>Saco de 400Un</t>
  </si>
  <si>
    <t>Galão de 20L</t>
  </si>
  <si>
    <t>Pacote de 10g</t>
  </si>
  <si>
    <t>Pacote</t>
  </si>
  <si>
    <t>Estoque/Mês</t>
  </si>
  <si>
    <t>Total/Mês</t>
  </si>
  <si>
    <t>Total/3 Meses</t>
  </si>
  <si>
    <t>Total/6 Meses</t>
  </si>
  <si>
    <t>Total Anual</t>
  </si>
  <si>
    <t>Total/3Mês</t>
  </si>
  <si>
    <t>Total/6Mês</t>
  </si>
  <si>
    <t>Total/Anual</t>
  </si>
  <si>
    <t>TOTAL COMPRA</t>
  </si>
  <si>
    <t>SUBTOTAL A</t>
  </si>
  <si>
    <t>SUBTOTAL B</t>
  </si>
  <si>
    <t>TOTAL EEI</t>
  </si>
  <si>
    <t>MATERIA-PRIMA ( A )</t>
  </si>
  <si>
    <t>INSUMOS ( B )</t>
  </si>
  <si>
    <t>Estimativa de Estoque Inicial (EEI)</t>
  </si>
  <si>
    <t>Caixa Mínimo</t>
  </si>
  <si>
    <t>Custo Fixo Mensal</t>
  </si>
  <si>
    <t>Custo Variável Mensal</t>
  </si>
  <si>
    <t>Custo Total da Empresa</t>
  </si>
  <si>
    <t>Custo Total Diário</t>
  </si>
  <si>
    <t>Necessidade Líquida de Capital de Giro em Dias</t>
  </si>
  <si>
    <t>TOTAL CM</t>
  </si>
  <si>
    <t>Caixa Mínimo (CM)</t>
  </si>
  <si>
    <t>Cáculo do Prazo Médio de Vendas</t>
  </si>
  <si>
    <t>A Vista</t>
  </si>
  <si>
    <t>Prazo 1</t>
  </si>
  <si>
    <t>Prazo 2</t>
  </si>
  <si>
    <t>( % )</t>
  </si>
  <si>
    <t>Número de Dias</t>
  </si>
  <si>
    <t>Média Ponderada em Dias</t>
  </si>
  <si>
    <t>Prazo Médio Total</t>
  </si>
  <si>
    <t>Cáculo do Prazo Médio de Compras</t>
  </si>
  <si>
    <t>Prazo 3</t>
  </si>
  <si>
    <t>Necessidade Média de Estoques</t>
  </si>
  <si>
    <t>Cálculo da Necessidade Média de Estoques</t>
  </si>
  <si>
    <t>Cálculo da necessidade líquida de capital de giro em dias</t>
  </si>
  <si>
    <t>Recursos da empresa fora de seu caixa</t>
  </si>
  <si>
    <t>1.Contas à Receber - prazo médio de vendas</t>
  </si>
  <si>
    <t>2.Estoques - necessidade média de estoque</t>
  </si>
  <si>
    <t>Sub-Total 1 (Item 1 + 2)</t>
  </si>
  <si>
    <t>Recursos de terceiros no caixa da empresa</t>
  </si>
  <si>
    <t>3.Fornecedores – prazo médio de compras</t>
  </si>
  <si>
    <t>Sub-Total 2 (item 3)</t>
  </si>
  <si>
    <t>Necessidade Líquida de Capital de Giro em dias (Subtotal 1 – Subtotal 2)</t>
  </si>
  <si>
    <t>Investimentos Pré-Operacionais</t>
  </si>
  <si>
    <t>Despesas de legalização</t>
  </si>
  <si>
    <t>Obras civis e/ou reformas</t>
  </si>
  <si>
    <t>Divulgação</t>
  </si>
  <si>
    <t>Cursos e treinamentos</t>
  </si>
  <si>
    <t>R$</t>
  </si>
  <si>
    <t>Descrição dos Investimentos</t>
  </si>
  <si>
    <t>Valor (R$)</t>
  </si>
  <si>
    <t>Investimentos Fixos</t>
  </si>
  <si>
    <t>Capital de Giro</t>
  </si>
  <si>
    <t>Fontes de Recursos</t>
  </si>
  <si>
    <t>Recursos Próprios</t>
  </si>
  <si>
    <t>Recursos de Terceiros</t>
  </si>
  <si>
    <t>Outros</t>
  </si>
  <si>
    <t>Faturamento Estimado</t>
  </si>
  <si>
    <t>Custo Total</t>
  </si>
  <si>
    <t>1 . IMPOSTOS</t>
  </si>
  <si>
    <t>IMPOSTOS FEDERAIS</t>
  </si>
  <si>
    <t>SIMPLES</t>
  </si>
  <si>
    <t>IMPOSTOS ESTADUAIS</t>
  </si>
  <si>
    <t>ICMS - Imposto sobre Circulação de Mercadorias e Serviços</t>
  </si>
  <si>
    <t>IMPOSTOS MUNICIPAIS</t>
  </si>
  <si>
    <t>ISS - Imposto Sobre Serviço</t>
  </si>
  <si>
    <t>Subtotal 1</t>
  </si>
  <si>
    <t>2 . GASTOS COM VENDAS</t>
  </si>
  <si>
    <t>Comissões</t>
  </si>
  <si>
    <t>Propaganda</t>
  </si>
  <si>
    <t xml:space="preserve">Taxa de Administração Do Cartão de Crédito
</t>
  </si>
  <si>
    <t>Subtotal 2</t>
  </si>
  <si>
    <t>TOTAL (Subtotal 1 + 2)</t>
  </si>
  <si>
    <t>Estimativa Anual</t>
  </si>
  <si>
    <t xml:space="preserve">Taxa de Administração Do Cartão de Débito
</t>
  </si>
  <si>
    <t>Renda Estimada Por Mês 120L</t>
  </si>
  <si>
    <t>Produto</t>
  </si>
  <si>
    <t>Estimativa de Vendas (em unidades)</t>
  </si>
  <si>
    <t>(R$)</t>
  </si>
  <si>
    <t>CMD (R$ )</t>
  </si>
  <si>
    <t>Custo Unitário de Materiais (R$)</t>
  </si>
  <si>
    <t>Valor gasto para produção de 120L (CMD)</t>
  </si>
  <si>
    <t>Função</t>
  </si>
  <si>
    <t>Nº de Empregados</t>
  </si>
  <si>
    <t>Salário Mensal (R$)</t>
  </si>
  <si>
    <t>(%) de Encargos Sociais</t>
  </si>
  <si>
    <t>Encargos Sociais (R$)</t>
  </si>
  <si>
    <t>Total (R$)</t>
  </si>
  <si>
    <t>Ativos Fixos</t>
  </si>
  <si>
    <t>Valor do Bem ( R$ )</t>
  </si>
  <si>
    <t>Vida Útil em Anos</t>
  </si>
  <si>
    <t>Descrição do Bem</t>
  </si>
  <si>
    <t>Obras Civis/Reformas</t>
  </si>
  <si>
    <t>Reforma da cozinha e pequenas adaptações do espaço</t>
  </si>
  <si>
    <t>Depreciação Anual ( R$ )</t>
  </si>
  <si>
    <t>Depreciação Mensal ( R$ )</t>
  </si>
  <si>
    <t>Aluguel</t>
  </si>
  <si>
    <t>IPTU</t>
  </si>
  <si>
    <t>Energia Elétrica</t>
  </si>
  <si>
    <t>Pró-Labore</t>
  </si>
  <si>
    <t>Manutenção das Geladeiras</t>
  </si>
  <si>
    <t>Salários/Encargos</t>
  </si>
  <si>
    <t>Combustível</t>
  </si>
  <si>
    <t>Taxas Diversas</t>
  </si>
  <si>
    <t>Depreciação</t>
  </si>
  <si>
    <t>Outras Despesas</t>
  </si>
  <si>
    <t>Gás</t>
  </si>
  <si>
    <t>Telefone/Internet</t>
  </si>
  <si>
    <t>Serviço de Faxina</t>
  </si>
  <si>
    <t>Custo Total Mensal ( R$ )</t>
  </si>
  <si>
    <t>OUTROS</t>
  </si>
  <si>
    <t>Nacional Gás</t>
  </si>
  <si>
    <t>Escelsa</t>
  </si>
  <si>
    <t>SAAE</t>
  </si>
  <si>
    <t>Vivo</t>
  </si>
  <si>
    <t>Posto Ipiranga</t>
  </si>
  <si>
    <t>Gráfica Fácil</t>
  </si>
  <si>
    <t>(%)</t>
  </si>
  <si>
    <t>1. Receita Total com Vendas</t>
  </si>
  <si>
    <t>2. Custos Variáveis Totais</t>
  </si>
  <si>
    <t>(-) Custos com Materiais Diretos</t>
  </si>
  <si>
    <t>(-) Impostos Sobre Vendas</t>
  </si>
  <si>
    <t>(-) Gastos com Vendas</t>
  </si>
  <si>
    <t>Subtotal de 2</t>
  </si>
  <si>
    <t xml:space="preserve">3. Margem de Contribuição (1 - 2)
</t>
  </si>
  <si>
    <t>4. (-) Custos Fixos Totais</t>
  </si>
  <si>
    <t xml:space="preserve">5. Resultado Operacional (Lucro/Prejuízo)(3 - 4)
</t>
  </si>
  <si>
    <t>CAPITAL DE GIRO</t>
  </si>
  <si>
    <t>Investimentos Financeiros</t>
  </si>
  <si>
    <t>( R$ )</t>
  </si>
  <si>
    <t>Estoque Inicial</t>
  </si>
  <si>
    <t>Qtd. 720L</t>
  </si>
  <si>
    <t>Produtos Gerais</t>
  </si>
  <si>
    <t>Modificação Geladeira</t>
  </si>
  <si>
    <t>Contator</t>
  </si>
  <si>
    <t>INVESTIDO</t>
  </si>
  <si>
    <t>Custo de Oportunidade</t>
  </si>
  <si>
    <t>Índice da Margem de Contribuição</t>
  </si>
  <si>
    <t>Ponto de Equilibrio</t>
  </si>
  <si>
    <t>Lucratividade</t>
  </si>
  <si>
    <t>Rentabilidade</t>
  </si>
  <si>
    <t>Prazo de Retorno do Investimento</t>
  </si>
  <si>
    <t>Ano 0</t>
  </si>
  <si>
    <t>Ano 1</t>
  </si>
  <si>
    <t>Ano 2</t>
  </si>
  <si>
    <t>Ano 3</t>
  </si>
  <si>
    <t>Entradas</t>
  </si>
  <si>
    <t>Saídas</t>
  </si>
  <si>
    <t>Fluxo de Caixa</t>
  </si>
  <si>
    <t>Valor Presente Liquido</t>
  </si>
  <si>
    <t>Ano 4</t>
  </si>
  <si>
    <t>Meses</t>
  </si>
  <si>
    <t>Ano 5</t>
  </si>
  <si>
    <t>Ano 6</t>
  </si>
  <si>
    <t>Ano 7</t>
  </si>
  <si>
    <t>Ano 8</t>
  </si>
  <si>
    <t>Ano 9</t>
  </si>
  <si>
    <t>Ano 10</t>
  </si>
  <si>
    <t>Qtd. 900L</t>
  </si>
  <si>
    <t>Valor gasto para produção de 900L</t>
  </si>
  <si>
    <t>Valor gasto para produção de 720L (CMD)</t>
  </si>
  <si>
    <t>CUSTO DE OPORTUNIDADE</t>
  </si>
  <si>
    <t>VALOR FINAL EM 10 ANOS</t>
  </si>
  <si>
    <t>GANHO DE:</t>
  </si>
  <si>
    <t>VALOR ANUAL</t>
  </si>
  <si>
    <t>VALOR MENSAL</t>
  </si>
  <si>
    <t>Investimento Poupança:</t>
  </si>
  <si>
    <t>Investimento (LTN):</t>
  </si>
  <si>
    <t>(LTN) Letras do Tesouro Nacional</t>
  </si>
  <si>
    <t xml:space="preserve">A LTN possui uma rentabilidade </t>
  </si>
  <si>
    <t xml:space="preserve">pré-fixada, que não é atrelada a </t>
  </si>
  <si>
    <t>nenhum outro indicador.</t>
  </si>
  <si>
    <t>Esse investimento se torna maior que</t>
  </si>
  <si>
    <t xml:space="preserve">os outros quando a taxa básica de </t>
  </si>
  <si>
    <t>juros (SELIC) ou a taxa de inflação</t>
  </si>
  <si>
    <t>(IGP-M ou IPCA) são menores que a</t>
  </si>
  <si>
    <t>taxa pré-fixada do investimento.</t>
  </si>
  <si>
    <t>Logo é uma taxa de investimento real</t>
  </si>
  <si>
    <t>e segura para ser utilizada como custo</t>
  </si>
  <si>
    <t>de oportunidade do negócio.</t>
  </si>
  <si>
    <t>A taxa de renda fixa esta em 8,05% a.a.</t>
  </si>
  <si>
    <t>A simulação já esta com o valor liquido</t>
  </si>
  <si>
    <t>com os descontos de IR e taxa de 0,3%</t>
  </si>
  <si>
    <t>a.a. do Tesouro Direto</t>
  </si>
  <si>
    <t>Anos</t>
  </si>
  <si>
    <t>Valor Presente (IGP-M) 4,27%</t>
  </si>
  <si>
    <t>TRC (payback descontado)</t>
  </si>
  <si>
    <t>TIR</t>
  </si>
  <si>
    <t>Vendedor</t>
  </si>
  <si>
    <t>Auxiliar</t>
  </si>
  <si>
    <t>Descrição Mensal</t>
  </si>
  <si>
    <t>BC</t>
  </si>
  <si>
    <t xml:space="preserve">Descrição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</si>
</sst>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5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0" borderId="0" xfId="0" applyNumberFormat="1"/>
    <xf numFmtId="164" fontId="0" fillId="5" borderId="0" xfId="0" applyNumberFormat="1" applyFill="1"/>
    <xf numFmtId="164" fontId="0" fillId="0" borderId="0" xfId="0" applyNumberFormat="1" applyFill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5" xfId="0" applyBorder="1"/>
    <xf numFmtId="164" fontId="0" fillId="0" borderId="5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164" fontId="0" fillId="0" borderId="0" xfId="0" applyNumberForma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0" fontId="0" fillId="0" borderId="19" xfId="0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2" xfId="0" applyNumberFormat="1" applyBorder="1"/>
    <xf numFmtId="0" fontId="1" fillId="0" borderId="13" xfId="0" applyFont="1" applyBorder="1"/>
    <xf numFmtId="0" fontId="1" fillId="0" borderId="14" xfId="0" applyFont="1" applyBorder="1"/>
    <xf numFmtId="164" fontId="1" fillId="0" borderId="14" xfId="0" applyNumberFormat="1" applyFont="1" applyBorder="1"/>
    <xf numFmtId="0" fontId="1" fillId="0" borderId="15" xfId="0" applyFont="1" applyBorder="1"/>
    <xf numFmtId="164" fontId="1" fillId="0" borderId="18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3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0" fontId="0" fillId="5" borderId="18" xfId="0" applyFill="1" applyBorder="1"/>
    <xf numFmtId="0" fontId="0" fillId="5" borderId="19" xfId="0" applyFill="1" applyBorder="1"/>
    <xf numFmtId="164" fontId="0" fillId="5" borderId="19" xfId="0" applyNumberFormat="1" applyFill="1" applyBorder="1"/>
    <xf numFmtId="0" fontId="0" fillId="5" borderId="20" xfId="0" applyFill="1" applyBorder="1"/>
    <xf numFmtId="0" fontId="1" fillId="0" borderId="24" xfId="0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25" xfId="0" applyFont="1" applyBorder="1"/>
    <xf numFmtId="0" fontId="0" fillId="0" borderId="5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/>
    <xf numFmtId="0" fontId="0" fillId="3" borderId="16" xfId="0" applyFill="1" applyBorder="1"/>
    <xf numFmtId="0" fontId="0" fillId="6" borderId="16" xfId="0" applyFill="1" applyBorder="1"/>
    <xf numFmtId="0" fontId="0" fillId="4" borderId="16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20" xfId="0" applyBorder="1"/>
    <xf numFmtId="0" fontId="1" fillId="5" borderId="13" xfId="0" applyFont="1" applyFill="1" applyBorder="1"/>
    <xf numFmtId="0" fontId="0" fillId="0" borderId="29" xfId="0" applyBorder="1"/>
    <xf numFmtId="0" fontId="0" fillId="0" borderId="30" xfId="0" applyFill="1" applyBorder="1"/>
    <xf numFmtId="0" fontId="0" fillId="0" borderId="30" xfId="0" applyBorder="1"/>
    <xf numFmtId="164" fontId="0" fillId="0" borderId="30" xfId="0" applyNumberFormat="1" applyBorder="1"/>
    <xf numFmtId="164" fontId="0" fillId="0" borderId="31" xfId="0" applyNumberFormat="1" applyBorder="1"/>
    <xf numFmtId="0" fontId="1" fillId="3" borderId="26" xfId="0" applyFont="1" applyFill="1" applyBorder="1"/>
    <xf numFmtId="164" fontId="1" fillId="5" borderId="27" xfId="0" applyNumberFormat="1" applyFont="1" applyFill="1" applyBorder="1"/>
    <xf numFmtId="0" fontId="1" fillId="5" borderId="27" xfId="0" applyFont="1" applyFill="1" applyBorder="1"/>
    <xf numFmtId="164" fontId="1" fillId="3" borderId="28" xfId="0" applyNumberFormat="1" applyFont="1" applyFill="1" applyBorder="1"/>
    <xf numFmtId="0" fontId="0" fillId="0" borderId="18" xfId="0" applyBorder="1"/>
    <xf numFmtId="0" fontId="0" fillId="0" borderId="19" xfId="0" applyFill="1" applyBorder="1"/>
    <xf numFmtId="164" fontId="0" fillId="5" borderId="27" xfId="0" applyNumberFormat="1" applyFill="1" applyBorder="1"/>
    <xf numFmtId="0" fontId="0" fillId="0" borderId="24" xfId="0" applyBorder="1"/>
    <xf numFmtId="164" fontId="0" fillId="0" borderId="25" xfId="0" applyNumberFormat="1" applyBorder="1"/>
    <xf numFmtId="0" fontId="0" fillId="0" borderId="30" xfId="0" applyFont="1" applyBorder="1"/>
    <xf numFmtId="0" fontId="0" fillId="0" borderId="27" xfId="0" applyBorder="1"/>
    <xf numFmtId="164" fontId="0" fillId="0" borderId="28" xfId="0" applyNumberFormat="1" applyBorder="1"/>
    <xf numFmtId="0" fontId="0" fillId="0" borderId="26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4" fontId="0" fillId="0" borderId="36" xfId="0" applyNumberFormat="1" applyBorder="1"/>
    <xf numFmtId="164" fontId="0" fillId="0" borderId="15" xfId="0" applyNumberFormat="1" applyBorder="1"/>
    <xf numFmtId="0" fontId="1" fillId="0" borderId="26" xfId="0" applyFont="1" applyBorder="1"/>
    <xf numFmtId="0" fontId="1" fillId="0" borderId="27" xfId="0" applyFont="1" applyBorder="1"/>
    <xf numFmtId="164" fontId="1" fillId="0" borderId="27" xfId="0" applyNumberFormat="1" applyFont="1" applyBorder="1"/>
    <xf numFmtId="0" fontId="1" fillId="0" borderId="18" xfId="0" applyFont="1" applyBorder="1"/>
    <xf numFmtId="164" fontId="1" fillId="0" borderId="25" xfId="0" applyNumberFormat="1" applyFont="1" applyBorder="1"/>
    <xf numFmtId="0" fontId="1" fillId="0" borderId="27" xfId="0" applyFont="1" applyFill="1" applyBorder="1"/>
    <xf numFmtId="164" fontId="1" fillId="0" borderId="27" xfId="0" applyNumberFormat="1" applyFont="1" applyFill="1" applyBorder="1"/>
    <xf numFmtId="164" fontId="1" fillId="0" borderId="28" xfId="0" applyNumberFormat="1" applyFont="1" applyBorder="1"/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/>
    <xf numFmtId="164" fontId="0" fillId="0" borderId="38" xfId="0" applyNumberFormat="1" applyBorder="1"/>
    <xf numFmtId="0" fontId="0" fillId="0" borderId="16" xfId="0" applyBorder="1" applyAlignment="1">
      <alignment wrapText="1"/>
    </xf>
    <xf numFmtId="0" fontId="0" fillId="0" borderId="25" xfId="0" applyBorder="1"/>
    <xf numFmtId="0" fontId="0" fillId="0" borderId="29" xfId="0" applyBorder="1" applyAlignment="1">
      <alignment wrapText="1"/>
    </xf>
    <xf numFmtId="0" fontId="0" fillId="0" borderId="31" xfId="0" applyBorder="1"/>
    <xf numFmtId="0" fontId="0" fillId="0" borderId="28" xfId="0" applyBorder="1"/>
    <xf numFmtId="164" fontId="0" fillId="0" borderId="25" xfId="0" applyNumberFormat="1" applyFill="1" applyBorder="1"/>
    <xf numFmtId="0" fontId="0" fillId="0" borderId="29" xfId="0" applyFill="1" applyBorder="1"/>
    <xf numFmtId="0" fontId="0" fillId="0" borderId="26" xfId="0" applyFill="1" applyBorder="1"/>
    <xf numFmtId="10" fontId="0" fillId="0" borderId="1" xfId="0" applyNumberFormat="1" applyBorder="1"/>
    <xf numFmtId="10" fontId="0" fillId="0" borderId="30" xfId="0" applyNumberFormat="1" applyBorder="1"/>
    <xf numFmtId="9" fontId="0" fillId="0" borderId="1" xfId="0" applyNumberFormat="1" applyBorder="1"/>
    <xf numFmtId="9" fontId="0" fillId="0" borderId="30" xfId="0" applyNumberFormat="1" applyBorder="1"/>
    <xf numFmtId="0" fontId="0" fillId="0" borderId="17" xfId="0" applyNumberFormat="1" applyFill="1" applyBorder="1"/>
    <xf numFmtId="0" fontId="0" fillId="0" borderId="28" xfId="0" applyNumberFormat="1" applyFill="1" applyBorder="1"/>
    <xf numFmtId="0" fontId="0" fillId="0" borderId="39" xfId="0" applyFill="1" applyBorder="1"/>
    <xf numFmtId="9" fontId="0" fillId="0" borderId="40" xfId="0" applyNumberFormat="1" applyBorder="1"/>
    <xf numFmtId="0" fontId="0" fillId="0" borderId="40" xfId="0" applyBorder="1"/>
    <xf numFmtId="0" fontId="0" fillId="0" borderId="1" xfId="0" applyNumberFormat="1" applyFill="1" applyBorder="1"/>
    <xf numFmtId="0" fontId="1" fillId="0" borderId="0" xfId="0" applyFont="1" applyAlignment="1">
      <alignment vertical="center" wrapText="1"/>
    </xf>
    <xf numFmtId="0" fontId="1" fillId="0" borderId="16" xfId="0" applyFont="1" applyBorder="1" applyAlignment="1">
      <alignment wrapText="1"/>
    </xf>
    <xf numFmtId="0" fontId="0" fillId="0" borderId="16" xfId="0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5" borderId="17" xfId="0" applyFill="1" applyBorder="1"/>
    <xf numFmtId="0" fontId="0" fillId="3" borderId="17" xfId="0" applyFill="1" applyBorder="1"/>
    <xf numFmtId="0" fontId="0" fillId="3" borderId="31" xfId="0" applyFill="1" applyBorder="1"/>
    <xf numFmtId="0" fontId="0" fillId="2" borderId="28" xfId="0" applyFill="1" applyBorder="1"/>
    <xf numFmtId="0" fontId="0" fillId="0" borderId="16" xfId="0" applyBorder="1" applyAlignment="1">
      <alignment vertical="center"/>
    </xf>
    <xf numFmtId="0" fontId="1" fillId="0" borderId="26" xfId="0" applyFont="1" applyBorder="1" applyAlignment="1">
      <alignment vertical="center"/>
    </xf>
    <xf numFmtId="10" fontId="0" fillId="0" borderId="25" xfId="0" applyNumberFormat="1" applyBorder="1"/>
    <xf numFmtId="0" fontId="1" fillId="0" borderId="28" xfId="0" applyFont="1" applyBorder="1" applyAlignment="1">
      <alignment horizontal="center"/>
    </xf>
    <xf numFmtId="10" fontId="1" fillId="0" borderId="28" xfId="0" applyNumberFormat="1" applyFont="1" applyBorder="1"/>
    <xf numFmtId="0" fontId="1" fillId="0" borderId="28" xfId="0" applyFont="1" applyBorder="1"/>
    <xf numFmtId="0" fontId="1" fillId="0" borderId="16" xfId="0" applyFont="1" applyBorder="1" applyAlignment="1">
      <alignment horizontal="left" vertical="center" indent="1"/>
    </xf>
    <xf numFmtId="0" fontId="0" fillId="0" borderId="26" xfId="0" applyBorder="1" applyAlignment="1">
      <alignment vertical="center"/>
    </xf>
    <xf numFmtId="0" fontId="1" fillId="0" borderId="39" xfId="0" applyFont="1" applyBorder="1"/>
    <xf numFmtId="0" fontId="0" fillId="0" borderId="39" xfId="0" applyBorder="1"/>
    <xf numFmtId="0" fontId="1" fillId="0" borderId="13" xfId="0" applyFont="1" applyBorder="1" applyAlignment="1">
      <alignment horizontal="left" vertical="center" indent="1"/>
    </xf>
    <xf numFmtId="0" fontId="0" fillId="5" borderId="39" xfId="0" applyFill="1" applyBorder="1"/>
    <xf numFmtId="0" fontId="0" fillId="5" borderId="40" xfId="0" applyFill="1" applyBorder="1"/>
    <xf numFmtId="0" fontId="0" fillId="5" borderId="41" xfId="0" applyFill="1" applyBorder="1"/>
    <xf numFmtId="10" fontId="0" fillId="0" borderId="14" xfId="0" applyNumberFormat="1" applyBorder="1"/>
    <xf numFmtId="10" fontId="0" fillId="0" borderId="19" xfId="0" applyNumberFormat="1" applyBorder="1"/>
    <xf numFmtId="10" fontId="0" fillId="5" borderId="1" xfId="0" applyNumberFormat="1" applyFill="1" applyBorder="1"/>
    <xf numFmtId="10" fontId="0" fillId="5" borderId="14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29" xfId="0" applyBorder="1" applyAlignment="1">
      <alignment vertical="center"/>
    </xf>
    <xf numFmtId="10" fontId="0" fillId="0" borderId="27" xfId="0" applyNumberFormat="1" applyBorder="1"/>
    <xf numFmtId="164" fontId="0" fillId="5" borderId="17" xfId="0" applyNumberFormat="1" applyFill="1" applyBorder="1"/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13" xfId="0" applyBorder="1" applyAlignment="1"/>
    <xf numFmtId="3" fontId="0" fillId="0" borderId="5" xfId="0" applyNumberFormat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26" xfId="0" applyFont="1" applyBorder="1" applyAlignment="1"/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wrapText="1"/>
    </xf>
    <xf numFmtId="164" fontId="0" fillId="0" borderId="40" xfId="0" applyNumberFormat="1" applyBorder="1"/>
    <xf numFmtId="10" fontId="0" fillId="0" borderId="40" xfId="0" applyNumberFormat="1" applyBorder="1"/>
    <xf numFmtId="164" fontId="0" fillId="0" borderId="41" xfId="0" applyNumberFormat="1" applyBorder="1"/>
    <xf numFmtId="0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0" borderId="26" xfId="0" applyFont="1" applyBorder="1" applyAlignment="1">
      <alignment horizontal="center"/>
    </xf>
    <xf numFmtId="0" fontId="1" fillId="0" borderId="27" xfId="0" applyNumberFormat="1" applyFont="1" applyBorder="1"/>
    <xf numFmtId="0" fontId="1" fillId="0" borderId="32" xfId="0" applyFont="1" applyBorder="1"/>
    <xf numFmtId="0" fontId="1" fillId="0" borderId="1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7" borderId="16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1" fillId="7" borderId="14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10" fontId="0" fillId="0" borderId="41" xfId="0" applyNumberFormat="1" applyBorder="1"/>
    <xf numFmtId="10" fontId="0" fillId="0" borderId="12" xfId="0" applyNumberFormat="1" applyBorder="1"/>
    <xf numFmtId="0" fontId="0" fillId="0" borderId="39" xfId="0" applyFont="1" applyBorder="1"/>
    <xf numFmtId="0" fontId="0" fillId="0" borderId="40" xfId="0" applyFont="1" applyBorder="1"/>
    <xf numFmtId="164" fontId="0" fillId="0" borderId="40" xfId="0" applyNumberFormat="1" applyFont="1" applyBorder="1"/>
    <xf numFmtId="0" fontId="0" fillId="0" borderId="16" xfId="0" applyFill="1" applyBorder="1" applyAlignment="1"/>
    <xf numFmtId="0" fontId="0" fillId="0" borderId="18" xfId="0" applyFill="1" applyBorder="1" applyAlignment="1"/>
    <xf numFmtId="10" fontId="0" fillId="0" borderId="0" xfId="0" applyNumberFormat="1"/>
    <xf numFmtId="0" fontId="1" fillId="0" borderId="42" xfId="0" applyFont="1" applyBorder="1" applyAlignment="1">
      <alignment horizontal="center" vertical="center" wrapText="1"/>
    </xf>
    <xf numFmtId="164" fontId="0" fillId="0" borderId="43" xfId="0" applyNumberFormat="1" applyBorder="1"/>
    <xf numFmtId="164" fontId="1" fillId="0" borderId="17" xfId="0" applyNumberFormat="1" applyFont="1" applyBorder="1"/>
    <xf numFmtId="164" fontId="0" fillId="0" borderId="27" xfId="0" applyNumberFormat="1" applyBorder="1"/>
    <xf numFmtId="164" fontId="0" fillId="5" borderId="40" xfId="0" applyNumberFormat="1" applyFill="1" applyBorder="1"/>
    <xf numFmtId="164" fontId="0" fillId="5" borderId="1" xfId="0" applyNumberFormat="1" applyFill="1" applyBorder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9" xfId="0" applyFill="1" applyBorder="1" applyAlignment="1"/>
    <xf numFmtId="0" fontId="0" fillId="0" borderId="44" xfId="0" applyBorder="1"/>
    <xf numFmtId="164" fontId="0" fillId="0" borderId="45" xfId="0" applyNumberFormat="1" applyBorder="1"/>
    <xf numFmtId="164" fontId="0" fillId="0" borderId="46" xfId="0" applyNumberFormat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/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Border="1"/>
    <xf numFmtId="3" fontId="0" fillId="0" borderId="0" xfId="0" applyNumberFormat="1" applyBorder="1"/>
    <xf numFmtId="3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left" vertical="center" indent="1"/>
    </xf>
    <xf numFmtId="10" fontId="0" fillId="0" borderId="0" xfId="0" applyNumberFormat="1" applyFill="1" applyBorder="1"/>
    <xf numFmtId="164" fontId="0" fillId="0" borderId="0" xfId="0" applyNumberFormat="1" applyFill="1" applyBorder="1" applyAlignment="1">
      <alignment vertical="center" wrapText="1"/>
    </xf>
    <xf numFmtId="164" fontId="0" fillId="0" borderId="0" xfId="0" applyNumberFormat="1" applyFill="1" applyBorder="1" applyAlignment="1">
      <alignment wrapText="1"/>
    </xf>
    <xf numFmtId="4" fontId="0" fillId="0" borderId="0" xfId="0" applyNumberFormat="1"/>
    <xf numFmtId="2" fontId="1" fillId="0" borderId="1" xfId="0" applyNumberFormat="1" applyFont="1" applyBorder="1"/>
    <xf numFmtId="10" fontId="1" fillId="0" borderId="19" xfId="0" applyNumberFormat="1" applyFont="1" applyBorder="1"/>
    <xf numFmtId="0" fontId="1" fillId="0" borderId="13" xfId="0" applyFont="1" applyBorder="1" applyAlignment="1">
      <alignment wrapText="1"/>
    </xf>
    <xf numFmtId="10" fontId="1" fillId="0" borderId="14" xfId="0" applyNumberFormat="1" applyFont="1" applyBorder="1"/>
    <xf numFmtId="10" fontId="1" fillId="0" borderId="1" xfId="0" applyNumberFormat="1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10" sqref="A10"/>
    </sheetView>
  </sheetViews>
  <sheetFormatPr defaultRowHeight="15" x14ac:dyDescent="0.25"/>
  <cols>
    <col min="1" max="1" width="32.7109375" customWidth="1"/>
    <col min="7" max="7" width="12" customWidth="1"/>
    <col min="9" max="9" width="11.5703125" customWidth="1"/>
    <col min="10" max="10" width="14.85546875" customWidth="1"/>
    <col min="11" max="11" width="29.85546875" customWidth="1"/>
    <col min="12" max="13" width="31.28515625" style="4" customWidth="1"/>
    <col min="14" max="14" width="30" customWidth="1"/>
    <col min="15" max="15" width="24.5703125" style="4" customWidth="1"/>
    <col min="16" max="16" width="41.85546875" style="4" customWidth="1"/>
    <col min="17" max="17" width="42" customWidth="1"/>
  </cols>
  <sheetData>
    <row r="1" spans="1:16" ht="30.75" thickTop="1" x14ac:dyDescent="0.25">
      <c r="A1" s="177" t="s">
        <v>39</v>
      </c>
      <c r="B1" s="178" t="s">
        <v>44</v>
      </c>
      <c r="C1" s="178" t="s">
        <v>70</v>
      </c>
      <c r="D1" s="178" t="s">
        <v>177</v>
      </c>
      <c r="E1" s="178" t="s">
        <v>321</v>
      </c>
      <c r="F1" s="178" t="s">
        <v>348</v>
      </c>
      <c r="G1" s="178" t="s">
        <v>51</v>
      </c>
      <c r="H1" s="178" t="s">
        <v>43</v>
      </c>
      <c r="I1" s="179" t="s">
        <v>49</v>
      </c>
      <c r="J1" s="179" t="s">
        <v>55</v>
      </c>
      <c r="K1" s="178" t="s">
        <v>71</v>
      </c>
      <c r="L1" s="176" t="s">
        <v>350</v>
      </c>
      <c r="M1" s="220" t="s">
        <v>349</v>
      </c>
      <c r="N1" s="180" t="s">
        <v>178</v>
      </c>
      <c r="O1" s="60" t="s">
        <v>59</v>
      </c>
      <c r="P1" s="61" t="s">
        <v>60</v>
      </c>
    </row>
    <row r="2" spans="1:16" x14ac:dyDescent="0.25">
      <c r="A2" s="45" t="s">
        <v>38</v>
      </c>
      <c r="B2" s="21">
        <v>2</v>
      </c>
      <c r="C2" s="21">
        <f t="shared" ref="C2:C10" si="0">SUM((B2*60)/20)</f>
        <v>6</v>
      </c>
      <c r="D2" s="21">
        <f>SUM(C2*2)</f>
        <v>12</v>
      </c>
      <c r="E2" s="21">
        <f>SUM(C2*12)</f>
        <v>72</v>
      </c>
      <c r="F2" s="21">
        <f>SUM(C2*15)</f>
        <v>90</v>
      </c>
      <c r="G2" s="21">
        <v>25</v>
      </c>
      <c r="H2" s="21" t="s">
        <v>45</v>
      </c>
      <c r="I2" s="22">
        <f>EstudodeFornecedores!D9</f>
        <v>175.09</v>
      </c>
      <c r="J2" s="22">
        <f t="shared" ref="J2:J10" si="1">SUM(I2/G2)</f>
        <v>7.0036000000000005</v>
      </c>
      <c r="K2" s="22">
        <f>SUM(C2*J2)</f>
        <v>42.021600000000007</v>
      </c>
      <c r="L2" s="46">
        <f>SUM(E2*J2)</f>
        <v>504.25920000000002</v>
      </c>
      <c r="M2" s="221">
        <f>SUM(J2*F2)</f>
        <v>630.32400000000007</v>
      </c>
      <c r="N2" s="50">
        <f>SUM(K2/$C$8)</f>
        <v>0.35018000000000005</v>
      </c>
      <c r="O2" s="62">
        <v>13.99</v>
      </c>
      <c r="P2" s="38">
        <v>18.989999999999998</v>
      </c>
    </row>
    <row r="3" spans="1:16" x14ac:dyDescent="0.25">
      <c r="A3" s="45" t="s">
        <v>40</v>
      </c>
      <c r="B3" s="21">
        <v>2</v>
      </c>
      <c r="C3" s="21">
        <f t="shared" si="0"/>
        <v>6</v>
      </c>
      <c r="D3" s="21">
        <f t="shared" ref="D3:D10" si="2">SUM(C3*2)</f>
        <v>12</v>
      </c>
      <c r="E3" s="21">
        <f t="shared" ref="E3:E10" si="3">SUM(C3*12)</f>
        <v>72</v>
      </c>
      <c r="F3" s="21">
        <f t="shared" ref="F3:F10" si="4">SUM(C3*15)</f>
        <v>90</v>
      </c>
      <c r="G3" s="21">
        <v>25</v>
      </c>
      <c r="H3" s="21" t="s">
        <v>45</v>
      </c>
      <c r="I3" s="22">
        <f>EstudodeFornecedores!D10</f>
        <v>175.09</v>
      </c>
      <c r="J3" s="22">
        <f t="shared" si="1"/>
        <v>7.0036000000000005</v>
      </c>
      <c r="K3" s="22">
        <f t="shared" ref="K3:K10" si="5">SUM(C3*J3)</f>
        <v>42.021600000000007</v>
      </c>
      <c r="L3" s="46">
        <f t="shared" ref="L3:L9" si="6">SUM(E3*J3)</f>
        <v>504.25920000000002</v>
      </c>
      <c r="M3" s="221">
        <f t="shared" ref="M3:M10" si="7">SUM(J3*F3)</f>
        <v>630.32400000000007</v>
      </c>
      <c r="N3" s="50">
        <f t="shared" ref="N3:N10" si="8">SUM(K3/$C$8)</f>
        <v>0.35018000000000005</v>
      </c>
      <c r="O3" s="62"/>
      <c r="P3" s="38"/>
    </row>
    <row r="4" spans="1:16" x14ac:dyDescent="0.25">
      <c r="A4" s="45" t="s">
        <v>50</v>
      </c>
      <c r="B4" s="21">
        <v>0.5</v>
      </c>
      <c r="C4" s="21">
        <f t="shared" si="0"/>
        <v>1.5</v>
      </c>
      <c r="D4" s="21">
        <f t="shared" si="2"/>
        <v>3</v>
      </c>
      <c r="E4" s="21">
        <f t="shared" si="3"/>
        <v>18</v>
      </c>
      <c r="F4" s="21">
        <f t="shared" si="4"/>
        <v>22.5</v>
      </c>
      <c r="G4" s="21">
        <v>25</v>
      </c>
      <c r="H4" s="21" t="s">
        <v>45</v>
      </c>
      <c r="I4" s="22">
        <f>EstudodeFornecedores!D8</f>
        <v>218.59</v>
      </c>
      <c r="J4" s="22">
        <f t="shared" si="1"/>
        <v>8.7436000000000007</v>
      </c>
      <c r="K4" s="22">
        <f t="shared" si="5"/>
        <v>13.115400000000001</v>
      </c>
      <c r="L4" s="46">
        <f t="shared" si="6"/>
        <v>157.38480000000001</v>
      </c>
      <c r="M4" s="221">
        <f t="shared" si="7"/>
        <v>196.73100000000002</v>
      </c>
      <c r="N4" s="50">
        <f t="shared" si="8"/>
        <v>0.109295</v>
      </c>
      <c r="O4" s="62"/>
      <c r="P4" s="38"/>
    </row>
    <row r="5" spans="1:16" x14ac:dyDescent="0.25">
      <c r="A5" s="45" t="s">
        <v>41</v>
      </c>
      <c r="B5" s="21">
        <v>30</v>
      </c>
      <c r="C5" s="21">
        <f t="shared" si="0"/>
        <v>90</v>
      </c>
      <c r="D5" s="21">
        <f t="shared" si="2"/>
        <v>180</v>
      </c>
      <c r="E5" s="21">
        <f t="shared" si="3"/>
        <v>1080</v>
      </c>
      <c r="F5" s="21">
        <f t="shared" si="4"/>
        <v>1350</v>
      </c>
      <c r="G5" s="21">
        <v>10</v>
      </c>
      <c r="H5" s="21" t="s">
        <v>46</v>
      </c>
      <c r="I5" s="22">
        <f>EstudodeFornecedores!D11</f>
        <v>1.49</v>
      </c>
      <c r="J5" s="22">
        <f t="shared" si="1"/>
        <v>0.14899999999999999</v>
      </c>
      <c r="K5" s="22">
        <f t="shared" si="5"/>
        <v>13.41</v>
      </c>
      <c r="L5" s="46">
        <f t="shared" si="6"/>
        <v>160.91999999999999</v>
      </c>
      <c r="M5" s="221">
        <f t="shared" si="7"/>
        <v>201.14999999999998</v>
      </c>
      <c r="N5" s="50">
        <f t="shared" si="8"/>
        <v>0.11175</v>
      </c>
      <c r="O5" s="62"/>
      <c r="P5" s="38"/>
    </row>
    <row r="6" spans="1:16" x14ac:dyDescent="0.25">
      <c r="A6" s="45" t="s">
        <v>66</v>
      </c>
      <c r="B6" s="21">
        <v>1</v>
      </c>
      <c r="C6" s="21">
        <f t="shared" si="0"/>
        <v>3</v>
      </c>
      <c r="D6" s="21">
        <f t="shared" si="2"/>
        <v>6</v>
      </c>
      <c r="E6" s="21">
        <f t="shared" si="3"/>
        <v>36</v>
      </c>
      <c r="F6" s="21">
        <f t="shared" si="4"/>
        <v>45</v>
      </c>
      <c r="G6" s="21">
        <v>1</v>
      </c>
      <c r="H6" s="21" t="s">
        <v>47</v>
      </c>
      <c r="I6" s="22">
        <f>EstudodeFornecedores!D13</f>
        <v>21.21</v>
      </c>
      <c r="J6" s="22">
        <f t="shared" si="1"/>
        <v>21.21</v>
      </c>
      <c r="K6" s="22">
        <f t="shared" si="5"/>
        <v>63.63</v>
      </c>
      <c r="L6" s="46">
        <f t="shared" si="6"/>
        <v>763.56000000000006</v>
      </c>
      <c r="M6" s="221">
        <f t="shared" si="7"/>
        <v>954.45</v>
      </c>
      <c r="N6" s="50">
        <f t="shared" si="8"/>
        <v>0.53025</v>
      </c>
      <c r="O6" s="62"/>
      <c r="P6" s="38"/>
    </row>
    <row r="7" spans="1:16" x14ac:dyDescent="0.25">
      <c r="A7" s="45" t="s">
        <v>42</v>
      </c>
      <c r="B7" s="21">
        <v>32</v>
      </c>
      <c r="C7" s="21">
        <f t="shared" si="0"/>
        <v>96</v>
      </c>
      <c r="D7" s="21">
        <f t="shared" si="2"/>
        <v>192</v>
      </c>
      <c r="E7" s="21">
        <f t="shared" si="3"/>
        <v>1152</v>
      </c>
      <c r="F7" s="21">
        <f t="shared" si="4"/>
        <v>1440</v>
      </c>
      <c r="G7" s="21">
        <v>20</v>
      </c>
      <c r="H7" s="21" t="s">
        <v>48</v>
      </c>
      <c r="I7" s="22">
        <f>EstudodeFornecedores!D5</f>
        <v>8.5</v>
      </c>
      <c r="J7" s="22">
        <f t="shared" si="1"/>
        <v>0.42499999999999999</v>
      </c>
      <c r="K7" s="22">
        <f t="shared" si="5"/>
        <v>40.799999999999997</v>
      </c>
      <c r="L7" s="46">
        <f t="shared" si="6"/>
        <v>489.59999999999997</v>
      </c>
      <c r="M7" s="221">
        <f t="shared" si="7"/>
        <v>612</v>
      </c>
      <c r="N7" s="50">
        <f t="shared" si="8"/>
        <v>0.33999999999999997</v>
      </c>
      <c r="O7" s="62"/>
      <c r="P7" s="38"/>
    </row>
    <row r="8" spans="1:16" x14ac:dyDescent="0.25">
      <c r="A8" s="45" t="s">
        <v>64</v>
      </c>
      <c r="B8" s="21">
        <v>40</v>
      </c>
      <c r="C8" s="21">
        <f t="shared" si="0"/>
        <v>120</v>
      </c>
      <c r="D8" s="21">
        <f t="shared" si="2"/>
        <v>240</v>
      </c>
      <c r="E8" s="21">
        <f t="shared" si="3"/>
        <v>1440</v>
      </c>
      <c r="F8" s="21">
        <f t="shared" si="4"/>
        <v>1800</v>
      </c>
      <c r="G8" s="21">
        <v>2160</v>
      </c>
      <c r="H8" s="21" t="s">
        <v>57</v>
      </c>
      <c r="I8" s="22">
        <f>EstudodeFornecedores!D6</f>
        <v>4795.2</v>
      </c>
      <c r="J8" s="22">
        <f t="shared" si="1"/>
        <v>2.2199999999999998</v>
      </c>
      <c r="K8" s="22">
        <f t="shared" si="5"/>
        <v>266.39999999999998</v>
      </c>
      <c r="L8" s="46">
        <f t="shared" si="6"/>
        <v>3196.7999999999997</v>
      </c>
      <c r="M8" s="221">
        <f t="shared" si="7"/>
        <v>3995.9999999999995</v>
      </c>
      <c r="N8" s="50">
        <f t="shared" si="8"/>
        <v>2.2199999999999998</v>
      </c>
      <c r="O8" s="62"/>
      <c r="P8" s="38"/>
    </row>
    <row r="9" spans="1:16" x14ac:dyDescent="0.25">
      <c r="A9" s="45" t="s">
        <v>58</v>
      </c>
      <c r="B9" s="21">
        <v>40</v>
      </c>
      <c r="C9" s="21">
        <f t="shared" si="0"/>
        <v>120</v>
      </c>
      <c r="D9" s="21">
        <f t="shared" si="2"/>
        <v>240</v>
      </c>
      <c r="E9" s="21">
        <f t="shared" si="3"/>
        <v>1440</v>
      </c>
      <c r="F9" s="21">
        <f t="shared" si="4"/>
        <v>1800</v>
      </c>
      <c r="G9" s="21">
        <v>400</v>
      </c>
      <c r="H9" s="21" t="s">
        <v>57</v>
      </c>
      <c r="I9" s="22">
        <f>EstudodeFornecedores!D4</f>
        <v>45.78</v>
      </c>
      <c r="J9" s="22">
        <f t="shared" si="1"/>
        <v>0.11445</v>
      </c>
      <c r="K9" s="22">
        <f t="shared" si="5"/>
        <v>13.734</v>
      </c>
      <c r="L9" s="46">
        <f t="shared" si="6"/>
        <v>164.80799999999999</v>
      </c>
      <c r="M9" s="221">
        <f t="shared" si="7"/>
        <v>206.01</v>
      </c>
      <c r="N9" s="50">
        <f t="shared" si="8"/>
        <v>0.11445</v>
      </c>
      <c r="O9" s="62" t="s">
        <v>72</v>
      </c>
      <c r="P9" s="38" t="s">
        <v>265</v>
      </c>
    </row>
    <row r="10" spans="1:16" x14ac:dyDescent="0.25">
      <c r="A10" s="90" t="s">
        <v>179</v>
      </c>
      <c r="B10" s="92">
        <v>230</v>
      </c>
      <c r="C10" s="92">
        <f t="shared" si="0"/>
        <v>690</v>
      </c>
      <c r="D10" s="92">
        <f t="shared" si="2"/>
        <v>1380</v>
      </c>
      <c r="E10" s="21">
        <f t="shared" si="3"/>
        <v>8280</v>
      </c>
      <c r="F10" s="21">
        <f t="shared" si="4"/>
        <v>10350</v>
      </c>
      <c r="G10" s="92">
        <v>1000</v>
      </c>
      <c r="H10" s="92" t="s">
        <v>46</v>
      </c>
      <c r="I10" s="93">
        <f>EstudodeFornecedores!D3</f>
        <v>3.47</v>
      </c>
      <c r="J10" s="22">
        <f t="shared" si="1"/>
        <v>3.47E-3</v>
      </c>
      <c r="K10" s="22">
        <f t="shared" si="5"/>
        <v>2.3942999999999999</v>
      </c>
      <c r="L10" s="46">
        <f>SUM(E10*J10)</f>
        <v>28.7316</v>
      </c>
      <c r="M10" s="221">
        <f t="shared" si="7"/>
        <v>35.914499999999997</v>
      </c>
      <c r="N10" s="50">
        <f t="shared" si="8"/>
        <v>1.9952499999999998E-2</v>
      </c>
      <c r="O10" s="62"/>
      <c r="P10" s="38"/>
    </row>
    <row r="11" spans="1:16" ht="15.75" thickBot="1" x14ac:dyDescent="0.3">
      <c r="A11" s="55" t="s">
        <v>56</v>
      </c>
      <c r="B11" s="56"/>
      <c r="C11" s="56"/>
      <c r="D11" s="56"/>
      <c r="E11" s="56"/>
      <c r="F11" s="56"/>
      <c r="G11" s="56"/>
      <c r="H11" s="56"/>
      <c r="I11" s="57"/>
      <c r="J11" s="56"/>
      <c r="K11" s="57">
        <f>SUM(K2:K10)</f>
        <v>497.52689999999996</v>
      </c>
      <c r="L11" s="58">
        <f>SUM(L2:L10)</f>
        <v>5970.3227999999999</v>
      </c>
      <c r="M11" s="58">
        <f>SUM(M2:M10)</f>
        <v>7462.9034999999994</v>
      </c>
      <c r="N11" s="59">
        <f>SUM(N2:N10)</f>
        <v>4.1460574999999986</v>
      </c>
      <c r="O11" s="62">
        <f>SUM(C8*O2)</f>
        <v>1678.8</v>
      </c>
      <c r="P11" s="38">
        <f>SUM(O11*2)</f>
        <v>3357.6</v>
      </c>
    </row>
    <row r="12" spans="1:16" ht="15.75" thickTop="1" x14ac:dyDescent="0.25">
      <c r="N12" s="4"/>
      <c r="O12" s="62"/>
      <c r="P12" s="63"/>
    </row>
    <row r="13" spans="1:16" x14ac:dyDescent="0.25">
      <c r="N13" s="5"/>
      <c r="O13" s="62"/>
      <c r="P13" s="63"/>
    </row>
    <row r="14" spans="1:16" ht="15.75" thickBot="1" x14ac:dyDescent="0.3">
      <c r="N14" s="4"/>
      <c r="O14" s="62"/>
      <c r="P14" s="63"/>
    </row>
    <row r="15" spans="1:16" ht="30.75" thickTop="1" x14ac:dyDescent="0.25">
      <c r="A15" s="177" t="s">
        <v>61</v>
      </c>
      <c r="B15" s="178" t="s">
        <v>62</v>
      </c>
      <c r="C15" s="178" t="s">
        <v>70</v>
      </c>
      <c r="D15" s="178" t="s">
        <v>177</v>
      </c>
      <c r="E15" s="178" t="s">
        <v>321</v>
      </c>
      <c r="F15" s="178" t="s">
        <v>348</v>
      </c>
      <c r="G15" s="178" t="s">
        <v>51</v>
      </c>
      <c r="H15" s="178" t="s">
        <v>43</v>
      </c>
      <c r="I15" s="179" t="s">
        <v>49</v>
      </c>
      <c r="J15" s="179" t="s">
        <v>55</v>
      </c>
      <c r="K15" s="178" t="s">
        <v>71</v>
      </c>
      <c r="L15" s="176" t="s">
        <v>271</v>
      </c>
      <c r="M15" s="220" t="s">
        <v>349</v>
      </c>
      <c r="N15" s="180" t="s">
        <v>178</v>
      </c>
      <c r="O15" s="62" t="s">
        <v>59</v>
      </c>
      <c r="P15" s="38" t="s">
        <v>63</v>
      </c>
    </row>
    <row r="16" spans="1:16" x14ac:dyDescent="0.25">
      <c r="A16" s="45" t="s">
        <v>38</v>
      </c>
      <c r="B16" s="21">
        <v>9</v>
      </c>
      <c r="C16" s="21">
        <f>SUM((B16*60)/40)</f>
        <v>13.5</v>
      </c>
      <c r="D16" s="21">
        <f t="shared" ref="D16:D22" si="9">SUM(C16*2)</f>
        <v>27</v>
      </c>
      <c r="E16" s="21">
        <f>SUM(C16*12)</f>
        <v>162</v>
      </c>
      <c r="F16" s="21">
        <f>SUM(C16*15)</f>
        <v>202.5</v>
      </c>
      <c r="G16" s="21">
        <v>25</v>
      </c>
      <c r="H16" s="21" t="s">
        <v>45</v>
      </c>
      <c r="I16" s="22">
        <f>EstudodeFornecedores!D9</f>
        <v>175.09</v>
      </c>
      <c r="J16" s="22">
        <f t="shared" ref="J16:J22" si="10">SUM(I16/G16)</f>
        <v>7.0036000000000005</v>
      </c>
      <c r="K16" s="22">
        <f t="shared" ref="K16:K22" si="11">SUM(J16*C16)</f>
        <v>94.548600000000008</v>
      </c>
      <c r="L16" s="46">
        <f>SUM(D16*J16)</f>
        <v>189.09720000000002</v>
      </c>
      <c r="M16" s="221">
        <f>SUM(J16*F16)</f>
        <v>1418.229</v>
      </c>
      <c r="N16" s="50">
        <f t="shared" ref="N16:N22" si="12">SUM(L16/$D$20)</f>
        <v>0.94548600000000005</v>
      </c>
      <c r="O16" s="62">
        <v>13.99</v>
      </c>
      <c r="P16" s="38">
        <v>16.989999999999998</v>
      </c>
    </row>
    <row r="17" spans="1:16" x14ac:dyDescent="0.25">
      <c r="A17" s="45" t="s">
        <v>41</v>
      </c>
      <c r="B17" s="21">
        <v>60</v>
      </c>
      <c r="C17" s="21">
        <f>SUM((B17*60)/40)</f>
        <v>90</v>
      </c>
      <c r="D17" s="21">
        <f t="shared" si="9"/>
        <v>180</v>
      </c>
      <c r="E17" s="21">
        <f t="shared" ref="E17:E22" si="13">SUM(C17*12)</f>
        <v>1080</v>
      </c>
      <c r="F17" s="21">
        <f t="shared" ref="F17:F22" si="14">SUM(C17*15)</f>
        <v>1350</v>
      </c>
      <c r="G17" s="21">
        <v>10</v>
      </c>
      <c r="H17" s="21" t="s">
        <v>46</v>
      </c>
      <c r="I17" s="22">
        <f>EstudodeFornecedores!D11</f>
        <v>1.49</v>
      </c>
      <c r="J17" s="22">
        <f t="shared" si="10"/>
        <v>0.14899999999999999</v>
      </c>
      <c r="K17" s="22">
        <f t="shared" si="11"/>
        <v>13.41</v>
      </c>
      <c r="L17" s="46">
        <f t="shared" ref="L17:L22" si="15">SUM(D17*J17)</f>
        <v>26.82</v>
      </c>
      <c r="M17" s="221">
        <f t="shared" ref="M17:M22" si="16">SUM(J17*F17)</f>
        <v>201.14999999999998</v>
      </c>
      <c r="N17" s="50">
        <f t="shared" si="12"/>
        <v>0.1341</v>
      </c>
      <c r="O17" s="62"/>
      <c r="P17" s="38"/>
    </row>
    <row r="18" spans="1:16" x14ac:dyDescent="0.25">
      <c r="A18" s="45" t="s">
        <v>65</v>
      </c>
      <c r="B18" s="21">
        <v>2</v>
      </c>
      <c r="C18" s="21">
        <f>SUM((B18*60)/40)</f>
        <v>3</v>
      </c>
      <c r="D18" s="21">
        <f t="shared" si="9"/>
        <v>6</v>
      </c>
      <c r="E18" s="21">
        <f t="shared" si="13"/>
        <v>36</v>
      </c>
      <c r="F18" s="21">
        <f t="shared" si="14"/>
        <v>45</v>
      </c>
      <c r="G18" s="21">
        <v>1</v>
      </c>
      <c r="H18" s="21" t="s">
        <v>47</v>
      </c>
      <c r="I18" s="22">
        <f>EstudodeFornecedores!D12</f>
        <v>28.52</v>
      </c>
      <c r="J18" s="22">
        <f t="shared" si="10"/>
        <v>28.52</v>
      </c>
      <c r="K18" s="22">
        <f t="shared" si="11"/>
        <v>85.56</v>
      </c>
      <c r="L18" s="46">
        <f t="shared" si="15"/>
        <v>171.12</v>
      </c>
      <c r="M18" s="221">
        <f t="shared" si="16"/>
        <v>1283.4000000000001</v>
      </c>
      <c r="N18" s="50">
        <f t="shared" si="12"/>
        <v>0.85560000000000003</v>
      </c>
      <c r="O18" s="62"/>
      <c r="P18" s="38"/>
    </row>
    <row r="19" spans="1:16" x14ac:dyDescent="0.25">
      <c r="A19" s="45" t="s">
        <v>42</v>
      </c>
      <c r="B19" s="21">
        <v>65</v>
      </c>
      <c r="C19" s="21">
        <f>SUM((B19*60)/40)</f>
        <v>97.5</v>
      </c>
      <c r="D19" s="21">
        <f t="shared" si="9"/>
        <v>195</v>
      </c>
      <c r="E19" s="21">
        <f t="shared" si="13"/>
        <v>1170</v>
      </c>
      <c r="F19" s="21">
        <f t="shared" si="14"/>
        <v>1462.5</v>
      </c>
      <c r="G19" s="21">
        <v>20</v>
      </c>
      <c r="H19" s="21" t="s">
        <v>48</v>
      </c>
      <c r="I19" s="22">
        <f>EstudodeFornecedores!D5</f>
        <v>8.5</v>
      </c>
      <c r="J19" s="22">
        <f t="shared" si="10"/>
        <v>0.42499999999999999</v>
      </c>
      <c r="K19" s="22">
        <f t="shared" si="11"/>
        <v>41.4375</v>
      </c>
      <c r="L19" s="46">
        <f t="shared" si="15"/>
        <v>82.875</v>
      </c>
      <c r="M19" s="221">
        <f t="shared" si="16"/>
        <v>621.5625</v>
      </c>
      <c r="N19" s="50">
        <f t="shared" si="12"/>
        <v>0.41437499999999999</v>
      </c>
      <c r="O19" s="62"/>
      <c r="P19" s="38"/>
    </row>
    <row r="20" spans="1:16" x14ac:dyDescent="0.25">
      <c r="A20" s="45" t="s">
        <v>67</v>
      </c>
      <c r="B20" s="21">
        <v>66</v>
      </c>
      <c r="C20" s="21">
        <v>100</v>
      </c>
      <c r="D20" s="21">
        <f t="shared" si="9"/>
        <v>200</v>
      </c>
      <c r="E20" s="21">
        <f t="shared" si="13"/>
        <v>1200</v>
      </c>
      <c r="F20" s="21">
        <f t="shared" si="14"/>
        <v>1500</v>
      </c>
      <c r="G20" s="21">
        <v>2160</v>
      </c>
      <c r="H20" s="21" t="s">
        <v>57</v>
      </c>
      <c r="I20" s="22">
        <f>EstudodeFornecedores!D7</f>
        <v>3449</v>
      </c>
      <c r="J20" s="22">
        <f t="shared" si="10"/>
        <v>1.5967592592592592</v>
      </c>
      <c r="K20" s="22">
        <f t="shared" si="11"/>
        <v>159.67592592592592</v>
      </c>
      <c r="L20" s="46">
        <f t="shared" si="15"/>
        <v>319.35185185185185</v>
      </c>
      <c r="M20" s="221">
        <f t="shared" si="16"/>
        <v>2395.1388888888887</v>
      </c>
      <c r="N20" s="50">
        <f t="shared" si="12"/>
        <v>1.5967592592592592</v>
      </c>
      <c r="O20" s="62"/>
      <c r="P20" s="38"/>
    </row>
    <row r="21" spans="1:16" x14ac:dyDescent="0.25">
      <c r="A21" s="45" t="s">
        <v>58</v>
      </c>
      <c r="B21" s="21">
        <v>66</v>
      </c>
      <c r="C21" s="21">
        <v>100</v>
      </c>
      <c r="D21" s="21">
        <f t="shared" si="9"/>
        <v>200</v>
      </c>
      <c r="E21" s="21">
        <f t="shared" si="13"/>
        <v>1200</v>
      </c>
      <c r="F21" s="21">
        <f t="shared" si="14"/>
        <v>1500</v>
      </c>
      <c r="G21" s="21">
        <v>400</v>
      </c>
      <c r="H21" s="21" t="s">
        <v>57</v>
      </c>
      <c r="I21" s="22">
        <f>EstudodeFornecedores!D4</f>
        <v>45.78</v>
      </c>
      <c r="J21" s="22">
        <f t="shared" si="10"/>
        <v>0.11445</v>
      </c>
      <c r="K21" s="22">
        <f t="shared" si="11"/>
        <v>11.445</v>
      </c>
      <c r="L21" s="46">
        <f t="shared" si="15"/>
        <v>22.89</v>
      </c>
      <c r="M21" s="221">
        <f t="shared" si="16"/>
        <v>171.67499999999998</v>
      </c>
      <c r="N21" s="50">
        <f t="shared" si="12"/>
        <v>0.11445</v>
      </c>
      <c r="O21" s="62" t="s">
        <v>72</v>
      </c>
      <c r="P21" s="38" t="s">
        <v>265</v>
      </c>
    </row>
    <row r="22" spans="1:16" x14ac:dyDescent="0.25">
      <c r="A22" s="90" t="s">
        <v>179</v>
      </c>
      <c r="B22" s="92">
        <v>260</v>
      </c>
      <c r="C22" s="92">
        <f>SUM((B22*60)/40)</f>
        <v>390</v>
      </c>
      <c r="D22" s="21">
        <f t="shared" si="9"/>
        <v>780</v>
      </c>
      <c r="E22" s="21">
        <f t="shared" si="13"/>
        <v>4680</v>
      </c>
      <c r="F22" s="21">
        <f t="shared" si="14"/>
        <v>5850</v>
      </c>
      <c r="G22" s="92">
        <v>1000</v>
      </c>
      <c r="H22" s="92" t="s">
        <v>46</v>
      </c>
      <c r="I22" s="93">
        <f>EstudodeFornecedores!D3</f>
        <v>3.47</v>
      </c>
      <c r="J22" s="22">
        <f t="shared" si="10"/>
        <v>3.47E-3</v>
      </c>
      <c r="K22" s="22">
        <f t="shared" si="11"/>
        <v>1.3532999999999999</v>
      </c>
      <c r="L22" s="46">
        <f t="shared" si="15"/>
        <v>2.7065999999999999</v>
      </c>
      <c r="M22" s="221">
        <f t="shared" si="16"/>
        <v>20.299499999999998</v>
      </c>
      <c r="N22" s="50">
        <f t="shared" si="12"/>
        <v>1.3533E-2</v>
      </c>
      <c r="O22" s="62"/>
      <c r="P22" s="38"/>
    </row>
    <row r="23" spans="1:16" ht="15.75" thickBot="1" x14ac:dyDescent="0.3">
      <c r="A23" s="55" t="s">
        <v>56</v>
      </c>
      <c r="B23" s="56"/>
      <c r="C23" s="56"/>
      <c r="D23" s="56"/>
      <c r="E23" s="56"/>
      <c r="F23" s="56"/>
      <c r="G23" s="56"/>
      <c r="H23" s="56"/>
      <c r="I23" s="57"/>
      <c r="J23" s="56"/>
      <c r="K23" s="57">
        <f>SUM(K16:K22)</f>
        <v>407.4303259259259</v>
      </c>
      <c r="L23" s="58">
        <f>SUM(L16:L22)</f>
        <v>814.8606518518518</v>
      </c>
      <c r="M23" s="58">
        <f>SUM(M16:M22)</f>
        <v>6111.4548888888894</v>
      </c>
      <c r="N23" s="59">
        <f>SUM(N16:N22)</f>
        <v>4.074303259259259</v>
      </c>
      <c r="O23" s="39">
        <f>SUM(O16*C20)</f>
        <v>1399</v>
      </c>
      <c r="P23" s="40">
        <f>SUM(O23*2)</f>
        <v>2798</v>
      </c>
    </row>
    <row r="24" spans="1:16" ht="15.75" thickTop="1" x14ac:dyDescent="0.25">
      <c r="N24" s="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sqref="A1:B19"/>
    </sheetView>
  </sheetViews>
  <sheetFormatPr defaultRowHeight="15" x14ac:dyDescent="0.25"/>
  <cols>
    <col min="1" max="1" width="25.42578125" customWidth="1"/>
    <col min="2" max="2" width="22.7109375" customWidth="1"/>
  </cols>
  <sheetData>
    <row r="1" spans="1:2" ht="16.5" thickTop="1" thickBot="1" x14ac:dyDescent="0.3">
      <c r="A1" s="113" t="s">
        <v>382</v>
      </c>
      <c r="B1" s="158" t="s">
        <v>299</v>
      </c>
    </row>
    <row r="2" spans="1:2" ht="15.75" thickTop="1" x14ac:dyDescent="0.25">
      <c r="A2" s="102" t="s">
        <v>286</v>
      </c>
      <c r="B2" s="103">
        <v>900</v>
      </c>
    </row>
    <row r="3" spans="1:2" x14ac:dyDescent="0.25">
      <c r="A3" s="45" t="s">
        <v>287</v>
      </c>
      <c r="B3" s="46">
        <v>25</v>
      </c>
    </row>
    <row r="4" spans="1:2" x14ac:dyDescent="0.25">
      <c r="A4" s="45" t="s">
        <v>136</v>
      </c>
      <c r="B4" s="46">
        <f>EstudodeFornecedores!$D$71</f>
        <v>300</v>
      </c>
    </row>
    <row r="5" spans="1:2" x14ac:dyDescent="0.25">
      <c r="A5" s="45" t="s">
        <v>288</v>
      </c>
      <c r="B5" s="46">
        <f>EstudodeFornecedores!$D$70</f>
        <v>235</v>
      </c>
    </row>
    <row r="6" spans="1:2" x14ac:dyDescent="0.25">
      <c r="A6" s="45" t="s">
        <v>296</v>
      </c>
      <c r="B6" s="46">
        <f>SUM(EstudodeFornecedores!$D$68/226)*120</f>
        <v>31.858407079646021</v>
      </c>
    </row>
    <row r="7" spans="1:2" x14ac:dyDescent="0.25">
      <c r="A7" s="45" t="s">
        <v>297</v>
      </c>
      <c r="B7" s="46">
        <f>EstudodeFornecedores!$D$72</f>
        <v>50</v>
      </c>
    </row>
    <row r="8" spans="1:2" x14ac:dyDescent="0.25">
      <c r="A8" s="45" t="s">
        <v>289</v>
      </c>
      <c r="B8" s="46">
        <v>3000</v>
      </c>
    </row>
    <row r="9" spans="1:2" x14ac:dyDescent="0.25">
      <c r="A9" s="45" t="s">
        <v>324</v>
      </c>
      <c r="B9" s="46">
        <v>1300</v>
      </c>
    </row>
    <row r="10" spans="1:2" x14ac:dyDescent="0.25">
      <c r="A10" s="45" t="s">
        <v>298</v>
      </c>
      <c r="B10" s="46">
        <f>EstudodeFornecedores!$D$77*8</f>
        <v>800</v>
      </c>
    </row>
    <row r="11" spans="1:2" x14ac:dyDescent="0.25">
      <c r="A11" s="45" t="s">
        <v>290</v>
      </c>
      <c r="B11" s="46">
        <v>200</v>
      </c>
    </row>
    <row r="12" spans="1:2" x14ac:dyDescent="0.25">
      <c r="A12" s="45" t="s">
        <v>291</v>
      </c>
      <c r="B12" s="46">
        <f>CustoscomMãodeObra!$F$4</f>
        <v>2680</v>
      </c>
    </row>
    <row r="13" spans="1:2" x14ac:dyDescent="0.25">
      <c r="A13" s="45" t="s">
        <v>292</v>
      </c>
      <c r="B13" s="46">
        <f>EstudodeFornecedores!$D$69</f>
        <v>200</v>
      </c>
    </row>
    <row r="14" spans="1:2" x14ac:dyDescent="0.25">
      <c r="A14" s="45" t="s">
        <v>293</v>
      </c>
      <c r="B14" s="46">
        <v>100</v>
      </c>
    </row>
    <row r="15" spans="1:2" x14ac:dyDescent="0.25">
      <c r="A15" s="45" t="s">
        <v>322</v>
      </c>
      <c r="B15" s="46">
        <f>SUM(CapitaldeGiro!H30+EstudodeFornecedores!$D$78)</f>
        <v>2033.32</v>
      </c>
    </row>
    <row r="16" spans="1:2" x14ac:dyDescent="0.25">
      <c r="A16" s="45" t="s">
        <v>326</v>
      </c>
      <c r="B16" s="46">
        <f>InvestimentoTotal!$E$11</f>
        <v>553.31416666666667</v>
      </c>
    </row>
    <row r="17" spans="1:2" x14ac:dyDescent="0.25">
      <c r="A17" s="45" t="s">
        <v>294</v>
      </c>
      <c r="B17" s="46">
        <f>CustocomDepreciação!$G$43</f>
        <v>287.67236666666668</v>
      </c>
    </row>
    <row r="18" spans="1:2" ht="15.75" thickBot="1" x14ac:dyDescent="0.3">
      <c r="A18" s="99" t="s">
        <v>295</v>
      </c>
      <c r="B18" s="49">
        <v>100</v>
      </c>
    </row>
    <row r="19" spans="1:2" ht="16.5" thickTop="1" thickBot="1" x14ac:dyDescent="0.3">
      <c r="A19" s="113" t="s">
        <v>56</v>
      </c>
      <c r="B19" s="120">
        <f>SUM(B2:B18)</f>
        <v>12796.164940412978</v>
      </c>
    </row>
    <row r="20" spans="1:2" ht="15.75" thickTop="1" x14ac:dyDescent="0.25"/>
    <row r="22" spans="1:2" x14ac:dyDescent="0.25">
      <c r="A22" s="255"/>
      <c r="B22" s="255"/>
    </row>
    <row r="23" spans="1:2" x14ac:dyDescent="0.25">
      <c r="A23" s="17"/>
      <c r="B23" s="16"/>
    </row>
    <row r="24" spans="1:2" x14ac:dyDescent="0.25">
      <c r="A24" s="17"/>
      <c r="B24" s="16"/>
    </row>
    <row r="25" spans="1:2" x14ac:dyDescent="0.25">
      <c r="A25" s="17"/>
      <c r="B25" s="16"/>
    </row>
    <row r="26" spans="1:2" x14ac:dyDescent="0.25">
      <c r="A26" s="17"/>
      <c r="B26" s="16"/>
    </row>
    <row r="27" spans="1:2" x14ac:dyDescent="0.25">
      <c r="A27" s="17"/>
      <c r="B27" s="16"/>
    </row>
    <row r="28" spans="1:2" x14ac:dyDescent="0.25">
      <c r="A28" s="17"/>
      <c r="B28" s="16"/>
    </row>
    <row r="29" spans="1:2" x14ac:dyDescent="0.25">
      <c r="A29" s="17"/>
      <c r="B29" s="16"/>
    </row>
    <row r="30" spans="1:2" x14ac:dyDescent="0.25">
      <c r="A30" s="17"/>
      <c r="B30" s="16"/>
    </row>
    <row r="31" spans="1:2" x14ac:dyDescent="0.25">
      <c r="A31" s="17"/>
      <c r="B31" s="16"/>
    </row>
    <row r="32" spans="1:2" x14ac:dyDescent="0.25">
      <c r="A32" s="17"/>
      <c r="B32" s="16"/>
    </row>
    <row r="33" spans="1:2" x14ac:dyDescent="0.25">
      <c r="A33" s="17"/>
      <c r="B33" s="16"/>
    </row>
    <row r="34" spans="1:2" x14ac:dyDescent="0.25">
      <c r="A34" s="17"/>
      <c r="B34" s="16"/>
    </row>
    <row r="35" spans="1:2" x14ac:dyDescent="0.25">
      <c r="A35" s="17"/>
      <c r="B35" s="16"/>
    </row>
    <row r="36" spans="1:2" x14ac:dyDescent="0.25">
      <c r="A36" s="17"/>
      <c r="B36" s="16"/>
    </row>
    <row r="37" spans="1:2" x14ac:dyDescent="0.25">
      <c r="A37" s="17"/>
      <c r="B37" s="16"/>
    </row>
    <row r="38" spans="1:2" x14ac:dyDescent="0.25">
      <c r="A38" s="17"/>
      <c r="B38" s="16"/>
    </row>
    <row r="39" spans="1:2" x14ac:dyDescent="0.25">
      <c r="A39" s="17"/>
      <c r="B39" s="16"/>
    </row>
    <row r="40" spans="1:2" x14ac:dyDescent="0.25">
      <c r="A40" s="255"/>
      <c r="B40" s="15"/>
    </row>
    <row r="41" spans="1:2" x14ac:dyDescent="0.25">
      <c r="A41" s="17"/>
      <c r="B41" s="17"/>
    </row>
    <row r="42" spans="1:2" x14ac:dyDescent="0.25">
      <c r="A42" s="17"/>
      <c r="B42" s="17"/>
    </row>
    <row r="43" spans="1:2" x14ac:dyDescent="0.25">
      <c r="A43" s="255"/>
      <c r="B43" s="255"/>
    </row>
    <row r="44" spans="1:2" x14ac:dyDescent="0.25">
      <c r="A44" s="17"/>
      <c r="B44" s="16"/>
    </row>
    <row r="45" spans="1:2" x14ac:dyDescent="0.25">
      <c r="A45" s="17"/>
      <c r="B45" s="16"/>
    </row>
    <row r="46" spans="1:2" x14ac:dyDescent="0.25">
      <c r="A46" s="17"/>
      <c r="B46" s="16"/>
    </row>
    <row r="47" spans="1:2" x14ac:dyDescent="0.25">
      <c r="A47" s="17"/>
      <c r="B47" s="16"/>
    </row>
    <row r="48" spans="1:2" x14ac:dyDescent="0.25">
      <c r="A48" s="17"/>
      <c r="B48" s="16"/>
    </row>
    <row r="49" spans="1:2" x14ac:dyDescent="0.25">
      <c r="A49" s="17"/>
      <c r="B49" s="16"/>
    </row>
    <row r="50" spans="1:2" x14ac:dyDescent="0.25">
      <c r="A50" s="17"/>
      <c r="B50" s="16"/>
    </row>
    <row r="51" spans="1:2" x14ac:dyDescent="0.25">
      <c r="A51" s="17"/>
      <c r="B51" s="16"/>
    </row>
    <row r="52" spans="1:2" x14ac:dyDescent="0.25">
      <c r="A52" s="17"/>
      <c r="B52" s="16"/>
    </row>
    <row r="53" spans="1:2" x14ac:dyDescent="0.25">
      <c r="A53" s="17"/>
      <c r="B53" s="16"/>
    </row>
    <row r="54" spans="1:2" x14ac:dyDescent="0.25">
      <c r="A54" s="17"/>
      <c r="B54" s="16"/>
    </row>
    <row r="55" spans="1:2" x14ac:dyDescent="0.25">
      <c r="A55" s="17"/>
      <c r="B55" s="16"/>
    </row>
    <row r="56" spans="1:2" x14ac:dyDescent="0.25">
      <c r="A56" s="17"/>
      <c r="B56" s="16"/>
    </row>
    <row r="57" spans="1:2" x14ac:dyDescent="0.25">
      <c r="A57" s="17"/>
      <c r="B57" s="16"/>
    </row>
    <row r="58" spans="1:2" x14ac:dyDescent="0.25">
      <c r="A58" s="17"/>
      <c r="B58" s="16"/>
    </row>
    <row r="59" spans="1:2" x14ac:dyDescent="0.25">
      <c r="A59" s="17"/>
      <c r="B59" s="16"/>
    </row>
    <row r="60" spans="1:2" x14ac:dyDescent="0.25">
      <c r="A60" s="17"/>
      <c r="B60" s="16"/>
    </row>
    <row r="61" spans="1:2" x14ac:dyDescent="0.25">
      <c r="A61" s="255"/>
      <c r="B61" s="15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10"/>
    </sheetView>
  </sheetViews>
  <sheetFormatPr defaultRowHeight="15" x14ac:dyDescent="0.25"/>
  <cols>
    <col min="1" max="1" width="34.28515625" customWidth="1"/>
    <col min="2" max="2" width="14.28515625" customWidth="1"/>
    <col min="3" max="3" width="15" customWidth="1"/>
  </cols>
  <sheetData>
    <row r="1" spans="1:3" ht="16.5" thickTop="1" thickBot="1" x14ac:dyDescent="0.3">
      <c r="A1" s="207" t="s">
        <v>380</v>
      </c>
      <c r="B1" s="208" t="s">
        <v>268</v>
      </c>
      <c r="C1" s="209" t="s">
        <v>307</v>
      </c>
    </row>
    <row r="2" spans="1:3" ht="15.75" thickTop="1" x14ac:dyDescent="0.25">
      <c r="A2" s="206" t="s">
        <v>308</v>
      </c>
      <c r="B2" s="34">
        <f>EstimativadoFaturamentoMensal!$D$4</f>
        <v>36933.599999999999</v>
      </c>
      <c r="C2" s="155">
        <f>SUM(B2/$B$2)</f>
        <v>1</v>
      </c>
    </row>
    <row r="3" spans="1:3" x14ac:dyDescent="0.25">
      <c r="A3" s="204" t="s">
        <v>309</v>
      </c>
      <c r="B3" s="22"/>
      <c r="C3" s="155"/>
    </row>
    <row r="4" spans="1:3" x14ac:dyDescent="0.25">
      <c r="A4" s="205" t="s">
        <v>310</v>
      </c>
      <c r="B4" s="22">
        <f>CustodosMateriaisDiretos!$D$4</f>
        <v>10859.486711111109</v>
      </c>
      <c r="C4" s="155">
        <f t="shared" ref="C4:C10" si="0">SUM(B4/$B$2)</f>
        <v>0.29402730064524196</v>
      </c>
    </row>
    <row r="5" spans="1:3" x14ac:dyDescent="0.25">
      <c r="A5" s="205" t="s">
        <v>311</v>
      </c>
      <c r="B5" s="22">
        <f>CustosdeComercialização!$D$9</f>
        <v>8817.0720000000001</v>
      </c>
      <c r="C5" s="155">
        <f t="shared" si="0"/>
        <v>0.23872766261615441</v>
      </c>
    </row>
    <row r="6" spans="1:3" x14ac:dyDescent="0.25">
      <c r="A6" s="205" t="s">
        <v>312</v>
      </c>
      <c r="B6" s="22">
        <f>CustosdeComercialização!$D$16</f>
        <v>1992.3830519999999</v>
      </c>
      <c r="C6" s="155">
        <f t="shared" si="0"/>
        <v>5.3945E-2</v>
      </c>
    </row>
    <row r="7" spans="1:3" x14ac:dyDescent="0.25">
      <c r="A7" s="204" t="s">
        <v>313</v>
      </c>
      <c r="B7" s="22">
        <f>SUM(B4:B6)</f>
        <v>21668.94176311111</v>
      </c>
      <c r="C7" s="155">
        <f t="shared" si="0"/>
        <v>0.5866999632613964</v>
      </c>
    </row>
    <row r="8" spans="1:3" x14ac:dyDescent="0.25">
      <c r="A8" s="204" t="s">
        <v>314</v>
      </c>
      <c r="B8" s="22">
        <f>SUM(B2-B7)</f>
        <v>15264.658236888888</v>
      </c>
      <c r="C8" s="155">
        <f t="shared" si="0"/>
        <v>0.4133000367386036</v>
      </c>
    </row>
    <row r="9" spans="1:3" ht="15.75" thickBot="1" x14ac:dyDescent="0.3">
      <c r="A9" s="210" t="s">
        <v>315</v>
      </c>
      <c r="B9" s="93">
        <f>CustosFixosOperacionaisMensais!$B$19</f>
        <v>12796.164940412978</v>
      </c>
      <c r="C9" s="212">
        <f t="shared" si="0"/>
        <v>0.34646405821292747</v>
      </c>
    </row>
    <row r="10" spans="1:3" ht="46.5" thickTop="1" thickBot="1" x14ac:dyDescent="0.3">
      <c r="A10" s="211" t="s">
        <v>316</v>
      </c>
      <c r="B10" s="111">
        <f>SUM(B8-B9)</f>
        <v>2468.49329647591</v>
      </c>
      <c r="C10" s="213">
        <f t="shared" si="0"/>
        <v>6.6835978525676076E-2</v>
      </c>
    </row>
    <row r="11" spans="1:3" ht="15.75" thickTop="1" x14ac:dyDescent="0.25"/>
    <row r="14" spans="1:3" x14ac:dyDescent="0.25">
      <c r="A14" s="258"/>
      <c r="B14" s="259"/>
      <c r="C14" s="259"/>
    </row>
    <row r="15" spans="1:3" x14ac:dyDescent="0.25">
      <c r="A15" s="258"/>
      <c r="B15" s="16"/>
      <c r="C15" s="260"/>
    </row>
    <row r="16" spans="1:3" x14ac:dyDescent="0.25">
      <c r="A16" s="258"/>
      <c r="B16" s="16"/>
      <c r="C16" s="260"/>
    </row>
    <row r="17" spans="1:3" x14ac:dyDescent="0.25">
      <c r="A17" s="261"/>
      <c r="B17" s="16"/>
      <c r="C17" s="260"/>
    </row>
    <row r="18" spans="1:3" x14ac:dyDescent="0.25">
      <c r="A18" s="261"/>
      <c r="B18" s="16"/>
      <c r="C18" s="260"/>
    </row>
    <row r="19" spans="1:3" x14ac:dyDescent="0.25">
      <c r="A19" s="261"/>
      <c r="B19" s="16"/>
      <c r="C19" s="260"/>
    </row>
    <row r="20" spans="1:3" x14ac:dyDescent="0.25">
      <c r="A20" s="258"/>
      <c r="B20" s="16"/>
      <c r="C20" s="260"/>
    </row>
    <row r="21" spans="1:3" x14ac:dyDescent="0.25">
      <c r="A21" s="258"/>
      <c r="B21" s="16"/>
      <c r="C21" s="260"/>
    </row>
    <row r="22" spans="1:3" x14ac:dyDescent="0.25">
      <c r="A22" s="258"/>
      <c r="B22" s="16"/>
      <c r="C22" s="260"/>
    </row>
    <row r="23" spans="1:3" x14ac:dyDescent="0.25">
      <c r="A23" s="262"/>
      <c r="B23" s="16"/>
      <c r="C23" s="260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A12" sqref="A12"/>
    </sheetView>
  </sheetViews>
  <sheetFormatPr defaultRowHeight="15" x14ac:dyDescent="0.25"/>
  <cols>
    <col min="1" max="1" width="19.42578125" customWidth="1"/>
    <col min="2" max="2" width="12.7109375" bestFit="1" customWidth="1"/>
    <col min="5" max="5" width="27.42578125" customWidth="1"/>
    <col min="6" max="6" width="33.140625" customWidth="1"/>
    <col min="7" max="7" width="21.140625" customWidth="1"/>
    <col min="8" max="8" width="19.5703125" customWidth="1"/>
    <col min="9" max="9" width="25" customWidth="1"/>
    <col min="10" max="10" width="16.140625" customWidth="1"/>
    <col min="11" max="11" width="13.5703125" customWidth="1"/>
    <col min="12" max="14" width="12.7109375" customWidth="1"/>
    <col min="15" max="15" width="13" customWidth="1"/>
    <col min="16" max="16" width="14.140625" customWidth="1"/>
  </cols>
  <sheetData>
    <row r="1" spans="1:16" ht="30.75" thickTop="1" x14ac:dyDescent="0.25">
      <c r="A1" s="276" t="s">
        <v>327</v>
      </c>
      <c r="B1" s="277">
        <f>SUM(DemonstrativodeResultado!B8*12)/(DemonstrativodeResultado!B2*12)</f>
        <v>0.41330003673860355</v>
      </c>
      <c r="C1" s="54"/>
      <c r="E1" s="51"/>
      <c r="F1" s="52" t="s">
        <v>332</v>
      </c>
      <c r="G1" s="52" t="s">
        <v>333</v>
      </c>
      <c r="H1" s="52" t="s">
        <v>334</v>
      </c>
      <c r="I1" s="52" t="s">
        <v>335</v>
      </c>
      <c r="J1" s="52" t="s">
        <v>340</v>
      </c>
      <c r="K1" s="52" t="s">
        <v>342</v>
      </c>
      <c r="L1" s="52" t="s">
        <v>343</v>
      </c>
      <c r="M1" s="52" t="s">
        <v>344</v>
      </c>
      <c r="N1" s="52" t="s">
        <v>345</v>
      </c>
      <c r="O1" s="52" t="s">
        <v>346</v>
      </c>
      <c r="P1" s="54" t="s">
        <v>347</v>
      </c>
    </row>
    <row r="2" spans="1:16" x14ac:dyDescent="0.25">
      <c r="A2" s="64" t="s">
        <v>328</v>
      </c>
      <c r="B2" s="20">
        <f>SUM(DemonstrativodeResultado!B9*12/IndicadoresdeViabilidade!B1)</f>
        <v>371531.49198017799</v>
      </c>
      <c r="C2" s="65"/>
      <c r="E2" s="64" t="s">
        <v>336</v>
      </c>
      <c r="F2" s="22">
        <v>0</v>
      </c>
      <c r="G2" s="22">
        <f>EstimativadoFaturamentoMensal!D5</f>
        <v>443203.19999999995</v>
      </c>
      <c r="H2" s="22">
        <f t="shared" ref="H2:P3" si="0">G2</f>
        <v>443203.19999999995</v>
      </c>
      <c r="I2" s="22">
        <f t="shared" si="0"/>
        <v>443203.19999999995</v>
      </c>
      <c r="J2" s="22">
        <f t="shared" si="0"/>
        <v>443203.19999999995</v>
      </c>
      <c r="K2" s="22">
        <f t="shared" si="0"/>
        <v>443203.19999999995</v>
      </c>
      <c r="L2" s="22">
        <f t="shared" si="0"/>
        <v>443203.19999999995</v>
      </c>
      <c r="M2" s="22">
        <f t="shared" si="0"/>
        <v>443203.19999999995</v>
      </c>
      <c r="N2" s="22">
        <f t="shared" si="0"/>
        <v>443203.19999999995</v>
      </c>
      <c r="O2" s="22">
        <f t="shared" si="0"/>
        <v>443203.19999999995</v>
      </c>
      <c r="P2" s="46">
        <f t="shared" si="0"/>
        <v>443203.19999999995</v>
      </c>
    </row>
    <row r="3" spans="1:16" x14ac:dyDescent="0.25">
      <c r="A3" s="64" t="s">
        <v>329</v>
      </c>
      <c r="B3" s="278">
        <f>SUM(DemonstrativodeResultado!B10*12)/(DemonstrativodeResultado!B2*12)</f>
        <v>6.683597852567609E-2</v>
      </c>
      <c r="C3" s="65"/>
      <c r="E3" s="64" t="s">
        <v>337</v>
      </c>
      <c r="F3" s="22">
        <f>InvestimentoTotal!B5</f>
        <v>49482.00932964759</v>
      </c>
      <c r="G3" s="22">
        <f>SUM(DemonstrativodeResultado!B9+DemonstrativodeResultado!B7)*12</f>
        <v>413581.28044228902</v>
      </c>
      <c r="H3" s="22">
        <f t="shared" si="0"/>
        <v>413581.28044228902</v>
      </c>
      <c r="I3" s="22">
        <f t="shared" si="0"/>
        <v>413581.28044228902</v>
      </c>
      <c r="J3" s="22">
        <f t="shared" si="0"/>
        <v>413581.28044228902</v>
      </c>
      <c r="K3" s="22">
        <f t="shared" si="0"/>
        <v>413581.28044228902</v>
      </c>
      <c r="L3" s="22">
        <f t="shared" si="0"/>
        <v>413581.28044228902</v>
      </c>
      <c r="M3" s="22">
        <f t="shared" si="0"/>
        <v>413581.28044228902</v>
      </c>
      <c r="N3" s="22">
        <f t="shared" si="0"/>
        <v>413581.28044228902</v>
      </c>
      <c r="O3" s="22">
        <f t="shared" si="0"/>
        <v>413581.28044228902</v>
      </c>
      <c r="P3" s="46">
        <f t="shared" si="0"/>
        <v>413581.28044228902</v>
      </c>
    </row>
    <row r="4" spans="1:16" x14ac:dyDescent="0.25">
      <c r="A4" s="64" t="s">
        <v>330</v>
      </c>
      <c r="B4" s="278">
        <f>SUM(DemonstrativodeResultado!B10*12/InvestimentoTotal!B5)</f>
        <v>0.59864019183963657</v>
      </c>
      <c r="C4" s="65"/>
      <c r="E4" s="64" t="s">
        <v>338</v>
      </c>
      <c r="F4" s="22">
        <f>SUM(F2-F3)</f>
        <v>-49482.00932964759</v>
      </c>
      <c r="G4" s="22">
        <f>SUM(G2-G3)</f>
        <v>29621.919557710935</v>
      </c>
      <c r="H4" s="22">
        <f t="shared" ref="G4:P4" si="1">SUM(H2-H3)</f>
        <v>29621.919557710935</v>
      </c>
      <c r="I4" s="22">
        <f t="shared" si="1"/>
        <v>29621.919557710935</v>
      </c>
      <c r="J4" s="22">
        <f t="shared" si="1"/>
        <v>29621.919557710935</v>
      </c>
      <c r="K4" s="22">
        <f t="shared" si="1"/>
        <v>29621.919557710935</v>
      </c>
      <c r="L4" s="22">
        <f t="shared" si="1"/>
        <v>29621.919557710935</v>
      </c>
      <c r="M4" s="22">
        <f t="shared" si="1"/>
        <v>29621.919557710935</v>
      </c>
      <c r="N4" s="22">
        <f t="shared" si="1"/>
        <v>29621.919557710935</v>
      </c>
      <c r="O4" s="22">
        <f t="shared" si="1"/>
        <v>29621.919557710935</v>
      </c>
      <c r="P4" s="46">
        <f t="shared" si="1"/>
        <v>29621.919557710935</v>
      </c>
    </row>
    <row r="5" spans="1:16" ht="30" x14ac:dyDescent="0.25">
      <c r="A5" s="145" t="s">
        <v>331</v>
      </c>
      <c r="B5" s="274">
        <f>SUM(InvestimentoTotal!B5/DemonstrativodeResultado!B10)</f>
        <v>20.045429898590161</v>
      </c>
      <c r="C5" s="65" t="s">
        <v>341</v>
      </c>
      <c r="E5" s="64" t="s">
        <v>375</v>
      </c>
      <c r="F5" s="22">
        <f>F4</f>
        <v>-49482.00932964759</v>
      </c>
      <c r="G5" s="22">
        <f>SUM(G4-G4*4.27%)</f>
        <v>28357.063592596678</v>
      </c>
      <c r="H5" s="22">
        <f>SUM(G5-G5*4.27%)</f>
        <v>27146.216977192798</v>
      </c>
      <c r="I5" s="22">
        <f>SUM(H5-H5*4.27%)</f>
        <v>25987.073512266667</v>
      </c>
      <c r="J5" s="22">
        <f>SUM(I5-I5*4.27%)</f>
        <v>24877.425473292878</v>
      </c>
      <c r="K5" s="22">
        <f t="shared" ref="K5:P5" si="2">SUM(J5-J5*4.27%)</f>
        <v>23815.159405583272</v>
      </c>
      <c r="L5" s="22">
        <f t="shared" si="2"/>
        <v>22798.252098964866</v>
      </c>
      <c r="M5" s="22">
        <f t="shared" si="2"/>
        <v>21824.766734339068</v>
      </c>
      <c r="N5" s="22">
        <f t="shared" si="2"/>
        <v>20892.84919478279</v>
      </c>
      <c r="O5" s="22">
        <f>SUM(N5-N5*4.27%)</f>
        <v>20000.724534165565</v>
      </c>
      <c r="P5" s="46">
        <f t="shared" si="2"/>
        <v>19146.693596556695</v>
      </c>
    </row>
    <row r="6" spans="1:16" ht="15.75" thickBot="1" x14ac:dyDescent="0.3">
      <c r="A6" s="116" t="s">
        <v>381</v>
      </c>
      <c r="B6" s="57">
        <f>SUM(P6/InvestimentoTotal!B5)</f>
        <v>3.7460931417558876</v>
      </c>
      <c r="C6" s="279"/>
      <c r="E6" s="64" t="s">
        <v>339</v>
      </c>
      <c r="F6" s="22">
        <f>F5</f>
        <v>-49482.00932964759</v>
      </c>
      <c r="G6" s="22">
        <f>SUM(F6+G5)</f>
        <v>-21124.945737050912</v>
      </c>
      <c r="H6" s="22">
        <f>SUM(G6+H5)</f>
        <v>6021.2712401418867</v>
      </c>
      <c r="I6" s="22">
        <f>SUM(H6+I5)</f>
        <v>32008.344752408553</v>
      </c>
      <c r="J6" s="22">
        <f>SUM(I6+J5)</f>
        <v>56885.770225701432</v>
      </c>
      <c r="K6" s="22">
        <f t="shared" ref="K6:P6" si="3">SUM(J6+K5)</f>
        <v>80700.9296312847</v>
      </c>
      <c r="L6" s="22">
        <f t="shared" si="3"/>
        <v>103499.18173024956</v>
      </c>
      <c r="M6" s="22">
        <f t="shared" si="3"/>
        <v>125323.94846458863</v>
      </c>
      <c r="N6" s="22">
        <f t="shared" si="3"/>
        <v>146216.79765937143</v>
      </c>
      <c r="O6" s="22">
        <f t="shared" si="3"/>
        <v>166217.52219353698</v>
      </c>
      <c r="P6" s="222">
        <f t="shared" si="3"/>
        <v>185364.21579009367</v>
      </c>
    </row>
    <row r="7" spans="1:16" ht="15.75" thickTop="1" x14ac:dyDescent="0.25">
      <c r="E7" s="64" t="s">
        <v>376</v>
      </c>
      <c r="F7" s="274">
        <f>SUM(F3/AVERAGE(G5:P5))</f>
        <v>2.1069961547995142</v>
      </c>
      <c r="G7" s="19" t="s">
        <v>374</v>
      </c>
      <c r="H7" s="21"/>
      <c r="I7" s="21"/>
      <c r="J7" s="21"/>
      <c r="K7" s="21"/>
      <c r="L7" s="21"/>
      <c r="M7" s="21"/>
      <c r="N7" s="21"/>
      <c r="O7" s="21"/>
      <c r="P7" s="66"/>
    </row>
    <row r="8" spans="1:16" ht="15.75" thickBot="1" x14ac:dyDescent="0.3">
      <c r="E8" s="116" t="s">
        <v>377</v>
      </c>
      <c r="F8" s="275">
        <f>IRR(F4:P4)</f>
        <v>0.59294976193579485</v>
      </c>
      <c r="G8" s="47"/>
      <c r="H8" s="47"/>
      <c r="I8" s="47"/>
      <c r="J8" s="47"/>
      <c r="K8" s="47"/>
      <c r="L8" s="47"/>
      <c r="M8" s="47"/>
      <c r="N8" s="47"/>
      <c r="O8" s="47"/>
      <c r="P8" s="88"/>
    </row>
    <row r="9" spans="1:16" ht="15.75" thickTop="1" x14ac:dyDescent="0.25">
      <c r="F9" s="251"/>
    </row>
    <row r="10" spans="1:16" x14ac:dyDescent="0.25">
      <c r="F10" s="251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G12" s="273"/>
      <c r="P12" s="4"/>
    </row>
  </sheetData>
  <mergeCells count="1">
    <mergeCell ref="F9:F10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B1" workbookViewId="0">
      <selection activeCell="B1" sqref="B1"/>
    </sheetView>
  </sheetViews>
  <sheetFormatPr defaultRowHeight="15" x14ac:dyDescent="0.25"/>
  <cols>
    <col min="1" max="1" width="24.28515625" customWidth="1"/>
    <col min="2" max="2" width="77" customWidth="1"/>
    <col min="3" max="3" width="6.140625" style="12" customWidth="1"/>
    <col min="4" max="4" width="17.5703125" style="4" customWidth="1"/>
    <col min="5" max="5" width="16.85546875" customWidth="1"/>
    <col min="6" max="6" width="22.28515625" style="4" customWidth="1"/>
    <col min="7" max="7" width="23.28515625" style="4" customWidth="1"/>
  </cols>
  <sheetData>
    <row r="1" spans="1:7" ht="16.5" thickTop="1" thickBot="1" x14ac:dyDescent="0.3">
      <c r="A1" s="194" t="s">
        <v>278</v>
      </c>
      <c r="B1" s="114" t="s">
        <v>281</v>
      </c>
      <c r="C1" s="195" t="s">
        <v>106</v>
      </c>
      <c r="D1" s="115" t="s">
        <v>279</v>
      </c>
      <c r="E1" s="114" t="s">
        <v>280</v>
      </c>
      <c r="F1" s="115" t="s">
        <v>284</v>
      </c>
      <c r="G1" s="120" t="s">
        <v>285</v>
      </c>
    </row>
    <row r="2" spans="1:7" ht="15.75" thickTop="1" x14ac:dyDescent="0.25">
      <c r="A2" s="198" t="s">
        <v>282</v>
      </c>
      <c r="B2" s="191" t="s">
        <v>283</v>
      </c>
      <c r="C2" s="190">
        <v>1</v>
      </c>
      <c r="D2" s="34">
        <f>InvestimentosPreOperacionais!B4</f>
        <v>5000</v>
      </c>
      <c r="E2" s="33">
        <v>10</v>
      </c>
      <c r="F2" s="34">
        <f>SUM(D2/E2)*C2</f>
        <v>500</v>
      </c>
      <c r="G2" s="103">
        <f>SUM(F2/12)</f>
        <v>41.666666666666664</v>
      </c>
    </row>
    <row r="3" spans="1:7" x14ac:dyDescent="0.25">
      <c r="A3" s="243" t="s">
        <v>162</v>
      </c>
      <c r="B3" s="192" t="str">
        <f>EstimativadosInvestimentosFixos!B3</f>
        <v>Bomba Circulação Para Cerveja Artesanal 220v</v>
      </c>
      <c r="C3" s="24">
        <f>EstimativadosInvestimentosFixos!C3</f>
        <v>1</v>
      </c>
      <c r="D3" s="22">
        <f>EstimativadosInvestimentosFixos!D3</f>
        <v>105</v>
      </c>
      <c r="E3" s="21">
        <v>2</v>
      </c>
      <c r="F3" s="22">
        <f t="shared" ref="F3:F16" si="0">SUM((D3-D3*10%)/E3)*C3</f>
        <v>47.25</v>
      </c>
      <c r="G3" s="46">
        <f t="shared" ref="G3:G43" si="1">SUM(F3/12)</f>
        <v>3.9375</v>
      </c>
    </row>
    <row r="4" spans="1:7" x14ac:dyDescent="0.25">
      <c r="A4" s="243"/>
      <c r="B4" s="192" t="str">
        <f>EstimativadosInvestimentosFixos!B4</f>
        <v>Densímetro Mini 1.000 - 1.100 com Proveta 100ml</v>
      </c>
      <c r="C4" s="24">
        <f>EstimativadosInvestimentosFixos!C4</f>
        <v>1</v>
      </c>
      <c r="D4" s="22">
        <f>EstimativadosInvestimentosFixos!D4</f>
        <v>75</v>
      </c>
      <c r="E4" s="21">
        <v>10</v>
      </c>
      <c r="F4" s="22">
        <f t="shared" si="0"/>
        <v>6.75</v>
      </c>
      <c r="G4" s="46">
        <f t="shared" si="1"/>
        <v>0.5625</v>
      </c>
    </row>
    <row r="5" spans="1:7" x14ac:dyDescent="0.25">
      <c r="A5" s="243"/>
      <c r="B5" s="192" t="str">
        <f>EstimativadosInvestimentosFixos!B5</f>
        <v>Termômetro Analógico de Imersão</v>
      </c>
      <c r="C5" s="24">
        <f>EstimativadosInvestimentosFixos!C5</f>
        <v>1</v>
      </c>
      <c r="D5" s="22">
        <f>EstimativadosInvestimentosFixos!D5</f>
        <v>45</v>
      </c>
      <c r="E5" s="21">
        <v>10</v>
      </c>
      <c r="F5" s="22">
        <f t="shared" si="0"/>
        <v>4.05</v>
      </c>
      <c r="G5" s="46">
        <f t="shared" si="1"/>
        <v>0.33749999999999997</v>
      </c>
    </row>
    <row r="6" spans="1:7" x14ac:dyDescent="0.25">
      <c r="A6" s="243"/>
      <c r="B6" s="192" t="str">
        <f>EstimativadosInvestimentosFixos!B6</f>
        <v>Tampador / Arrolhador de Bancada Regulável</v>
      </c>
      <c r="C6" s="24">
        <f>EstimativadosInvestimentosFixos!C6</f>
        <v>1</v>
      </c>
      <c r="D6" s="22">
        <f>EstimativadosInvestimentosFixos!D6</f>
        <v>115</v>
      </c>
      <c r="E6" s="21">
        <v>10</v>
      </c>
      <c r="F6" s="22">
        <f>SUM((D6-D6*10%)/E6)*C6</f>
        <v>10.35</v>
      </c>
      <c r="G6" s="46">
        <f t="shared" si="1"/>
        <v>0.86249999999999993</v>
      </c>
    </row>
    <row r="7" spans="1:7" x14ac:dyDescent="0.25">
      <c r="A7" s="243"/>
      <c r="B7" s="192" t="str">
        <f>EstimativadosInvestimentosFixos!B7</f>
        <v>Brewstand Cozinha 2 Mód. C/ Fogões Cerveja Artesanal 80-100l</v>
      </c>
      <c r="C7" s="24">
        <f>EstimativadosInvestimentosFixos!C7</f>
        <v>1</v>
      </c>
      <c r="D7" s="22">
        <f>EstimativadosInvestimentosFixos!D7</f>
        <v>625</v>
      </c>
      <c r="E7" s="21">
        <v>10</v>
      </c>
      <c r="F7" s="22">
        <f t="shared" si="0"/>
        <v>56.25</v>
      </c>
      <c r="G7" s="46">
        <f>SUM(F7/12)</f>
        <v>4.6875</v>
      </c>
    </row>
    <row r="8" spans="1:7" x14ac:dyDescent="0.25">
      <c r="A8" s="243"/>
      <c r="B8" s="192" t="str">
        <f>EstimativadosInvestimentosFixos!B8</f>
        <v>Geladeira Usada Funcionando 220</v>
      </c>
      <c r="C8" s="24">
        <f>EstimativadosInvestimentosFixos!C8</f>
        <v>12</v>
      </c>
      <c r="D8" s="22">
        <f>EstimativadosInvestimentosFixos!D8</f>
        <v>450</v>
      </c>
      <c r="E8" s="21">
        <v>10</v>
      </c>
      <c r="F8" s="22">
        <f t="shared" si="0"/>
        <v>486</v>
      </c>
      <c r="G8" s="46">
        <f t="shared" si="1"/>
        <v>40.5</v>
      </c>
    </row>
    <row r="9" spans="1:7" x14ac:dyDescent="0.25">
      <c r="A9" s="243"/>
      <c r="B9" s="192" t="str">
        <f>EstimativadosInvestimentosFixos!B9</f>
        <v>Balança de Precisão Digital Sf-400 de 1g a 10Kg</v>
      </c>
      <c r="C9" s="24">
        <f>EstimativadosInvestimentosFixos!C9</f>
        <v>1</v>
      </c>
      <c r="D9" s="22">
        <f>EstimativadosInvestimentosFixos!D9</f>
        <v>42</v>
      </c>
      <c r="E9" s="21">
        <v>10</v>
      </c>
      <c r="F9" s="22">
        <f t="shared" si="0"/>
        <v>3.78</v>
      </c>
      <c r="G9" s="46">
        <f t="shared" si="1"/>
        <v>0.315</v>
      </c>
    </row>
    <row r="10" spans="1:7" x14ac:dyDescent="0.25">
      <c r="A10" s="243"/>
      <c r="B10" s="192" t="str">
        <f>EstimativadosInvestimentosFixos!B10</f>
        <v>Medidor de PH Digital</v>
      </c>
      <c r="C10" s="24">
        <f>EstimativadosInvestimentosFixos!C10</f>
        <v>1</v>
      </c>
      <c r="D10" s="22">
        <f>EstimativadosInvestimentosFixos!D10</f>
        <v>86</v>
      </c>
      <c r="E10" s="21">
        <v>10</v>
      </c>
      <c r="F10" s="22">
        <f t="shared" si="0"/>
        <v>7.74</v>
      </c>
      <c r="G10" s="46">
        <f t="shared" si="1"/>
        <v>0.64500000000000002</v>
      </c>
    </row>
    <row r="11" spans="1:7" x14ac:dyDescent="0.25">
      <c r="A11" s="243"/>
      <c r="B11" s="192" t="str">
        <f>EstimativadosInvestimentosFixos!B11</f>
        <v>BlackBoard V1.0</v>
      </c>
      <c r="C11" s="24">
        <f>EstimativadosInvestimentosFixos!C11</f>
        <v>6</v>
      </c>
      <c r="D11" s="22">
        <f>EstimativadosInvestimentosFixos!D11</f>
        <v>85</v>
      </c>
      <c r="E11" s="21">
        <v>3</v>
      </c>
      <c r="F11" s="22">
        <f t="shared" si="0"/>
        <v>153</v>
      </c>
      <c r="G11" s="46">
        <f t="shared" si="1"/>
        <v>12.75</v>
      </c>
    </row>
    <row r="12" spans="1:7" x14ac:dyDescent="0.25">
      <c r="A12" s="243"/>
      <c r="B12" s="192" t="str">
        <f>EstimativadosInvestimentosFixos!B12</f>
        <v>Sensor De Temperatura Ds18b20 Prova Água Waterproof Arduino</v>
      </c>
      <c r="C12" s="24">
        <f>EstimativadosInvestimentosFixos!C12</f>
        <v>24</v>
      </c>
      <c r="D12" s="22">
        <f>EstimativadosInvestimentosFixos!D12</f>
        <v>11.9</v>
      </c>
      <c r="E12" s="21">
        <v>3</v>
      </c>
      <c r="F12" s="22">
        <f t="shared" si="0"/>
        <v>85.68</v>
      </c>
      <c r="G12" s="46">
        <f t="shared" si="1"/>
        <v>7.1400000000000006</v>
      </c>
    </row>
    <row r="13" spans="1:7" x14ac:dyDescent="0.25">
      <c r="A13" s="243"/>
      <c r="B13" s="192" t="str">
        <f>EstimativadosInvestimentosFixos!B13</f>
        <v>Display Lcd 16x2 com Backlight Azul</v>
      </c>
      <c r="C13" s="24">
        <f>EstimativadosInvestimentosFixos!C13</f>
        <v>12</v>
      </c>
      <c r="D13" s="22">
        <f>EstimativadosInvestimentosFixos!D13</f>
        <v>16.899999999999999</v>
      </c>
      <c r="E13" s="21">
        <v>3</v>
      </c>
      <c r="F13" s="22">
        <f t="shared" si="0"/>
        <v>60.839999999999989</v>
      </c>
      <c r="G13" s="46">
        <f t="shared" si="1"/>
        <v>5.0699999999999994</v>
      </c>
    </row>
    <row r="14" spans="1:7" x14ac:dyDescent="0.25">
      <c r="A14" s="243"/>
      <c r="B14" s="192" t="str">
        <f>EstimativadosInvestimentosFixos!B14</f>
        <v>Moedor de Malte - Moinho 2 Rolos Junior</v>
      </c>
      <c r="C14" s="24">
        <f>EstimativadosInvestimentosFixos!C14</f>
        <v>1</v>
      </c>
      <c r="D14" s="22">
        <f>EstimativadosInvestimentosFixos!D14</f>
        <v>495</v>
      </c>
      <c r="E14" s="21">
        <v>10</v>
      </c>
      <c r="F14" s="22">
        <f t="shared" si="0"/>
        <v>44.55</v>
      </c>
      <c r="G14" s="46">
        <f t="shared" si="1"/>
        <v>3.7124999999999999</v>
      </c>
    </row>
    <row r="15" spans="1:7" x14ac:dyDescent="0.25">
      <c r="A15" s="243"/>
      <c r="B15" s="192" t="str">
        <f>EstimativadosInvestimentosFixos!B15</f>
        <v>Ar Condicionado Split Electrolux Hi Wall Eco Turbo 12000 BTUs Quente/Frio 220v VE12R</v>
      </c>
      <c r="C15" s="24">
        <f>EstimativadosInvestimentosFixos!C15</f>
        <v>1</v>
      </c>
      <c r="D15" s="22">
        <f>EstimativadosInvestimentosFixos!D15</f>
        <v>1269</v>
      </c>
      <c r="E15" s="21">
        <v>10</v>
      </c>
      <c r="F15" s="22">
        <f t="shared" si="0"/>
        <v>114.21</v>
      </c>
      <c r="G15" s="46">
        <f t="shared" si="1"/>
        <v>9.5175000000000001</v>
      </c>
    </row>
    <row r="16" spans="1:7" x14ac:dyDescent="0.25">
      <c r="A16" s="243"/>
      <c r="B16" s="192" t="str">
        <f>EstimativadosInvestimentosFixos!B16</f>
        <v>Furadeira Impacto Mondial 220V</v>
      </c>
      <c r="C16" s="24">
        <f>EstimativadosInvestimentosFixos!C16</f>
        <v>1</v>
      </c>
      <c r="D16" s="22">
        <f>EstimativadosInvestimentosFixos!D16</f>
        <v>118.99</v>
      </c>
      <c r="E16" s="21">
        <v>10</v>
      </c>
      <c r="F16" s="22">
        <f t="shared" si="0"/>
        <v>10.709099999999999</v>
      </c>
      <c r="G16" s="46">
        <f t="shared" si="1"/>
        <v>0.89242499999999991</v>
      </c>
    </row>
    <row r="17" spans="1:7" x14ac:dyDescent="0.25">
      <c r="A17" s="243"/>
      <c r="B17" s="192" t="str">
        <f>EstimativadosInvestimentosFixos!B17</f>
        <v>Vaporizador / Higienizador Britânia Vapor Express</v>
      </c>
      <c r="C17" s="24">
        <f>EstimativadosInvestimentosFixos!C17</f>
        <v>1</v>
      </c>
      <c r="D17" s="22">
        <f>EstimativadosInvestimentosFixos!D17</f>
        <v>109.9</v>
      </c>
      <c r="E17" s="21">
        <v>10</v>
      </c>
      <c r="F17" s="22">
        <f t="shared" ref="F17:F42" si="2">SUM((D17-D17*10%)/E17)*C17</f>
        <v>9.891</v>
      </c>
      <c r="G17" s="46">
        <f t="shared" si="1"/>
        <v>0.82425000000000004</v>
      </c>
    </row>
    <row r="18" spans="1:7" x14ac:dyDescent="0.25">
      <c r="A18" s="243" t="s">
        <v>163</v>
      </c>
      <c r="B18" s="192" t="str">
        <f>EstimativadosInvestimentosFixos!B22</f>
        <v>Bombona Fermentadora Completa 60l (c/ Torneira E Airlock)</v>
      </c>
      <c r="C18" s="21">
        <f>EstimativadosInvestimentosFixos!C22</f>
        <v>12</v>
      </c>
      <c r="D18" s="22">
        <f>EstimativadosInvestimentosFixos!D22</f>
        <v>183</v>
      </c>
      <c r="E18" s="21">
        <v>8</v>
      </c>
      <c r="F18" s="22">
        <f t="shared" si="2"/>
        <v>247.04999999999998</v>
      </c>
      <c r="G18" s="46">
        <f t="shared" si="1"/>
        <v>20.587499999999999</v>
      </c>
    </row>
    <row r="19" spans="1:7" x14ac:dyDescent="0.25">
      <c r="A19" s="243"/>
      <c r="B19" s="192" t="str">
        <f>EstimativadosInvestimentosFixos!B23</f>
        <v>Caldeirão em Inox com Válvula Tripartida, Fundo Falso e Chuveiro Dispersor 70L</v>
      </c>
      <c r="C19" s="21">
        <f>EstimativadosInvestimentosFixos!C23</f>
        <v>1</v>
      </c>
      <c r="D19" s="22">
        <f>EstimativadosInvestimentosFixos!D23</f>
        <v>915</v>
      </c>
      <c r="E19" s="21">
        <v>10</v>
      </c>
      <c r="F19" s="22">
        <f>SUM((D19-D19*10%)/E19)*C19</f>
        <v>82.35</v>
      </c>
      <c r="G19" s="46">
        <f t="shared" si="1"/>
        <v>6.8624999999999998</v>
      </c>
    </row>
    <row r="20" spans="1:7" x14ac:dyDescent="0.25">
      <c r="A20" s="243"/>
      <c r="B20" s="192" t="str">
        <f>EstimativadosInvestimentosFixos!B24</f>
        <v>Caldeirão em Inox com Válvula Tripartida de 1/2" 70L</v>
      </c>
      <c r="C20" s="21">
        <f>EstimativadosInvestimentosFixos!C24</f>
        <v>1</v>
      </c>
      <c r="D20" s="22">
        <f>EstimativadosInvestimentosFixos!D24</f>
        <v>585</v>
      </c>
      <c r="E20" s="21">
        <v>10</v>
      </c>
      <c r="F20" s="22">
        <f t="shared" si="2"/>
        <v>52.65</v>
      </c>
      <c r="G20" s="46">
        <f t="shared" si="1"/>
        <v>4.3875000000000002</v>
      </c>
    </row>
    <row r="21" spans="1:7" x14ac:dyDescent="0.25">
      <c r="A21" s="243"/>
      <c r="B21" s="192" t="str">
        <f>EstimativadosInvestimentosFixos!B25</f>
        <v>Mangueira Cristal Atóxica 3/8 X 2mm 6m</v>
      </c>
      <c r="C21" s="21">
        <f>EstimativadosInvestimentosFixos!C25</f>
        <v>1</v>
      </c>
      <c r="D21" s="22">
        <f>EstimativadosInvestimentosFixos!D25</f>
        <v>36</v>
      </c>
      <c r="E21" s="21">
        <v>1</v>
      </c>
      <c r="F21" s="22">
        <f>SUM((D21-D21*10%)/E21)*C21</f>
        <v>32.4</v>
      </c>
      <c r="G21" s="46">
        <f t="shared" si="1"/>
        <v>2.6999999999999997</v>
      </c>
    </row>
    <row r="22" spans="1:7" x14ac:dyDescent="0.25">
      <c r="A22" s="243"/>
      <c r="B22" s="192" t="str">
        <f>EstimativadosInvestimentosFixos!B26</f>
        <v>Chiller Resfriador de Mosto em Serpentina 15m</v>
      </c>
      <c r="C22" s="21">
        <f>EstimativadosInvestimentosFixos!C26</f>
        <v>1</v>
      </c>
      <c r="D22" s="22">
        <f>EstimativadosInvestimentosFixos!D26</f>
        <v>149</v>
      </c>
      <c r="E22" s="21">
        <v>10</v>
      </c>
      <c r="F22" s="22">
        <f t="shared" si="2"/>
        <v>13.41</v>
      </c>
      <c r="G22" s="46">
        <f t="shared" si="1"/>
        <v>1.1174999999999999</v>
      </c>
    </row>
    <row r="23" spans="1:7" x14ac:dyDescent="0.25">
      <c r="A23" s="243"/>
      <c r="B23" s="192" t="str">
        <f>EstimativadosInvestimentosFixos!B27</f>
        <v>Colher Cervejeira Plástica</v>
      </c>
      <c r="C23" s="21">
        <f>EstimativadosInvestimentosFixos!C27</f>
        <v>1</v>
      </c>
      <c r="D23" s="22">
        <f>EstimativadosInvestimentosFixos!D27</f>
        <v>15</v>
      </c>
      <c r="E23" s="21">
        <v>2</v>
      </c>
      <c r="F23" s="22">
        <f>SUM((D23-D23*10%)/E23)*C23</f>
        <v>6.75</v>
      </c>
      <c r="G23" s="46">
        <f t="shared" si="1"/>
        <v>0.5625</v>
      </c>
    </row>
    <row r="24" spans="1:7" x14ac:dyDescent="0.25">
      <c r="A24" s="243"/>
      <c r="B24" s="192" t="str">
        <f>EstimativadosInvestimentosFixos!B28</f>
        <v>Escova de cerdas sinteticas para limpeza</v>
      </c>
      <c r="C24" s="21">
        <f>EstimativadosInvestimentosFixos!C28</f>
        <v>1</v>
      </c>
      <c r="D24" s="22">
        <f>EstimativadosInvestimentosFixos!D28</f>
        <v>15</v>
      </c>
      <c r="E24" s="21">
        <v>1</v>
      </c>
      <c r="F24" s="22">
        <f t="shared" si="2"/>
        <v>13.5</v>
      </c>
      <c r="G24" s="46">
        <f t="shared" si="1"/>
        <v>1.125</v>
      </c>
    </row>
    <row r="25" spans="1:7" x14ac:dyDescent="0.25">
      <c r="A25" s="243"/>
      <c r="B25" s="192" t="str">
        <f>EstimativadosInvestimentosFixos!B29</f>
        <v>Lavadora Spin Vinator para Garrafas</v>
      </c>
      <c r="C25" s="21">
        <f>EstimativadosInvestimentosFixos!C29</f>
        <v>1</v>
      </c>
      <c r="D25" s="22">
        <f>EstimativadosInvestimentosFixos!D29</f>
        <v>46.9</v>
      </c>
      <c r="E25" s="21">
        <v>3</v>
      </c>
      <c r="F25" s="22">
        <f>SUM((D25-D25*10%)/E25)*C25</f>
        <v>14.07</v>
      </c>
      <c r="G25" s="46">
        <f t="shared" si="1"/>
        <v>1.1725000000000001</v>
      </c>
    </row>
    <row r="26" spans="1:7" x14ac:dyDescent="0.25">
      <c r="A26" s="243"/>
      <c r="B26" s="192" t="str">
        <f>EstimativadosInvestimentosFixos!B30</f>
        <v>Enchedor de Garrafas com Válvula (bottle filler)</v>
      </c>
      <c r="C26" s="21">
        <f>EstimativadosInvestimentosFixos!C30</f>
        <v>1</v>
      </c>
      <c r="D26" s="22">
        <f>EstimativadosInvestimentosFixos!D30</f>
        <v>17.899999999999999</v>
      </c>
      <c r="E26" s="21">
        <v>5</v>
      </c>
      <c r="F26" s="22">
        <f t="shared" si="2"/>
        <v>3.222</v>
      </c>
      <c r="G26" s="46">
        <f t="shared" si="1"/>
        <v>0.26850000000000002</v>
      </c>
    </row>
    <row r="27" spans="1:7" x14ac:dyDescent="0.25">
      <c r="A27" s="243"/>
      <c r="B27" s="192" t="str">
        <f>EstimativadosInvestimentosFixos!B31</f>
        <v>Escorredor para 45 garrafas</v>
      </c>
      <c r="C27" s="21">
        <f>EstimativadosInvestimentosFixos!C31</f>
        <v>1</v>
      </c>
      <c r="D27" s="22">
        <f>EstimativadosInvestimentosFixos!D31</f>
        <v>135</v>
      </c>
      <c r="E27" s="21">
        <v>10</v>
      </c>
      <c r="F27" s="22">
        <f>SUM((D27-D27*10%)/E27)*C27</f>
        <v>12.15</v>
      </c>
      <c r="G27" s="46">
        <f t="shared" si="1"/>
        <v>1.0125</v>
      </c>
    </row>
    <row r="28" spans="1:7" x14ac:dyDescent="0.25">
      <c r="A28" s="243"/>
      <c r="B28" s="192" t="str">
        <f>EstimativadosInvestimentosFixos!B32</f>
        <v>Erlenmeyer de vidro</v>
      </c>
      <c r="C28" s="21">
        <f>EstimativadosInvestimentosFixos!C32</f>
        <v>1</v>
      </c>
      <c r="D28" s="22">
        <f>EstimativadosInvestimentosFixos!D32</f>
        <v>15</v>
      </c>
      <c r="E28" s="21">
        <v>10</v>
      </c>
      <c r="F28" s="22">
        <f t="shared" si="2"/>
        <v>1.35</v>
      </c>
      <c r="G28" s="46">
        <f t="shared" si="1"/>
        <v>0.1125</v>
      </c>
    </row>
    <row r="29" spans="1:7" x14ac:dyDescent="0.25">
      <c r="A29" s="243"/>
      <c r="B29" s="192" t="str">
        <f>EstimativadosInvestimentosFixos!B33</f>
        <v>Galão de água mineral 20L</v>
      </c>
      <c r="C29" s="21">
        <f>EstimativadosInvestimentosFixos!C33</f>
        <v>10</v>
      </c>
      <c r="D29" s="22">
        <f>EstimativadosInvestimentosFixos!D33</f>
        <v>12.5</v>
      </c>
      <c r="E29" s="21">
        <v>15</v>
      </c>
      <c r="F29" s="22">
        <f>SUM((D29-D29*10%)/E29)*C29</f>
        <v>7.5</v>
      </c>
      <c r="G29" s="46">
        <f t="shared" si="1"/>
        <v>0.625</v>
      </c>
    </row>
    <row r="30" spans="1:7" x14ac:dyDescent="0.25">
      <c r="A30" s="243"/>
      <c r="B30" s="192" t="str">
        <f>EstimativadosInvestimentosFixos!B34</f>
        <v>Mesa Aço Inox / Bancada de Apoio - 1,2m (120x70x90cm)</v>
      </c>
      <c r="C30" s="21">
        <f>EstimativadosInvestimentosFixos!C34</f>
        <v>1</v>
      </c>
      <c r="D30" s="22">
        <f>EstimativadosInvestimentosFixos!D34</f>
        <v>1289</v>
      </c>
      <c r="E30" s="21">
        <v>10</v>
      </c>
      <c r="F30" s="22">
        <f t="shared" si="2"/>
        <v>116.00999999999999</v>
      </c>
      <c r="G30" s="46">
        <f t="shared" si="1"/>
        <v>9.6674999999999986</v>
      </c>
    </row>
    <row r="31" spans="1:7" x14ac:dyDescent="0.25">
      <c r="A31" s="243"/>
      <c r="B31" s="192" t="str">
        <f>EstimativadosInvestimentosFixos!B35</f>
        <v>Estantes de Aço 6 prateleiras (92x30x200) suporta 180Kg</v>
      </c>
      <c r="C31" s="21">
        <f>EstimativadosInvestimentosFixos!C35</f>
        <v>4</v>
      </c>
      <c r="D31" s="22">
        <f>EstimativadosInvestimentosFixos!D35</f>
        <v>115</v>
      </c>
      <c r="E31" s="21">
        <v>10</v>
      </c>
      <c r="F31" s="22">
        <f>SUM((D31-D31*10%)/E31)*C31</f>
        <v>41.4</v>
      </c>
      <c r="G31" s="46">
        <f t="shared" si="1"/>
        <v>3.4499999999999997</v>
      </c>
    </row>
    <row r="32" spans="1:7" x14ac:dyDescent="0.25">
      <c r="A32" s="243"/>
      <c r="B32" s="192" t="str">
        <f>EstimativadosInvestimentosFixos!B36</f>
        <v>Mesa para Escritório com 3 Gavetas Laterais Office (136X45x76)</v>
      </c>
      <c r="C32" s="21">
        <f>EstimativadosInvestimentosFixos!C36</f>
        <v>1</v>
      </c>
      <c r="D32" s="22">
        <f>EstimativadosInvestimentosFixos!D36</f>
        <v>189.28</v>
      </c>
      <c r="E32" s="21">
        <v>10</v>
      </c>
      <c r="F32" s="22">
        <f t="shared" si="2"/>
        <v>17.0352</v>
      </c>
      <c r="G32" s="46">
        <f t="shared" si="1"/>
        <v>1.4196</v>
      </c>
    </row>
    <row r="33" spans="1:7" x14ac:dyDescent="0.25">
      <c r="A33" s="243"/>
      <c r="B33" s="192" t="str">
        <f>EstimativadosInvestimentosFixos!B37</f>
        <v>Cadeira de Escritório Giratória Travel Max - UM5B</v>
      </c>
      <c r="C33" s="21">
        <f>EstimativadosInvestimentosFixos!C37</f>
        <v>1</v>
      </c>
      <c r="D33" s="22">
        <f>EstimativadosInvestimentosFixos!D37</f>
        <v>199.99</v>
      </c>
      <c r="E33" s="21">
        <v>10</v>
      </c>
      <c r="F33" s="22">
        <f>SUM((D33-D33*10%)/E33)*C33</f>
        <v>17.999100000000002</v>
      </c>
      <c r="G33" s="46">
        <f t="shared" si="1"/>
        <v>1.4999250000000002</v>
      </c>
    </row>
    <row r="34" spans="1:7" x14ac:dyDescent="0.25">
      <c r="A34" s="243"/>
      <c r="B34" s="192" t="str">
        <f>EstimativadosInvestimentosFixos!B38</f>
        <v>Lixeira Branca 15 Litros com Pedal Santana</v>
      </c>
      <c r="C34" s="21">
        <f>EstimativadosInvestimentosFixos!C38</f>
        <v>1</v>
      </c>
      <c r="D34" s="22">
        <f>EstimativadosInvestimentosFixos!D38</f>
        <v>25</v>
      </c>
      <c r="E34" s="21">
        <v>10</v>
      </c>
      <c r="F34" s="22">
        <f t="shared" si="2"/>
        <v>2.25</v>
      </c>
      <c r="G34" s="46">
        <f t="shared" si="1"/>
        <v>0.1875</v>
      </c>
    </row>
    <row r="35" spans="1:7" x14ac:dyDescent="0.25">
      <c r="A35" s="243"/>
      <c r="B35" s="192" t="str">
        <f>EstimativadosInvestimentosFixos!B39</f>
        <v>Vassoura Mágica Inteligente 3 Em 1 Feiticeira Aspirador</v>
      </c>
      <c r="C35" s="21">
        <f>EstimativadosInvestimentosFixos!C39</f>
        <v>1</v>
      </c>
      <c r="D35" s="22">
        <f>EstimativadosInvestimentosFixos!D39</f>
        <v>42.21</v>
      </c>
      <c r="E35" s="21">
        <v>3</v>
      </c>
      <c r="F35" s="22">
        <f>SUM((D35-D35*10%)/E35)*C35</f>
        <v>12.663000000000002</v>
      </c>
      <c r="G35" s="46">
        <f t="shared" si="1"/>
        <v>1.0552500000000002</v>
      </c>
    </row>
    <row r="36" spans="1:7" x14ac:dyDescent="0.25">
      <c r="A36" s="243"/>
      <c r="B36" s="192" t="str">
        <f>EstimativadosInvestimentosFixos!B40</f>
        <v>Super Balde Mop Spin 360° Vermelho Com 5 Esfregão Refil e Centrifuga em Inox</v>
      </c>
      <c r="C36" s="21">
        <f>EstimativadosInvestimentosFixos!C40</f>
        <v>1</v>
      </c>
      <c r="D36" s="22">
        <f>EstimativadosInvestimentosFixos!D40</f>
        <v>69.900000000000006</v>
      </c>
      <c r="E36" s="21">
        <v>3</v>
      </c>
      <c r="F36" s="22">
        <f t="shared" si="2"/>
        <v>20.970000000000002</v>
      </c>
      <c r="G36" s="46">
        <f t="shared" si="1"/>
        <v>1.7475000000000003</v>
      </c>
    </row>
    <row r="37" spans="1:7" x14ac:dyDescent="0.25">
      <c r="A37" s="243"/>
      <c r="B37" s="192" t="str">
        <f>EstimativadosInvestimentosFixos!B41</f>
        <v>Jaleco Masculino Oxford Manga Longa</v>
      </c>
      <c r="C37" s="21">
        <f>EstimativadosInvestimentosFixos!C41</f>
        <v>1</v>
      </c>
      <c r="D37" s="22">
        <f>EstimativadosInvestimentosFixos!D41</f>
        <v>41.68</v>
      </c>
      <c r="E37" s="21">
        <v>4</v>
      </c>
      <c r="F37" s="22">
        <f>SUM((D37-D37*10%)/E37)*C37</f>
        <v>9.3780000000000001</v>
      </c>
      <c r="G37" s="46">
        <f t="shared" si="1"/>
        <v>0.78149999999999997</v>
      </c>
    </row>
    <row r="38" spans="1:7" x14ac:dyDescent="0.25">
      <c r="A38" s="243"/>
      <c r="B38" s="192" t="str">
        <f>EstimativadosInvestimentosFixos!B42</f>
        <v>Touca de cozinha personalizada c/bordado</v>
      </c>
      <c r="C38" s="21">
        <f>EstimativadosInvestimentosFixos!C42</f>
        <v>1</v>
      </c>
      <c r="D38" s="22">
        <f>EstimativadosInvestimentosFixos!D42</f>
        <v>18</v>
      </c>
      <c r="E38" s="21">
        <v>10</v>
      </c>
      <c r="F38" s="22">
        <f t="shared" si="2"/>
        <v>1.6199999999999999</v>
      </c>
      <c r="G38" s="46">
        <f t="shared" si="1"/>
        <v>0.13499999999999998</v>
      </c>
    </row>
    <row r="39" spans="1:7" x14ac:dyDescent="0.25">
      <c r="A39" s="243"/>
      <c r="B39" s="192" t="str">
        <f>EstimativadosInvestimentosFixos!B43</f>
        <v>Bota Capataz Cano Curto Branca - SPK061</v>
      </c>
      <c r="C39" s="21">
        <f>EstimativadosInvestimentosFixos!C43</f>
        <v>1</v>
      </c>
      <c r="D39" s="22">
        <f>EstimativadosInvestimentosFixos!D43</f>
        <v>20.2</v>
      </c>
      <c r="E39" s="21">
        <v>5</v>
      </c>
      <c r="F39" s="22">
        <f>SUM((D39-D39*10%)/E39)*C39</f>
        <v>3.6360000000000001</v>
      </c>
      <c r="G39" s="46">
        <f t="shared" si="1"/>
        <v>0.30299999999999999</v>
      </c>
    </row>
    <row r="40" spans="1:7" x14ac:dyDescent="0.25">
      <c r="A40" s="243"/>
      <c r="B40" s="192" t="str">
        <f>EstimativadosInvestimentosFixos!B44</f>
        <v>Balde 30 Litros Com Tampa E Lacre</v>
      </c>
      <c r="C40" s="21">
        <f>EstimativadosInvestimentosFixos!C44</f>
        <v>3</v>
      </c>
      <c r="D40" s="22">
        <f>EstimativadosInvestimentosFixos!D44</f>
        <v>52.9</v>
      </c>
      <c r="E40" s="21">
        <v>6</v>
      </c>
      <c r="F40" s="22">
        <f t="shared" si="2"/>
        <v>23.805</v>
      </c>
      <c r="G40" s="46">
        <f t="shared" si="1"/>
        <v>1.9837499999999999</v>
      </c>
    </row>
    <row r="41" spans="1:7" x14ac:dyDescent="0.25">
      <c r="A41" s="243"/>
      <c r="B41" s="192" t="str">
        <f>EstimativadosInvestimentosFixos!B45</f>
        <v>Botija de gás vazia usada</v>
      </c>
      <c r="C41" s="21">
        <f>EstimativadosInvestimentosFixos!C45</f>
        <v>2</v>
      </c>
      <c r="D41" s="22">
        <f>EstimativadosInvestimentosFixos!D45</f>
        <v>100</v>
      </c>
      <c r="E41" s="21">
        <v>15</v>
      </c>
      <c r="F41" s="22">
        <f>SUM((D41-D41*10%)/E41)*C41</f>
        <v>12</v>
      </c>
      <c r="G41" s="46">
        <f t="shared" si="1"/>
        <v>1</v>
      </c>
    </row>
    <row r="42" spans="1:7" ht="15.75" thickBot="1" x14ac:dyDescent="0.3">
      <c r="A42" s="199" t="s">
        <v>164</v>
      </c>
      <c r="B42" s="193" t="str">
        <f>EstimativadosInvestimentosFixos!B50</f>
        <v>Veiculo VolksWagen Gol 1.0 Power 16v 4p Gasolina</v>
      </c>
      <c r="C42" s="92">
        <f>EstimativadosInvestimentosFixos!C50</f>
        <v>1</v>
      </c>
      <c r="D42" s="93">
        <f>EstimativadosInvestimentosFixos!D50</f>
        <v>12065</v>
      </c>
      <c r="E42" s="92">
        <v>10</v>
      </c>
      <c r="F42" s="93">
        <f t="shared" si="2"/>
        <v>1085.8499999999999</v>
      </c>
      <c r="G42" s="94">
        <f t="shared" si="1"/>
        <v>90.487499999999997</v>
      </c>
    </row>
    <row r="43" spans="1:7" ht="16.5" thickTop="1" thickBot="1" x14ac:dyDescent="0.3">
      <c r="A43" s="197" t="s">
        <v>56</v>
      </c>
      <c r="B43" s="196"/>
      <c r="C43" s="195"/>
      <c r="D43" s="115"/>
      <c r="E43" s="114"/>
      <c r="F43" s="115">
        <f>SUM(F2:F42)</f>
        <v>3452.0684000000001</v>
      </c>
      <c r="G43" s="120">
        <f t="shared" si="1"/>
        <v>287.67236666666668</v>
      </c>
    </row>
    <row r="44" spans="1:7" ht="15.75" thickTop="1" x14ac:dyDescent="0.25"/>
  </sheetData>
  <mergeCells count="2">
    <mergeCell ref="A3:A17"/>
    <mergeCell ref="A18:A4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7" sqref="B17"/>
    </sheetView>
  </sheetViews>
  <sheetFormatPr defaultRowHeight="15" x14ac:dyDescent="0.25"/>
  <cols>
    <col min="1" max="1" width="17.42578125" customWidth="1"/>
    <col min="2" max="2" width="31.85546875" customWidth="1"/>
    <col min="3" max="3" width="29.5703125" customWidth="1"/>
    <col min="4" max="4" width="24.5703125" customWidth="1"/>
    <col min="6" max="6" width="18.7109375" customWidth="1"/>
    <col min="7" max="7" width="32.140625" customWidth="1"/>
    <col min="8" max="8" width="37.5703125" customWidth="1"/>
    <col min="9" max="9" width="24" customWidth="1"/>
    <col min="10" max="10" width="37.42578125" customWidth="1"/>
    <col min="11" max="11" width="24.28515625" customWidth="1"/>
  </cols>
  <sheetData>
    <row r="1" spans="1:11" x14ac:dyDescent="0.25">
      <c r="A1" s="19" t="s">
        <v>73</v>
      </c>
      <c r="B1" s="19" t="s">
        <v>74</v>
      </c>
      <c r="C1" s="19" t="s">
        <v>75</v>
      </c>
      <c r="D1" s="19" t="s">
        <v>76</v>
      </c>
      <c r="F1" s="255"/>
      <c r="G1" s="255"/>
      <c r="H1" s="255"/>
      <c r="I1" s="255"/>
      <c r="J1" s="255"/>
      <c r="K1" s="255"/>
    </row>
    <row r="2" spans="1:11" x14ac:dyDescent="0.25">
      <c r="A2" s="21" t="s">
        <v>77</v>
      </c>
      <c r="B2" s="35">
        <f>EstimativadeCustoUnitario!E8</f>
        <v>1440</v>
      </c>
      <c r="C2" s="22">
        <f>EstimativadeCustoUnitario!O2</f>
        <v>13.99</v>
      </c>
      <c r="D2" s="22">
        <f>SUM(B2*C2)</f>
        <v>20145.599999999999</v>
      </c>
      <c r="F2" s="17"/>
      <c r="G2" s="16"/>
      <c r="H2" s="256"/>
      <c r="I2" s="16"/>
      <c r="J2" s="256"/>
      <c r="K2" s="16"/>
    </row>
    <row r="3" spans="1:11" x14ac:dyDescent="0.25">
      <c r="A3" s="21" t="s">
        <v>78</v>
      </c>
      <c r="B3" s="21">
        <f>EstimativadeCustoUnitario!E20</f>
        <v>1200</v>
      </c>
      <c r="C3" s="22">
        <f>EstimativadeCustoUnitario!O16</f>
        <v>13.99</v>
      </c>
      <c r="D3" s="22">
        <f>SUM(B3*C3)</f>
        <v>16788</v>
      </c>
      <c r="F3" s="17"/>
      <c r="G3" s="16"/>
      <c r="H3" s="17"/>
      <c r="I3" s="16"/>
      <c r="J3" s="256"/>
      <c r="K3" s="16"/>
    </row>
    <row r="4" spans="1:11" x14ac:dyDescent="0.25">
      <c r="A4" s="19" t="s">
        <v>56</v>
      </c>
      <c r="B4" s="36"/>
      <c r="C4" s="20"/>
      <c r="D4" s="20">
        <f>SUM(D2:D3)</f>
        <v>36933.599999999999</v>
      </c>
      <c r="F4" s="255"/>
      <c r="G4" s="15"/>
      <c r="H4" s="257"/>
      <c r="I4" s="15"/>
      <c r="J4" s="257"/>
      <c r="K4" s="15"/>
    </row>
    <row r="5" spans="1:11" x14ac:dyDescent="0.25">
      <c r="A5" s="21" t="s">
        <v>263</v>
      </c>
      <c r="B5" s="21"/>
      <c r="C5" s="21"/>
      <c r="D5" s="22">
        <f>SUM(D4*12)</f>
        <v>443203.19999999995</v>
      </c>
      <c r="F5" s="17"/>
      <c r="G5" s="17"/>
      <c r="H5" s="17"/>
      <c r="I5" s="16"/>
      <c r="J5" s="17"/>
      <c r="K5" s="16"/>
    </row>
    <row r="6" spans="1:11" x14ac:dyDescent="0.25">
      <c r="F6" s="18"/>
      <c r="G6" s="17"/>
      <c r="H6" s="255"/>
      <c r="I6" s="255"/>
      <c r="J6" s="255"/>
      <c r="K6" s="255"/>
    </row>
    <row r="7" spans="1:11" x14ac:dyDescent="0.25">
      <c r="A7" s="255"/>
      <c r="B7" s="255"/>
      <c r="C7" s="255"/>
      <c r="D7" s="255"/>
      <c r="F7" s="252"/>
      <c r="G7" s="17"/>
      <c r="H7" s="256"/>
      <c r="I7" s="16"/>
      <c r="J7" s="256"/>
      <c r="K7" s="16"/>
    </row>
    <row r="8" spans="1:11" x14ac:dyDescent="0.25">
      <c r="A8" s="17"/>
      <c r="B8" s="17"/>
      <c r="C8" s="16"/>
      <c r="D8" s="16"/>
      <c r="F8" s="252"/>
      <c r="G8" s="17"/>
      <c r="H8" s="256"/>
      <c r="I8" s="16"/>
      <c r="J8" s="256"/>
      <c r="K8" s="16"/>
    </row>
    <row r="9" spans="1:11" x14ac:dyDescent="0.25">
      <c r="A9" s="17"/>
      <c r="B9" s="17"/>
      <c r="C9" s="16"/>
      <c r="D9" s="16"/>
      <c r="F9" s="17"/>
      <c r="G9" s="17"/>
      <c r="H9" s="257"/>
      <c r="I9" s="15"/>
      <c r="J9" s="257"/>
      <c r="K9" s="15"/>
    </row>
    <row r="10" spans="1:11" x14ac:dyDescent="0.25">
      <c r="A10" s="255"/>
      <c r="B10" s="255"/>
      <c r="C10" s="255"/>
      <c r="D10" s="15"/>
      <c r="F10" s="17"/>
      <c r="G10" s="17"/>
      <c r="H10" s="17"/>
      <c r="I10" s="16"/>
      <c r="J10" s="17"/>
      <c r="K10" s="16"/>
    </row>
    <row r="11" spans="1:11" x14ac:dyDescent="0.25">
      <c r="A11" s="255"/>
      <c r="B11" s="255"/>
      <c r="C11" s="255"/>
      <c r="D11" s="15"/>
      <c r="F11" s="17"/>
      <c r="G11" s="17"/>
      <c r="H11" s="255"/>
      <c r="I11" s="255"/>
      <c r="J11" s="255"/>
      <c r="K11" s="255"/>
    </row>
    <row r="12" spans="1:11" x14ac:dyDescent="0.25">
      <c r="F12" s="17"/>
      <c r="G12" s="17"/>
      <c r="H12" s="256"/>
      <c r="I12" s="16"/>
      <c r="J12" s="256"/>
      <c r="K12" s="16"/>
    </row>
    <row r="13" spans="1:11" x14ac:dyDescent="0.25">
      <c r="F13" s="17"/>
      <c r="G13" s="17"/>
      <c r="H13" s="256"/>
      <c r="I13" s="16"/>
      <c r="J13" s="256"/>
      <c r="K13" s="16"/>
    </row>
    <row r="14" spans="1:11" x14ac:dyDescent="0.25">
      <c r="F14" s="17"/>
      <c r="G14" s="17"/>
      <c r="H14" s="257"/>
      <c r="I14" s="15"/>
      <c r="J14" s="257"/>
      <c r="K14" s="15"/>
    </row>
    <row r="15" spans="1:11" x14ac:dyDescent="0.25">
      <c r="F15" s="17"/>
      <c r="G15" s="17"/>
      <c r="H15" s="17"/>
      <c r="I15" s="16"/>
      <c r="J15" s="17"/>
      <c r="K15" s="16"/>
    </row>
    <row r="16" spans="1:11" x14ac:dyDescent="0.25">
      <c r="F16" s="17"/>
      <c r="G16" s="17"/>
      <c r="H16" s="17"/>
      <c r="I16" s="17"/>
      <c r="J16" s="255"/>
      <c r="K16" s="255"/>
    </row>
    <row r="17" spans="6:11" x14ac:dyDescent="0.25">
      <c r="F17" s="17"/>
      <c r="G17" s="17"/>
      <c r="H17" s="17"/>
      <c r="I17" s="17"/>
      <c r="J17" s="256"/>
      <c r="K17" s="16"/>
    </row>
    <row r="18" spans="6:11" x14ac:dyDescent="0.25">
      <c r="F18" s="17"/>
      <c r="G18" s="17"/>
      <c r="H18" s="17"/>
      <c r="I18" s="17"/>
      <c r="J18" s="256"/>
      <c r="K18" s="16"/>
    </row>
    <row r="19" spans="6:11" x14ac:dyDescent="0.25">
      <c r="F19" s="17"/>
      <c r="G19" s="17"/>
      <c r="H19" s="17"/>
      <c r="I19" s="17"/>
      <c r="J19" s="257"/>
      <c r="K19" s="15"/>
    </row>
    <row r="20" spans="6:11" x14ac:dyDescent="0.25">
      <c r="F20" s="17"/>
      <c r="G20" s="17"/>
      <c r="H20" s="17"/>
      <c r="I20" s="17"/>
      <c r="J20" s="17"/>
      <c r="K20" s="16"/>
    </row>
  </sheetData>
  <mergeCells count="1">
    <mergeCell ref="F7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B18" sqref="B18"/>
    </sheetView>
  </sheetViews>
  <sheetFormatPr defaultRowHeight="15" x14ac:dyDescent="0.25"/>
  <cols>
    <col min="1" max="1" width="29.85546875" customWidth="1"/>
    <col min="2" max="2" width="76.7109375" style="4" customWidth="1"/>
    <col min="3" max="3" width="20.42578125" customWidth="1"/>
    <col min="4" max="4" width="12.7109375" customWidth="1"/>
    <col min="5" max="5" width="15.5703125" customWidth="1"/>
    <col min="9" max="9" width="30.85546875" customWidth="1"/>
    <col min="11" max="11" width="34" customWidth="1"/>
    <col min="12" max="12" width="31.42578125" customWidth="1"/>
    <col min="14" max="14" width="33.5703125" customWidth="1"/>
  </cols>
  <sheetData>
    <row r="1" spans="1:5" ht="16.5" thickTop="1" thickBot="1" x14ac:dyDescent="0.3">
      <c r="A1" s="236" t="s">
        <v>105</v>
      </c>
      <c r="B1" s="237"/>
      <c r="C1" s="237"/>
      <c r="D1" s="237"/>
      <c r="E1" s="238"/>
    </row>
    <row r="2" spans="1:5" ht="15.75" thickTop="1" x14ac:dyDescent="0.25">
      <c r="A2" s="89"/>
      <c r="B2" s="53" t="s">
        <v>79</v>
      </c>
      <c r="C2" s="52" t="s">
        <v>106</v>
      </c>
      <c r="D2" s="52" t="s">
        <v>107</v>
      </c>
      <c r="E2" s="54" t="s">
        <v>81</v>
      </c>
    </row>
    <row r="3" spans="1:5" x14ac:dyDescent="0.25">
      <c r="A3" s="45">
        <v>1</v>
      </c>
      <c r="B3" s="22" t="s">
        <v>8</v>
      </c>
      <c r="C3" s="24">
        <v>1</v>
      </c>
      <c r="D3" s="22">
        <v>105</v>
      </c>
      <c r="E3" s="46">
        <f>SUM(C3*D3)</f>
        <v>105</v>
      </c>
    </row>
    <row r="4" spans="1:5" x14ac:dyDescent="0.25">
      <c r="A4" s="45">
        <f>SUM(A3+1)</f>
        <v>2</v>
      </c>
      <c r="B4" s="21" t="s">
        <v>10</v>
      </c>
      <c r="C4" s="21">
        <v>1</v>
      </c>
      <c r="D4" s="22">
        <v>75</v>
      </c>
      <c r="E4" s="46">
        <f t="shared" ref="E4:E17" si="0">SUM(C4*D4)</f>
        <v>75</v>
      </c>
    </row>
    <row r="5" spans="1:5" x14ac:dyDescent="0.25">
      <c r="A5" s="45">
        <f t="shared" ref="A5:A17" si="1">SUM(A4+1)</f>
        <v>3</v>
      </c>
      <c r="B5" s="21" t="s">
        <v>11</v>
      </c>
      <c r="C5" s="21">
        <v>1</v>
      </c>
      <c r="D5" s="22">
        <v>45</v>
      </c>
      <c r="E5" s="46">
        <f t="shared" si="0"/>
        <v>45</v>
      </c>
    </row>
    <row r="6" spans="1:5" x14ac:dyDescent="0.25">
      <c r="A6" s="45">
        <f t="shared" si="1"/>
        <v>4</v>
      </c>
      <c r="B6" s="21" t="s">
        <v>16</v>
      </c>
      <c r="C6" s="21">
        <v>1</v>
      </c>
      <c r="D6" s="22">
        <v>115</v>
      </c>
      <c r="E6" s="46">
        <f t="shared" si="0"/>
        <v>115</v>
      </c>
    </row>
    <row r="7" spans="1:5" x14ac:dyDescent="0.25">
      <c r="A7" s="45">
        <f t="shared" si="1"/>
        <v>5</v>
      </c>
      <c r="B7" s="21" t="s">
        <v>20</v>
      </c>
      <c r="C7" s="21">
        <v>1</v>
      </c>
      <c r="D7" s="22">
        <v>625</v>
      </c>
      <c r="E7" s="46">
        <f t="shared" si="0"/>
        <v>625</v>
      </c>
    </row>
    <row r="8" spans="1:5" x14ac:dyDescent="0.25">
      <c r="A8" s="45">
        <f t="shared" si="1"/>
        <v>6</v>
      </c>
      <c r="B8" s="21" t="s">
        <v>28</v>
      </c>
      <c r="C8" s="21">
        <v>12</v>
      </c>
      <c r="D8" s="22">
        <v>450</v>
      </c>
      <c r="E8" s="46">
        <f t="shared" si="0"/>
        <v>5400</v>
      </c>
    </row>
    <row r="9" spans="1:5" x14ac:dyDescent="0.25">
      <c r="A9" s="45">
        <f t="shared" si="1"/>
        <v>7</v>
      </c>
      <c r="B9" s="21" t="s">
        <v>30</v>
      </c>
      <c r="C9" s="21">
        <v>1</v>
      </c>
      <c r="D9" s="22">
        <v>42</v>
      </c>
      <c r="E9" s="46">
        <f t="shared" si="0"/>
        <v>42</v>
      </c>
    </row>
    <row r="10" spans="1:5" x14ac:dyDescent="0.25">
      <c r="A10" s="45">
        <f t="shared" si="1"/>
        <v>8</v>
      </c>
      <c r="B10" s="21" t="s">
        <v>31</v>
      </c>
      <c r="C10" s="21">
        <v>1</v>
      </c>
      <c r="D10" s="22">
        <v>86</v>
      </c>
      <c r="E10" s="46">
        <f t="shared" si="0"/>
        <v>86</v>
      </c>
    </row>
    <row r="11" spans="1:5" x14ac:dyDescent="0.25">
      <c r="A11" s="45">
        <f t="shared" si="1"/>
        <v>9</v>
      </c>
      <c r="B11" s="21" t="s">
        <v>32</v>
      </c>
      <c r="C11" s="21">
        <v>6</v>
      </c>
      <c r="D11" s="22">
        <v>85</v>
      </c>
      <c r="E11" s="46">
        <f t="shared" si="0"/>
        <v>510</v>
      </c>
    </row>
    <row r="12" spans="1:5" x14ac:dyDescent="0.25">
      <c r="A12" s="45">
        <f t="shared" si="1"/>
        <v>10</v>
      </c>
      <c r="B12" s="21" t="s">
        <v>34</v>
      </c>
      <c r="C12" s="21">
        <v>24</v>
      </c>
      <c r="D12" s="22">
        <v>11.9</v>
      </c>
      <c r="E12" s="46">
        <f t="shared" si="0"/>
        <v>285.60000000000002</v>
      </c>
    </row>
    <row r="13" spans="1:5" x14ac:dyDescent="0.25">
      <c r="A13" s="45">
        <f t="shared" si="1"/>
        <v>11</v>
      </c>
      <c r="B13" s="21" t="s">
        <v>36</v>
      </c>
      <c r="C13" s="21">
        <v>12</v>
      </c>
      <c r="D13" s="22">
        <v>16.899999999999999</v>
      </c>
      <c r="E13" s="46">
        <f t="shared" si="0"/>
        <v>202.79999999999998</v>
      </c>
    </row>
    <row r="14" spans="1:5" x14ac:dyDescent="0.25">
      <c r="A14" s="45">
        <f t="shared" si="1"/>
        <v>12</v>
      </c>
      <c r="B14" s="21" t="s">
        <v>5</v>
      </c>
      <c r="C14" s="21">
        <v>1</v>
      </c>
      <c r="D14" s="22">
        <v>495</v>
      </c>
      <c r="E14" s="46">
        <f t="shared" si="0"/>
        <v>495</v>
      </c>
    </row>
    <row r="15" spans="1:5" x14ac:dyDescent="0.25">
      <c r="A15" s="45">
        <f t="shared" si="1"/>
        <v>13</v>
      </c>
      <c r="B15" s="23" t="s">
        <v>118</v>
      </c>
      <c r="C15" s="21">
        <v>1</v>
      </c>
      <c r="D15" s="22">
        <v>1269</v>
      </c>
      <c r="E15" s="46">
        <f t="shared" si="0"/>
        <v>1269</v>
      </c>
    </row>
    <row r="16" spans="1:5" x14ac:dyDescent="0.25">
      <c r="A16" s="45">
        <f t="shared" si="1"/>
        <v>14</v>
      </c>
      <c r="B16" s="23" t="s">
        <v>119</v>
      </c>
      <c r="C16" s="21">
        <v>1</v>
      </c>
      <c r="D16" s="22">
        <v>118.99</v>
      </c>
      <c r="E16" s="46">
        <f t="shared" si="0"/>
        <v>118.99</v>
      </c>
    </row>
    <row r="17" spans="1:5" ht="15.75" thickBot="1" x14ac:dyDescent="0.3">
      <c r="A17" s="90">
        <f t="shared" si="1"/>
        <v>15</v>
      </c>
      <c r="B17" s="91" t="s">
        <v>121</v>
      </c>
      <c r="C17" s="92">
        <v>1</v>
      </c>
      <c r="D17" s="93">
        <v>109.9</v>
      </c>
      <c r="E17" s="94">
        <f t="shared" si="0"/>
        <v>109.9</v>
      </c>
    </row>
    <row r="18" spans="1:5" ht="16.5" thickTop="1" thickBot="1" x14ac:dyDescent="0.3">
      <c r="A18" s="95" t="s">
        <v>176</v>
      </c>
      <c r="B18" s="96"/>
      <c r="C18" s="97"/>
      <c r="D18" s="97"/>
      <c r="E18" s="98">
        <f>SUM(E3:E17)</f>
        <v>9484.2900000000009</v>
      </c>
    </row>
    <row r="19" spans="1:5" ht="16.5" thickTop="1" thickBot="1" x14ac:dyDescent="0.3">
      <c r="A19" s="18"/>
      <c r="B19" s="37"/>
      <c r="C19" s="18"/>
      <c r="D19" s="18"/>
      <c r="E19" s="18"/>
    </row>
    <row r="20" spans="1:5" ht="16.5" thickTop="1" thickBot="1" x14ac:dyDescent="0.3">
      <c r="A20" s="236" t="s">
        <v>108</v>
      </c>
      <c r="B20" s="237"/>
      <c r="C20" s="237"/>
      <c r="D20" s="237"/>
      <c r="E20" s="238"/>
    </row>
    <row r="21" spans="1:5" ht="15.75" thickTop="1" x14ac:dyDescent="0.25">
      <c r="A21" s="89"/>
      <c r="B21" s="53" t="s">
        <v>79</v>
      </c>
      <c r="C21" s="52" t="s">
        <v>106</v>
      </c>
      <c r="D21" s="52" t="s">
        <v>107</v>
      </c>
      <c r="E21" s="54" t="s">
        <v>81</v>
      </c>
    </row>
    <row r="22" spans="1:5" x14ac:dyDescent="0.25">
      <c r="A22" s="45">
        <v>1</v>
      </c>
      <c r="B22" s="21" t="s">
        <v>69</v>
      </c>
      <c r="C22" s="21">
        <v>12</v>
      </c>
      <c r="D22" s="22">
        <v>183</v>
      </c>
      <c r="E22" s="46">
        <f>SUM(C22*D22)</f>
        <v>2196</v>
      </c>
    </row>
    <row r="23" spans="1:5" x14ac:dyDescent="0.25">
      <c r="A23" s="45">
        <f>SUM(A22+1)</f>
        <v>2</v>
      </c>
      <c r="B23" s="21" t="s">
        <v>7</v>
      </c>
      <c r="C23" s="21">
        <v>1</v>
      </c>
      <c r="D23" s="22">
        <v>915</v>
      </c>
      <c r="E23" s="46">
        <f t="shared" ref="E23:E45" si="2">SUM(C23*D23)</f>
        <v>915</v>
      </c>
    </row>
    <row r="24" spans="1:5" x14ac:dyDescent="0.25">
      <c r="A24" s="45">
        <f t="shared" ref="A24:A32" si="3">SUM(A23+1)</f>
        <v>3</v>
      </c>
      <c r="B24" s="21" t="s">
        <v>6</v>
      </c>
      <c r="C24" s="21">
        <v>1</v>
      </c>
      <c r="D24" s="22">
        <v>585</v>
      </c>
      <c r="E24" s="46">
        <f t="shared" si="2"/>
        <v>585</v>
      </c>
    </row>
    <row r="25" spans="1:5" x14ac:dyDescent="0.25">
      <c r="A25" s="45">
        <f t="shared" si="3"/>
        <v>4</v>
      </c>
      <c r="B25" s="21" t="s">
        <v>9</v>
      </c>
      <c r="C25" s="21">
        <v>1</v>
      </c>
      <c r="D25" s="22">
        <v>36</v>
      </c>
      <c r="E25" s="46">
        <f t="shared" si="2"/>
        <v>36</v>
      </c>
    </row>
    <row r="26" spans="1:5" x14ac:dyDescent="0.25">
      <c r="A26" s="45">
        <f t="shared" si="3"/>
        <v>5</v>
      </c>
      <c r="B26" s="21" t="s">
        <v>12</v>
      </c>
      <c r="C26" s="21">
        <v>1</v>
      </c>
      <c r="D26" s="22">
        <v>149</v>
      </c>
      <c r="E26" s="46">
        <f t="shared" si="2"/>
        <v>149</v>
      </c>
    </row>
    <row r="27" spans="1:5" x14ac:dyDescent="0.25">
      <c r="A27" s="45">
        <f t="shared" si="3"/>
        <v>6</v>
      </c>
      <c r="B27" s="21" t="s">
        <v>13</v>
      </c>
      <c r="C27" s="21">
        <v>1</v>
      </c>
      <c r="D27" s="22">
        <v>15</v>
      </c>
      <c r="E27" s="46">
        <f t="shared" si="2"/>
        <v>15</v>
      </c>
    </row>
    <row r="28" spans="1:5" x14ac:dyDescent="0.25">
      <c r="A28" s="45">
        <f t="shared" si="3"/>
        <v>7</v>
      </c>
      <c r="B28" s="21" t="s">
        <v>18</v>
      </c>
      <c r="C28" s="21">
        <v>1</v>
      </c>
      <c r="D28" s="22">
        <v>15</v>
      </c>
      <c r="E28" s="46">
        <f t="shared" si="2"/>
        <v>15</v>
      </c>
    </row>
    <row r="29" spans="1:5" x14ac:dyDescent="0.25">
      <c r="A29" s="45">
        <f t="shared" si="3"/>
        <v>8</v>
      </c>
      <c r="B29" s="21" t="s">
        <v>19</v>
      </c>
      <c r="C29" s="21">
        <v>1</v>
      </c>
      <c r="D29" s="22">
        <v>46.9</v>
      </c>
      <c r="E29" s="46">
        <f t="shared" si="2"/>
        <v>46.9</v>
      </c>
    </row>
    <row r="30" spans="1:5" x14ac:dyDescent="0.25">
      <c r="A30" s="45">
        <f t="shared" si="3"/>
        <v>9</v>
      </c>
      <c r="B30" s="21" t="s">
        <v>21</v>
      </c>
      <c r="C30" s="21">
        <v>1</v>
      </c>
      <c r="D30" s="22">
        <v>17.899999999999999</v>
      </c>
      <c r="E30" s="46">
        <f t="shared" si="2"/>
        <v>17.899999999999999</v>
      </c>
    </row>
    <row r="31" spans="1:5" x14ac:dyDescent="0.25">
      <c r="A31" s="45">
        <f t="shared" si="3"/>
        <v>10</v>
      </c>
      <c r="B31" s="21" t="s">
        <v>23</v>
      </c>
      <c r="C31" s="21">
        <v>1</v>
      </c>
      <c r="D31" s="22">
        <v>135</v>
      </c>
      <c r="E31" s="46">
        <f t="shared" si="2"/>
        <v>135</v>
      </c>
    </row>
    <row r="32" spans="1:5" x14ac:dyDescent="0.25">
      <c r="A32" s="45">
        <f t="shared" si="3"/>
        <v>11</v>
      </c>
      <c r="B32" s="21" t="s">
        <v>24</v>
      </c>
      <c r="C32" s="21">
        <v>1</v>
      </c>
      <c r="D32" s="22">
        <v>15</v>
      </c>
      <c r="E32" s="46">
        <f t="shared" si="2"/>
        <v>15</v>
      </c>
    </row>
    <row r="33" spans="1:5" x14ac:dyDescent="0.25">
      <c r="A33" s="45">
        <f>SUM(A32+1)</f>
        <v>12</v>
      </c>
      <c r="B33" s="21" t="s">
        <v>53</v>
      </c>
      <c r="C33" s="21">
        <v>10</v>
      </c>
      <c r="D33" s="22">
        <v>12.5</v>
      </c>
      <c r="E33" s="46">
        <f t="shared" si="2"/>
        <v>125</v>
      </c>
    </row>
    <row r="34" spans="1:5" x14ac:dyDescent="0.25">
      <c r="A34" s="45">
        <f t="shared" ref="A34:A45" si="4">SUM(A33+1)</f>
        <v>13</v>
      </c>
      <c r="B34" s="23" t="s">
        <v>110</v>
      </c>
      <c r="C34" s="21">
        <v>1</v>
      </c>
      <c r="D34" s="22">
        <v>1289</v>
      </c>
      <c r="E34" s="46">
        <f t="shared" si="2"/>
        <v>1289</v>
      </c>
    </row>
    <row r="35" spans="1:5" x14ac:dyDescent="0.25">
      <c r="A35" s="45">
        <f t="shared" si="4"/>
        <v>14</v>
      </c>
      <c r="B35" s="23" t="s">
        <v>112</v>
      </c>
      <c r="C35" s="21">
        <v>4</v>
      </c>
      <c r="D35" s="22">
        <v>115</v>
      </c>
      <c r="E35" s="46">
        <f t="shared" si="2"/>
        <v>460</v>
      </c>
    </row>
    <row r="36" spans="1:5" x14ac:dyDescent="0.25">
      <c r="A36" s="45">
        <f t="shared" si="4"/>
        <v>15</v>
      </c>
      <c r="B36" s="23" t="s">
        <v>114</v>
      </c>
      <c r="C36" s="21">
        <v>1</v>
      </c>
      <c r="D36" s="22">
        <v>189.28</v>
      </c>
      <c r="E36" s="46">
        <f t="shared" si="2"/>
        <v>189.28</v>
      </c>
    </row>
    <row r="37" spans="1:5" x14ac:dyDescent="0.25">
      <c r="A37" s="45">
        <f t="shared" si="4"/>
        <v>16</v>
      </c>
      <c r="B37" s="23" t="s">
        <v>116</v>
      </c>
      <c r="C37" s="21">
        <v>1</v>
      </c>
      <c r="D37" s="22">
        <v>199.99</v>
      </c>
      <c r="E37" s="46">
        <f t="shared" si="2"/>
        <v>199.99</v>
      </c>
    </row>
    <row r="38" spans="1:5" x14ac:dyDescent="0.25">
      <c r="A38" s="45">
        <f t="shared" si="4"/>
        <v>17</v>
      </c>
      <c r="B38" s="23" t="s">
        <v>127</v>
      </c>
      <c r="C38" s="21">
        <v>1</v>
      </c>
      <c r="D38" s="22">
        <v>25</v>
      </c>
      <c r="E38" s="46">
        <f t="shared" si="2"/>
        <v>25</v>
      </c>
    </row>
    <row r="39" spans="1:5" x14ac:dyDescent="0.25">
      <c r="A39" s="45">
        <f t="shared" si="4"/>
        <v>18</v>
      </c>
      <c r="B39" s="23" t="s">
        <v>139</v>
      </c>
      <c r="C39" s="21">
        <v>1</v>
      </c>
      <c r="D39" s="22">
        <v>42.21</v>
      </c>
      <c r="E39" s="46">
        <f t="shared" si="2"/>
        <v>42.21</v>
      </c>
    </row>
    <row r="40" spans="1:5" x14ac:dyDescent="0.25">
      <c r="A40" s="45">
        <f t="shared" si="4"/>
        <v>19</v>
      </c>
      <c r="B40" s="23" t="s">
        <v>141</v>
      </c>
      <c r="C40" s="21">
        <v>1</v>
      </c>
      <c r="D40" s="22">
        <v>69.900000000000006</v>
      </c>
      <c r="E40" s="46">
        <f t="shared" si="2"/>
        <v>69.900000000000006</v>
      </c>
    </row>
    <row r="41" spans="1:5" x14ac:dyDescent="0.25">
      <c r="A41" s="45">
        <f t="shared" si="4"/>
        <v>20</v>
      </c>
      <c r="B41" s="23" t="s">
        <v>144</v>
      </c>
      <c r="C41" s="21">
        <v>1</v>
      </c>
      <c r="D41" s="22">
        <v>41.68</v>
      </c>
      <c r="E41" s="46">
        <f t="shared" si="2"/>
        <v>41.68</v>
      </c>
    </row>
    <row r="42" spans="1:5" x14ac:dyDescent="0.25">
      <c r="A42" s="45">
        <f t="shared" si="4"/>
        <v>21</v>
      </c>
      <c r="B42" s="23" t="s">
        <v>146</v>
      </c>
      <c r="C42" s="21">
        <v>1</v>
      </c>
      <c r="D42" s="22">
        <v>18</v>
      </c>
      <c r="E42" s="46">
        <f t="shared" si="2"/>
        <v>18</v>
      </c>
    </row>
    <row r="43" spans="1:5" x14ac:dyDescent="0.25">
      <c r="A43" s="45">
        <f t="shared" si="4"/>
        <v>22</v>
      </c>
      <c r="B43" s="23" t="s">
        <v>148</v>
      </c>
      <c r="C43" s="21">
        <v>1</v>
      </c>
      <c r="D43" s="22">
        <v>20.2</v>
      </c>
      <c r="E43" s="46">
        <f t="shared" si="2"/>
        <v>20.2</v>
      </c>
    </row>
    <row r="44" spans="1:5" x14ac:dyDescent="0.25">
      <c r="A44" s="45">
        <f t="shared" si="4"/>
        <v>23</v>
      </c>
      <c r="B44" s="23" t="s">
        <v>150</v>
      </c>
      <c r="C44" s="21">
        <v>3</v>
      </c>
      <c r="D44" s="22">
        <v>52.9</v>
      </c>
      <c r="E44" s="46">
        <f t="shared" si="2"/>
        <v>158.69999999999999</v>
      </c>
    </row>
    <row r="45" spans="1:5" ht="15.75" thickBot="1" x14ac:dyDescent="0.3">
      <c r="A45" s="99">
        <f t="shared" si="4"/>
        <v>24</v>
      </c>
      <c r="B45" s="100" t="s">
        <v>152</v>
      </c>
      <c r="C45" s="47">
        <v>2</v>
      </c>
      <c r="D45" s="48">
        <v>100</v>
      </c>
      <c r="E45" s="49">
        <f t="shared" si="2"/>
        <v>200</v>
      </c>
    </row>
    <row r="46" spans="1:5" ht="16.5" thickTop="1" thickBot="1" x14ac:dyDescent="0.3">
      <c r="A46" s="95" t="s">
        <v>175</v>
      </c>
      <c r="B46" s="96"/>
      <c r="C46" s="97"/>
      <c r="D46" s="97"/>
      <c r="E46" s="98">
        <f>SUM(E22:E45)</f>
        <v>6964.7599999999993</v>
      </c>
    </row>
    <row r="47" spans="1:5" ht="16.5" thickTop="1" thickBot="1" x14ac:dyDescent="0.3">
      <c r="A47" s="2"/>
      <c r="B47" s="14"/>
      <c r="C47" s="2"/>
      <c r="D47" s="2"/>
      <c r="E47" s="2"/>
    </row>
    <row r="48" spans="1:5" ht="16.5" thickTop="1" thickBot="1" x14ac:dyDescent="0.3">
      <c r="A48" s="236" t="s">
        <v>109</v>
      </c>
      <c r="B48" s="237"/>
      <c r="C48" s="237"/>
      <c r="D48" s="237"/>
      <c r="E48" s="238"/>
    </row>
    <row r="49" spans="1:5" ht="15.75" thickTop="1" x14ac:dyDescent="0.25">
      <c r="A49" s="89"/>
      <c r="B49" s="53" t="s">
        <v>79</v>
      </c>
      <c r="C49" s="52" t="s">
        <v>106</v>
      </c>
      <c r="D49" s="52" t="s">
        <v>107</v>
      </c>
      <c r="E49" s="54" t="s">
        <v>81</v>
      </c>
    </row>
    <row r="50" spans="1:5" ht="15.75" thickBot="1" x14ac:dyDescent="0.3">
      <c r="A50" s="99">
        <v>1</v>
      </c>
      <c r="B50" s="47" t="s">
        <v>103</v>
      </c>
      <c r="C50" s="47">
        <v>1</v>
      </c>
      <c r="D50" s="48">
        <v>12065</v>
      </c>
      <c r="E50" s="49">
        <f>SUM(C50*D50)</f>
        <v>12065</v>
      </c>
    </row>
    <row r="51" spans="1:5" ht="16.5" thickTop="1" thickBot="1" x14ac:dyDescent="0.3">
      <c r="A51" s="95" t="s">
        <v>174</v>
      </c>
      <c r="B51" s="97"/>
      <c r="C51" s="97"/>
      <c r="D51" s="96"/>
      <c r="E51" s="98">
        <f>SUM(E50:E50)</f>
        <v>12065</v>
      </c>
    </row>
    <row r="52" spans="1:5" ht="15.75" thickTop="1" x14ac:dyDescent="0.25">
      <c r="A52" s="2"/>
      <c r="B52" s="14"/>
      <c r="C52" s="2"/>
      <c r="D52" s="2"/>
      <c r="E52" s="2"/>
    </row>
    <row r="53" spans="1:5" s="2" customFormat="1" ht="15.75" thickBot="1" x14ac:dyDescent="0.3">
      <c r="B53" s="14"/>
    </row>
    <row r="54" spans="1:5" ht="15.75" thickTop="1" x14ac:dyDescent="0.25">
      <c r="A54" s="89"/>
      <c r="B54" s="53" t="s">
        <v>157</v>
      </c>
      <c r="C54" s="54" t="s">
        <v>158</v>
      </c>
    </row>
    <row r="55" spans="1:5" x14ac:dyDescent="0.25">
      <c r="A55" s="45" t="s">
        <v>159</v>
      </c>
      <c r="B55" s="22" t="s">
        <v>162</v>
      </c>
      <c r="C55" s="46">
        <f>E18</f>
        <v>9484.2900000000009</v>
      </c>
    </row>
    <row r="56" spans="1:5" x14ac:dyDescent="0.25">
      <c r="A56" s="45" t="s">
        <v>160</v>
      </c>
      <c r="B56" s="22" t="s">
        <v>163</v>
      </c>
      <c r="C56" s="46">
        <f>E46</f>
        <v>6964.7599999999993</v>
      </c>
    </row>
    <row r="57" spans="1:5" ht="15.75" thickBot="1" x14ac:dyDescent="0.3">
      <c r="A57" s="99" t="s">
        <v>161</v>
      </c>
      <c r="B57" s="48" t="s">
        <v>164</v>
      </c>
      <c r="C57" s="49">
        <f>E51</f>
        <v>12065</v>
      </c>
    </row>
    <row r="58" spans="1:5" ht="16.5" thickTop="1" thickBot="1" x14ac:dyDescent="0.3">
      <c r="A58" s="95" t="s">
        <v>56</v>
      </c>
      <c r="B58" s="101"/>
      <c r="C58" s="98">
        <f>SUM(C55:C57)</f>
        <v>28514.05</v>
      </c>
    </row>
    <row r="59" spans="1:5" s="2" customFormat="1" ht="15.75" thickTop="1" x14ac:dyDescent="0.25">
      <c r="B59" s="14"/>
    </row>
    <row r="60" spans="1:5" s="2" customFormat="1" x14ac:dyDescent="0.25">
      <c r="B60" s="14"/>
    </row>
    <row r="61" spans="1:5" s="2" customFormat="1" x14ac:dyDescent="0.25">
      <c r="B61" s="14"/>
    </row>
    <row r="62" spans="1:5" s="2" customFormat="1" x14ac:dyDescent="0.25">
      <c r="B62" s="14"/>
    </row>
    <row r="63" spans="1:5" s="2" customFormat="1" x14ac:dyDescent="0.25">
      <c r="B63" s="14"/>
    </row>
    <row r="64" spans="1:5" s="2" customFormat="1" x14ac:dyDescent="0.25">
      <c r="B64" s="14"/>
    </row>
    <row r="65" spans="2:4" s="2" customFormat="1" x14ac:dyDescent="0.25">
      <c r="B65" s="14"/>
    </row>
    <row r="69" spans="2:4" x14ac:dyDescent="0.25">
      <c r="C69" s="12"/>
      <c r="D69" s="4"/>
    </row>
    <row r="70" spans="2:4" x14ac:dyDescent="0.25">
      <c r="B70"/>
      <c r="D70" s="4"/>
    </row>
    <row r="71" spans="2:4" x14ac:dyDescent="0.25">
      <c r="B71"/>
      <c r="D71" s="4"/>
    </row>
    <row r="72" spans="2:4" x14ac:dyDescent="0.25">
      <c r="B72"/>
      <c r="D72" s="4"/>
    </row>
    <row r="73" spans="2:4" x14ac:dyDescent="0.25">
      <c r="B73"/>
      <c r="D73" s="4"/>
    </row>
    <row r="74" spans="2:4" x14ac:dyDescent="0.25">
      <c r="B74"/>
      <c r="D74" s="4"/>
    </row>
    <row r="75" spans="2:4" x14ac:dyDescent="0.25">
      <c r="B75"/>
      <c r="D75" s="4"/>
    </row>
    <row r="76" spans="2:4" x14ac:dyDescent="0.25">
      <c r="B76"/>
      <c r="D76" s="4"/>
    </row>
    <row r="77" spans="2:4" x14ac:dyDescent="0.25">
      <c r="B77"/>
      <c r="D77" s="4"/>
    </row>
    <row r="78" spans="2:4" x14ac:dyDescent="0.25">
      <c r="B78"/>
      <c r="D78" s="4"/>
    </row>
    <row r="79" spans="2:4" x14ac:dyDescent="0.25">
      <c r="B79"/>
      <c r="D79" s="4"/>
    </row>
    <row r="80" spans="2:4" x14ac:dyDescent="0.25">
      <c r="B80"/>
      <c r="D80" s="4"/>
    </row>
    <row r="81" spans="1:4" x14ac:dyDescent="0.25">
      <c r="B81" s="2"/>
      <c r="D81" s="4"/>
    </row>
    <row r="82" spans="1:4" x14ac:dyDescent="0.25">
      <c r="B82" s="2"/>
      <c r="D82" s="4"/>
    </row>
    <row r="83" spans="1:4" x14ac:dyDescent="0.25">
      <c r="B83" s="2"/>
      <c r="D83" s="4"/>
    </row>
    <row r="84" spans="1:4" x14ac:dyDescent="0.25">
      <c r="A84" s="6"/>
    </row>
    <row r="88" spans="1:4" x14ac:dyDescent="0.25">
      <c r="B88"/>
      <c r="D88" s="4"/>
    </row>
    <row r="89" spans="1:4" x14ac:dyDescent="0.25">
      <c r="B89"/>
      <c r="D89" s="4"/>
    </row>
    <row r="90" spans="1:4" x14ac:dyDescent="0.25">
      <c r="B90"/>
      <c r="D90" s="4"/>
    </row>
    <row r="91" spans="1:4" x14ac:dyDescent="0.25">
      <c r="B91"/>
      <c r="D91" s="4"/>
    </row>
    <row r="92" spans="1:4" x14ac:dyDescent="0.25">
      <c r="B92"/>
      <c r="D92" s="4"/>
    </row>
    <row r="93" spans="1:4" x14ac:dyDescent="0.25">
      <c r="B93"/>
      <c r="D93" s="4"/>
    </row>
    <row r="94" spans="1:4" x14ac:dyDescent="0.25">
      <c r="B94"/>
      <c r="D94" s="4"/>
    </row>
    <row r="95" spans="1:4" x14ac:dyDescent="0.25">
      <c r="B95"/>
      <c r="D95" s="4"/>
    </row>
    <row r="96" spans="1:4" x14ac:dyDescent="0.25">
      <c r="B96"/>
      <c r="D96" s="4"/>
    </row>
    <row r="97" spans="1:4" x14ac:dyDescent="0.25">
      <c r="B97"/>
      <c r="D97" s="4"/>
    </row>
    <row r="98" spans="1:4" x14ac:dyDescent="0.25">
      <c r="B98"/>
      <c r="D98" s="4"/>
    </row>
    <row r="99" spans="1:4" x14ac:dyDescent="0.25">
      <c r="B99"/>
      <c r="D99" s="4"/>
    </row>
    <row r="100" spans="1:4" x14ac:dyDescent="0.25">
      <c r="B100" s="2"/>
      <c r="D100" s="4"/>
    </row>
    <row r="101" spans="1:4" x14ac:dyDescent="0.25">
      <c r="B101" s="2"/>
      <c r="D101" s="4"/>
    </row>
    <row r="102" spans="1:4" x14ac:dyDescent="0.25">
      <c r="B102" s="2"/>
      <c r="D102" s="4"/>
    </row>
    <row r="103" spans="1:4" x14ac:dyDescent="0.25">
      <c r="B103" s="2"/>
      <c r="D103" s="4"/>
    </row>
    <row r="104" spans="1:4" x14ac:dyDescent="0.25">
      <c r="B104" s="2"/>
      <c r="D104" s="4"/>
    </row>
    <row r="105" spans="1:4" x14ac:dyDescent="0.25">
      <c r="B105" s="2"/>
      <c r="D105" s="4"/>
    </row>
    <row r="106" spans="1:4" x14ac:dyDescent="0.25">
      <c r="B106" s="2"/>
      <c r="D106" s="4"/>
    </row>
    <row r="107" spans="1:4" x14ac:dyDescent="0.25">
      <c r="B107" s="2"/>
      <c r="D107" s="4"/>
    </row>
    <row r="108" spans="1:4" x14ac:dyDescent="0.25">
      <c r="B108" s="2"/>
      <c r="D108" s="4"/>
    </row>
    <row r="109" spans="1:4" x14ac:dyDescent="0.25">
      <c r="B109" s="2"/>
      <c r="D109" s="4"/>
    </row>
    <row r="110" spans="1:4" x14ac:dyDescent="0.25">
      <c r="B110" s="2"/>
      <c r="D110" s="4"/>
    </row>
    <row r="111" spans="1:4" x14ac:dyDescent="0.25">
      <c r="B111" s="2"/>
      <c r="D111" s="4"/>
    </row>
    <row r="112" spans="1:4" x14ac:dyDescent="0.25">
      <c r="A112" s="6"/>
    </row>
    <row r="116" spans="1:4" x14ac:dyDescent="0.25">
      <c r="B116"/>
      <c r="D116" s="4"/>
    </row>
    <row r="122" spans="1:4" x14ac:dyDescent="0.25">
      <c r="A122" s="6"/>
      <c r="C122" s="6"/>
    </row>
  </sheetData>
  <mergeCells count="3">
    <mergeCell ref="A1:E1"/>
    <mergeCell ref="A48:E48"/>
    <mergeCell ref="A20:E2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8" workbookViewId="0">
      <selection activeCell="D36" sqref="D36:E40"/>
    </sheetView>
  </sheetViews>
  <sheetFormatPr defaultRowHeight="15" x14ac:dyDescent="0.25"/>
  <cols>
    <col min="1" max="1" width="29.140625" customWidth="1"/>
    <col min="2" max="2" width="51.140625" customWidth="1"/>
    <col min="3" max="3" width="25.5703125" customWidth="1"/>
    <col min="4" max="4" width="31.5703125" customWidth="1"/>
    <col min="5" max="5" width="13.7109375" customWidth="1"/>
    <col min="6" max="6" width="16.140625" customWidth="1"/>
    <col min="7" max="7" width="12.85546875" style="4" customWidth="1"/>
    <col min="8" max="8" width="12.7109375" style="4" bestFit="1" customWidth="1"/>
    <col min="9" max="9" width="15.140625" customWidth="1"/>
    <col min="10" max="10" width="13.140625" customWidth="1"/>
    <col min="11" max="12" width="14" customWidth="1"/>
    <col min="13" max="13" width="10.7109375" customWidth="1"/>
    <col min="14" max="14" width="13.7109375" customWidth="1"/>
  </cols>
  <sheetData>
    <row r="1" spans="1:14" ht="16.5" thickTop="1" thickBot="1" x14ac:dyDescent="0.3">
      <c r="A1" s="233" t="s">
        <v>203</v>
      </c>
      <c r="B1" s="235"/>
      <c r="C1" s="235"/>
      <c r="D1" s="235"/>
      <c r="E1" s="235"/>
      <c r="F1" s="235"/>
      <c r="G1" s="235"/>
      <c r="H1" s="234"/>
    </row>
    <row r="2" spans="1:14" ht="16.5" thickTop="1" thickBot="1" x14ac:dyDescent="0.3">
      <c r="A2" s="122"/>
      <c r="B2" s="123"/>
      <c r="C2" s="123"/>
      <c r="D2" s="123"/>
      <c r="E2" s="123"/>
      <c r="F2" s="123"/>
      <c r="G2" s="123"/>
      <c r="H2" s="121"/>
    </row>
    <row r="3" spans="1:14" ht="16.5" thickTop="1" thickBot="1" x14ac:dyDescent="0.3">
      <c r="A3" s="236" t="s">
        <v>201</v>
      </c>
      <c r="B3" s="237"/>
      <c r="C3" s="237"/>
      <c r="D3" s="237"/>
      <c r="E3" s="237"/>
      <c r="F3" s="237"/>
      <c r="G3" s="237"/>
      <c r="H3" s="238"/>
      <c r="I3" s="108"/>
      <c r="J3" s="109"/>
      <c r="K3" s="109"/>
      <c r="L3" s="109"/>
      <c r="M3" s="109"/>
      <c r="N3" s="110"/>
    </row>
    <row r="4" spans="1:14" ht="15.75" thickTop="1" x14ac:dyDescent="0.25">
      <c r="A4" s="71"/>
      <c r="B4" s="72" t="s">
        <v>79</v>
      </c>
      <c r="C4" s="72" t="s">
        <v>181</v>
      </c>
      <c r="D4" s="72" t="s">
        <v>180</v>
      </c>
      <c r="E4" s="72" t="s">
        <v>189</v>
      </c>
      <c r="F4" s="72" t="s">
        <v>43</v>
      </c>
      <c r="G4" s="73" t="s">
        <v>80</v>
      </c>
      <c r="H4" s="117" t="s">
        <v>190</v>
      </c>
      <c r="I4" s="41" t="s">
        <v>191</v>
      </c>
      <c r="J4" s="43" t="s">
        <v>194</v>
      </c>
      <c r="K4" s="42" t="s">
        <v>192</v>
      </c>
      <c r="L4" s="43" t="s">
        <v>195</v>
      </c>
      <c r="M4" s="42" t="s">
        <v>193</v>
      </c>
      <c r="N4" s="112" t="s">
        <v>196</v>
      </c>
    </row>
    <row r="5" spans="1:14" x14ac:dyDescent="0.25">
      <c r="A5" s="45">
        <v>1</v>
      </c>
      <c r="B5" s="21" t="s">
        <v>153</v>
      </c>
      <c r="C5" s="21">
        <f>SUM(D5/3)</f>
        <v>12960</v>
      </c>
      <c r="D5" s="21">
        <f>SUM(EstimativadeCustoUnitario!E22+EstimativadeCustoUnitario!E10)*3</f>
        <v>38880</v>
      </c>
      <c r="E5" s="21">
        <f>ROUNDUP(SUM(C5/EstimativadeCustoUnitario!G10),0)</f>
        <v>13</v>
      </c>
      <c r="F5" s="21" t="s">
        <v>184</v>
      </c>
      <c r="G5" s="22">
        <f>EstudodeFornecedores!D3</f>
        <v>3.47</v>
      </c>
      <c r="H5" s="46">
        <f>SUM(G5*E5)</f>
        <v>45.11</v>
      </c>
      <c r="I5" s="45">
        <f>SUM($E5*3-(ROUNDDOWN(SUM(($E5)-$C5/EstimativadeCustoUnitario!$G$10)*3,0)))</f>
        <v>39</v>
      </c>
      <c r="J5" s="22">
        <f t="shared" ref="J5:J15" si="0">SUM(I5*G5)</f>
        <v>135.33000000000001</v>
      </c>
      <c r="K5" s="21">
        <f>SUM($E5*6-(ROUNDDOWN(SUM(($E5)-$C5/EstimativadeCustoUnitario!$G$10)*6,0)))</f>
        <v>78</v>
      </c>
      <c r="L5" s="22">
        <f t="shared" ref="L5:L15" si="1">SUM(K5*G5)</f>
        <v>270.66000000000003</v>
      </c>
      <c r="M5" s="21">
        <f>SUM($E5*12-(ROUNDDOWN(SUM(($E5)-$C5/EstimativadeCustoUnitario!$G$10)*12,0)))</f>
        <v>156</v>
      </c>
      <c r="N5" s="46">
        <f t="shared" ref="N5:N15" si="2">SUM(M5*G5)</f>
        <v>541.32000000000005</v>
      </c>
    </row>
    <row r="6" spans="1:14" x14ac:dyDescent="0.25">
      <c r="A6" s="45">
        <f>SUM(A5+1)</f>
        <v>2</v>
      </c>
      <c r="B6" s="21" t="s">
        <v>99</v>
      </c>
      <c r="C6" s="21">
        <f t="shared" ref="C6:C15" si="3">SUM(D6/3)</f>
        <v>2640</v>
      </c>
      <c r="D6" s="21">
        <f>SUM(EstimativadeCustoUnitario!E9+EstimativadeCustoUnitario!E21)*3</f>
        <v>7920</v>
      </c>
      <c r="E6" s="21">
        <f>ROUNDUP(SUM(C6/EstimativadeCustoUnitario!G9),0)</f>
        <v>7</v>
      </c>
      <c r="F6" s="21" t="s">
        <v>185</v>
      </c>
      <c r="G6" s="22">
        <f>EstudodeFornecedores!D4</f>
        <v>45.78</v>
      </c>
      <c r="H6" s="46">
        <f t="shared" ref="H6:H14" si="4">SUM(G6*E6)</f>
        <v>320.46000000000004</v>
      </c>
      <c r="I6" s="45">
        <f>SUM(E6*3-(ROUNDDOWN(SUM((E6)-C6/EstimativadeCustoUnitario!G9)*3,0)))</f>
        <v>20</v>
      </c>
      <c r="J6" s="22">
        <f t="shared" si="0"/>
        <v>915.6</v>
      </c>
      <c r="K6" s="21">
        <f>SUM($E6*6-(ROUNDDOWN(SUM(($E6)-$C6/EstimativadeCustoUnitario!$G$9)*6,0)))</f>
        <v>40</v>
      </c>
      <c r="L6" s="22">
        <f t="shared" si="1"/>
        <v>1831.2</v>
      </c>
      <c r="M6" s="21">
        <f>SUM($E6*12-(ROUNDDOWN(SUM(($E6)-$C6/EstimativadeCustoUnitario!$G$9)*12,0)))</f>
        <v>80</v>
      </c>
      <c r="N6" s="46">
        <f t="shared" si="2"/>
        <v>3662.4</v>
      </c>
    </row>
    <row r="7" spans="1:14" x14ac:dyDescent="0.25">
      <c r="A7" s="45">
        <f t="shared" ref="A7:A15" si="5">SUM(A6+1)</f>
        <v>3</v>
      </c>
      <c r="B7" s="21" t="s">
        <v>100</v>
      </c>
      <c r="C7" s="21">
        <f t="shared" si="3"/>
        <v>2322</v>
      </c>
      <c r="D7" s="21">
        <f>SUM(EstimativadeCustoUnitario!E7+EstimativadeCustoUnitario!E19)*3</f>
        <v>6966</v>
      </c>
      <c r="E7" s="21">
        <f>ROUNDUP(SUM(C7/EstimativadeCustoUnitario!G7),0)</f>
        <v>117</v>
      </c>
      <c r="F7" s="21" t="s">
        <v>186</v>
      </c>
      <c r="G7" s="22">
        <f>EstudodeFornecedores!D5</f>
        <v>8.5</v>
      </c>
      <c r="H7" s="46">
        <f t="shared" si="4"/>
        <v>994.5</v>
      </c>
      <c r="I7" s="45">
        <f>SUM(E7*3-(ROUNDDOWN(SUM((E7)-C7/EstimativadeCustoUnitario!G7)*3,0)))</f>
        <v>349</v>
      </c>
      <c r="J7" s="22">
        <f t="shared" si="0"/>
        <v>2966.5</v>
      </c>
      <c r="K7" s="21">
        <f>SUM($E7*6-(ROUNDDOWN(SUM(($E7)-$C7/EstimativadeCustoUnitario!$G$7)*6,0)))</f>
        <v>697</v>
      </c>
      <c r="L7" s="22">
        <f t="shared" si="1"/>
        <v>5924.5</v>
      </c>
      <c r="M7" s="21">
        <f>SUM($E7*12-(ROUNDDOWN(SUM(($E7)-$C7/EstimativadeCustoUnitario!$G$7)*12,0)))</f>
        <v>1394</v>
      </c>
      <c r="N7" s="46">
        <f t="shared" si="2"/>
        <v>11849</v>
      </c>
    </row>
    <row r="8" spans="1:14" x14ac:dyDescent="0.25">
      <c r="A8" s="45">
        <f t="shared" si="5"/>
        <v>4</v>
      </c>
      <c r="B8" s="21" t="s">
        <v>98</v>
      </c>
      <c r="C8" s="21">
        <f t="shared" si="3"/>
        <v>1440</v>
      </c>
      <c r="D8" s="21">
        <f>SUM(EstimativadeCustoUnitario!E8)*3</f>
        <v>4320</v>
      </c>
      <c r="E8" s="21">
        <f>ROUNDUP(SUM(C8/EstimativadeCustoUnitario!G8),0)</f>
        <v>1</v>
      </c>
      <c r="F8" s="21" t="s">
        <v>182</v>
      </c>
      <c r="G8" s="22">
        <f>EstudodeFornecedores!D6</f>
        <v>4795.2</v>
      </c>
      <c r="H8" s="46">
        <f>SUM(G8*E8)</f>
        <v>4795.2</v>
      </c>
      <c r="I8" s="45">
        <f>SUM(E8*3-(ROUNDDOWN(SUM((E8)-C8/EstimativadeCustoUnitario!G8)*3,0)))</f>
        <v>2</v>
      </c>
      <c r="J8" s="22">
        <f t="shared" si="0"/>
        <v>9590.4</v>
      </c>
      <c r="K8" s="21">
        <f>SUM($E8*6-(ROUNDDOWN(SUM(($E8)-$C8/EstimativadeCustoUnitario!$G$8)*6,0)))</f>
        <v>4</v>
      </c>
      <c r="L8" s="22">
        <f t="shared" si="1"/>
        <v>19180.8</v>
      </c>
      <c r="M8" s="21">
        <f>SUM($E8*12-(ROUNDDOWN(SUM(($E8)-$C8/EstimativadeCustoUnitario!$G$8)*12,0)))</f>
        <v>8</v>
      </c>
      <c r="N8" s="46">
        <f t="shared" si="2"/>
        <v>38361.599999999999</v>
      </c>
    </row>
    <row r="9" spans="1:14" x14ac:dyDescent="0.25">
      <c r="A9" s="45">
        <f t="shared" si="5"/>
        <v>5</v>
      </c>
      <c r="B9" s="21" t="s">
        <v>97</v>
      </c>
      <c r="C9" s="21">
        <f t="shared" si="3"/>
        <v>1200</v>
      </c>
      <c r="D9" s="21">
        <f>SUM(EstimativadeCustoUnitario!E20)*3</f>
        <v>3600</v>
      </c>
      <c r="E9" s="21">
        <f>ROUNDUP(SUM(C9/EstimativadeCustoUnitario!G20),0)</f>
        <v>1</v>
      </c>
      <c r="F9" s="21" t="s">
        <v>182</v>
      </c>
      <c r="G9" s="22">
        <f>EstudodeFornecedores!D7</f>
        <v>3449</v>
      </c>
      <c r="H9" s="46">
        <f t="shared" si="4"/>
        <v>3449</v>
      </c>
      <c r="I9" s="45">
        <f>SUM(E9*3-(ROUNDDOWN(SUM((E9)-C9/EstimativadeCustoUnitario!G20)*3,0)))</f>
        <v>2</v>
      </c>
      <c r="J9" s="22">
        <f t="shared" si="0"/>
        <v>6898</v>
      </c>
      <c r="K9" s="21">
        <f>SUM($E9*6-(ROUNDDOWN(SUM(($E9)-$C9/EstimativadeCustoUnitario!$G$20)*6,0)))</f>
        <v>4</v>
      </c>
      <c r="L9" s="22">
        <f t="shared" si="1"/>
        <v>13796</v>
      </c>
      <c r="M9" s="21">
        <f>SUM($E9*12-(ROUNDDOWN(SUM(($E9)-$C9/EstimativadeCustoUnitario!$G$20)*12,0)))</f>
        <v>7</v>
      </c>
      <c r="N9" s="46">
        <f t="shared" si="2"/>
        <v>24143</v>
      </c>
    </row>
    <row r="10" spans="1:14" x14ac:dyDescent="0.25">
      <c r="A10" s="45">
        <f t="shared" si="5"/>
        <v>6</v>
      </c>
      <c r="B10" s="21" t="s">
        <v>90</v>
      </c>
      <c r="C10" s="21">
        <f t="shared" si="3"/>
        <v>18</v>
      </c>
      <c r="D10" s="21">
        <f>SUM(EstimativadeCustoUnitario!E4)*3</f>
        <v>54</v>
      </c>
      <c r="E10" s="21">
        <f>ROUNDUP(SUM(C10/EstimativadeCustoUnitario!G4),0)</f>
        <v>1</v>
      </c>
      <c r="F10" s="21" t="s">
        <v>183</v>
      </c>
      <c r="G10" s="22">
        <f>EstudodeFornecedores!D8</f>
        <v>218.59</v>
      </c>
      <c r="H10" s="46">
        <f t="shared" si="4"/>
        <v>218.59</v>
      </c>
      <c r="I10" s="45">
        <f>SUM(E10*3-(ROUNDDOWN(SUM((E10)-C10/EstimativadeCustoUnitario!G4)*3,0)))</f>
        <v>3</v>
      </c>
      <c r="J10" s="22">
        <f t="shared" si="0"/>
        <v>655.77</v>
      </c>
      <c r="K10" s="21">
        <f>SUM($E10*6-(ROUNDDOWN(SUM(($E10)-$C10/EstimativadeCustoUnitario!$G$4)*6,0)))</f>
        <v>5</v>
      </c>
      <c r="L10" s="22">
        <f t="shared" si="1"/>
        <v>1092.95</v>
      </c>
      <c r="M10" s="21">
        <f>SUM($E10*12-(ROUNDDOWN(SUM(($E10)-$C10/EstimativadeCustoUnitario!$G$4)*12,0)))</f>
        <v>9</v>
      </c>
      <c r="N10" s="46">
        <f t="shared" si="2"/>
        <v>1967.31</v>
      </c>
    </row>
    <row r="11" spans="1:14" x14ac:dyDescent="0.25">
      <c r="A11" s="45">
        <f t="shared" si="5"/>
        <v>7</v>
      </c>
      <c r="B11" s="21" t="s">
        <v>88</v>
      </c>
      <c r="C11" s="21">
        <f t="shared" si="3"/>
        <v>234</v>
      </c>
      <c r="D11" s="21">
        <f>SUM(EstimativadeCustoUnitario!E2+EstimativadeCustoUnitario!E16)*3</f>
        <v>702</v>
      </c>
      <c r="E11" s="21">
        <f>ROUNDUP(SUM(C11/EstimativadeCustoUnitario!G2),0)</f>
        <v>10</v>
      </c>
      <c r="F11" s="21" t="s">
        <v>183</v>
      </c>
      <c r="G11" s="22">
        <f>EstudodeFornecedores!D9</f>
        <v>175.09</v>
      </c>
      <c r="H11" s="46">
        <f t="shared" si="4"/>
        <v>1750.9</v>
      </c>
      <c r="I11" s="45">
        <f>SUM(E11*3-(ROUNDDOWN(SUM((E11)-C11/EstimativadeCustoUnitario!G2)*3,0)))</f>
        <v>29</v>
      </c>
      <c r="J11" s="22">
        <f t="shared" si="0"/>
        <v>5077.6099999999997</v>
      </c>
      <c r="K11" s="21">
        <f>SUM($E11*6-(ROUNDDOWN(SUM(($E11)-$C11/EstimativadeCustoUnitario!$G$2)*6,0)))</f>
        <v>57</v>
      </c>
      <c r="L11" s="22">
        <f t="shared" si="1"/>
        <v>9980.130000000001</v>
      </c>
      <c r="M11" s="21">
        <f>SUM($E11*12-(ROUNDDOWN(SUM(($E11)-$C11/EstimativadeCustoUnitario!$G$2)*12,0)))</f>
        <v>113</v>
      </c>
      <c r="N11" s="46">
        <f t="shared" si="2"/>
        <v>19785.170000000002</v>
      </c>
    </row>
    <row r="12" spans="1:14" x14ac:dyDescent="0.25">
      <c r="A12" s="45">
        <f t="shared" si="5"/>
        <v>8</v>
      </c>
      <c r="B12" s="21" t="s">
        <v>89</v>
      </c>
      <c r="C12" s="21">
        <f t="shared" si="3"/>
        <v>72</v>
      </c>
      <c r="D12" s="21">
        <f>SUM(EstimativadeCustoUnitario!E3)*3</f>
        <v>216</v>
      </c>
      <c r="E12" s="21">
        <f>ROUNDUP(SUM(C12/EstimativadeCustoUnitario!G3),0)</f>
        <v>3</v>
      </c>
      <c r="F12" s="21" t="s">
        <v>183</v>
      </c>
      <c r="G12" s="22">
        <f>EstudodeFornecedores!D10</f>
        <v>175.09</v>
      </c>
      <c r="H12" s="46">
        <f t="shared" si="4"/>
        <v>525.27</v>
      </c>
      <c r="I12" s="45">
        <f>SUM(E12*3-(ROUNDDOWN(SUM((E12)-C12/EstimativadeCustoUnitario!G3)*3,0)))</f>
        <v>9</v>
      </c>
      <c r="J12" s="22">
        <f t="shared" si="0"/>
        <v>1575.81</v>
      </c>
      <c r="K12" s="21">
        <f>SUM($E12*6-(ROUNDDOWN(SUM(($E12)-$C12/EstimativadeCustoUnitario!$G$3)*6,0)))</f>
        <v>18</v>
      </c>
      <c r="L12" s="22">
        <f t="shared" si="1"/>
        <v>3151.62</v>
      </c>
      <c r="M12" s="21">
        <f>SUM($E12*12-(ROUNDDOWN(SUM(($E12)-$C12/EstimativadeCustoUnitario!$G$3)*12,0)))</f>
        <v>35</v>
      </c>
      <c r="N12" s="46">
        <f t="shared" si="2"/>
        <v>6128.1500000000005</v>
      </c>
    </row>
    <row r="13" spans="1:14" x14ac:dyDescent="0.25">
      <c r="A13" s="45">
        <f t="shared" si="5"/>
        <v>9</v>
      </c>
      <c r="B13" s="21" t="s">
        <v>91</v>
      </c>
      <c r="C13" s="21">
        <f t="shared" si="3"/>
        <v>2160</v>
      </c>
      <c r="D13" s="21">
        <f>SUM(EstimativadeCustoUnitario!E5+EstimativadeCustoUnitario!E17)*3</f>
        <v>6480</v>
      </c>
      <c r="E13" s="21">
        <f>ROUNDUP(SUM(C13/EstimativadeCustoUnitario!G5),0)</f>
        <v>216</v>
      </c>
      <c r="F13" s="21" t="s">
        <v>187</v>
      </c>
      <c r="G13" s="22">
        <f>EstudodeFornecedores!D11</f>
        <v>1.49</v>
      </c>
      <c r="H13" s="46">
        <f t="shared" si="4"/>
        <v>321.83999999999997</v>
      </c>
      <c r="I13" s="45">
        <f>SUM(E13*3-(ROUNDDOWN(SUM((E13)-C13/EstimativadeCustoUnitario!G5)*3,0)))</f>
        <v>648</v>
      </c>
      <c r="J13" s="22">
        <f t="shared" si="0"/>
        <v>965.52</v>
      </c>
      <c r="K13" s="21">
        <f>SUM($E13*6-(ROUNDDOWN(SUM(($E13)-$C13/EstimativadeCustoUnitario!$G$5)*6,0)))</f>
        <v>1296</v>
      </c>
      <c r="L13" s="22">
        <f t="shared" si="1"/>
        <v>1931.04</v>
      </c>
      <c r="M13" s="21">
        <f>SUM($E13*12-(ROUNDDOWN(SUM(($E13)-$C13/EstimativadeCustoUnitario!$G$5)*12,0)))</f>
        <v>2592</v>
      </c>
      <c r="N13" s="46">
        <f t="shared" si="2"/>
        <v>3862.08</v>
      </c>
    </row>
    <row r="14" spans="1:14" x14ac:dyDescent="0.25">
      <c r="A14" s="45">
        <f t="shared" si="5"/>
        <v>10</v>
      </c>
      <c r="B14" s="21" t="s">
        <v>92</v>
      </c>
      <c r="C14" s="21">
        <f t="shared" si="3"/>
        <v>36</v>
      </c>
      <c r="D14" s="21">
        <f>SUM(EstimativadeCustoUnitario!E18)*3</f>
        <v>108</v>
      </c>
      <c r="E14" s="21">
        <f>ROUNDUP(SUM(C14/EstimativadeCustoUnitario!G18),0)</f>
        <v>36</v>
      </c>
      <c r="F14" s="21" t="s">
        <v>188</v>
      </c>
      <c r="G14" s="22">
        <f>EstudodeFornecedores!D12</f>
        <v>28.52</v>
      </c>
      <c r="H14" s="46">
        <f t="shared" si="4"/>
        <v>1026.72</v>
      </c>
      <c r="I14" s="45">
        <f>SUM(E14*3-(ROUNDDOWN(SUM((E14)-C14/EstimativadeCustoUnitario!G18)*3,0)))</f>
        <v>108</v>
      </c>
      <c r="J14" s="22">
        <f t="shared" si="0"/>
        <v>3080.16</v>
      </c>
      <c r="K14" s="21">
        <f>SUM($E14*6-(ROUNDDOWN(SUM(($E14)-$C14/EstimativadeCustoUnitario!$G$18)*6,0)))</f>
        <v>216</v>
      </c>
      <c r="L14" s="22">
        <f t="shared" si="1"/>
        <v>6160.32</v>
      </c>
      <c r="M14" s="21">
        <f>SUM($E14*12-(ROUNDDOWN(SUM(($E14)-$C14/EstimativadeCustoUnitario!$G$18)*12,0)))</f>
        <v>432</v>
      </c>
      <c r="N14" s="46">
        <f t="shared" si="2"/>
        <v>12320.64</v>
      </c>
    </row>
    <row r="15" spans="1:14" ht="15.75" thickBot="1" x14ac:dyDescent="0.3">
      <c r="A15" s="90">
        <f t="shared" si="5"/>
        <v>11</v>
      </c>
      <c r="B15" s="92" t="s">
        <v>93</v>
      </c>
      <c r="C15" s="92">
        <f t="shared" si="3"/>
        <v>36</v>
      </c>
      <c r="D15" s="104">
        <f>SUM(EstimativadeCustoUnitario!E6)*3</f>
        <v>108</v>
      </c>
      <c r="E15" s="92">
        <f>ROUNDUP(SUM(C15/EstimativadeCustoUnitario!G6),0)</f>
        <v>36</v>
      </c>
      <c r="F15" s="104" t="s">
        <v>188</v>
      </c>
      <c r="G15" s="104">
        <f>EstudodeFornecedores!D13</f>
        <v>21.21</v>
      </c>
      <c r="H15" s="94">
        <f>SUM(G15*E15)</f>
        <v>763.56000000000006</v>
      </c>
      <c r="I15" s="45">
        <f>SUM(E15*3-(ROUNDDOWN(SUM((E15)-C15/EstimativadeCustoUnitario!G6)*3,0)))</f>
        <v>108</v>
      </c>
      <c r="J15" s="22">
        <f t="shared" si="0"/>
        <v>2290.6800000000003</v>
      </c>
      <c r="K15" s="21">
        <f>SUM($E15*6-(ROUNDDOWN(SUM(($E15)-$C15/EstimativadeCustoUnitario!$G$6)*6,0)))</f>
        <v>216</v>
      </c>
      <c r="L15" s="22">
        <f t="shared" si="1"/>
        <v>4581.3600000000006</v>
      </c>
      <c r="M15" s="21">
        <f>SUM($E15*12-(ROUNDDOWN(SUM(($E15)-$C15/EstimativadeCustoUnitario!$G$6)*12,0)))</f>
        <v>432</v>
      </c>
      <c r="N15" s="46">
        <f t="shared" si="2"/>
        <v>9162.7200000000012</v>
      </c>
    </row>
    <row r="16" spans="1:14" ht="16.5" thickTop="1" thickBot="1" x14ac:dyDescent="0.3">
      <c r="A16" s="113" t="s">
        <v>198</v>
      </c>
      <c r="B16" s="114"/>
      <c r="C16" s="114"/>
      <c r="D16" s="114"/>
      <c r="E16" s="114"/>
      <c r="F16" s="114"/>
      <c r="G16" s="115"/>
      <c r="H16" s="120">
        <f>SUM(H5:H15)</f>
        <v>14211.15</v>
      </c>
      <c r="I16" s="45"/>
      <c r="J16" s="22">
        <f>SUM(J5:J15)</f>
        <v>34151.380000000005</v>
      </c>
      <c r="K16" s="21"/>
      <c r="L16" s="22">
        <f>SUM(L5:L15)</f>
        <v>67900.580000000016</v>
      </c>
      <c r="M16" s="21"/>
      <c r="N16" s="46">
        <f>SUM(N5:N15)</f>
        <v>131783.39000000001</v>
      </c>
    </row>
    <row r="17" spans="1:14" ht="16.5" thickTop="1" thickBot="1" x14ac:dyDescent="0.3">
      <c r="A17" s="124"/>
      <c r="B17" s="17"/>
      <c r="C17" s="17"/>
      <c r="D17" s="17"/>
      <c r="E17" s="17"/>
      <c r="F17" s="17"/>
      <c r="G17" s="16"/>
      <c r="H17" s="125"/>
      <c r="I17" s="99" t="s">
        <v>197</v>
      </c>
      <c r="J17" s="48">
        <f>SUM(J16-H16)</f>
        <v>19940.230000000003</v>
      </c>
      <c r="K17" s="47"/>
      <c r="L17" s="48">
        <f>SUM(L16-J16)</f>
        <v>33749.200000000012</v>
      </c>
      <c r="M17" s="47"/>
      <c r="N17" s="49">
        <f>SUM(N16-L16)</f>
        <v>63882.81</v>
      </c>
    </row>
    <row r="18" spans="1:14" ht="16.5" thickTop="1" thickBot="1" x14ac:dyDescent="0.3">
      <c r="A18" s="236" t="s">
        <v>202</v>
      </c>
      <c r="B18" s="237"/>
      <c r="C18" s="237"/>
      <c r="D18" s="237"/>
      <c r="E18" s="237"/>
      <c r="F18" s="237"/>
      <c r="G18" s="237"/>
      <c r="H18" s="238"/>
      <c r="I18" s="15"/>
      <c r="J18" s="15"/>
    </row>
    <row r="19" spans="1:14" ht="15.75" thickTop="1" x14ac:dyDescent="0.25">
      <c r="A19" s="71"/>
      <c r="B19" s="72" t="s">
        <v>79</v>
      </c>
      <c r="C19" s="72" t="s">
        <v>181</v>
      </c>
      <c r="D19" s="72" t="s">
        <v>180</v>
      </c>
      <c r="E19" s="72" t="s">
        <v>189</v>
      </c>
      <c r="F19" s="72" t="s">
        <v>43</v>
      </c>
      <c r="G19" s="73" t="s">
        <v>80</v>
      </c>
      <c r="H19" s="117" t="s">
        <v>190</v>
      </c>
      <c r="I19" s="41" t="s">
        <v>191</v>
      </c>
      <c r="J19" s="43" t="s">
        <v>194</v>
      </c>
      <c r="K19" s="42" t="s">
        <v>192</v>
      </c>
      <c r="L19" s="43" t="s">
        <v>195</v>
      </c>
      <c r="M19" s="42" t="s">
        <v>193</v>
      </c>
      <c r="N19" s="112" t="s">
        <v>196</v>
      </c>
    </row>
    <row r="20" spans="1:14" x14ac:dyDescent="0.25">
      <c r="A20" s="45">
        <f>SUM(A19+1)</f>
        <v>1</v>
      </c>
      <c r="B20" s="23" t="s">
        <v>124</v>
      </c>
      <c r="C20" s="21">
        <v>2</v>
      </c>
      <c r="D20" s="21">
        <v>6</v>
      </c>
      <c r="E20" s="21">
        <f>ROUNDUP(SUM(C20),0)</f>
        <v>2</v>
      </c>
      <c r="F20" s="21" t="s">
        <v>43</v>
      </c>
      <c r="G20" s="22">
        <f>EstudodeFornecedores!D58</f>
        <v>6.99</v>
      </c>
      <c r="H20" s="46">
        <f>SUM(E20*G20)</f>
        <v>13.98</v>
      </c>
      <c r="I20" s="45">
        <f>SUM($E20*3-(ROUNDDOWN(SUM(($E20)-$C20)*3,0)))</f>
        <v>6</v>
      </c>
      <c r="J20" s="22">
        <f>SUM(G20*I20)</f>
        <v>41.94</v>
      </c>
      <c r="K20" s="21">
        <f>SUM($E20*6-(ROUNDDOWN(SUM(($E20)-$C20)*6,0)))</f>
        <v>12</v>
      </c>
      <c r="L20" s="22">
        <f>SUM(G20*K20)</f>
        <v>83.88</v>
      </c>
      <c r="M20" s="21">
        <f>SUM($E20*12-(ROUNDDOWN(SUM(($E20)-$C20)*12,0)))</f>
        <v>24</v>
      </c>
      <c r="N20" s="46">
        <f>SUM(G20*M20)</f>
        <v>167.76</v>
      </c>
    </row>
    <row r="21" spans="1:14" x14ac:dyDescent="0.25">
      <c r="A21" s="45">
        <f t="shared" ref="A21:A29" si="6">SUM(A20+1)</f>
        <v>2</v>
      </c>
      <c r="B21" s="23" t="s">
        <v>154</v>
      </c>
      <c r="C21" s="21">
        <v>1.2</v>
      </c>
      <c r="D21" s="21">
        <v>3.6</v>
      </c>
      <c r="E21" s="21">
        <f t="shared" ref="E21:E29" si="7">ROUNDUP(SUM(C21),0)</f>
        <v>2</v>
      </c>
      <c r="F21" s="21" t="s">
        <v>43</v>
      </c>
      <c r="G21" s="22">
        <f>EstudodeFornecedores!D59</f>
        <v>3.27</v>
      </c>
      <c r="H21" s="46">
        <f t="shared" ref="H21:H29" si="8">SUM(E21*G21)</f>
        <v>6.54</v>
      </c>
      <c r="I21" s="45">
        <f t="shared" ref="I21:I29" si="9">SUM($E21*3-(ROUNDDOWN(SUM(($E21)-$C21)*3,0)))</f>
        <v>4</v>
      </c>
      <c r="J21" s="22">
        <f t="shared" ref="J21:J29" si="10">SUM(G21*I21)</f>
        <v>13.08</v>
      </c>
      <c r="K21" s="21">
        <f t="shared" ref="K21:K29" si="11">SUM($E21*6-(ROUNDDOWN(SUM(($E21)-$C21)*6,0)))</f>
        <v>8</v>
      </c>
      <c r="L21" s="22">
        <f t="shared" ref="L21:L29" si="12">SUM(G21*K21)</f>
        <v>26.16</v>
      </c>
      <c r="M21" s="21">
        <f t="shared" ref="M21:M29" si="13">SUM($E21*12-(ROUNDDOWN(SUM(($E21)-$C21)*12,0)))</f>
        <v>15</v>
      </c>
      <c r="N21" s="46">
        <f t="shared" ref="N21:N29" si="14">SUM(G21*M21)</f>
        <v>49.05</v>
      </c>
    </row>
    <row r="22" spans="1:14" x14ac:dyDescent="0.25">
      <c r="A22" s="45">
        <f t="shared" si="6"/>
        <v>3</v>
      </c>
      <c r="B22" s="23" t="s">
        <v>166</v>
      </c>
      <c r="C22" s="21">
        <v>6</v>
      </c>
      <c r="D22" s="21">
        <v>18</v>
      </c>
      <c r="E22" s="21">
        <f t="shared" si="7"/>
        <v>6</v>
      </c>
      <c r="F22" s="21" t="s">
        <v>43</v>
      </c>
      <c r="G22" s="22">
        <f>EstudodeFornecedores!D60</f>
        <v>12</v>
      </c>
      <c r="H22" s="46">
        <f t="shared" si="8"/>
        <v>72</v>
      </c>
      <c r="I22" s="45">
        <f t="shared" si="9"/>
        <v>18</v>
      </c>
      <c r="J22" s="22">
        <f t="shared" si="10"/>
        <v>216</v>
      </c>
      <c r="K22" s="21">
        <f t="shared" si="11"/>
        <v>36</v>
      </c>
      <c r="L22" s="22">
        <f t="shared" si="12"/>
        <v>432</v>
      </c>
      <c r="M22" s="21">
        <f t="shared" si="13"/>
        <v>72</v>
      </c>
      <c r="N22" s="46">
        <f t="shared" si="14"/>
        <v>864</v>
      </c>
    </row>
    <row r="23" spans="1:14" x14ac:dyDescent="0.25">
      <c r="A23" s="45">
        <f t="shared" si="6"/>
        <v>4</v>
      </c>
      <c r="B23" s="23" t="s">
        <v>14</v>
      </c>
      <c r="C23" s="21">
        <v>0.48</v>
      </c>
      <c r="D23" s="21">
        <v>1.44</v>
      </c>
      <c r="E23" s="21">
        <f t="shared" si="7"/>
        <v>1</v>
      </c>
      <c r="F23" s="21" t="s">
        <v>43</v>
      </c>
      <c r="G23" s="22">
        <f>EstudodeFornecedores!D61</f>
        <v>6</v>
      </c>
      <c r="H23" s="46">
        <f t="shared" si="8"/>
        <v>6</v>
      </c>
      <c r="I23" s="45">
        <f t="shared" si="9"/>
        <v>2</v>
      </c>
      <c r="J23" s="22">
        <f t="shared" si="10"/>
        <v>12</v>
      </c>
      <c r="K23" s="21">
        <f t="shared" si="11"/>
        <v>3</v>
      </c>
      <c r="L23" s="22">
        <f t="shared" si="12"/>
        <v>18</v>
      </c>
      <c r="M23" s="21">
        <f t="shared" si="13"/>
        <v>6</v>
      </c>
      <c r="N23" s="46">
        <f t="shared" si="14"/>
        <v>36</v>
      </c>
    </row>
    <row r="24" spans="1:14" x14ac:dyDescent="0.25">
      <c r="A24" s="45">
        <f t="shared" si="6"/>
        <v>5</v>
      </c>
      <c r="B24" s="23" t="s">
        <v>142</v>
      </c>
      <c r="C24" s="21">
        <v>0.75</v>
      </c>
      <c r="D24" s="21">
        <v>2.25</v>
      </c>
      <c r="E24" s="21">
        <f t="shared" si="7"/>
        <v>1</v>
      </c>
      <c r="F24" s="21" t="s">
        <v>43</v>
      </c>
      <c r="G24" s="22">
        <f>EstudodeFornecedores!D62</f>
        <v>39.9</v>
      </c>
      <c r="H24" s="46">
        <f t="shared" si="8"/>
        <v>39.9</v>
      </c>
      <c r="I24" s="45">
        <f t="shared" si="9"/>
        <v>3</v>
      </c>
      <c r="J24" s="22">
        <f t="shared" si="10"/>
        <v>119.69999999999999</v>
      </c>
      <c r="K24" s="21">
        <f t="shared" si="11"/>
        <v>5</v>
      </c>
      <c r="L24" s="22">
        <f t="shared" si="12"/>
        <v>199.5</v>
      </c>
      <c r="M24" s="21">
        <f t="shared" si="13"/>
        <v>9</v>
      </c>
      <c r="N24" s="46">
        <f t="shared" si="14"/>
        <v>359.09999999999997</v>
      </c>
    </row>
    <row r="25" spans="1:14" x14ac:dyDescent="0.25">
      <c r="A25" s="45">
        <f t="shared" si="6"/>
        <v>6</v>
      </c>
      <c r="B25" s="23" t="s">
        <v>143</v>
      </c>
      <c r="C25" s="23">
        <v>1.2</v>
      </c>
      <c r="D25" s="23">
        <v>3.6</v>
      </c>
      <c r="E25" s="21">
        <f t="shared" si="7"/>
        <v>2</v>
      </c>
      <c r="F25" s="21" t="s">
        <v>43</v>
      </c>
      <c r="G25" s="22">
        <f>EstudodeFornecedores!D63</f>
        <v>29.12</v>
      </c>
      <c r="H25" s="46">
        <f t="shared" si="8"/>
        <v>58.24</v>
      </c>
      <c r="I25" s="45">
        <f t="shared" si="9"/>
        <v>4</v>
      </c>
      <c r="J25" s="22">
        <f t="shared" si="10"/>
        <v>116.48</v>
      </c>
      <c r="K25" s="21">
        <f t="shared" si="11"/>
        <v>8</v>
      </c>
      <c r="L25" s="22">
        <f t="shared" si="12"/>
        <v>232.96</v>
      </c>
      <c r="M25" s="21">
        <f t="shared" si="13"/>
        <v>15</v>
      </c>
      <c r="N25" s="46">
        <f t="shared" si="14"/>
        <v>436.8</v>
      </c>
    </row>
    <row r="26" spans="1:14" x14ac:dyDescent="0.25">
      <c r="A26" s="45">
        <f t="shared" si="6"/>
        <v>7</v>
      </c>
      <c r="B26" s="23" t="s">
        <v>128</v>
      </c>
      <c r="C26" s="23">
        <v>6</v>
      </c>
      <c r="D26" s="23">
        <v>18</v>
      </c>
      <c r="E26" s="21">
        <f t="shared" si="7"/>
        <v>6</v>
      </c>
      <c r="F26" s="21" t="s">
        <v>43</v>
      </c>
      <c r="G26" s="22">
        <f>EstudodeFornecedores!D64</f>
        <v>12.81</v>
      </c>
      <c r="H26" s="46">
        <f t="shared" si="8"/>
        <v>76.86</v>
      </c>
      <c r="I26" s="45">
        <f t="shared" si="9"/>
        <v>18</v>
      </c>
      <c r="J26" s="22">
        <f t="shared" si="10"/>
        <v>230.58</v>
      </c>
      <c r="K26" s="21">
        <f t="shared" si="11"/>
        <v>36</v>
      </c>
      <c r="L26" s="22">
        <f t="shared" si="12"/>
        <v>461.16</v>
      </c>
      <c r="M26" s="21">
        <f t="shared" si="13"/>
        <v>72</v>
      </c>
      <c r="N26" s="46">
        <f t="shared" si="14"/>
        <v>922.32</v>
      </c>
    </row>
    <row r="27" spans="1:14" x14ac:dyDescent="0.25">
      <c r="A27" s="45">
        <f t="shared" si="6"/>
        <v>8</v>
      </c>
      <c r="B27" s="23" t="s">
        <v>125</v>
      </c>
      <c r="C27" s="23">
        <v>6</v>
      </c>
      <c r="D27" s="23">
        <v>18</v>
      </c>
      <c r="E27" s="21">
        <f t="shared" si="7"/>
        <v>6</v>
      </c>
      <c r="F27" s="21" t="s">
        <v>43</v>
      </c>
      <c r="G27" s="22">
        <f>EstudodeFornecedores!D65</f>
        <v>11.83</v>
      </c>
      <c r="H27" s="46">
        <f t="shared" si="8"/>
        <v>70.98</v>
      </c>
      <c r="I27" s="45">
        <f t="shared" si="9"/>
        <v>18</v>
      </c>
      <c r="J27" s="22">
        <f t="shared" si="10"/>
        <v>212.94</v>
      </c>
      <c r="K27" s="21">
        <f t="shared" si="11"/>
        <v>36</v>
      </c>
      <c r="L27" s="22">
        <f t="shared" si="12"/>
        <v>425.88</v>
      </c>
      <c r="M27" s="21">
        <f t="shared" si="13"/>
        <v>72</v>
      </c>
      <c r="N27" s="46">
        <f t="shared" si="14"/>
        <v>851.76</v>
      </c>
    </row>
    <row r="28" spans="1:14" x14ac:dyDescent="0.25">
      <c r="A28" s="45">
        <f t="shared" si="6"/>
        <v>9</v>
      </c>
      <c r="B28" s="23" t="s">
        <v>130</v>
      </c>
      <c r="C28" s="23">
        <v>6</v>
      </c>
      <c r="D28" s="23">
        <v>18</v>
      </c>
      <c r="E28" s="21">
        <f t="shared" si="7"/>
        <v>6</v>
      </c>
      <c r="F28" s="21" t="s">
        <v>43</v>
      </c>
      <c r="G28" s="22">
        <f>EstudodeFornecedores!D66</f>
        <v>10.9</v>
      </c>
      <c r="H28" s="46">
        <f t="shared" si="8"/>
        <v>65.400000000000006</v>
      </c>
      <c r="I28" s="45">
        <f t="shared" si="9"/>
        <v>18</v>
      </c>
      <c r="J28" s="22">
        <f t="shared" si="10"/>
        <v>196.20000000000002</v>
      </c>
      <c r="K28" s="21">
        <f t="shared" si="11"/>
        <v>36</v>
      </c>
      <c r="L28" s="22">
        <f t="shared" si="12"/>
        <v>392.40000000000003</v>
      </c>
      <c r="M28" s="21">
        <f t="shared" si="13"/>
        <v>72</v>
      </c>
      <c r="N28" s="46">
        <f t="shared" si="14"/>
        <v>784.80000000000007</v>
      </c>
    </row>
    <row r="29" spans="1:14" ht="15.75" thickBot="1" x14ac:dyDescent="0.3">
      <c r="A29" s="90">
        <f t="shared" si="6"/>
        <v>10</v>
      </c>
      <c r="B29" s="91" t="s">
        <v>129</v>
      </c>
      <c r="C29" s="91">
        <v>18</v>
      </c>
      <c r="D29" s="91">
        <v>54</v>
      </c>
      <c r="E29" s="92">
        <f t="shared" si="7"/>
        <v>18</v>
      </c>
      <c r="F29" s="92" t="s">
        <v>43</v>
      </c>
      <c r="G29" s="93">
        <f>EstudodeFornecedores!D67</f>
        <v>5.19</v>
      </c>
      <c r="H29" s="94">
        <f t="shared" si="8"/>
        <v>93.42</v>
      </c>
      <c r="I29" s="45">
        <f t="shared" si="9"/>
        <v>54</v>
      </c>
      <c r="J29" s="22">
        <f t="shared" si="10"/>
        <v>280.26000000000005</v>
      </c>
      <c r="K29" s="21">
        <f t="shared" si="11"/>
        <v>108</v>
      </c>
      <c r="L29" s="22">
        <f t="shared" si="12"/>
        <v>560.5200000000001</v>
      </c>
      <c r="M29" s="21">
        <f t="shared" si="13"/>
        <v>216</v>
      </c>
      <c r="N29" s="46">
        <f t="shared" si="14"/>
        <v>1121.0400000000002</v>
      </c>
    </row>
    <row r="30" spans="1:14" ht="16.5" thickTop="1" thickBot="1" x14ac:dyDescent="0.3">
      <c r="A30" s="113" t="s">
        <v>199</v>
      </c>
      <c r="B30" s="114"/>
      <c r="C30" s="118"/>
      <c r="D30" s="118"/>
      <c r="E30" s="119"/>
      <c r="F30" s="118"/>
      <c r="G30" s="119"/>
      <c r="H30" s="120">
        <f>SUM(H20:H29)</f>
        <v>503.32</v>
      </c>
      <c r="I30" s="45"/>
      <c r="J30" s="22">
        <f>SUM(J20:J29)</f>
        <v>1439.18</v>
      </c>
      <c r="K30" s="21"/>
      <c r="L30" s="22">
        <f>SUM(L20:L29)</f>
        <v>2832.46</v>
      </c>
      <c r="M30" s="21"/>
      <c r="N30" s="46">
        <f>SUM(N20:N29)</f>
        <v>5592.63</v>
      </c>
    </row>
    <row r="31" spans="1:14" ht="16.5" thickTop="1" thickBot="1" x14ac:dyDescent="0.3">
      <c r="A31" s="113" t="s">
        <v>200</v>
      </c>
      <c r="B31" s="120">
        <f>SUM(H16+H30)</f>
        <v>14714.47</v>
      </c>
      <c r="C31" s="18"/>
      <c r="D31" s="18"/>
      <c r="E31" s="37"/>
      <c r="F31" s="18"/>
      <c r="G31" s="37"/>
      <c r="I31" s="99" t="s">
        <v>197</v>
      </c>
      <c r="J31" s="48">
        <f>SUM(J30-H30)</f>
        <v>935.86000000000013</v>
      </c>
      <c r="K31" s="47"/>
      <c r="L31" s="48">
        <f>SUM(L30-J30)</f>
        <v>1393.28</v>
      </c>
      <c r="M31" s="47"/>
      <c r="N31" s="49">
        <f>SUM(N30-L30)</f>
        <v>2760.17</v>
      </c>
    </row>
    <row r="32" spans="1:14" ht="15.75" thickTop="1" x14ac:dyDescent="0.25">
      <c r="C32" s="18"/>
      <c r="D32" s="18"/>
      <c r="E32" s="37"/>
      <c r="F32" s="18"/>
      <c r="G32" s="37"/>
    </row>
    <row r="33" spans="1:7" x14ac:dyDescent="0.25">
      <c r="C33" s="18"/>
      <c r="D33" s="18"/>
      <c r="E33" s="37"/>
      <c r="F33" s="18"/>
      <c r="G33" s="37"/>
    </row>
    <row r="34" spans="1:7" x14ac:dyDescent="0.25">
      <c r="C34" s="18"/>
      <c r="D34" s="18"/>
      <c r="E34" s="37"/>
      <c r="F34" s="18"/>
      <c r="G34" s="37"/>
    </row>
    <row r="35" spans="1:7" ht="15.75" thickBot="1" x14ac:dyDescent="0.3">
      <c r="C35" s="18"/>
      <c r="D35" s="18"/>
      <c r="E35" s="37"/>
      <c r="F35" s="18"/>
      <c r="G35" s="37"/>
    </row>
    <row r="36" spans="1:7" ht="16.5" thickTop="1" thickBot="1" x14ac:dyDescent="0.3">
      <c r="A36" s="233" t="s">
        <v>211</v>
      </c>
      <c r="B36" s="234"/>
      <c r="D36" s="233" t="s">
        <v>317</v>
      </c>
      <c r="E36" s="234"/>
      <c r="F36" s="18"/>
      <c r="G36" s="37"/>
    </row>
    <row r="37" spans="1:7" ht="15.75" thickTop="1" x14ac:dyDescent="0.25">
      <c r="A37" s="102" t="s">
        <v>205</v>
      </c>
      <c r="B37" s="103">
        <f>CustosFixosOperacionaisMensais!B19</f>
        <v>12796.164940412978</v>
      </c>
      <c r="D37" s="102" t="s">
        <v>318</v>
      </c>
      <c r="E37" s="127" t="s">
        <v>319</v>
      </c>
      <c r="F37" s="18"/>
      <c r="G37" s="37"/>
    </row>
    <row r="38" spans="1:7" x14ac:dyDescent="0.25">
      <c r="A38" s="45" t="s">
        <v>206</v>
      </c>
      <c r="B38" s="46">
        <f>DemonstrativodeResultado!B7</f>
        <v>21668.94176311111</v>
      </c>
      <c r="D38" s="45" t="s">
        <v>320</v>
      </c>
      <c r="E38" s="46">
        <f>B31</f>
        <v>14714.47</v>
      </c>
    </row>
    <row r="39" spans="1:7" ht="15.75" thickBot="1" x14ac:dyDescent="0.3">
      <c r="A39" s="45" t="s">
        <v>207</v>
      </c>
      <c r="B39" s="46">
        <f>SUM(B37:B38)</f>
        <v>34465.106703524085</v>
      </c>
      <c r="D39" s="90" t="s">
        <v>204</v>
      </c>
      <c r="E39" s="94">
        <f>B42</f>
        <v>-3446.5106703524084</v>
      </c>
    </row>
    <row r="40" spans="1:7" ht="16.5" thickTop="1" thickBot="1" x14ac:dyDescent="0.3">
      <c r="A40" s="45" t="s">
        <v>208</v>
      </c>
      <c r="B40" s="46">
        <f>SUM(B39/30)</f>
        <v>1148.8368901174695</v>
      </c>
      <c r="D40" s="113" t="s">
        <v>56</v>
      </c>
      <c r="E40" s="120">
        <f>SUM(E38:E39)</f>
        <v>11267.95932964759</v>
      </c>
    </row>
    <row r="41" spans="1:7" ht="30" customHeight="1" thickTop="1" thickBot="1" x14ac:dyDescent="0.3">
      <c r="A41" s="128" t="s">
        <v>209</v>
      </c>
      <c r="B41" s="129">
        <f>B76</f>
        <v>-3</v>
      </c>
    </row>
    <row r="42" spans="1:7" ht="16.5" thickTop="1" thickBot="1" x14ac:dyDescent="0.3">
      <c r="A42" s="107" t="s">
        <v>210</v>
      </c>
      <c r="B42" s="106">
        <f>SUM(B40*B41)</f>
        <v>-3446.5106703524084</v>
      </c>
    </row>
    <row r="43" spans="1:7" ht="15.75" thickTop="1" x14ac:dyDescent="0.25">
      <c r="A43" s="18"/>
      <c r="D43" s="37"/>
    </row>
    <row r="44" spans="1:7" ht="15.75" thickBot="1" x14ac:dyDescent="0.3">
      <c r="A44" s="18"/>
      <c r="D44" s="37"/>
    </row>
    <row r="45" spans="1:7" ht="16.5" thickTop="1" thickBot="1" x14ac:dyDescent="0.3">
      <c r="A45" s="226" t="s">
        <v>212</v>
      </c>
      <c r="B45" s="227"/>
      <c r="C45" s="227"/>
      <c r="D45" s="228"/>
    </row>
    <row r="46" spans="1:7" ht="15.75" thickTop="1" x14ac:dyDescent="0.25">
      <c r="A46" s="102"/>
      <c r="B46" s="75" t="s">
        <v>216</v>
      </c>
      <c r="C46" s="33" t="s">
        <v>217</v>
      </c>
      <c r="D46" s="131" t="s">
        <v>218</v>
      </c>
      <c r="E46" s="12"/>
    </row>
    <row r="47" spans="1:7" x14ac:dyDescent="0.25">
      <c r="A47" s="85" t="s">
        <v>213</v>
      </c>
      <c r="B47" s="136">
        <v>0.5</v>
      </c>
      <c r="C47" s="21">
        <v>0</v>
      </c>
      <c r="D47" s="138">
        <v>0</v>
      </c>
    </row>
    <row r="48" spans="1:7" x14ac:dyDescent="0.25">
      <c r="A48" s="85" t="s">
        <v>214</v>
      </c>
      <c r="B48" s="136">
        <v>0.35</v>
      </c>
      <c r="C48" s="21">
        <v>30</v>
      </c>
      <c r="D48" s="138">
        <f>SUM(C48*B48)</f>
        <v>10.5</v>
      </c>
    </row>
    <row r="49" spans="1:4" ht="15.75" thickBot="1" x14ac:dyDescent="0.3">
      <c r="A49" s="132" t="s">
        <v>215</v>
      </c>
      <c r="B49" s="137">
        <v>0.15</v>
      </c>
      <c r="C49" s="92">
        <v>60</v>
      </c>
      <c r="D49" s="138">
        <f>SUM(C49*B49)</f>
        <v>9</v>
      </c>
    </row>
    <row r="50" spans="1:4" ht="16.5" thickTop="1" thickBot="1" x14ac:dyDescent="0.3">
      <c r="A50" s="133"/>
      <c r="B50" s="105"/>
      <c r="C50" s="105" t="s">
        <v>219</v>
      </c>
      <c r="D50" s="139">
        <f>ROUNDUP(SUM(D47:D49),0)</f>
        <v>20</v>
      </c>
    </row>
    <row r="51" spans="1:4" ht="15.75" thickTop="1" x14ac:dyDescent="0.25">
      <c r="A51" s="18"/>
      <c r="D51" s="37"/>
    </row>
    <row r="52" spans="1:4" ht="15.75" thickBot="1" x14ac:dyDescent="0.3">
      <c r="A52" s="18"/>
      <c r="D52" s="37"/>
    </row>
    <row r="53" spans="1:4" ht="16.5" thickTop="1" thickBot="1" x14ac:dyDescent="0.3">
      <c r="A53" s="226" t="s">
        <v>220</v>
      </c>
      <c r="B53" s="227"/>
      <c r="C53" s="227"/>
      <c r="D53" s="228"/>
    </row>
    <row r="54" spans="1:4" ht="15.75" thickTop="1" x14ac:dyDescent="0.25">
      <c r="A54" s="102"/>
      <c r="B54" s="75" t="s">
        <v>216</v>
      </c>
      <c r="C54" s="33" t="s">
        <v>217</v>
      </c>
      <c r="D54" s="131" t="s">
        <v>218</v>
      </c>
    </row>
    <row r="55" spans="1:4" x14ac:dyDescent="0.25">
      <c r="A55" s="85" t="s">
        <v>213</v>
      </c>
      <c r="B55" s="136">
        <v>0.23</v>
      </c>
      <c r="C55" s="21">
        <v>0</v>
      </c>
      <c r="D55" s="138">
        <v>0</v>
      </c>
    </row>
    <row r="56" spans="1:4" x14ac:dyDescent="0.25">
      <c r="A56" s="85" t="s">
        <v>214</v>
      </c>
      <c r="B56" s="136">
        <v>0.05</v>
      </c>
      <c r="C56" s="21">
        <v>30</v>
      </c>
      <c r="D56" s="138">
        <f>SUM(C56*B56)</f>
        <v>1.5</v>
      </c>
    </row>
    <row r="57" spans="1:4" x14ac:dyDescent="0.25">
      <c r="A57" s="132" t="s">
        <v>215</v>
      </c>
      <c r="B57" s="137">
        <v>0.47</v>
      </c>
      <c r="C57" s="92">
        <v>60</v>
      </c>
      <c r="D57" s="138">
        <f>SUM(C57*B57)</f>
        <v>28.2</v>
      </c>
    </row>
    <row r="58" spans="1:4" ht="15.75" thickBot="1" x14ac:dyDescent="0.3">
      <c r="A58" s="140" t="s">
        <v>221</v>
      </c>
      <c r="B58" s="141">
        <v>0.25</v>
      </c>
      <c r="C58" s="142">
        <v>90</v>
      </c>
      <c r="D58" s="138">
        <f>SUM(C58*B58)</f>
        <v>22.5</v>
      </c>
    </row>
    <row r="59" spans="1:4" ht="16.5" thickTop="1" thickBot="1" x14ac:dyDescent="0.3">
      <c r="A59" s="133"/>
      <c r="B59" s="105"/>
      <c r="C59" s="105" t="s">
        <v>219</v>
      </c>
      <c r="D59" s="139">
        <f>ROUNDUP(SUM(D55:D58),0)</f>
        <v>53</v>
      </c>
    </row>
    <row r="60" spans="1:4" ht="15.75" thickTop="1" x14ac:dyDescent="0.25"/>
    <row r="61" spans="1:4" ht="15.75" thickBot="1" x14ac:dyDescent="0.3"/>
    <row r="62" spans="1:4" ht="16.5" thickTop="1" thickBot="1" x14ac:dyDescent="0.3">
      <c r="A62" s="229" t="s">
        <v>223</v>
      </c>
      <c r="B62" s="230"/>
    </row>
    <row r="63" spans="1:4" ht="15.75" thickTop="1" x14ac:dyDescent="0.25">
      <c r="A63" s="102"/>
      <c r="B63" s="127" t="s">
        <v>217</v>
      </c>
    </row>
    <row r="64" spans="1:4" ht="15.75" thickBot="1" x14ac:dyDescent="0.3">
      <c r="A64" s="99" t="s">
        <v>222</v>
      </c>
      <c r="B64" s="88">
        <v>30</v>
      </c>
    </row>
    <row r="65" spans="1:4" ht="15.75" thickTop="1" x14ac:dyDescent="0.25"/>
    <row r="66" spans="1:4" ht="15.75" thickBot="1" x14ac:dyDescent="0.3"/>
    <row r="67" spans="1:4" ht="16.5" thickTop="1" thickBot="1" x14ac:dyDescent="0.3">
      <c r="A67" s="231" t="s">
        <v>224</v>
      </c>
      <c r="B67" s="232"/>
    </row>
    <row r="68" spans="1:4" ht="15.75" thickTop="1" x14ac:dyDescent="0.25">
      <c r="A68" s="102"/>
      <c r="B68" s="127" t="s">
        <v>217</v>
      </c>
    </row>
    <row r="69" spans="1:4" ht="30" x14ac:dyDescent="0.25">
      <c r="A69" s="145" t="s">
        <v>225</v>
      </c>
      <c r="B69" s="149"/>
    </row>
    <row r="70" spans="1:4" ht="30" x14ac:dyDescent="0.25">
      <c r="A70" s="146" t="s">
        <v>226</v>
      </c>
      <c r="B70" s="66">
        <f>D50</f>
        <v>20</v>
      </c>
      <c r="D70" s="2"/>
    </row>
    <row r="71" spans="1:4" ht="30" x14ac:dyDescent="0.25">
      <c r="A71" s="126" t="s">
        <v>227</v>
      </c>
      <c r="B71" s="66">
        <f>B64</f>
        <v>30</v>
      </c>
    </row>
    <row r="72" spans="1:4" x14ac:dyDescent="0.25">
      <c r="A72" s="45" t="s">
        <v>228</v>
      </c>
      <c r="B72" s="150">
        <f>SUM(B70:B71)</f>
        <v>50</v>
      </c>
    </row>
    <row r="73" spans="1:4" ht="30" x14ac:dyDescent="0.25">
      <c r="A73" s="147" t="s">
        <v>229</v>
      </c>
      <c r="B73" s="149"/>
    </row>
    <row r="74" spans="1:4" ht="30" x14ac:dyDescent="0.25">
      <c r="A74" s="126" t="s">
        <v>230</v>
      </c>
      <c r="B74" s="66">
        <f>D59</f>
        <v>53</v>
      </c>
    </row>
    <row r="75" spans="1:4" ht="15.75" thickBot="1" x14ac:dyDescent="0.3">
      <c r="A75" s="90" t="s">
        <v>231</v>
      </c>
      <c r="B75" s="151">
        <f>B74</f>
        <v>53</v>
      </c>
    </row>
    <row r="76" spans="1:4" ht="46.5" thickTop="1" thickBot="1" x14ac:dyDescent="0.3">
      <c r="A76" s="148" t="s">
        <v>232</v>
      </c>
      <c r="B76" s="152">
        <f>SUM(B72-B75)</f>
        <v>-3</v>
      </c>
    </row>
    <row r="77" spans="1:4" ht="15.75" thickTop="1" x14ac:dyDescent="0.25">
      <c r="A77" s="144"/>
    </row>
  </sheetData>
  <mergeCells count="9">
    <mergeCell ref="A53:D53"/>
    <mergeCell ref="A62:B62"/>
    <mergeCell ref="A67:B67"/>
    <mergeCell ref="D36:E36"/>
    <mergeCell ref="A1:H1"/>
    <mergeCell ref="A3:H3"/>
    <mergeCell ref="A18:H18"/>
    <mergeCell ref="A36:B36"/>
    <mergeCell ref="A45:D45"/>
  </mergeCells>
  <pageMargins left="0.511811024" right="0.511811024" top="0.78740157499999996" bottom="0.78740157499999996" header="0.31496062000000002" footer="0.31496062000000002"/>
  <ignoredErrors>
    <ignoredError sqref="I8 I15 I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zoomScaleNormal="100" workbookViewId="0">
      <selection sqref="A1:H1"/>
    </sheetView>
  </sheetViews>
  <sheetFormatPr defaultRowHeight="15" x14ac:dyDescent="0.25"/>
  <cols>
    <col min="1" max="1" width="66.42578125" customWidth="1"/>
    <col min="2" max="2" width="76.7109375" customWidth="1"/>
    <col min="3" max="3" width="26.7109375" customWidth="1"/>
    <col min="4" max="4" width="12.85546875" style="4" customWidth="1"/>
    <col min="5" max="5" width="30.28515625" customWidth="1"/>
    <col min="6" max="6" width="22.85546875" customWidth="1"/>
    <col min="7" max="7" width="11" customWidth="1"/>
  </cols>
  <sheetData>
    <row r="1" spans="1:8" ht="16.5" thickTop="1" thickBot="1" x14ac:dyDescent="0.3">
      <c r="A1" s="236" t="s">
        <v>82</v>
      </c>
      <c r="B1" s="237"/>
      <c r="C1" s="237"/>
      <c r="D1" s="237"/>
      <c r="E1" s="237"/>
      <c r="F1" s="237"/>
      <c r="G1" s="237"/>
      <c r="H1" s="238"/>
    </row>
    <row r="2" spans="1:8" ht="15.75" thickTop="1" x14ac:dyDescent="0.25">
      <c r="A2" s="71" t="s">
        <v>83</v>
      </c>
      <c r="B2" s="72" t="s">
        <v>85</v>
      </c>
      <c r="C2" s="72" t="s">
        <v>84</v>
      </c>
      <c r="D2" s="73" t="s">
        <v>1</v>
      </c>
      <c r="E2" s="72" t="s">
        <v>95</v>
      </c>
      <c r="F2" s="72" t="s">
        <v>96</v>
      </c>
      <c r="G2" s="72" t="s">
        <v>86</v>
      </c>
      <c r="H2" s="74" t="s">
        <v>87</v>
      </c>
    </row>
    <row r="3" spans="1:8" x14ac:dyDescent="0.25">
      <c r="A3" s="45">
        <v>1</v>
      </c>
      <c r="B3" s="21" t="s">
        <v>153</v>
      </c>
      <c r="C3" s="21" t="s">
        <v>123</v>
      </c>
      <c r="D3" s="22">
        <v>3.47</v>
      </c>
      <c r="E3" s="21">
        <v>0</v>
      </c>
      <c r="F3" s="21">
        <v>0</v>
      </c>
      <c r="G3" s="21"/>
      <c r="H3" s="66"/>
    </row>
    <row r="4" spans="1:8" x14ac:dyDescent="0.25">
      <c r="A4" s="45">
        <f>SUM(A3+1)</f>
        <v>2</v>
      </c>
      <c r="B4" s="21" t="s">
        <v>99</v>
      </c>
      <c r="C4" s="21" t="s">
        <v>4</v>
      </c>
      <c r="D4" s="22">
        <v>45.78</v>
      </c>
      <c r="E4" s="21">
        <v>60</v>
      </c>
      <c r="F4" s="21">
        <v>7</v>
      </c>
      <c r="G4" s="21"/>
      <c r="H4" s="66"/>
    </row>
    <row r="5" spans="1:8" x14ac:dyDescent="0.25">
      <c r="A5" s="45">
        <f>SUM(A4+1)</f>
        <v>3</v>
      </c>
      <c r="B5" s="21" t="s">
        <v>100</v>
      </c>
      <c r="C5" s="21" t="s">
        <v>94</v>
      </c>
      <c r="D5" s="22">
        <v>8.5</v>
      </c>
      <c r="E5" s="21">
        <v>0</v>
      </c>
      <c r="F5" s="21">
        <v>0</v>
      </c>
      <c r="G5" s="21"/>
      <c r="H5" s="66"/>
    </row>
    <row r="6" spans="1:8" x14ac:dyDescent="0.25">
      <c r="A6" s="45">
        <f t="shared" ref="A6:A13" si="0">SUM(A5+1)</f>
        <v>4</v>
      </c>
      <c r="B6" s="21" t="s">
        <v>98</v>
      </c>
      <c r="C6" s="21" t="s">
        <v>68</v>
      </c>
      <c r="D6" s="22">
        <v>4795.2</v>
      </c>
      <c r="E6" s="21">
        <v>90</v>
      </c>
      <c r="F6" s="21">
        <v>30</v>
      </c>
      <c r="G6" s="21"/>
      <c r="H6" s="66"/>
    </row>
    <row r="7" spans="1:8" x14ac:dyDescent="0.25">
      <c r="A7" s="45">
        <f t="shared" si="0"/>
        <v>5</v>
      </c>
      <c r="B7" s="21" t="s">
        <v>97</v>
      </c>
      <c r="C7" s="21" t="s">
        <v>68</v>
      </c>
      <c r="D7" s="22">
        <v>3449</v>
      </c>
      <c r="E7" s="21">
        <v>90</v>
      </c>
      <c r="F7" s="21">
        <v>30</v>
      </c>
      <c r="G7" s="21"/>
      <c r="H7" s="66"/>
    </row>
    <row r="8" spans="1:8" x14ac:dyDescent="0.25">
      <c r="A8" s="45">
        <f t="shared" si="0"/>
        <v>6</v>
      </c>
      <c r="B8" s="21" t="s">
        <v>90</v>
      </c>
      <c r="C8" s="21" t="s">
        <v>22</v>
      </c>
      <c r="D8" s="22">
        <v>218.59</v>
      </c>
      <c r="E8" s="21">
        <v>60</v>
      </c>
      <c r="F8" s="21">
        <v>7</v>
      </c>
      <c r="G8" s="21"/>
      <c r="H8" s="66"/>
    </row>
    <row r="9" spans="1:8" x14ac:dyDescent="0.25">
      <c r="A9" s="45">
        <f t="shared" si="0"/>
        <v>7</v>
      </c>
      <c r="B9" s="21" t="s">
        <v>88</v>
      </c>
      <c r="C9" s="21" t="s">
        <v>22</v>
      </c>
      <c r="D9" s="22">
        <v>175.09</v>
      </c>
      <c r="E9" s="21">
        <v>60</v>
      </c>
      <c r="F9" s="21">
        <v>7</v>
      </c>
      <c r="G9" s="21"/>
      <c r="H9" s="66"/>
    </row>
    <row r="10" spans="1:8" x14ac:dyDescent="0.25">
      <c r="A10" s="45">
        <f t="shared" si="0"/>
        <v>8</v>
      </c>
      <c r="B10" s="21" t="s">
        <v>89</v>
      </c>
      <c r="C10" s="21" t="s">
        <v>22</v>
      </c>
      <c r="D10" s="22">
        <v>175.09</v>
      </c>
      <c r="E10" s="21">
        <v>60</v>
      </c>
      <c r="F10" s="21">
        <v>7</v>
      </c>
      <c r="G10" s="21"/>
      <c r="H10" s="66"/>
    </row>
    <row r="11" spans="1:8" x14ac:dyDescent="0.25">
      <c r="A11" s="45">
        <f t="shared" si="0"/>
        <v>9</v>
      </c>
      <c r="B11" s="21" t="s">
        <v>91</v>
      </c>
      <c r="C11" s="21" t="s">
        <v>22</v>
      </c>
      <c r="D11" s="22">
        <v>1.49</v>
      </c>
      <c r="E11" s="21">
        <v>60</v>
      </c>
      <c r="F11" s="21">
        <v>7</v>
      </c>
      <c r="G11" s="21"/>
      <c r="H11" s="66"/>
    </row>
    <row r="12" spans="1:8" x14ac:dyDescent="0.25">
      <c r="A12" s="45">
        <f t="shared" si="0"/>
        <v>10</v>
      </c>
      <c r="B12" s="21" t="s">
        <v>92</v>
      </c>
      <c r="C12" s="21" t="s">
        <v>52</v>
      </c>
      <c r="D12" s="22">
        <v>28.52</v>
      </c>
      <c r="E12" s="21">
        <v>90</v>
      </c>
      <c r="F12" s="21">
        <v>5</v>
      </c>
      <c r="G12" s="21"/>
      <c r="H12" s="66"/>
    </row>
    <row r="13" spans="1:8" x14ac:dyDescent="0.25">
      <c r="A13" s="45">
        <f t="shared" si="0"/>
        <v>11</v>
      </c>
      <c r="B13" s="21" t="s">
        <v>93</v>
      </c>
      <c r="C13" s="21" t="s">
        <v>52</v>
      </c>
      <c r="D13" s="22">
        <v>21.21</v>
      </c>
      <c r="E13" s="21">
        <v>90</v>
      </c>
      <c r="F13" s="21">
        <v>5</v>
      </c>
      <c r="G13" s="21"/>
      <c r="H13" s="66"/>
    </row>
    <row r="14" spans="1:8" ht="15.75" thickBot="1" x14ac:dyDescent="0.3">
      <c r="A14" s="67"/>
      <c r="B14" s="68"/>
      <c r="C14" s="68"/>
      <c r="D14" s="69"/>
      <c r="E14" s="68"/>
      <c r="F14" s="68"/>
      <c r="G14" s="68"/>
      <c r="H14" s="70"/>
    </row>
    <row r="15" spans="1:8" ht="16.5" thickTop="1" thickBot="1" x14ac:dyDescent="0.3">
      <c r="A15" s="236" t="s">
        <v>165</v>
      </c>
      <c r="B15" s="237"/>
      <c r="C15" s="237"/>
      <c r="D15" s="237"/>
      <c r="E15" s="237"/>
      <c r="F15" s="237"/>
      <c r="G15" s="237"/>
      <c r="H15" s="238"/>
    </row>
    <row r="16" spans="1:8" ht="15.75" thickTop="1" x14ac:dyDescent="0.25">
      <c r="A16" s="76" t="s">
        <v>170</v>
      </c>
      <c r="B16" s="77" t="s">
        <v>171</v>
      </c>
      <c r="C16" s="78" t="s">
        <v>172</v>
      </c>
      <c r="D16" s="242" t="s">
        <v>173</v>
      </c>
      <c r="E16" s="242"/>
      <c r="F16" s="203" t="s">
        <v>300</v>
      </c>
      <c r="G16" s="79"/>
      <c r="H16" s="80"/>
    </row>
    <row r="17" spans="1:8" x14ac:dyDescent="0.25">
      <c r="A17" s="64" t="s">
        <v>83</v>
      </c>
      <c r="B17" s="19" t="s">
        <v>85</v>
      </c>
      <c r="C17" s="19" t="s">
        <v>84</v>
      </c>
      <c r="D17" s="20" t="s">
        <v>1</v>
      </c>
      <c r="E17" s="19" t="s">
        <v>95</v>
      </c>
      <c r="F17" s="19" t="s">
        <v>96</v>
      </c>
      <c r="G17" s="19" t="s">
        <v>86</v>
      </c>
      <c r="H17" s="65" t="s">
        <v>87</v>
      </c>
    </row>
    <row r="18" spans="1:8" x14ac:dyDescent="0.25">
      <c r="A18" s="81">
        <f>SUM(A14+1)</f>
        <v>1</v>
      </c>
      <c r="B18" s="25" t="s">
        <v>28</v>
      </c>
      <c r="C18" s="25" t="s">
        <v>29</v>
      </c>
      <c r="D18" s="26">
        <v>450</v>
      </c>
      <c r="E18" s="21">
        <v>0</v>
      </c>
      <c r="F18" s="21">
        <v>0</v>
      </c>
      <c r="G18" s="21"/>
      <c r="H18" s="66"/>
    </row>
    <row r="19" spans="1:8" x14ac:dyDescent="0.25">
      <c r="A19" s="81">
        <f>SUM(A18+1)</f>
        <v>2</v>
      </c>
      <c r="B19" s="25" t="s">
        <v>34</v>
      </c>
      <c r="C19" s="25" t="s">
        <v>35</v>
      </c>
      <c r="D19" s="26">
        <v>11.9</v>
      </c>
      <c r="E19" s="21">
        <v>0</v>
      </c>
      <c r="F19" s="21">
        <v>15</v>
      </c>
      <c r="G19" s="21"/>
      <c r="H19" s="66"/>
    </row>
    <row r="20" spans="1:8" x14ac:dyDescent="0.25">
      <c r="A20" s="81">
        <f t="shared" ref="A20:A32" si="1">SUM(A19+1)</f>
        <v>3</v>
      </c>
      <c r="B20" s="25" t="s">
        <v>20</v>
      </c>
      <c r="C20" s="25" t="s">
        <v>4</v>
      </c>
      <c r="D20" s="26">
        <v>625</v>
      </c>
      <c r="E20" s="21">
        <v>60</v>
      </c>
      <c r="F20" s="21">
        <v>15</v>
      </c>
      <c r="G20" s="21"/>
      <c r="H20" s="66"/>
    </row>
    <row r="21" spans="1:8" x14ac:dyDescent="0.25">
      <c r="A21" s="81">
        <f t="shared" si="1"/>
        <v>4</v>
      </c>
      <c r="B21" s="25" t="s">
        <v>5</v>
      </c>
      <c r="C21" s="25" t="s">
        <v>4</v>
      </c>
      <c r="D21" s="26">
        <v>495</v>
      </c>
      <c r="E21" s="21">
        <v>60</v>
      </c>
      <c r="F21" s="21">
        <v>15</v>
      </c>
      <c r="G21" s="21"/>
      <c r="H21" s="66"/>
    </row>
    <row r="22" spans="1:8" x14ac:dyDescent="0.25">
      <c r="A22" s="81">
        <f t="shared" si="1"/>
        <v>5</v>
      </c>
      <c r="B22" s="25" t="s">
        <v>16</v>
      </c>
      <c r="C22" s="25" t="s">
        <v>4</v>
      </c>
      <c r="D22" s="26">
        <v>115</v>
      </c>
      <c r="E22" s="21">
        <v>60</v>
      </c>
      <c r="F22" s="21">
        <v>15</v>
      </c>
      <c r="G22" s="21"/>
      <c r="H22" s="66"/>
    </row>
    <row r="23" spans="1:8" x14ac:dyDescent="0.25">
      <c r="A23" s="81">
        <f t="shared" si="1"/>
        <v>6</v>
      </c>
      <c r="B23" s="25" t="s">
        <v>8</v>
      </c>
      <c r="C23" s="25" t="s">
        <v>4</v>
      </c>
      <c r="D23" s="26">
        <v>105</v>
      </c>
      <c r="E23" s="21">
        <v>60</v>
      </c>
      <c r="F23" s="21">
        <v>15</v>
      </c>
      <c r="G23" s="21"/>
      <c r="H23" s="66"/>
    </row>
    <row r="24" spans="1:8" x14ac:dyDescent="0.25">
      <c r="A24" s="81">
        <f t="shared" si="1"/>
        <v>7</v>
      </c>
      <c r="B24" s="25" t="s">
        <v>31</v>
      </c>
      <c r="C24" s="25" t="s">
        <v>4</v>
      </c>
      <c r="D24" s="26">
        <v>86</v>
      </c>
      <c r="E24" s="21">
        <v>60</v>
      </c>
      <c r="F24" s="21">
        <v>15</v>
      </c>
      <c r="G24" s="21"/>
      <c r="H24" s="66"/>
    </row>
    <row r="25" spans="1:8" x14ac:dyDescent="0.25">
      <c r="A25" s="81">
        <f t="shared" si="1"/>
        <v>8</v>
      </c>
      <c r="B25" s="25" t="s">
        <v>10</v>
      </c>
      <c r="C25" s="25" t="s">
        <v>4</v>
      </c>
      <c r="D25" s="26">
        <v>75</v>
      </c>
      <c r="E25" s="21">
        <v>60</v>
      </c>
      <c r="F25" s="21">
        <v>15</v>
      </c>
      <c r="G25" s="21"/>
      <c r="H25" s="66"/>
    </row>
    <row r="26" spans="1:8" x14ac:dyDescent="0.25">
      <c r="A26" s="81">
        <f t="shared" si="1"/>
        <v>9</v>
      </c>
      <c r="B26" s="25" t="s">
        <v>11</v>
      </c>
      <c r="C26" s="25" t="s">
        <v>4</v>
      </c>
      <c r="D26" s="26">
        <v>45</v>
      </c>
      <c r="E26" s="21">
        <v>60</v>
      </c>
      <c r="F26" s="21">
        <v>15</v>
      </c>
      <c r="G26" s="21"/>
      <c r="H26" s="66"/>
    </row>
    <row r="27" spans="1:8" x14ac:dyDescent="0.25">
      <c r="A27" s="81">
        <f t="shared" si="1"/>
        <v>10</v>
      </c>
      <c r="B27" s="25" t="s">
        <v>30</v>
      </c>
      <c r="C27" s="25" t="s">
        <v>4</v>
      </c>
      <c r="D27" s="26">
        <v>42</v>
      </c>
      <c r="E27" s="21">
        <v>60</v>
      </c>
      <c r="F27" s="21">
        <v>15</v>
      </c>
      <c r="G27" s="21"/>
      <c r="H27" s="66"/>
    </row>
    <row r="28" spans="1:8" x14ac:dyDescent="0.25">
      <c r="A28" s="81">
        <f t="shared" si="1"/>
        <v>11</v>
      </c>
      <c r="B28" s="25" t="s">
        <v>36</v>
      </c>
      <c r="C28" s="25" t="s">
        <v>37</v>
      </c>
      <c r="D28" s="26">
        <v>16.899999999999999</v>
      </c>
      <c r="E28" s="21">
        <v>0</v>
      </c>
      <c r="F28" s="21">
        <v>7</v>
      </c>
      <c r="G28" s="21"/>
      <c r="H28" s="66"/>
    </row>
    <row r="29" spans="1:8" x14ac:dyDescent="0.25">
      <c r="A29" s="81">
        <f t="shared" si="1"/>
        <v>12</v>
      </c>
      <c r="B29" s="25" t="s">
        <v>118</v>
      </c>
      <c r="C29" s="25" t="s">
        <v>117</v>
      </c>
      <c r="D29" s="26">
        <v>1269</v>
      </c>
      <c r="E29" s="21">
        <v>90</v>
      </c>
      <c r="F29" s="21">
        <v>10</v>
      </c>
      <c r="G29" s="21"/>
      <c r="H29" s="66"/>
    </row>
    <row r="30" spans="1:8" x14ac:dyDescent="0.25">
      <c r="A30" s="81">
        <f t="shared" si="1"/>
        <v>13</v>
      </c>
      <c r="B30" s="25" t="s">
        <v>121</v>
      </c>
      <c r="C30" s="25" t="s">
        <v>122</v>
      </c>
      <c r="D30" s="26">
        <v>109.9</v>
      </c>
      <c r="E30" s="21">
        <v>90</v>
      </c>
      <c r="F30" s="21">
        <v>10</v>
      </c>
      <c r="G30" s="21"/>
      <c r="H30" s="66"/>
    </row>
    <row r="31" spans="1:8" x14ac:dyDescent="0.25">
      <c r="A31" s="81">
        <f t="shared" si="1"/>
        <v>14</v>
      </c>
      <c r="B31" s="25" t="s">
        <v>119</v>
      </c>
      <c r="C31" s="25" t="s">
        <v>120</v>
      </c>
      <c r="D31" s="26">
        <v>118.99</v>
      </c>
      <c r="E31" s="21">
        <v>90</v>
      </c>
      <c r="F31" s="21">
        <v>10</v>
      </c>
      <c r="G31" s="21"/>
      <c r="H31" s="66"/>
    </row>
    <row r="32" spans="1:8" x14ac:dyDescent="0.25">
      <c r="A32" s="81">
        <f t="shared" si="1"/>
        <v>15</v>
      </c>
      <c r="B32" s="25" t="s">
        <v>32</v>
      </c>
      <c r="C32" s="25" t="s">
        <v>33</v>
      </c>
      <c r="D32" s="26">
        <v>85</v>
      </c>
      <c r="E32" s="21">
        <v>0</v>
      </c>
      <c r="F32" s="21">
        <v>15</v>
      </c>
      <c r="G32" s="21"/>
      <c r="H32" s="66"/>
    </row>
    <row r="33" spans="1:8" x14ac:dyDescent="0.25">
      <c r="A33" s="82">
        <f t="shared" ref="A33:A72" si="2">SUM(A32+1)</f>
        <v>16</v>
      </c>
      <c r="B33" s="27" t="s">
        <v>152</v>
      </c>
      <c r="C33" s="27" t="s">
        <v>29</v>
      </c>
      <c r="D33" s="28">
        <v>100</v>
      </c>
      <c r="E33" s="21">
        <v>0</v>
      </c>
      <c r="F33" s="21">
        <v>0</v>
      </c>
      <c r="G33" s="21"/>
      <c r="H33" s="66"/>
    </row>
    <row r="34" spans="1:8" x14ac:dyDescent="0.25">
      <c r="A34" s="82">
        <f t="shared" si="2"/>
        <v>17</v>
      </c>
      <c r="B34" s="27" t="s">
        <v>150</v>
      </c>
      <c r="C34" s="27" t="s">
        <v>151</v>
      </c>
      <c r="D34" s="28">
        <v>52.9</v>
      </c>
      <c r="E34" s="21">
        <v>0</v>
      </c>
      <c r="F34" s="21">
        <v>10</v>
      </c>
      <c r="G34" s="21"/>
      <c r="H34" s="66"/>
    </row>
    <row r="35" spans="1:8" x14ac:dyDescent="0.25">
      <c r="A35" s="82">
        <f t="shared" si="2"/>
        <v>18</v>
      </c>
      <c r="B35" s="27" t="s">
        <v>7</v>
      </c>
      <c r="C35" s="27" t="s">
        <v>4</v>
      </c>
      <c r="D35" s="28">
        <v>915</v>
      </c>
      <c r="E35" s="21">
        <v>60</v>
      </c>
      <c r="F35" s="21">
        <v>15</v>
      </c>
      <c r="G35" s="21"/>
      <c r="H35" s="66"/>
    </row>
    <row r="36" spans="1:8" x14ac:dyDescent="0.25">
      <c r="A36" s="82">
        <f t="shared" si="2"/>
        <v>19</v>
      </c>
      <c r="B36" s="27" t="s">
        <v>6</v>
      </c>
      <c r="C36" s="27" t="s">
        <v>4</v>
      </c>
      <c r="D36" s="28">
        <v>585</v>
      </c>
      <c r="E36" s="21">
        <v>60</v>
      </c>
      <c r="F36" s="21">
        <v>15</v>
      </c>
      <c r="G36" s="21"/>
      <c r="H36" s="66"/>
    </row>
    <row r="37" spans="1:8" x14ac:dyDescent="0.25">
      <c r="A37" s="82">
        <f t="shared" si="2"/>
        <v>20</v>
      </c>
      <c r="B37" s="27" t="s">
        <v>69</v>
      </c>
      <c r="C37" s="27" t="s">
        <v>4</v>
      </c>
      <c r="D37" s="28">
        <v>183</v>
      </c>
      <c r="E37" s="21">
        <v>60</v>
      </c>
      <c r="F37" s="21">
        <v>15</v>
      </c>
      <c r="G37" s="21"/>
      <c r="H37" s="66"/>
    </row>
    <row r="38" spans="1:8" x14ac:dyDescent="0.25">
      <c r="A38" s="82">
        <f t="shared" si="2"/>
        <v>21</v>
      </c>
      <c r="B38" s="27" t="s">
        <v>12</v>
      </c>
      <c r="C38" s="27" t="s">
        <v>4</v>
      </c>
      <c r="D38" s="28">
        <v>149</v>
      </c>
      <c r="E38" s="21">
        <v>60</v>
      </c>
      <c r="F38" s="21">
        <v>15</v>
      </c>
      <c r="G38" s="21"/>
      <c r="H38" s="66"/>
    </row>
    <row r="39" spans="1:8" x14ac:dyDescent="0.25">
      <c r="A39" s="82">
        <f t="shared" si="2"/>
        <v>22</v>
      </c>
      <c r="B39" s="27" t="s">
        <v>23</v>
      </c>
      <c r="C39" s="27" t="s">
        <v>4</v>
      </c>
      <c r="D39" s="28">
        <v>135</v>
      </c>
      <c r="E39" s="21">
        <v>60</v>
      </c>
      <c r="F39" s="21">
        <v>15</v>
      </c>
      <c r="G39" s="21"/>
      <c r="H39" s="66"/>
    </row>
    <row r="40" spans="1:8" x14ac:dyDescent="0.25">
      <c r="A40" s="82">
        <f t="shared" si="2"/>
        <v>23</v>
      </c>
      <c r="B40" s="27" t="s">
        <v>19</v>
      </c>
      <c r="C40" s="27" t="s">
        <v>4</v>
      </c>
      <c r="D40" s="28">
        <v>46.9</v>
      </c>
      <c r="E40" s="21">
        <v>60</v>
      </c>
      <c r="F40" s="21">
        <v>15</v>
      </c>
      <c r="G40" s="21"/>
      <c r="H40" s="66"/>
    </row>
    <row r="41" spans="1:8" x14ac:dyDescent="0.25">
      <c r="A41" s="82">
        <f t="shared" si="2"/>
        <v>24</v>
      </c>
      <c r="B41" s="27" t="s">
        <v>9</v>
      </c>
      <c r="C41" s="27" t="s">
        <v>4</v>
      </c>
      <c r="D41" s="28">
        <v>36</v>
      </c>
      <c r="E41" s="21">
        <v>60</v>
      </c>
      <c r="F41" s="21">
        <v>15</v>
      </c>
      <c r="G41" s="21"/>
      <c r="H41" s="66"/>
    </row>
    <row r="42" spans="1:8" x14ac:dyDescent="0.25">
      <c r="A42" s="82">
        <f t="shared" si="2"/>
        <v>25</v>
      </c>
      <c r="B42" s="27" t="s">
        <v>13</v>
      </c>
      <c r="C42" s="27" t="s">
        <v>4</v>
      </c>
      <c r="D42" s="28">
        <v>15</v>
      </c>
      <c r="E42" s="21">
        <v>60</v>
      </c>
      <c r="F42" s="21">
        <v>15</v>
      </c>
      <c r="G42" s="21"/>
      <c r="H42" s="66"/>
    </row>
    <row r="43" spans="1:8" x14ac:dyDescent="0.25">
      <c r="A43" s="82">
        <f t="shared" si="2"/>
        <v>26</v>
      </c>
      <c r="B43" s="27" t="s">
        <v>18</v>
      </c>
      <c r="C43" s="27" t="s">
        <v>4</v>
      </c>
      <c r="D43" s="28">
        <v>15</v>
      </c>
      <c r="E43" s="21">
        <v>60</v>
      </c>
      <c r="F43" s="21">
        <v>15</v>
      </c>
      <c r="G43" s="21"/>
      <c r="H43" s="66"/>
    </row>
    <row r="44" spans="1:8" x14ac:dyDescent="0.25">
      <c r="A44" s="82">
        <f t="shared" si="2"/>
        <v>27</v>
      </c>
      <c r="B44" s="27" t="s">
        <v>24</v>
      </c>
      <c r="C44" s="27" t="s">
        <v>4</v>
      </c>
      <c r="D44" s="28">
        <v>15</v>
      </c>
      <c r="E44" s="21">
        <v>60</v>
      </c>
      <c r="F44" s="21">
        <v>15</v>
      </c>
      <c r="G44" s="21"/>
      <c r="H44" s="66"/>
    </row>
    <row r="45" spans="1:8" x14ac:dyDescent="0.25">
      <c r="A45" s="82">
        <f t="shared" si="2"/>
        <v>28</v>
      </c>
      <c r="B45" s="27" t="s">
        <v>114</v>
      </c>
      <c r="C45" s="27" t="s">
        <v>115</v>
      </c>
      <c r="D45" s="28">
        <v>189.28</v>
      </c>
      <c r="E45" s="21">
        <v>90</v>
      </c>
      <c r="F45" s="21">
        <v>20</v>
      </c>
      <c r="G45" s="21"/>
      <c r="H45" s="66"/>
    </row>
    <row r="46" spans="1:8" x14ac:dyDescent="0.25">
      <c r="A46" s="82">
        <f t="shared" si="2"/>
        <v>29</v>
      </c>
      <c r="B46" s="27" t="s">
        <v>53</v>
      </c>
      <c r="C46" s="27" t="s">
        <v>54</v>
      </c>
      <c r="D46" s="28">
        <v>12.5</v>
      </c>
      <c r="E46" s="21">
        <v>0</v>
      </c>
      <c r="F46" s="21">
        <v>0</v>
      </c>
      <c r="G46" s="21"/>
      <c r="H46" s="66"/>
    </row>
    <row r="47" spans="1:8" x14ac:dyDescent="0.25">
      <c r="A47" s="82">
        <f t="shared" si="2"/>
        <v>30</v>
      </c>
      <c r="B47" s="27" t="s">
        <v>112</v>
      </c>
      <c r="C47" s="27" t="s">
        <v>113</v>
      </c>
      <c r="D47" s="28">
        <v>115</v>
      </c>
      <c r="E47" s="21">
        <v>0</v>
      </c>
      <c r="F47" s="21">
        <v>0</v>
      </c>
      <c r="G47" s="21"/>
      <c r="H47" s="66"/>
    </row>
    <row r="48" spans="1:8" x14ac:dyDescent="0.25">
      <c r="A48" s="82">
        <f t="shared" si="2"/>
        <v>31</v>
      </c>
      <c r="B48" s="27" t="s">
        <v>146</v>
      </c>
      <c r="C48" s="27" t="s">
        <v>147</v>
      </c>
      <c r="D48" s="28">
        <v>18</v>
      </c>
      <c r="E48" s="21">
        <v>30</v>
      </c>
      <c r="F48" s="21">
        <v>10</v>
      </c>
      <c r="G48" s="21"/>
      <c r="H48" s="66"/>
    </row>
    <row r="49" spans="1:8" x14ac:dyDescent="0.25">
      <c r="A49" s="82">
        <f t="shared" si="2"/>
        <v>32</v>
      </c>
      <c r="B49" s="27" t="s">
        <v>148</v>
      </c>
      <c r="C49" s="27" t="s">
        <v>149</v>
      </c>
      <c r="D49" s="28">
        <v>20.2</v>
      </c>
      <c r="E49" s="21">
        <v>30</v>
      </c>
      <c r="F49" s="21">
        <v>10</v>
      </c>
      <c r="G49" s="21"/>
      <c r="H49" s="66"/>
    </row>
    <row r="50" spans="1:8" x14ac:dyDescent="0.25">
      <c r="A50" s="82">
        <f t="shared" si="2"/>
        <v>33</v>
      </c>
      <c r="B50" s="27" t="s">
        <v>21</v>
      </c>
      <c r="C50" s="27" t="s">
        <v>22</v>
      </c>
      <c r="D50" s="28">
        <v>17.899999999999999</v>
      </c>
      <c r="E50" s="21">
        <v>60</v>
      </c>
      <c r="F50" s="21">
        <v>15</v>
      </c>
      <c r="G50" s="21"/>
      <c r="H50" s="66"/>
    </row>
    <row r="51" spans="1:8" x14ac:dyDescent="0.25">
      <c r="A51" s="82">
        <f t="shared" si="2"/>
        <v>34</v>
      </c>
      <c r="B51" s="27" t="s">
        <v>110</v>
      </c>
      <c r="C51" s="27" t="s">
        <v>111</v>
      </c>
      <c r="D51" s="28">
        <v>1289</v>
      </c>
      <c r="E51" s="21">
        <v>90</v>
      </c>
      <c r="F51" s="21">
        <v>25</v>
      </c>
      <c r="G51" s="21"/>
      <c r="H51" s="66"/>
    </row>
    <row r="52" spans="1:8" x14ac:dyDescent="0.25">
      <c r="A52" s="82">
        <f t="shared" si="2"/>
        <v>35</v>
      </c>
      <c r="B52" s="27" t="s">
        <v>141</v>
      </c>
      <c r="C52" s="27" t="s">
        <v>140</v>
      </c>
      <c r="D52" s="28">
        <v>69.900000000000006</v>
      </c>
      <c r="E52" s="21">
        <v>90</v>
      </c>
      <c r="F52" s="21">
        <v>10</v>
      </c>
      <c r="G52" s="21"/>
      <c r="H52" s="66"/>
    </row>
    <row r="53" spans="1:8" x14ac:dyDescent="0.25">
      <c r="A53" s="82">
        <f t="shared" si="2"/>
        <v>36</v>
      </c>
      <c r="B53" s="27" t="s">
        <v>139</v>
      </c>
      <c r="C53" s="27" t="s">
        <v>140</v>
      </c>
      <c r="D53" s="28">
        <v>42.21</v>
      </c>
      <c r="E53" s="21">
        <v>90</v>
      </c>
      <c r="F53" s="21">
        <v>10</v>
      </c>
      <c r="G53" s="21"/>
      <c r="H53" s="66"/>
    </row>
    <row r="54" spans="1:8" x14ac:dyDescent="0.25">
      <c r="A54" s="82">
        <f t="shared" si="2"/>
        <v>37</v>
      </c>
      <c r="B54" s="27" t="s">
        <v>144</v>
      </c>
      <c r="C54" s="27" t="s">
        <v>145</v>
      </c>
      <c r="D54" s="28">
        <v>41.68</v>
      </c>
      <c r="E54" s="21">
        <v>30</v>
      </c>
      <c r="F54" s="21">
        <v>10</v>
      </c>
      <c r="G54" s="21"/>
      <c r="H54" s="66"/>
    </row>
    <row r="55" spans="1:8" x14ac:dyDescent="0.25">
      <c r="A55" s="82">
        <f t="shared" si="2"/>
        <v>38</v>
      </c>
      <c r="B55" s="27" t="s">
        <v>116</v>
      </c>
      <c r="C55" s="27" t="s">
        <v>117</v>
      </c>
      <c r="D55" s="28">
        <v>199.99</v>
      </c>
      <c r="E55" s="21">
        <v>60</v>
      </c>
      <c r="F55" s="21">
        <v>15</v>
      </c>
      <c r="G55" s="21"/>
      <c r="H55" s="66"/>
    </row>
    <row r="56" spans="1:8" x14ac:dyDescent="0.25">
      <c r="A56" s="82">
        <f t="shared" si="2"/>
        <v>39</v>
      </c>
      <c r="B56" s="27" t="s">
        <v>127</v>
      </c>
      <c r="C56" s="27" t="s">
        <v>126</v>
      </c>
      <c r="D56" s="28">
        <v>25</v>
      </c>
      <c r="E56" s="21">
        <v>60</v>
      </c>
      <c r="F56" s="21">
        <v>15</v>
      </c>
      <c r="G56" s="21"/>
      <c r="H56" s="66"/>
    </row>
    <row r="57" spans="1:8" x14ac:dyDescent="0.25">
      <c r="A57" s="83">
        <f t="shared" si="2"/>
        <v>40</v>
      </c>
      <c r="B57" s="29" t="s">
        <v>103</v>
      </c>
      <c r="C57" s="29" t="s">
        <v>104</v>
      </c>
      <c r="D57" s="30">
        <v>12065</v>
      </c>
      <c r="E57" s="21">
        <v>0</v>
      </c>
      <c r="F57" s="21">
        <v>0</v>
      </c>
      <c r="G57" s="21"/>
      <c r="H57" s="66"/>
    </row>
    <row r="58" spans="1:8" x14ac:dyDescent="0.25">
      <c r="A58" s="84">
        <f t="shared" si="2"/>
        <v>41</v>
      </c>
      <c r="B58" s="31" t="s">
        <v>124</v>
      </c>
      <c r="C58" s="31" t="s">
        <v>123</v>
      </c>
      <c r="D58" s="32">
        <v>6.99</v>
      </c>
      <c r="E58" s="21">
        <v>0</v>
      </c>
      <c r="F58" s="21">
        <v>0</v>
      </c>
      <c r="G58" s="21"/>
      <c r="H58" s="66"/>
    </row>
    <row r="59" spans="1:8" x14ac:dyDescent="0.25">
      <c r="A59" s="84">
        <f t="shared" si="2"/>
        <v>42</v>
      </c>
      <c r="B59" s="31" t="s">
        <v>154</v>
      </c>
      <c r="C59" s="31" t="s">
        <v>123</v>
      </c>
      <c r="D59" s="32">
        <v>3.27</v>
      </c>
      <c r="E59" s="21">
        <v>0</v>
      </c>
      <c r="F59" s="21">
        <v>0</v>
      </c>
      <c r="G59" s="21"/>
      <c r="H59" s="66"/>
    </row>
    <row r="60" spans="1:8" x14ac:dyDescent="0.25">
      <c r="A60" s="84">
        <f t="shared" si="2"/>
        <v>43</v>
      </c>
      <c r="B60" s="31" t="s">
        <v>166</v>
      </c>
      <c r="C60" s="31" t="s">
        <v>4</v>
      </c>
      <c r="D60" s="32">
        <v>12</v>
      </c>
      <c r="E60" s="23">
        <v>60</v>
      </c>
      <c r="F60" s="21">
        <v>7</v>
      </c>
      <c r="G60" s="21"/>
      <c r="H60" s="66"/>
    </row>
    <row r="61" spans="1:8" x14ac:dyDescent="0.25">
      <c r="A61" s="84">
        <f t="shared" si="2"/>
        <v>44</v>
      </c>
      <c r="B61" s="31" t="s">
        <v>14</v>
      </c>
      <c r="C61" s="31" t="s">
        <v>4</v>
      </c>
      <c r="D61" s="32">
        <v>6</v>
      </c>
      <c r="E61" s="143">
        <v>60</v>
      </c>
      <c r="F61" s="24">
        <v>7</v>
      </c>
      <c r="G61" s="21"/>
      <c r="H61" s="66"/>
    </row>
    <row r="62" spans="1:8" x14ac:dyDescent="0.25">
      <c r="A62" s="84">
        <f t="shared" si="2"/>
        <v>45</v>
      </c>
      <c r="B62" s="31" t="s">
        <v>142</v>
      </c>
      <c r="C62" s="31" t="s">
        <v>140</v>
      </c>
      <c r="D62" s="32">
        <v>39.9</v>
      </c>
      <c r="E62" s="143">
        <v>90</v>
      </c>
      <c r="F62" s="24">
        <v>10</v>
      </c>
      <c r="G62" s="21"/>
      <c r="H62" s="66"/>
    </row>
    <row r="63" spans="1:8" x14ac:dyDescent="0.25">
      <c r="A63" s="84">
        <f t="shared" si="2"/>
        <v>46</v>
      </c>
      <c r="B63" s="31" t="s">
        <v>143</v>
      </c>
      <c r="C63" s="31" t="s">
        <v>140</v>
      </c>
      <c r="D63" s="32">
        <v>29.12</v>
      </c>
      <c r="E63" s="143">
        <v>90</v>
      </c>
      <c r="F63" s="24">
        <v>10</v>
      </c>
      <c r="G63" s="21"/>
      <c r="H63" s="66"/>
    </row>
    <row r="64" spans="1:8" x14ac:dyDescent="0.25">
      <c r="A64" s="84">
        <f t="shared" si="2"/>
        <v>47</v>
      </c>
      <c r="B64" s="31" t="s">
        <v>128</v>
      </c>
      <c r="C64" s="31" t="s">
        <v>126</v>
      </c>
      <c r="D64" s="32">
        <v>12.81</v>
      </c>
      <c r="E64" s="143">
        <v>90</v>
      </c>
      <c r="F64" s="24">
        <v>15</v>
      </c>
      <c r="G64" s="21"/>
      <c r="H64" s="66"/>
    </row>
    <row r="65" spans="1:8" x14ac:dyDescent="0.25">
      <c r="A65" s="84">
        <f t="shared" si="2"/>
        <v>48</v>
      </c>
      <c r="B65" s="31" t="s">
        <v>125</v>
      </c>
      <c r="C65" s="31" t="s">
        <v>126</v>
      </c>
      <c r="D65" s="32">
        <v>11.83</v>
      </c>
      <c r="E65" s="143">
        <v>90</v>
      </c>
      <c r="F65" s="24">
        <v>15</v>
      </c>
      <c r="G65" s="21"/>
      <c r="H65" s="66"/>
    </row>
    <row r="66" spans="1:8" x14ac:dyDescent="0.25">
      <c r="A66" s="84">
        <f t="shared" si="2"/>
        <v>49</v>
      </c>
      <c r="B66" s="31" t="s">
        <v>130</v>
      </c>
      <c r="C66" s="31" t="s">
        <v>126</v>
      </c>
      <c r="D66" s="32">
        <v>10.9</v>
      </c>
      <c r="E66" s="143">
        <v>90</v>
      </c>
      <c r="F66" s="24">
        <v>15</v>
      </c>
      <c r="G66" s="21"/>
      <c r="H66" s="66"/>
    </row>
    <row r="67" spans="1:8" x14ac:dyDescent="0.25">
      <c r="A67" s="84">
        <f t="shared" si="2"/>
        <v>50</v>
      </c>
      <c r="B67" s="31" t="s">
        <v>129</v>
      </c>
      <c r="C67" s="31" t="s">
        <v>126</v>
      </c>
      <c r="D67" s="32">
        <v>5.19</v>
      </c>
      <c r="E67" s="143">
        <v>90</v>
      </c>
      <c r="F67" s="24">
        <v>15</v>
      </c>
      <c r="G67" s="21"/>
      <c r="H67" s="66"/>
    </row>
    <row r="68" spans="1:8" x14ac:dyDescent="0.25">
      <c r="A68" s="200">
        <f t="shared" si="2"/>
        <v>51</v>
      </c>
      <c r="B68" s="201" t="s">
        <v>131</v>
      </c>
      <c r="C68" s="201" t="s">
        <v>301</v>
      </c>
      <c r="D68" s="202">
        <v>60</v>
      </c>
      <c r="E68" s="21">
        <v>0</v>
      </c>
      <c r="F68" s="21">
        <v>0</v>
      </c>
      <c r="G68" s="21"/>
      <c r="H68" s="66"/>
    </row>
    <row r="69" spans="1:8" x14ac:dyDescent="0.25">
      <c r="A69" s="200">
        <f t="shared" si="2"/>
        <v>52</v>
      </c>
      <c r="B69" s="201" t="s">
        <v>155</v>
      </c>
      <c r="C69" s="201" t="s">
        <v>305</v>
      </c>
      <c r="D69" s="202">
        <v>200</v>
      </c>
      <c r="E69" s="143">
        <v>0</v>
      </c>
      <c r="F69" s="21">
        <v>0</v>
      </c>
      <c r="G69" s="21"/>
      <c r="H69" s="66"/>
    </row>
    <row r="70" spans="1:8" x14ac:dyDescent="0.25">
      <c r="A70" s="200">
        <f>SUM(A69+1)</f>
        <v>53</v>
      </c>
      <c r="B70" s="201" t="s">
        <v>135</v>
      </c>
      <c r="C70" s="201" t="s">
        <v>302</v>
      </c>
      <c r="D70" s="202">
        <v>235</v>
      </c>
      <c r="E70" s="143">
        <v>0</v>
      </c>
      <c r="F70" s="21">
        <v>0</v>
      </c>
      <c r="G70" s="21"/>
      <c r="H70" s="66"/>
    </row>
    <row r="71" spans="1:8" x14ac:dyDescent="0.25">
      <c r="A71" s="200">
        <f t="shared" si="2"/>
        <v>54</v>
      </c>
      <c r="B71" s="201" t="s">
        <v>136</v>
      </c>
      <c r="C71" s="201" t="s">
        <v>303</v>
      </c>
      <c r="D71" s="202">
        <v>300</v>
      </c>
      <c r="E71" s="143">
        <v>0</v>
      </c>
      <c r="F71" s="21">
        <v>0</v>
      </c>
      <c r="G71" s="21"/>
      <c r="H71" s="66"/>
    </row>
    <row r="72" spans="1:8" x14ac:dyDescent="0.25">
      <c r="A72" s="200">
        <f t="shared" si="2"/>
        <v>55</v>
      </c>
      <c r="B72" s="201" t="s">
        <v>137</v>
      </c>
      <c r="C72" s="201" t="s">
        <v>304</v>
      </c>
      <c r="D72" s="202">
        <v>50</v>
      </c>
      <c r="E72" s="21">
        <v>0</v>
      </c>
      <c r="F72" s="21">
        <v>0</v>
      </c>
      <c r="G72" s="21"/>
      <c r="H72" s="66"/>
    </row>
    <row r="73" spans="1:8" s="2" customFormat="1" ht="15.75" thickBot="1" x14ac:dyDescent="0.3">
      <c r="A73" s="67"/>
      <c r="B73" s="68"/>
      <c r="C73" s="68"/>
      <c r="D73" s="69"/>
      <c r="E73" s="68"/>
      <c r="F73" s="68"/>
      <c r="G73" s="68"/>
      <c r="H73" s="70"/>
    </row>
    <row r="74" spans="1:8" s="2" customFormat="1" ht="16.5" thickTop="1" thickBot="1" x14ac:dyDescent="0.3">
      <c r="A74" s="239" t="s">
        <v>167</v>
      </c>
      <c r="B74" s="240"/>
      <c r="C74" s="240"/>
      <c r="D74" s="240"/>
      <c r="E74" s="240"/>
      <c r="F74" s="240"/>
      <c r="G74" s="240"/>
      <c r="H74" s="241"/>
    </row>
    <row r="75" spans="1:8" ht="15.75" thickTop="1" x14ac:dyDescent="0.25">
      <c r="A75" s="51" t="s">
        <v>83</v>
      </c>
      <c r="B75" s="52" t="s">
        <v>85</v>
      </c>
      <c r="C75" s="52" t="s">
        <v>84</v>
      </c>
      <c r="D75" s="53" t="s">
        <v>1</v>
      </c>
      <c r="E75" s="52" t="s">
        <v>95</v>
      </c>
      <c r="F75" s="52" t="s">
        <v>96</v>
      </c>
      <c r="G75" s="52" t="s">
        <v>86</v>
      </c>
      <c r="H75" s="54" t="s">
        <v>87</v>
      </c>
    </row>
    <row r="76" spans="1:8" s="2" customFormat="1" x14ac:dyDescent="0.25">
      <c r="A76" s="85">
        <f>SUM(I75+1)</f>
        <v>1</v>
      </c>
      <c r="B76" s="21" t="s">
        <v>101</v>
      </c>
      <c r="C76" s="21" t="s">
        <v>102</v>
      </c>
      <c r="D76" s="22">
        <v>150</v>
      </c>
      <c r="E76" s="23">
        <v>0</v>
      </c>
      <c r="F76" s="23">
        <v>0</v>
      </c>
      <c r="G76" s="23"/>
      <c r="H76" s="86"/>
    </row>
    <row r="77" spans="1:8" s="2" customFormat="1" x14ac:dyDescent="0.25">
      <c r="A77" s="85">
        <f>SUM(A76+1)</f>
        <v>2</v>
      </c>
      <c r="B77" s="21" t="s">
        <v>168</v>
      </c>
      <c r="C77" s="21" t="s">
        <v>156</v>
      </c>
      <c r="D77" s="22">
        <v>100</v>
      </c>
      <c r="E77" s="23">
        <v>0</v>
      </c>
      <c r="F77" s="23">
        <v>0</v>
      </c>
      <c r="G77" s="23"/>
      <c r="H77" s="86"/>
    </row>
    <row r="78" spans="1:8" ht="15.75" thickBot="1" x14ac:dyDescent="0.3">
      <c r="A78" s="87">
        <f>SUM(A77+1)</f>
        <v>3</v>
      </c>
      <c r="B78" s="47" t="s">
        <v>169</v>
      </c>
      <c r="C78" s="47" t="s">
        <v>306</v>
      </c>
      <c r="D78" s="48">
        <v>1530</v>
      </c>
      <c r="E78" s="47">
        <v>0</v>
      </c>
      <c r="F78" s="47">
        <v>0</v>
      </c>
      <c r="G78" s="47"/>
      <c r="H78" s="88"/>
    </row>
    <row r="79" spans="1:8" ht="15.75" thickTop="1" x14ac:dyDescent="0.25"/>
    <row r="80" spans="1:8" s="2" customFormat="1" x14ac:dyDescent="0.25">
      <c r="D80" s="14"/>
    </row>
    <row r="81" spans="2:5" x14ac:dyDescent="0.25">
      <c r="E81" s="4"/>
    </row>
    <row r="82" spans="2:5" x14ac:dyDescent="0.25">
      <c r="E82" s="4"/>
    </row>
    <row r="83" spans="2:5" x14ac:dyDescent="0.25">
      <c r="B83" s="4"/>
      <c r="D83"/>
    </row>
    <row r="84" spans="2:5" x14ac:dyDescent="0.25">
      <c r="B84" s="4"/>
      <c r="D84"/>
    </row>
    <row r="85" spans="2:5" x14ac:dyDescent="0.25">
      <c r="B85" s="4"/>
      <c r="D85"/>
    </row>
    <row r="86" spans="2:5" x14ac:dyDescent="0.25">
      <c r="B86" s="4"/>
      <c r="D86"/>
    </row>
    <row r="87" spans="2:5" x14ac:dyDescent="0.25">
      <c r="B87" s="4"/>
      <c r="D87"/>
    </row>
    <row r="88" spans="2:5" x14ac:dyDescent="0.25">
      <c r="B88" s="4"/>
      <c r="D88"/>
    </row>
    <row r="89" spans="2:5" x14ac:dyDescent="0.25">
      <c r="B89" s="4"/>
      <c r="D89"/>
    </row>
    <row r="90" spans="2:5" x14ac:dyDescent="0.25">
      <c r="B90" s="4"/>
      <c r="D90"/>
    </row>
    <row r="91" spans="2:5" x14ac:dyDescent="0.25">
      <c r="B91" s="4"/>
      <c r="D91"/>
    </row>
    <row r="92" spans="2:5" x14ac:dyDescent="0.25">
      <c r="B92" s="4"/>
      <c r="D92"/>
    </row>
    <row r="93" spans="2:5" x14ac:dyDescent="0.25">
      <c r="B93" s="4"/>
      <c r="D93"/>
    </row>
    <row r="94" spans="2:5" x14ac:dyDescent="0.25">
      <c r="B94" s="4"/>
      <c r="D94"/>
    </row>
    <row r="95" spans="2:5" x14ac:dyDescent="0.25">
      <c r="B95" s="4"/>
      <c r="D95"/>
    </row>
    <row r="96" spans="2:5" s="2" customFormat="1" x14ac:dyDescent="0.25">
      <c r="D96" s="14"/>
    </row>
    <row r="97" spans="4:4" s="2" customFormat="1" x14ac:dyDescent="0.25">
      <c r="D97" s="14"/>
    </row>
    <row r="98" spans="4:4" s="2" customFormat="1" x14ac:dyDescent="0.25">
      <c r="D98" s="14"/>
    </row>
    <row r="99" spans="4:4" s="2" customFormat="1" x14ac:dyDescent="0.25">
      <c r="D99" s="14"/>
    </row>
    <row r="100" spans="4:4" s="2" customFormat="1" x14ac:dyDescent="0.25">
      <c r="D100" s="14"/>
    </row>
    <row r="101" spans="4:4" s="2" customFormat="1" x14ac:dyDescent="0.25">
      <c r="D101" s="14"/>
    </row>
    <row r="102" spans="4:4" s="2" customFormat="1" x14ac:dyDescent="0.25">
      <c r="D102" s="14"/>
    </row>
    <row r="103" spans="4:4" s="2" customFormat="1" x14ac:dyDescent="0.25">
      <c r="D103" s="14"/>
    </row>
    <row r="104" spans="4:4" s="2" customFormat="1" x14ac:dyDescent="0.25">
      <c r="D104" s="14"/>
    </row>
    <row r="105" spans="4:4" s="2" customFormat="1" x14ac:dyDescent="0.25">
      <c r="D105" s="14"/>
    </row>
    <row r="106" spans="4:4" s="2" customFormat="1" x14ac:dyDescent="0.25">
      <c r="D106" s="14"/>
    </row>
    <row r="107" spans="4:4" s="2" customFormat="1" x14ac:dyDescent="0.25">
      <c r="D107" s="14"/>
    </row>
    <row r="108" spans="4:4" s="2" customFormat="1" x14ac:dyDescent="0.25">
      <c r="D108" s="14"/>
    </row>
    <row r="109" spans="4:4" s="2" customFormat="1" x14ac:dyDescent="0.25">
      <c r="D109" s="14"/>
    </row>
    <row r="110" spans="4:4" s="2" customFormat="1" x14ac:dyDescent="0.25">
      <c r="D110" s="14"/>
    </row>
    <row r="111" spans="4:4" s="2" customFormat="1" x14ac:dyDescent="0.25">
      <c r="D111" s="14"/>
    </row>
    <row r="112" spans="4:4" s="2" customFormat="1" x14ac:dyDescent="0.25">
      <c r="D112" s="14"/>
    </row>
    <row r="113" spans="4:4" s="2" customFormat="1" x14ac:dyDescent="0.25">
      <c r="D113" s="14"/>
    </row>
    <row r="114" spans="4:4" s="2" customFormat="1" x14ac:dyDescent="0.25">
      <c r="D114" s="14"/>
    </row>
    <row r="115" spans="4:4" s="2" customFormat="1" x14ac:dyDescent="0.25">
      <c r="D115" s="14"/>
    </row>
    <row r="116" spans="4:4" s="2" customFormat="1" x14ac:dyDescent="0.25">
      <c r="D116" s="14"/>
    </row>
    <row r="117" spans="4:4" s="2" customFormat="1" x14ac:dyDescent="0.25">
      <c r="D117" s="14"/>
    </row>
    <row r="118" spans="4:4" s="2" customFormat="1" x14ac:dyDescent="0.25">
      <c r="D118" s="14"/>
    </row>
    <row r="119" spans="4:4" s="2" customFormat="1" x14ac:dyDescent="0.25">
      <c r="D119" s="14"/>
    </row>
    <row r="120" spans="4:4" s="2" customFormat="1" x14ac:dyDescent="0.25">
      <c r="D120" s="14"/>
    </row>
    <row r="121" spans="4:4" s="2" customFormat="1" x14ac:dyDescent="0.25">
      <c r="D121" s="14"/>
    </row>
    <row r="122" spans="4:4" s="2" customFormat="1" x14ac:dyDescent="0.25">
      <c r="D122" s="14"/>
    </row>
    <row r="123" spans="4:4" s="2" customFormat="1" x14ac:dyDescent="0.25">
      <c r="D123" s="14"/>
    </row>
    <row r="124" spans="4:4" s="2" customFormat="1" x14ac:dyDescent="0.25">
      <c r="D124" s="14"/>
    </row>
    <row r="125" spans="4:4" s="2" customFormat="1" x14ac:dyDescent="0.25">
      <c r="D125" s="14"/>
    </row>
    <row r="126" spans="4:4" s="2" customFormat="1" x14ac:dyDescent="0.25">
      <c r="D126" s="14"/>
    </row>
    <row r="127" spans="4:4" s="2" customFormat="1" x14ac:dyDescent="0.25">
      <c r="D127" s="14"/>
    </row>
    <row r="128" spans="4:4" s="2" customFormat="1" x14ac:dyDescent="0.25">
      <c r="D128" s="14"/>
    </row>
    <row r="129" spans="4:4" s="2" customFormat="1" x14ac:dyDescent="0.25">
      <c r="D129" s="14"/>
    </row>
    <row r="130" spans="4:4" s="2" customFormat="1" x14ac:dyDescent="0.25">
      <c r="D130" s="14"/>
    </row>
    <row r="131" spans="4:4" s="2" customFormat="1" x14ac:dyDescent="0.25">
      <c r="D131" s="14"/>
    </row>
    <row r="132" spans="4:4" s="2" customFormat="1" x14ac:dyDescent="0.25">
      <c r="D132" s="14"/>
    </row>
    <row r="133" spans="4:4" s="2" customFormat="1" x14ac:dyDescent="0.25">
      <c r="D133" s="14"/>
    </row>
    <row r="134" spans="4:4" s="2" customFormat="1" x14ac:dyDescent="0.25">
      <c r="D134" s="14"/>
    </row>
    <row r="135" spans="4:4" s="2" customFormat="1" x14ac:dyDescent="0.25">
      <c r="D135" s="14"/>
    </row>
    <row r="227" spans="1:5" x14ac:dyDescent="0.25">
      <c r="A227" t="s">
        <v>0</v>
      </c>
      <c r="B227" s="4" t="s">
        <v>2</v>
      </c>
      <c r="C227" t="s">
        <v>3</v>
      </c>
      <c r="D227" t="s">
        <v>25</v>
      </c>
      <c r="E227" t="s">
        <v>27</v>
      </c>
    </row>
    <row r="228" spans="1:5" x14ac:dyDescent="0.25">
      <c r="A228" s="3" t="s">
        <v>69</v>
      </c>
      <c r="B228" s="9">
        <v>183</v>
      </c>
      <c r="C228" s="3" t="s">
        <v>4</v>
      </c>
      <c r="D228" s="3">
        <v>2</v>
      </c>
      <c r="E228" s="9">
        <f>SUM(D228*B228)</f>
        <v>366</v>
      </c>
    </row>
    <row r="229" spans="1:5" x14ac:dyDescent="0.25">
      <c r="A229" s="1" t="s">
        <v>5</v>
      </c>
      <c r="B229" s="8">
        <v>495</v>
      </c>
      <c r="C229" s="1" t="s">
        <v>4</v>
      </c>
      <c r="D229" s="1">
        <v>1</v>
      </c>
      <c r="E229" s="8">
        <f t="shared" ref="E229:E256" si="3">SUM(D229*B229)</f>
        <v>495</v>
      </c>
    </row>
    <row r="230" spans="1:5" x14ac:dyDescent="0.25">
      <c r="A230" s="3" t="s">
        <v>6</v>
      </c>
      <c r="B230" s="9">
        <v>585</v>
      </c>
      <c r="C230" s="3" t="s">
        <v>4</v>
      </c>
      <c r="D230" s="3">
        <v>1</v>
      </c>
      <c r="E230" s="9">
        <f t="shared" si="3"/>
        <v>585</v>
      </c>
    </row>
    <row r="231" spans="1:5" x14ac:dyDescent="0.25">
      <c r="A231" s="3" t="s">
        <v>7</v>
      </c>
      <c r="B231" s="9">
        <v>915</v>
      </c>
      <c r="C231" s="3" t="s">
        <v>4</v>
      </c>
      <c r="D231" s="3">
        <v>1</v>
      </c>
      <c r="E231" s="9">
        <f t="shared" si="3"/>
        <v>915</v>
      </c>
    </row>
    <row r="232" spans="1:5" x14ac:dyDescent="0.25">
      <c r="A232" s="1" t="s">
        <v>8</v>
      </c>
      <c r="B232" s="8">
        <v>105</v>
      </c>
      <c r="C232" s="1" t="s">
        <v>4</v>
      </c>
      <c r="D232" s="1">
        <v>1</v>
      </c>
      <c r="E232" s="8">
        <f t="shared" si="3"/>
        <v>105</v>
      </c>
    </row>
    <row r="233" spans="1:5" x14ac:dyDescent="0.25">
      <c r="A233" s="3" t="s">
        <v>9</v>
      </c>
      <c r="B233" s="9">
        <v>36</v>
      </c>
      <c r="C233" s="3" t="s">
        <v>4</v>
      </c>
      <c r="D233" s="3">
        <v>1</v>
      </c>
      <c r="E233" s="9">
        <f t="shared" si="3"/>
        <v>36</v>
      </c>
    </row>
    <row r="234" spans="1:5" x14ac:dyDescent="0.25">
      <c r="A234" s="1" t="s">
        <v>10</v>
      </c>
      <c r="B234" s="8">
        <v>75</v>
      </c>
      <c r="C234" s="1" t="s">
        <v>4</v>
      </c>
      <c r="D234" s="1">
        <v>1</v>
      </c>
      <c r="E234" s="8">
        <f t="shared" si="3"/>
        <v>75</v>
      </c>
    </row>
    <row r="235" spans="1:5" x14ac:dyDescent="0.25">
      <c r="A235" s="1" t="s">
        <v>11</v>
      </c>
      <c r="B235" s="8">
        <v>45</v>
      </c>
      <c r="C235" s="1" t="s">
        <v>4</v>
      </c>
      <c r="D235" s="1">
        <v>1</v>
      </c>
      <c r="E235" s="8">
        <f t="shared" si="3"/>
        <v>45</v>
      </c>
    </row>
    <row r="236" spans="1:5" x14ac:dyDescent="0.25">
      <c r="A236" s="3" t="s">
        <v>12</v>
      </c>
      <c r="B236" s="9">
        <v>149</v>
      </c>
      <c r="C236" s="3" t="s">
        <v>4</v>
      </c>
      <c r="D236" s="3">
        <v>1</v>
      </c>
      <c r="E236" s="9">
        <f t="shared" si="3"/>
        <v>149</v>
      </c>
    </row>
    <row r="237" spans="1:5" x14ac:dyDescent="0.25">
      <c r="A237" s="3" t="s">
        <v>13</v>
      </c>
      <c r="B237" s="9">
        <v>15</v>
      </c>
      <c r="C237" s="3" t="s">
        <v>4</v>
      </c>
      <c r="D237" s="3">
        <v>1</v>
      </c>
      <c r="E237" s="9">
        <f t="shared" si="3"/>
        <v>15</v>
      </c>
    </row>
    <row r="238" spans="1:5" x14ac:dyDescent="0.25">
      <c r="A238" t="s">
        <v>15</v>
      </c>
      <c r="B238" s="4">
        <v>6</v>
      </c>
      <c r="C238" t="s">
        <v>4</v>
      </c>
      <c r="D238"/>
      <c r="E238" s="4">
        <f t="shared" si="3"/>
        <v>0</v>
      </c>
    </row>
    <row r="239" spans="1:5" x14ac:dyDescent="0.25">
      <c r="A239" s="1" t="s">
        <v>16</v>
      </c>
      <c r="B239" s="8">
        <v>115</v>
      </c>
      <c r="C239" s="1" t="s">
        <v>4</v>
      </c>
      <c r="D239" s="1">
        <v>1</v>
      </c>
      <c r="E239" s="8">
        <f t="shared" si="3"/>
        <v>115</v>
      </c>
    </row>
    <row r="240" spans="1:5" x14ac:dyDescent="0.25">
      <c r="A240" s="7" t="s">
        <v>26</v>
      </c>
      <c r="B240" s="13">
        <v>45.78</v>
      </c>
      <c r="C240" s="7" t="s">
        <v>4</v>
      </c>
      <c r="D240" s="7"/>
      <c r="E240" s="13">
        <f t="shared" si="3"/>
        <v>0</v>
      </c>
    </row>
    <row r="241" spans="1:5" x14ac:dyDescent="0.25">
      <c r="A241" t="s">
        <v>17</v>
      </c>
      <c r="B241" s="4">
        <v>12</v>
      </c>
      <c r="C241" t="s">
        <v>4</v>
      </c>
      <c r="D241"/>
      <c r="E241" s="4">
        <f t="shared" si="3"/>
        <v>0</v>
      </c>
    </row>
    <row r="242" spans="1:5" x14ac:dyDescent="0.25">
      <c r="A242" s="3" t="s">
        <v>18</v>
      </c>
      <c r="B242" s="9">
        <v>15</v>
      </c>
      <c r="C242" s="3" t="s">
        <v>4</v>
      </c>
      <c r="D242" s="3">
        <v>1</v>
      </c>
      <c r="E242" s="9">
        <f t="shared" si="3"/>
        <v>15</v>
      </c>
    </row>
    <row r="243" spans="1:5" x14ac:dyDescent="0.25">
      <c r="A243" s="3" t="s">
        <v>19</v>
      </c>
      <c r="B243" s="9">
        <v>46.9</v>
      </c>
      <c r="C243" s="3" t="s">
        <v>4</v>
      </c>
      <c r="D243" s="3">
        <v>1</v>
      </c>
      <c r="E243" s="9">
        <f t="shared" si="3"/>
        <v>46.9</v>
      </c>
    </row>
    <row r="244" spans="1:5" x14ac:dyDescent="0.25">
      <c r="A244" s="1" t="s">
        <v>20</v>
      </c>
      <c r="B244" s="8">
        <v>625</v>
      </c>
      <c r="C244" s="1" t="s">
        <v>4</v>
      </c>
      <c r="D244" s="1">
        <v>1</v>
      </c>
      <c r="E244" s="8">
        <f t="shared" si="3"/>
        <v>625</v>
      </c>
    </row>
    <row r="245" spans="1:5" x14ac:dyDescent="0.25">
      <c r="A245" s="3" t="s">
        <v>21</v>
      </c>
      <c r="B245" s="9">
        <v>17.899999999999999</v>
      </c>
      <c r="C245" s="3" t="s">
        <v>22</v>
      </c>
      <c r="D245" s="3">
        <v>1</v>
      </c>
      <c r="E245" s="9">
        <f t="shared" si="3"/>
        <v>17.899999999999999</v>
      </c>
    </row>
    <row r="246" spans="1:5" x14ac:dyDescent="0.25">
      <c r="A246" s="3" t="s">
        <v>23</v>
      </c>
      <c r="B246" s="9">
        <v>135</v>
      </c>
      <c r="C246" s="3" t="s">
        <v>4</v>
      </c>
      <c r="D246" s="3">
        <v>1</v>
      </c>
      <c r="E246" s="9">
        <f t="shared" si="3"/>
        <v>135</v>
      </c>
    </row>
    <row r="247" spans="1:5" x14ac:dyDescent="0.25">
      <c r="A247" s="3" t="s">
        <v>24</v>
      </c>
      <c r="B247" s="9">
        <v>15</v>
      </c>
      <c r="C247" s="3" t="s">
        <v>4</v>
      </c>
      <c r="D247" s="3">
        <v>1</v>
      </c>
      <c r="E247" s="9">
        <f t="shared" si="3"/>
        <v>15</v>
      </c>
    </row>
    <row r="248" spans="1:5" x14ac:dyDescent="0.25">
      <c r="A248" s="1" t="s">
        <v>28</v>
      </c>
      <c r="B248" s="8">
        <v>450</v>
      </c>
      <c r="C248" s="1" t="s">
        <v>29</v>
      </c>
      <c r="D248" s="1">
        <v>2</v>
      </c>
      <c r="E248" s="8">
        <f t="shared" si="3"/>
        <v>900</v>
      </c>
    </row>
    <row r="249" spans="1:5" x14ac:dyDescent="0.25">
      <c r="A249" s="1" t="s">
        <v>30</v>
      </c>
      <c r="B249" s="8">
        <v>42</v>
      </c>
      <c r="C249" s="1" t="s">
        <v>4</v>
      </c>
      <c r="D249" s="1">
        <v>1</v>
      </c>
      <c r="E249" s="8">
        <f t="shared" si="3"/>
        <v>42</v>
      </c>
    </row>
    <row r="250" spans="1:5" x14ac:dyDescent="0.25">
      <c r="A250" s="1" t="s">
        <v>31</v>
      </c>
      <c r="B250" s="8">
        <v>86</v>
      </c>
      <c r="C250" s="1" t="s">
        <v>4</v>
      </c>
      <c r="D250" s="1">
        <v>1</v>
      </c>
      <c r="E250" s="8">
        <f t="shared" si="3"/>
        <v>86</v>
      </c>
    </row>
    <row r="251" spans="1:5" x14ac:dyDescent="0.25">
      <c r="A251" s="1" t="s">
        <v>32</v>
      </c>
      <c r="B251" s="8">
        <v>85</v>
      </c>
      <c r="C251" s="1" t="s">
        <v>33</v>
      </c>
      <c r="D251" s="1">
        <v>1</v>
      </c>
      <c r="E251" s="8">
        <f t="shared" si="3"/>
        <v>85</v>
      </c>
    </row>
    <row r="252" spans="1:5" x14ac:dyDescent="0.25">
      <c r="A252" s="1" t="s">
        <v>34</v>
      </c>
      <c r="B252" s="8">
        <v>11.9</v>
      </c>
      <c r="C252" s="1" t="s">
        <v>35</v>
      </c>
      <c r="D252" s="1">
        <v>4</v>
      </c>
      <c r="E252" s="8">
        <f t="shared" si="3"/>
        <v>47.6</v>
      </c>
    </row>
    <row r="253" spans="1:5" x14ac:dyDescent="0.25">
      <c r="A253" s="1" t="s">
        <v>36</v>
      </c>
      <c r="B253" s="8">
        <v>16.899999999999999</v>
      </c>
      <c r="C253" s="1" t="s">
        <v>37</v>
      </c>
      <c r="D253" s="1">
        <v>2</v>
      </c>
      <c r="E253" s="8">
        <f t="shared" si="3"/>
        <v>33.799999999999997</v>
      </c>
    </row>
    <row r="254" spans="1:5" x14ac:dyDescent="0.25">
      <c r="A254" s="3" t="s">
        <v>53</v>
      </c>
      <c r="B254" s="9">
        <v>12.5</v>
      </c>
      <c r="C254" s="3" t="s">
        <v>54</v>
      </c>
      <c r="D254" s="3">
        <v>10</v>
      </c>
      <c r="E254" s="9">
        <f t="shared" si="3"/>
        <v>125</v>
      </c>
    </row>
    <row r="255" spans="1:5" x14ac:dyDescent="0.25">
      <c r="A255" t="s">
        <v>101</v>
      </c>
      <c r="B255" s="4">
        <v>150</v>
      </c>
      <c r="C255" t="s">
        <v>102</v>
      </c>
      <c r="D255">
        <v>2</v>
      </c>
      <c r="E255" s="4">
        <f t="shared" si="3"/>
        <v>300</v>
      </c>
    </row>
    <row r="256" spans="1:5" x14ac:dyDescent="0.25">
      <c r="A256" s="10" t="s">
        <v>103</v>
      </c>
      <c r="B256" s="11">
        <v>12065</v>
      </c>
      <c r="C256" s="10" t="s">
        <v>104</v>
      </c>
      <c r="D256" s="10">
        <v>1</v>
      </c>
      <c r="E256" s="11">
        <f t="shared" si="3"/>
        <v>12065</v>
      </c>
    </row>
    <row r="257" spans="1:5" x14ac:dyDescent="0.25">
      <c r="A257" s="3" t="s">
        <v>110</v>
      </c>
      <c r="B257" s="9">
        <v>1289</v>
      </c>
      <c r="C257" s="3" t="s">
        <v>111</v>
      </c>
      <c r="D257" s="3">
        <v>2</v>
      </c>
      <c r="E257" s="3"/>
    </row>
    <row r="258" spans="1:5" x14ac:dyDescent="0.25">
      <c r="A258" s="3" t="s">
        <v>112</v>
      </c>
      <c r="B258" s="9">
        <v>115</v>
      </c>
      <c r="C258" s="3" t="s">
        <v>113</v>
      </c>
      <c r="D258" s="3">
        <v>4</v>
      </c>
      <c r="E258" s="3"/>
    </row>
    <row r="259" spans="1:5" x14ac:dyDescent="0.25">
      <c r="A259" s="3" t="s">
        <v>114</v>
      </c>
      <c r="B259" s="9">
        <v>189.28</v>
      </c>
      <c r="C259" s="3" t="s">
        <v>115</v>
      </c>
      <c r="D259" s="3">
        <v>1</v>
      </c>
      <c r="E259" s="3"/>
    </row>
    <row r="260" spans="1:5" x14ac:dyDescent="0.25">
      <c r="A260" s="3" t="s">
        <v>116</v>
      </c>
      <c r="B260" s="9">
        <v>199.99</v>
      </c>
      <c r="C260" s="3" t="s">
        <v>117</v>
      </c>
      <c r="D260" s="3">
        <v>1</v>
      </c>
      <c r="E260" s="3"/>
    </row>
    <row r="261" spans="1:5" x14ac:dyDescent="0.25">
      <c r="A261" s="1" t="s">
        <v>118</v>
      </c>
      <c r="B261" s="8">
        <v>1269</v>
      </c>
      <c r="C261" s="1" t="s">
        <v>117</v>
      </c>
      <c r="D261" s="1">
        <v>1</v>
      </c>
      <c r="E261" s="1"/>
    </row>
    <row r="262" spans="1:5" x14ac:dyDescent="0.25">
      <c r="A262" s="1" t="s">
        <v>119</v>
      </c>
      <c r="B262" s="8">
        <v>118.99</v>
      </c>
      <c r="C262" s="1" t="s">
        <v>120</v>
      </c>
      <c r="D262" s="1">
        <v>1</v>
      </c>
      <c r="E262" s="1"/>
    </row>
    <row r="263" spans="1:5" x14ac:dyDescent="0.25">
      <c r="A263" s="1" t="s">
        <v>121</v>
      </c>
      <c r="B263" s="8">
        <v>109.9</v>
      </c>
      <c r="C263" s="1" t="s">
        <v>122</v>
      </c>
      <c r="D263" s="1">
        <v>1</v>
      </c>
      <c r="E263" s="1"/>
    </row>
    <row r="264" spans="1:5" x14ac:dyDescent="0.25">
      <c r="A264" t="s">
        <v>124</v>
      </c>
      <c r="B264" s="4">
        <v>6.99</v>
      </c>
      <c r="C264" t="s">
        <v>123</v>
      </c>
      <c r="D264">
        <v>1</v>
      </c>
    </row>
    <row r="265" spans="1:5" x14ac:dyDescent="0.25">
      <c r="A265" t="s">
        <v>125</v>
      </c>
      <c r="B265" s="4">
        <v>11.83</v>
      </c>
      <c r="C265" t="s">
        <v>126</v>
      </c>
      <c r="D265">
        <v>1</v>
      </c>
    </row>
    <row r="266" spans="1:5" x14ac:dyDescent="0.25">
      <c r="A266" s="3" t="s">
        <v>127</v>
      </c>
      <c r="B266" s="9">
        <v>25</v>
      </c>
      <c r="C266" s="3" t="s">
        <v>126</v>
      </c>
      <c r="D266" s="3">
        <v>1</v>
      </c>
      <c r="E266" s="3"/>
    </row>
    <row r="267" spans="1:5" x14ac:dyDescent="0.25">
      <c r="A267" t="s">
        <v>128</v>
      </c>
      <c r="B267" s="4">
        <v>12.81</v>
      </c>
      <c r="C267" t="s">
        <v>126</v>
      </c>
      <c r="D267">
        <v>2</v>
      </c>
    </row>
    <row r="268" spans="1:5" x14ac:dyDescent="0.25">
      <c r="A268" t="s">
        <v>129</v>
      </c>
      <c r="B268" s="4">
        <v>5.19</v>
      </c>
      <c r="C268" t="s">
        <v>126</v>
      </c>
      <c r="D268">
        <v>3</v>
      </c>
    </row>
    <row r="269" spans="1:5" x14ac:dyDescent="0.25">
      <c r="A269" s="3" t="s">
        <v>139</v>
      </c>
      <c r="B269" s="9">
        <v>42.21</v>
      </c>
      <c r="C269" s="3" t="s">
        <v>140</v>
      </c>
      <c r="D269" s="3">
        <v>1</v>
      </c>
      <c r="E269" s="3"/>
    </row>
    <row r="270" spans="1:5" x14ac:dyDescent="0.25">
      <c r="A270" s="3" t="s">
        <v>141</v>
      </c>
      <c r="B270" s="9">
        <v>69.900000000000006</v>
      </c>
      <c r="C270" s="3" t="s">
        <v>140</v>
      </c>
      <c r="D270" s="3">
        <v>1</v>
      </c>
      <c r="E270" s="3"/>
    </row>
    <row r="271" spans="1:5" x14ac:dyDescent="0.25">
      <c r="A271" t="s">
        <v>142</v>
      </c>
      <c r="B271" s="4">
        <v>39.9</v>
      </c>
      <c r="C271" t="s">
        <v>140</v>
      </c>
      <c r="D271">
        <v>1</v>
      </c>
    </row>
    <row r="272" spans="1:5" x14ac:dyDescent="0.25">
      <c r="A272" t="s">
        <v>143</v>
      </c>
      <c r="B272" s="4">
        <v>29.12</v>
      </c>
      <c r="C272" t="s">
        <v>140</v>
      </c>
      <c r="D272">
        <v>1</v>
      </c>
    </row>
    <row r="273" spans="1:5" x14ac:dyDescent="0.25">
      <c r="A273" t="s">
        <v>130</v>
      </c>
      <c r="B273" s="4">
        <v>10.9</v>
      </c>
      <c r="C273" t="s">
        <v>126</v>
      </c>
      <c r="D273">
        <v>1</v>
      </c>
    </row>
    <row r="274" spans="1:5" x14ac:dyDescent="0.25">
      <c r="A274" s="3" t="s">
        <v>144</v>
      </c>
      <c r="B274" s="9">
        <v>41.68</v>
      </c>
      <c r="C274" s="3" t="s">
        <v>145</v>
      </c>
      <c r="D274" s="3">
        <v>1</v>
      </c>
      <c r="E274" s="3"/>
    </row>
    <row r="275" spans="1:5" x14ac:dyDescent="0.25">
      <c r="A275" s="3" t="s">
        <v>146</v>
      </c>
      <c r="B275" s="9">
        <v>18</v>
      </c>
      <c r="C275" s="3" t="s">
        <v>147</v>
      </c>
      <c r="D275" s="3">
        <v>1</v>
      </c>
      <c r="E275" s="3"/>
    </row>
    <row r="276" spans="1:5" x14ac:dyDescent="0.25">
      <c r="A276" s="3" t="s">
        <v>148</v>
      </c>
      <c r="B276" s="9">
        <v>20.2</v>
      </c>
      <c r="C276" s="3" t="s">
        <v>149</v>
      </c>
      <c r="D276" s="3">
        <v>1</v>
      </c>
      <c r="E276" s="3"/>
    </row>
    <row r="277" spans="1:5" x14ac:dyDescent="0.25">
      <c r="A277" s="3" t="s">
        <v>150</v>
      </c>
      <c r="B277" s="9">
        <v>52.9</v>
      </c>
      <c r="C277" s="3" t="s">
        <v>151</v>
      </c>
      <c r="D277" s="3">
        <v>3</v>
      </c>
      <c r="E277" s="3"/>
    </row>
    <row r="278" spans="1:5" x14ac:dyDescent="0.25">
      <c r="A278" s="3" t="s">
        <v>152</v>
      </c>
      <c r="B278" s="9">
        <v>100</v>
      </c>
      <c r="C278" s="3" t="s">
        <v>29</v>
      </c>
      <c r="D278" s="3">
        <v>2</v>
      </c>
      <c r="E278" s="3"/>
    </row>
    <row r="279" spans="1:5" x14ac:dyDescent="0.25">
      <c r="A279" t="s">
        <v>131</v>
      </c>
      <c r="B279" s="4"/>
      <c r="D279"/>
    </row>
    <row r="280" spans="1:5" x14ac:dyDescent="0.25">
      <c r="A280" t="s">
        <v>153</v>
      </c>
      <c r="B280" s="4">
        <v>3.47</v>
      </c>
      <c r="C280" t="s">
        <v>123</v>
      </c>
      <c r="D280">
        <v>1</v>
      </c>
    </row>
    <row r="281" spans="1:5" x14ac:dyDescent="0.25">
      <c r="A281" t="s">
        <v>154</v>
      </c>
      <c r="B281" s="4">
        <v>3.27</v>
      </c>
      <c r="C281" t="s">
        <v>123</v>
      </c>
      <c r="D281">
        <v>1</v>
      </c>
    </row>
    <row r="282" spans="1:5" x14ac:dyDescent="0.25">
      <c r="A282" t="s">
        <v>155</v>
      </c>
      <c r="B282" s="4"/>
      <c r="D282"/>
    </row>
    <row r="283" spans="1:5" x14ac:dyDescent="0.25">
      <c r="A283" t="s">
        <v>132</v>
      </c>
      <c r="B283" s="4"/>
      <c r="D283"/>
    </row>
    <row r="284" spans="1:5" x14ac:dyDescent="0.25">
      <c r="A284" t="s">
        <v>133</v>
      </c>
      <c r="B284" s="4"/>
      <c r="D284"/>
    </row>
    <row r="285" spans="1:5" x14ac:dyDescent="0.25">
      <c r="A285" t="s">
        <v>134</v>
      </c>
      <c r="B285" s="4"/>
      <c r="D285"/>
    </row>
    <row r="286" spans="1:5" x14ac:dyDescent="0.25">
      <c r="A286" t="s">
        <v>137</v>
      </c>
      <c r="B286" s="4"/>
      <c r="D286"/>
    </row>
    <row r="287" spans="1:5" x14ac:dyDescent="0.25">
      <c r="A287" t="s">
        <v>135</v>
      </c>
      <c r="B287" s="4"/>
      <c r="D287"/>
    </row>
    <row r="288" spans="1:5" x14ac:dyDescent="0.25">
      <c r="A288" t="s">
        <v>136</v>
      </c>
      <c r="B288" s="4"/>
      <c r="D288"/>
    </row>
    <row r="289" spans="1:4" x14ac:dyDescent="0.25">
      <c r="A289" t="s">
        <v>138</v>
      </c>
      <c r="B289" s="4">
        <v>100</v>
      </c>
      <c r="C289" t="s">
        <v>156</v>
      </c>
      <c r="D289">
        <v>4</v>
      </c>
    </row>
  </sheetData>
  <sortState ref="B3:H13">
    <sortCondition ref="C3:C13"/>
    <sortCondition descending="1" ref="D3:D13"/>
  </sortState>
  <mergeCells count="4">
    <mergeCell ref="A1:H1"/>
    <mergeCell ref="A15:H15"/>
    <mergeCell ref="A74:H74"/>
    <mergeCell ref="D16:E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8"/>
    </sheetView>
  </sheetViews>
  <sheetFormatPr defaultRowHeight="15" x14ac:dyDescent="0.25"/>
  <cols>
    <col min="1" max="1" width="23.140625" customWidth="1"/>
    <col min="2" max="2" width="14.7109375" customWidth="1"/>
  </cols>
  <sheetData>
    <row r="1" spans="1:2" ht="16.5" thickTop="1" thickBot="1" x14ac:dyDescent="0.3">
      <c r="A1" s="231" t="s">
        <v>233</v>
      </c>
      <c r="B1" s="232"/>
    </row>
    <row r="2" spans="1:2" ht="15.75" thickTop="1" x14ac:dyDescent="0.25">
      <c r="A2" s="102"/>
      <c r="B2" s="127" t="s">
        <v>238</v>
      </c>
    </row>
    <row r="3" spans="1:2" x14ac:dyDescent="0.25">
      <c r="A3" s="153" t="s">
        <v>234</v>
      </c>
      <c r="B3" s="46">
        <v>1000</v>
      </c>
    </row>
    <row r="4" spans="1:2" x14ac:dyDescent="0.25">
      <c r="A4" s="45" t="s">
        <v>235</v>
      </c>
      <c r="B4" s="46">
        <v>5000</v>
      </c>
    </row>
    <row r="5" spans="1:2" x14ac:dyDescent="0.25">
      <c r="A5" s="45" t="s">
        <v>236</v>
      </c>
      <c r="B5" s="46">
        <v>500</v>
      </c>
    </row>
    <row r="6" spans="1:2" x14ac:dyDescent="0.25">
      <c r="A6" s="45" t="s">
        <v>237</v>
      </c>
      <c r="B6" s="46">
        <v>1400</v>
      </c>
    </row>
    <row r="7" spans="1:2" ht="15.75" thickBot="1" x14ac:dyDescent="0.3">
      <c r="A7" s="90" t="s">
        <v>323</v>
      </c>
      <c r="B7" s="94">
        <f>SUM(EstudodeFornecedores!D76*12)</f>
        <v>1800</v>
      </c>
    </row>
    <row r="8" spans="1:2" ht="16.5" thickTop="1" thickBot="1" x14ac:dyDescent="0.3">
      <c r="A8" s="154" t="s">
        <v>81</v>
      </c>
      <c r="B8" s="106">
        <f>SUM(B3:B7)</f>
        <v>9700</v>
      </c>
    </row>
    <row r="9" spans="1: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7" sqref="A7:E11"/>
    </sheetView>
  </sheetViews>
  <sheetFormatPr defaultRowHeight="15" x14ac:dyDescent="0.25"/>
  <cols>
    <col min="1" max="1" width="34.42578125" customWidth="1"/>
    <col min="2" max="2" width="14.85546875" customWidth="1"/>
    <col min="3" max="3" width="24" customWidth="1"/>
    <col min="4" max="4" width="13.5703125" customWidth="1"/>
    <col min="5" max="5" width="21.28515625" customWidth="1"/>
    <col min="6" max="6" width="13.28515625" customWidth="1"/>
  </cols>
  <sheetData>
    <row r="1" spans="1:7" ht="16.5" thickTop="1" thickBot="1" x14ac:dyDescent="0.3">
      <c r="A1" s="113" t="s">
        <v>239</v>
      </c>
      <c r="B1" s="114" t="s">
        <v>240</v>
      </c>
      <c r="C1" s="156" t="s">
        <v>216</v>
      </c>
      <c r="E1" s="113" t="s">
        <v>243</v>
      </c>
      <c r="F1" s="114" t="s">
        <v>240</v>
      </c>
      <c r="G1" s="156" t="s">
        <v>216</v>
      </c>
    </row>
    <row r="2" spans="1:7" ht="15.75" thickTop="1" x14ac:dyDescent="0.25">
      <c r="A2" s="102" t="s">
        <v>241</v>
      </c>
      <c r="B2" s="34">
        <f>EstimativadosInvestimentosFixos!C58</f>
        <v>28514.05</v>
      </c>
      <c r="C2" s="155">
        <f>SUM(B2/$B$5)</f>
        <v>0.57625085129506959</v>
      </c>
      <c r="E2" s="102" t="s">
        <v>244</v>
      </c>
      <c r="F2" s="34">
        <v>62065</v>
      </c>
      <c r="G2" s="155">
        <f>SUM(F2/$F$5)</f>
        <v>1</v>
      </c>
    </row>
    <row r="3" spans="1:7" x14ac:dyDescent="0.25">
      <c r="A3" s="45" t="s">
        <v>242</v>
      </c>
      <c r="B3" s="22">
        <f>CapitaldeGiro!E40</f>
        <v>11267.95932964759</v>
      </c>
      <c r="C3" s="155">
        <f t="shared" ref="C3:C4" si="0">SUM(B3/$B$5)</f>
        <v>0.22771830574988983</v>
      </c>
      <c r="E3" s="45" t="s">
        <v>245</v>
      </c>
      <c r="F3" s="22">
        <v>0</v>
      </c>
      <c r="G3" s="155">
        <f t="shared" ref="G3:G4" si="1">SUM(F3/$F$5)</f>
        <v>0</v>
      </c>
    </row>
    <row r="4" spans="1:7" ht="15.75" thickBot="1" x14ac:dyDescent="0.3">
      <c r="A4" s="90" t="s">
        <v>233</v>
      </c>
      <c r="B4" s="93">
        <f>InvestimentosPreOperacionais!B8</f>
        <v>9700</v>
      </c>
      <c r="C4" s="155">
        <f t="shared" si="0"/>
        <v>0.19603084295504059</v>
      </c>
      <c r="E4" s="90" t="s">
        <v>246</v>
      </c>
      <c r="F4" s="93">
        <v>0</v>
      </c>
      <c r="G4" s="155">
        <f t="shared" si="1"/>
        <v>0</v>
      </c>
    </row>
    <row r="5" spans="1:7" ht="16.5" thickTop="1" thickBot="1" x14ac:dyDescent="0.3">
      <c r="A5" s="113" t="s">
        <v>81</v>
      </c>
      <c r="B5" s="115">
        <f>SUM(B2:B4)</f>
        <v>49482.00932964759</v>
      </c>
      <c r="C5" s="157">
        <f>SUM(C2:C4)</f>
        <v>1</v>
      </c>
      <c r="E5" s="113" t="s">
        <v>81</v>
      </c>
      <c r="F5" s="115">
        <f>SUM(F2:F4)</f>
        <v>62065</v>
      </c>
      <c r="G5" s="157">
        <f>SUM(G2:G4)</f>
        <v>1</v>
      </c>
    </row>
    <row r="6" spans="1:7" ht="16.5" thickTop="1" thickBot="1" x14ac:dyDescent="0.3"/>
    <row r="7" spans="1:7" ht="15.75" thickTop="1" x14ac:dyDescent="0.25">
      <c r="A7" s="181" t="s">
        <v>351</v>
      </c>
      <c r="B7" s="42" t="s">
        <v>325</v>
      </c>
      <c r="C7" s="245" t="s">
        <v>352</v>
      </c>
      <c r="D7" s="248" t="s">
        <v>354</v>
      </c>
      <c r="E7" s="249" t="s">
        <v>355</v>
      </c>
    </row>
    <row r="8" spans="1:7" x14ac:dyDescent="0.25">
      <c r="A8" s="217" t="s">
        <v>356</v>
      </c>
      <c r="B8" s="22">
        <v>50000</v>
      </c>
      <c r="C8" s="246">
        <v>78020.800000000003</v>
      </c>
      <c r="D8" s="22">
        <f>SUM(C8/10)</f>
        <v>7802.08</v>
      </c>
      <c r="E8" s="46">
        <f>SUM(D8/12)</f>
        <v>650.17333333333329</v>
      </c>
    </row>
    <row r="9" spans="1:7" ht="15.75" thickBot="1" x14ac:dyDescent="0.3">
      <c r="A9" s="244" t="s">
        <v>353</v>
      </c>
      <c r="B9" s="92"/>
      <c r="C9" s="247">
        <f>SUM(C8-B8)</f>
        <v>28020.800000000003</v>
      </c>
      <c r="D9" s="48">
        <f>SUM(C9/10)</f>
        <v>2802.0800000000004</v>
      </c>
      <c r="E9" s="49">
        <f>SUM(D9/12)</f>
        <v>233.50666666666669</v>
      </c>
    </row>
    <row r="10" spans="1:7" ht="15.75" thickTop="1" x14ac:dyDescent="0.25">
      <c r="A10" s="250" t="s">
        <v>357</v>
      </c>
      <c r="B10" s="43">
        <f>B8</f>
        <v>50000</v>
      </c>
      <c r="C10" s="43">
        <v>116397.7</v>
      </c>
      <c r="D10" s="43">
        <f t="shared" ref="D10:D11" si="2">SUM(C10/10)</f>
        <v>11639.77</v>
      </c>
      <c r="E10" s="112">
        <f>SUM(D10/12)</f>
        <v>969.98083333333341</v>
      </c>
    </row>
    <row r="11" spans="1:7" ht="15.75" thickBot="1" x14ac:dyDescent="0.3">
      <c r="A11" s="218" t="s">
        <v>353</v>
      </c>
      <c r="B11" s="47"/>
      <c r="C11" s="48">
        <f>SUM(C10-B10)</f>
        <v>66397.7</v>
      </c>
      <c r="D11" s="48">
        <f t="shared" si="2"/>
        <v>6639.7699999999995</v>
      </c>
      <c r="E11" s="49">
        <f>SUM(D11/12)</f>
        <v>553.31416666666667</v>
      </c>
    </row>
    <row r="12" spans="1:7" ht="15.75" thickTop="1" x14ac:dyDescent="0.25"/>
    <row r="13" spans="1:7" x14ac:dyDescent="0.25">
      <c r="A13" t="s">
        <v>358</v>
      </c>
    </row>
    <row r="14" spans="1:7" x14ac:dyDescent="0.25">
      <c r="A14" t="s">
        <v>359</v>
      </c>
    </row>
    <row r="15" spans="1:7" x14ac:dyDescent="0.25">
      <c r="A15" t="s">
        <v>360</v>
      </c>
    </row>
    <row r="16" spans="1:7" x14ac:dyDescent="0.25">
      <c r="A16" t="s">
        <v>361</v>
      </c>
    </row>
    <row r="17" spans="1:1" x14ac:dyDescent="0.25">
      <c r="A17" t="s">
        <v>362</v>
      </c>
    </row>
    <row r="18" spans="1:1" x14ac:dyDescent="0.25">
      <c r="A18" t="s">
        <v>363</v>
      </c>
    </row>
    <row r="19" spans="1:1" x14ac:dyDescent="0.25">
      <c r="A19" t="s">
        <v>364</v>
      </c>
    </row>
    <row r="20" spans="1:1" x14ac:dyDescent="0.25">
      <c r="A20" t="s">
        <v>365</v>
      </c>
    </row>
    <row r="21" spans="1:1" x14ac:dyDescent="0.25">
      <c r="A21" t="s">
        <v>366</v>
      </c>
    </row>
    <row r="22" spans="1:1" x14ac:dyDescent="0.25">
      <c r="A22" t="s">
        <v>367</v>
      </c>
    </row>
    <row r="23" spans="1:1" x14ac:dyDescent="0.25">
      <c r="A23" t="s">
        <v>368</v>
      </c>
    </row>
    <row r="24" spans="1:1" x14ac:dyDescent="0.25">
      <c r="A24" t="s">
        <v>369</v>
      </c>
    </row>
    <row r="25" spans="1:1" x14ac:dyDescent="0.25">
      <c r="A25" t="s">
        <v>370</v>
      </c>
    </row>
    <row r="26" spans="1:1" x14ac:dyDescent="0.25">
      <c r="A26" t="s">
        <v>371</v>
      </c>
    </row>
    <row r="27" spans="1:1" x14ac:dyDescent="0.25">
      <c r="A27" t="s">
        <v>372</v>
      </c>
    </row>
    <row r="28" spans="1:1" x14ac:dyDescent="0.25">
      <c r="A28" t="s">
        <v>373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F14" sqref="F14"/>
    </sheetView>
  </sheetViews>
  <sheetFormatPr defaultRowHeight="15" x14ac:dyDescent="0.25"/>
  <cols>
    <col min="1" max="1" width="25.28515625" customWidth="1"/>
    <col min="3" max="3" width="21.140625" customWidth="1"/>
    <col min="4" max="4" width="14" customWidth="1"/>
    <col min="6" max="6" width="26.28515625" customWidth="1"/>
    <col min="7" max="7" width="11.5703125" customWidth="1"/>
    <col min="8" max="8" width="22.28515625" customWidth="1"/>
    <col min="9" max="9" width="12.7109375" customWidth="1"/>
    <col min="11" max="11" width="14.42578125" customWidth="1"/>
    <col min="12" max="12" width="12.7109375" bestFit="1" customWidth="1"/>
  </cols>
  <sheetData>
    <row r="1" spans="1:12" ht="16.5" thickTop="1" thickBot="1" x14ac:dyDescent="0.3">
      <c r="A1" s="160" t="s">
        <v>79</v>
      </c>
      <c r="B1" s="105" t="s">
        <v>216</v>
      </c>
      <c r="C1" s="105" t="s">
        <v>247</v>
      </c>
      <c r="D1" s="130" t="s">
        <v>248</v>
      </c>
      <c r="F1" s="267"/>
      <c r="G1" s="37"/>
      <c r="H1" s="37"/>
      <c r="I1" s="37"/>
    </row>
    <row r="2" spans="1:12" ht="16.5" thickTop="1" thickBot="1" x14ac:dyDescent="0.3">
      <c r="A2" s="161" t="s">
        <v>249</v>
      </c>
      <c r="B2" s="165"/>
      <c r="C2" s="165"/>
      <c r="D2" s="166"/>
      <c r="F2" s="268"/>
      <c r="G2" s="37"/>
      <c r="H2" s="37"/>
      <c r="I2" s="37"/>
    </row>
    <row r="3" spans="1:12" ht="15.75" thickTop="1" x14ac:dyDescent="0.25">
      <c r="A3" s="163" t="s">
        <v>250</v>
      </c>
      <c r="B3" s="170"/>
      <c r="C3" s="171"/>
      <c r="D3" s="172"/>
      <c r="F3" s="269"/>
      <c r="G3" s="37"/>
      <c r="H3" s="37"/>
      <c r="I3" s="37"/>
      <c r="K3" s="4">
        <f>SUM(C4*12)</f>
        <v>443203.19999999995</v>
      </c>
      <c r="L3" s="4"/>
    </row>
    <row r="4" spans="1:12" x14ac:dyDescent="0.25">
      <c r="A4" s="45" t="s">
        <v>251</v>
      </c>
      <c r="B4" s="134">
        <f>K5</f>
        <v>6.87276626161544E-2</v>
      </c>
      <c r="C4" s="22">
        <f>EstimativadoFaturamentoMensal!$D$4</f>
        <v>36933.599999999999</v>
      </c>
      <c r="D4" s="46">
        <f>SUM(C4*B4)</f>
        <v>2538.36</v>
      </c>
      <c r="F4" s="37"/>
      <c r="G4" s="270"/>
      <c r="H4" s="37"/>
      <c r="I4" s="37"/>
      <c r="K4" s="4">
        <f>SUM(K3*10%)-13860</f>
        <v>30460.32</v>
      </c>
      <c r="L4" s="4"/>
    </row>
    <row r="5" spans="1:12" x14ac:dyDescent="0.25">
      <c r="A5" s="159" t="s">
        <v>252</v>
      </c>
      <c r="B5" s="169"/>
      <c r="C5" s="225"/>
      <c r="D5" s="175"/>
      <c r="F5" s="269"/>
      <c r="G5" s="270"/>
      <c r="H5" s="37"/>
      <c r="I5" s="37"/>
      <c r="K5" s="219">
        <f>SUM(K4/K3)</f>
        <v>6.87276626161544E-2</v>
      </c>
      <c r="L5" s="219"/>
    </row>
    <row r="6" spans="1:12" ht="45" x14ac:dyDescent="0.25">
      <c r="A6" s="146" t="s">
        <v>253</v>
      </c>
      <c r="B6" s="134">
        <v>0.17</v>
      </c>
      <c r="C6" s="22">
        <f>EstimativadoFaturamentoMensal!$D$4</f>
        <v>36933.599999999999</v>
      </c>
      <c r="D6" s="46">
        <f>SUM(C6*B6)</f>
        <v>6278.7120000000004</v>
      </c>
      <c r="F6" s="271"/>
      <c r="G6" s="270"/>
      <c r="H6" s="37"/>
      <c r="I6" s="37"/>
    </row>
    <row r="7" spans="1:12" x14ac:dyDescent="0.25">
      <c r="A7" s="159" t="s">
        <v>254</v>
      </c>
      <c r="B7" s="169"/>
      <c r="C7" s="225"/>
      <c r="D7" s="175"/>
      <c r="F7" s="269"/>
      <c r="G7" s="270"/>
      <c r="H7" s="37"/>
      <c r="I7" s="37"/>
    </row>
    <row r="8" spans="1:12" ht="15.75" thickBot="1" x14ac:dyDescent="0.3">
      <c r="A8" s="173" t="s">
        <v>255</v>
      </c>
      <c r="B8" s="135">
        <v>0</v>
      </c>
      <c r="C8" s="93">
        <f>EstimativadoFaturamentoMensal!$D$4</f>
        <v>36933.599999999999</v>
      </c>
      <c r="D8" s="94">
        <f>SUM(C8*B8)</f>
        <v>0</v>
      </c>
      <c r="F8" s="267"/>
      <c r="G8" s="270"/>
      <c r="H8" s="37"/>
      <c r="I8" s="37"/>
    </row>
    <row r="9" spans="1:12" ht="16.5" thickTop="1" thickBot="1" x14ac:dyDescent="0.3">
      <c r="A9" s="113" t="s">
        <v>256</v>
      </c>
      <c r="B9" s="174">
        <f>SUM(B4:B8)</f>
        <v>0.23872766261615441</v>
      </c>
      <c r="C9" s="223">
        <f>EstimativadoFaturamentoMensal!$D$4</f>
        <v>36933.599999999999</v>
      </c>
      <c r="D9" s="106">
        <f>SUM(D4:D8)</f>
        <v>8817.0720000000001</v>
      </c>
      <c r="F9" s="268"/>
      <c r="G9" s="270"/>
      <c r="H9" s="37"/>
      <c r="I9" s="37"/>
      <c r="K9" s="4"/>
      <c r="L9" s="219"/>
    </row>
    <row r="10" spans="1:12" ht="16.5" thickTop="1" thickBot="1" x14ac:dyDescent="0.3">
      <c r="A10" s="164"/>
      <c r="B10" s="165"/>
      <c r="C10" s="224"/>
      <c r="D10" s="166"/>
      <c r="F10" s="37"/>
      <c r="G10" s="270"/>
      <c r="H10" s="37"/>
      <c r="I10" s="37"/>
    </row>
    <row r="11" spans="1:12" ht="15.75" thickTop="1" x14ac:dyDescent="0.25">
      <c r="A11" s="51" t="s">
        <v>257</v>
      </c>
      <c r="B11" s="167"/>
      <c r="C11" s="43"/>
      <c r="D11" s="44"/>
      <c r="F11" s="268"/>
      <c r="G11" s="270"/>
      <c r="H11" s="37"/>
      <c r="I11" s="37"/>
    </row>
    <row r="12" spans="1:12" x14ac:dyDescent="0.25">
      <c r="A12" s="45" t="s">
        <v>258</v>
      </c>
      <c r="B12" s="134">
        <v>0.02</v>
      </c>
      <c r="C12" s="22">
        <f>EstimativadoFaturamentoMensal!$D$4</f>
        <v>36933.599999999999</v>
      </c>
      <c r="D12" s="46">
        <f>SUM(C12*B12)</f>
        <v>738.67200000000003</v>
      </c>
      <c r="F12" s="37"/>
      <c r="G12" s="270"/>
      <c r="H12" s="37"/>
      <c r="I12" s="37"/>
    </row>
    <row r="13" spans="1:12" x14ac:dyDescent="0.25">
      <c r="A13" s="45" t="s">
        <v>259</v>
      </c>
      <c r="B13" s="134">
        <v>0.02</v>
      </c>
      <c r="C13" s="22">
        <f>EstimativadoFaturamentoMensal!$D$4</f>
        <v>36933.599999999999</v>
      </c>
      <c r="D13" s="46">
        <f>SUM(C13*B13)</f>
        <v>738.67200000000003</v>
      </c>
      <c r="F13" s="37"/>
      <c r="G13" s="270"/>
      <c r="H13" s="37"/>
      <c r="I13" s="37"/>
    </row>
    <row r="14" spans="1:12" ht="45" x14ac:dyDescent="0.25">
      <c r="A14" s="126" t="s">
        <v>264</v>
      </c>
      <c r="B14" s="134">
        <v>2.3900000000000001E-2</v>
      </c>
      <c r="C14" s="22">
        <f>SUM(EstimativadoFaturamentoMensal!$D$4*45%)</f>
        <v>16620.12</v>
      </c>
      <c r="D14" s="46">
        <f t="shared" ref="D14:D15" si="0">SUM(C14*B14)</f>
        <v>397.220868</v>
      </c>
      <c r="F14" s="272"/>
      <c r="G14" s="270"/>
      <c r="H14" s="37"/>
      <c r="I14" s="37"/>
    </row>
    <row r="15" spans="1:12" ht="45" x14ac:dyDescent="0.25">
      <c r="A15" s="126" t="s">
        <v>260</v>
      </c>
      <c r="B15" s="134">
        <v>3.1899999999999998E-2</v>
      </c>
      <c r="C15" s="22">
        <f>SUM(EstimativadoFaturamentoMensal!$D$4*10%)</f>
        <v>3693.36</v>
      </c>
      <c r="D15" s="46">
        <f t="shared" si="0"/>
        <v>117.818184</v>
      </c>
      <c r="F15" s="272"/>
      <c r="G15" s="270"/>
      <c r="H15" s="37"/>
      <c r="I15" s="37"/>
    </row>
    <row r="16" spans="1:12" ht="15.75" thickBot="1" x14ac:dyDescent="0.3">
      <c r="A16" s="116" t="s">
        <v>261</v>
      </c>
      <c r="B16" s="168"/>
      <c r="C16" s="48"/>
      <c r="D16" s="49">
        <f>SUM(D12:D15)</f>
        <v>1992.3830519999999</v>
      </c>
      <c r="F16" s="268"/>
      <c r="G16" s="270"/>
      <c r="H16" s="37"/>
      <c r="I16" s="37"/>
      <c r="K16" s="4"/>
      <c r="L16" s="219"/>
    </row>
    <row r="17" spans="1:12" ht="16.5" thickTop="1" thickBot="1" x14ac:dyDescent="0.3">
      <c r="A17" s="113" t="s">
        <v>262</v>
      </c>
      <c r="B17" s="105"/>
      <c r="C17" s="223"/>
      <c r="D17" s="106">
        <f>SUM(D9+D16)</f>
        <v>10809.455051999999</v>
      </c>
      <c r="F17" s="268"/>
      <c r="G17" s="270"/>
      <c r="H17" s="37"/>
      <c r="I17" s="37"/>
    </row>
    <row r="18" spans="1:12" ht="15.75" thickTop="1" x14ac:dyDescent="0.25"/>
    <row r="21" spans="1:12" x14ac:dyDescent="0.25">
      <c r="A21" s="267"/>
      <c r="B21" s="37"/>
      <c r="C21" s="37"/>
      <c r="D21" s="37"/>
      <c r="E21" s="18"/>
      <c r="F21" s="267"/>
      <c r="G21" s="37"/>
      <c r="H21" s="37"/>
      <c r="I21" s="37"/>
    </row>
    <row r="22" spans="1:12" x14ac:dyDescent="0.25">
      <c r="A22" s="268"/>
      <c r="B22" s="37"/>
      <c r="C22" s="37"/>
      <c r="D22" s="37"/>
      <c r="E22" s="18"/>
      <c r="F22" s="268"/>
      <c r="G22" s="37"/>
      <c r="H22" s="37"/>
      <c r="I22" s="37"/>
    </row>
    <row r="23" spans="1:12" x14ac:dyDescent="0.25">
      <c r="A23" s="269"/>
      <c r="B23" s="37"/>
      <c r="C23" s="37"/>
      <c r="D23" s="37"/>
      <c r="E23" s="18"/>
      <c r="F23" s="269"/>
      <c r="G23" s="37"/>
      <c r="H23" s="37"/>
      <c r="I23" s="37"/>
      <c r="K23" s="4"/>
      <c r="L23" s="4"/>
    </row>
    <row r="24" spans="1:12" x14ac:dyDescent="0.25">
      <c r="A24" s="37"/>
      <c r="B24" s="270"/>
      <c r="C24" s="37"/>
      <c r="D24" s="37"/>
      <c r="E24" s="18"/>
      <c r="F24" s="37"/>
      <c r="G24" s="270"/>
      <c r="H24" s="37"/>
      <c r="I24" s="37"/>
      <c r="K24" s="4"/>
      <c r="L24" s="4"/>
    </row>
    <row r="25" spans="1:12" x14ac:dyDescent="0.25">
      <c r="A25" s="269"/>
      <c r="B25" s="270"/>
      <c r="C25" s="37"/>
      <c r="D25" s="37"/>
      <c r="E25" s="18"/>
      <c r="F25" s="269"/>
      <c r="G25" s="270"/>
      <c r="H25" s="37"/>
      <c r="I25" s="37"/>
      <c r="K25" s="219"/>
      <c r="L25" s="219"/>
    </row>
    <row r="26" spans="1:12" x14ac:dyDescent="0.25">
      <c r="A26" s="271"/>
      <c r="B26" s="270"/>
      <c r="C26" s="37"/>
      <c r="D26" s="37"/>
      <c r="E26" s="18"/>
      <c r="F26" s="271"/>
      <c r="G26" s="270"/>
      <c r="H26" s="37"/>
      <c r="I26" s="37"/>
    </row>
    <row r="27" spans="1:12" x14ac:dyDescent="0.25">
      <c r="A27" s="269"/>
      <c r="B27" s="270"/>
      <c r="C27" s="37"/>
      <c r="D27" s="37"/>
      <c r="E27" s="18"/>
      <c r="F27" s="269"/>
      <c r="G27" s="270"/>
      <c r="H27" s="37"/>
      <c r="I27" s="37"/>
    </row>
    <row r="28" spans="1:12" x14ac:dyDescent="0.25">
      <c r="A28" s="267"/>
      <c r="B28" s="270"/>
      <c r="C28" s="37"/>
      <c r="D28" s="37"/>
      <c r="E28" s="18"/>
      <c r="F28" s="267"/>
      <c r="G28" s="270"/>
      <c r="H28" s="37"/>
      <c r="I28" s="37"/>
    </row>
    <row r="29" spans="1:12" x14ac:dyDescent="0.25">
      <c r="A29" s="268"/>
      <c r="B29" s="270"/>
      <c r="C29" s="37"/>
      <c r="D29" s="37"/>
      <c r="E29" s="18"/>
      <c r="F29" s="268"/>
      <c r="G29" s="270"/>
      <c r="H29" s="37"/>
      <c r="I29" s="37"/>
    </row>
    <row r="30" spans="1:12" x14ac:dyDescent="0.25">
      <c r="A30" s="37"/>
      <c r="B30" s="270"/>
      <c r="C30" s="37"/>
      <c r="D30" s="37"/>
      <c r="E30" s="18"/>
      <c r="F30" s="37"/>
      <c r="G30" s="270"/>
      <c r="H30" s="37"/>
      <c r="I30" s="37"/>
    </row>
    <row r="31" spans="1:12" x14ac:dyDescent="0.25">
      <c r="A31" s="268"/>
      <c r="B31" s="270"/>
      <c r="C31" s="37"/>
      <c r="D31" s="37"/>
      <c r="E31" s="18"/>
      <c r="F31" s="268"/>
      <c r="G31" s="270"/>
      <c r="H31" s="37"/>
      <c r="I31" s="37"/>
    </row>
    <row r="32" spans="1:12" x14ac:dyDescent="0.25">
      <c r="A32" s="37"/>
      <c r="B32" s="270"/>
      <c r="C32" s="37"/>
      <c r="D32" s="37"/>
      <c r="E32" s="18"/>
      <c r="F32" s="37"/>
      <c r="G32" s="270"/>
      <c r="H32" s="37"/>
      <c r="I32" s="37"/>
    </row>
    <row r="33" spans="1:12" x14ac:dyDescent="0.25">
      <c r="A33" s="37"/>
      <c r="B33" s="270"/>
      <c r="C33" s="37"/>
      <c r="D33" s="37"/>
      <c r="E33" s="18"/>
      <c r="F33" s="37"/>
      <c r="G33" s="270"/>
      <c r="H33" s="37"/>
      <c r="I33" s="37"/>
    </row>
    <row r="34" spans="1:12" x14ac:dyDescent="0.25">
      <c r="A34" s="272"/>
      <c r="B34" s="270"/>
      <c r="C34" s="37"/>
      <c r="D34" s="37"/>
      <c r="E34" s="18"/>
      <c r="F34" s="272"/>
      <c r="G34" s="270"/>
      <c r="H34" s="37"/>
      <c r="I34" s="37"/>
    </row>
    <row r="35" spans="1:12" x14ac:dyDescent="0.25">
      <c r="A35" s="272"/>
      <c r="B35" s="270"/>
      <c r="C35" s="37"/>
      <c r="D35" s="37"/>
      <c r="E35" s="18"/>
      <c r="F35" s="272"/>
      <c r="G35" s="270"/>
      <c r="H35" s="37"/>
      <c r="I35" s="37"/>
    </row>
    <row r="36" spans="1:12" x14ac:dyDescent="0.25">
      <c r="A36" s="268"/>
      <c r="B36" s="270"/>
      <c r="C36" s="37"/>
      <c r="D36" s="37"/>
      <c r="E36" s="18"/>
      <c r="F36" s="268"/>
      <c r="G36" s="270"/>
      <c r="H36" s="37"/>
      <c r="I36" s="37"/>
    </row>
    <row r="37" spans="1:12" x14ac:dyDescent="0.25">
      <c r="A37" s="268"/>
      <c r="B37" s="270"/>
      <c r="C37" s="37"/>
      <c r="D37" s="37"/>
      <c r="E37" s="18"/>
      <c r="F37" s="268"/>
      <c r="G37" s="270"/>
      <c r="H37" s="37"/>
      <c r="I37" s="37"/>
    </row>
    <row r="38" spans="1:12" x14ac:dyDescent="0.25">
      <c r="A38" s="18"/>
      <c r="B38" s="18"/>
      <c r="C38" s="18"/>
      <c r="D38" s="18"/>
      <c r="E38" s="18"/>
      <c r="F38" s="18"/>
      <c r="G38" s="18"/>
      <c r="H38" s="18"/>
      <c r="I38" s="18"/>
    </row>
    <row r="39" spans="1:12" x14ac:dyDescent="0.25">
      <c r="A39" s="18"/>
      <c r="B39" s="18"/>
      <c r="C39" s="18"/>
      <c r="D39" s="18"/>
      <c r="E39" s="18"/>
      <c r="F39" s="18"/>
      <c r="G39" s="18"/>
      <c r="H39" s="18"/>
      <c r="I39" s="18"/>
    </row>
    <row r="40" spans="1:12" x14ac:dyDescent="0.25">
      <c r="A40" s="18"/>
      <c r="B40" s="18"/>
      <c r="C40" s="18"/>
      <c r="D40" s="18"/>
      <c r="E40" s="18"/>
      <c r="F40" s="18"/>
      <c r="G40" s="18"/>
      <c r="H40" s="18"/>
      <c r="I40" s="18"/>
    </row>
    <row r="41" spans="1:12" x14ac:dyDescent="0.25">
      <c r="A41" s="267"/>
      <c r="B41" s="37"/>
      <c r="C41" s="37"/>
      <c r="D41" s="37"/>
      <c r="E41" s="18"/>
      <c r="F41" s="267"/>
      <c r="G41" s="37"/>
      <c r="H41" s="37"/>
      <c r="I41" s="37"/>
    </row>
    <row r="42" spans="1:12" x14ac:dyDescent="0.25">
      <c r="A42" s="268"/>
      <c r="B42" s="37"/>
      <c r="C42" s="37"/>
      <c r="D42" s="37"/>
      <c r="E42" s="18"/>
      <c r="F42" s="268"/>
      <c r="G42" s="37"/>
      <c r="H42" s="37"/>
      <c r="I42" s="37"/>
    </row>
    <row r="43" spans="1:12" x14ac:dyDescent="0.25">
      <c r="A43" s="269"/>
      <c r="B43" s="37"/>
      <c r="C43" s="37"/>
      <c r="D43" s="37"/>
      <c r="E43" s="18"/>
      <c r="F43" s="269"/>
      <c r="G43" s="37"/>
      <c r="H43" s="37"/>
      <c r="I43" s="37"/>
      <c r="K43" s="4"/>
      <c r="L43" s="4"/>
    </row>
    <row r="44" spans="1:12" x14ac:dyDescent="0.25">
      <c r="A44" s="37"/>
      <c r="B44" s="270"/>
      <c r="C44" s="37"/>
      <c r="D44" s="37"/>
      <c r="E44" s="18"/>
      <c r="F44" s="37"/>
      <c r="G44" s="270"/>
      <c r="H44" s="37"/>
      <c r="I44" s="37"/>
      <c r="K44" s="4"/>
      <c r="L44" s="4"/>
    </row>
    <row r="45" spans="1:12" x14ac:dyDescent="0.25">
      <c r="A45" s="269"/>
      <c r="B45" s="270"/>
      <c r="C45" s="37"/>
      <c r="D45" s="37"/>
      <c r="E45" s="18"/>
      <c r="F45" s="269"/>
      <c r="G45" s="270"/>
      <c r="H45" s="37"/>
      <c r="I45" s="37"/>
      <c r="K45" s="219"/>
      <c r="L45" s="219"/>
    </row>
    <row r="46" spans="1:12" x14ac:dyDescent="0.25">
      <c r="A46" s="271"/>
      <c r="B46" s="270"/>
      <c r="C46" s="37"/>
      <c r="D46" s="37"/>
      <c r="E46" s="18"/>
      <c r="F46" s="271"/>
      <c r="G46" s="270"/>
      <c r="H46" s="37"/>
      <c r="I46" s="37"/>
    </row>
    <row r="47" spans="1:12" x14ac:dyDescent="0.25">
      <c r="A47" s="269"/>
      <c r="B47" s="270"/>
      <c r="C47" s="37"/>
      <c r="D47" s="37"/>
      <c r="E47" s="18"/>
      <c r="F47" s="269"/>
      <c r="G47" s="270"/>
      <c r="H47" s="37"/>
      <c r="I47" s="37"/>
    </row>
    <row r="48" spans="1:12" x14ac:dyDescent="0.25">
      <c r="A48" s="267"/>
      <c r="B48" s="270"/>
      <c r="C48" s="37"/>
      <c r="D48" s="37"/>
      <c r="E48" s="18"/>
      <c r="F48" s="267"/>
      <c r="G48" s="270"/>
      <c r="H48" s="37"/>
      <c r="I48" s="37"/>
    </row>
    <row r="49" spans="1:11" x14ac:dyDescent="0.25">
      <c r="A49" s="268"/>
      <c r="B49" s="270"/>
      <c r="C49" s="37"/>
      <c r="D49" s="37"/>
      <c r="E49" s="18"/>
      <c r="F49" s="268"/>
      <c r="G49" s="270"/>
      <c r="H49" s="37"/>
      <c r="I49" s="37"/>
    </row>
    <row r="50" spans="1:11" x14ac:dyDescent="0.25">
      <c r="A50" s="37"/>
      <c r="B50" s="270"/>
      <c r="C50" s="37"/>
      <c r="D50" s="37"/>
      <c r="E50" s="18"/>
      <c r="F50" s="37"/>
      <c r="G50" s="270"/>
      <c r="H50" s="37"/>
      <c r="I50" s="37"/>
    </row>
    <row r="51" spans="1:11" x14ac:dyDescent="0.25">
      <c r="A51" s="268"/>
      <c r="B51" s="270"/>
      <c r="C51" s="37"/>
      <c r="D51" s="37"/>
      <c r="E51" s="18"/>
      <c r="F51" s="268"/>
      <c r="G51" s="270"/>
      <c r="H51" s="37"/>
      <c r="I51" s="37"/>
    </row>
    <row r="52" spans="1:11" x14ac:dyDescent="0.25">
      <c r="A52" s="37"/>
      <c r="B52" s="270"/>
      <c r="C52" s="37"/>
      <c r="D52" s="37"/>
      <c r="E52" s="18"/>
      <c r="F52" s="37"/>
      <c r="G52" s="270"/>
      <c r="H52" s="37"/>
      <c r="I52" s="37"/>
    </row>
    <row r="53" spans="1:11" x14ac:dyDescent="0.25">
      <c r="A53" s="37"/>
      <c r="B53" s="270"/>
      <c r="C53" s="37"/>
      <c r="D53" s="37"/>
      <c r="E53" s="18"/>
      <c r="F53" s="37"/>
      <c r="G53" s="270"/>
      <c r="H53" s="37"/>
      <c r="I53" s="37"/>
    </row>
    <row r="54" spans="1:11" x14ac:dyDescent="0.25">
      <c r="A54" s="272"/>
      <c r="B54" s="270"/>
      <c r="C54" s="37"/>
      <c r="D54" s="37"/>
      <c r="E54" s="18"/>
      <c r="F54" s="272"/>
      <c r="G54" s="270"/>
      <c r="H54" s="37"/>
      <c r="I54" s="37"/>
    </row>
    <row r="55" spans="1:11" x14ac:dyDescent="0.25">
      <c r="A55" s="272"/>
      <c r="B55" s="270"/>
      <c r="C55" s="37"/>
      <c r="D55" s="37"/>
      <c r="E55" s="18"/>
      <c r="F55" s="272"/>
      <c r="G55" s="270"/>
      <c r="H55" s="37"/>
      <c r="I55" s="37"/>
    </row>
    <row r="56" spans="1:11" x14ac:dyDescent="0.25">
      <c r="A56" s="268"/>
      <c r="B56" s="270"/>
      <c r="C56" s="37"/>
      <c r="D56" s="37"/>
      <c r="E56" s="18"/>
      <c r="F56" s="268"/>
      <c r="G56" s="270"/>
      <c r="H56" s="37"/>
      <c r="I56" s="37"/>
    </row>
    <row r="57" spans="1:11" x14ac:dyDescent="0.25">
      <c r="A57" s="268"/>
      <c r="B57" s="270"/>
      <c r="C57" s="37"/>
      <c r="D57" s="37"/>
      <c r="E57" s="18"/>
      <c r="F57" s="268"/>
      <c r="G57" s="270"/>
      <c r="H57" s="37"/>
      <c r="I57" s="37"/>
    </row>
    <row r="61" spans="1:11" x14ac:dyDescent="0.25">
      <c r="A61" s="267"/>
      <c r="B61" s="37"/>
      <c r="C61" s="37"/>
      <c r="D61" s="37"/>
    </row>
    <row r="62" spans="1:11" x14ac:dyDescent="0.25">
      <c r="A62" s="268"/>
      <c r="B62" s="37"/>
      <c r="C62" s="37"/>
      <c r="D62" s="37"/>
    </row>
    <row r="63" spans="1:11" x14ac:dyDescent="0.25">
      <c r="A63" s="269"/>
      <c r="B63" s="37"/>
      <c r="C63" s="37"/>
      <c r="D63" s="37"/>
      <c r="K63" s="4"/>
    </row>
    <row r="64" spans="1:11" x14ac:dyDescent="0.25">
      <c r="A64" s="37"/>
      <c r="B64" s="270"/>
      <c r="C64" s="37"/>
      <c r="D64" s="37"/>
      <c r="K64" s="4"/>
    </row>
    <row r="65" spans="1:11" x14ac:dyDescent="0.25">
      <c r="A65" s="269"/>
      <c r="B65" s="270"/>
      <c r="C65" s="37"/>
      <c r="D65" s="37"/>
      <c r="K65" s="219"/>
    </row>
    <row r="66" spans="1:11" x14ac:dyDescent="0.25">
      <c r="A66" s="271"/>
      <c r="B66" s="270"/>
      <c r="C66" s="37"/>
      <c r="D66" s="37"/>
    </row>
    <row r="67" spans="1:11" x14ac:dyDescent="0.25">
      <c r="A67" s="269"/>
      <c r="B67" s="270"/>
      <c r="C67" s="37"/>
      <c r="D67" s="37"/>
    </row>
    <row r="68" spans="1:11" x14ac:dyDescent="0.25">
      <c r="A68" s="267"/>
      <c r="B68" s="270"/>
      <c r="C68" s="37"/>
      <c r="D68" s="37"/>
    </row>
    <row r="69" spans="1:11" x14ac:dyDescent="0.25">
      <c r="A69" s="268"/>
      <c r="B69" s="270"/>
      <c r="C69" s="37"/>
      <c r="D69" s="37"/>
    </row>
    <row r="70" spans="1:11" x14ac:dyDescent="0.25">
      <c r="A70" s="37"/>
      <c r="B70" s="270"/>
      <c r="C70" s="37"/>
      <c r="D70" s="37"/>
    </row>
    <row r="71" spans="1:11" x14ac:dyDescent="0.25">
      <c r="A71" s="268"/>
      <c r="B71" s="270"/>
      <c r="C71" s="37"/>
      <c r="D71" s="37"/>
    </row>
    <row r="72" spans="1:11" x14ac:dyDescent="0.25">
      <c r="A72" s="37"/>
      <c r="B72" s="270"/>
      <c r="C72" s="37"/>
      <c r="D72" s="37"/>
    </row>
    <row r="73" spans="1:11" x14ac:dyDescent="0.25">
      <c r="A73" s="37"/>
      <c r="B73" s="270"/>
      <c r="C73" s="37"/>
      <c r="D73" s="37"/>
    </row>
    <row r="74" spans="1:11" x14ac:dyDescent="0.25">
      <c r="A74" s="272"/>
      <c r="B74" s="270"/>
      <c r="C74" s="37"/>
      <c r="D74" s="37"/>
    </row>
    <row r="75" spans="1:11" x14ac:dyDescent="0.25">
      <c r="A75" s="272"/>
      <c r="B75" s="270"/>
      <c r="C75" s="37"/>
      <c r="D75" s="37"/>
    </row>
    <row r="76" spans="1:11" x14ac:dyDescent="0.25">
      <c r="A76" s="268"/>
      <c r="B76" s="270"/>
      <c r="C76" s="37"/>
      <c r="D76" s="37"/>
    </row>
    <row r="77" spans="1:11" x14ac:dyDescent="0.25">
      <c r="A77" s="268"/>
      <c r="B77" s="270"/>
      <c r="C77" s="37"/>
      <c r="D77" s="3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4"/>
    </sheetView>
  </sheetViews>
  <sheetFormatPr defaultRowHeight="15" x14ac:dyDescent="0.25"/>
  <cols>
    <col min="1" max="1" width="15.85546875" customWidth="1"/>
    <col min="2" max="2" width="20.140625" customWidth="1"/>
    <col min="3" max="3" width="18" customWidth="1"/>
    <col min="4" max="4" width="13.28515625" customWidth="1"/>
  </cols>
  <sheetData>
    <row r="1" spans="1:4" ht="31.5" thickTop="1" thickBot="1" x14ac:dyDescent="0.3">
      <c r="A1" s="184" t="s">
        <v>266</v>
      </c>
      <c r="B1" s="185" t="s">
        <v>267</v>
      </c>
      <c r="C1" s="186" t="s">
        <v>270</v>
      </c>
      <c r="D1" s="158" t="s">
        <v>269</v>
      </c>
    </row>
    <row r="2" spans="1:4" ht="15.75" thickTop="1" x14ac:dyDescent="0.25">
      <c r="A2" s="102" t="str">
        <f>EstimativadoFaturamentoMensal!A2</f>
        <v>Cerveja Weiss</v>
      </c>
      <c r="B2" s="182">
        <f>EstimativadoFaturamentoMensal!B2</f>
        <v>1440</v>
      </c>
      <c r="C2" s="34">
        <f>EstimativadeCustoUnitario!N11</f>
        <v>4.1460574999999986</v>
      </c>
      <c r="D2" s="103">
        <f>SUM(B2*C2)</f>
        <v>5970.3227999999981</v>
      </c>
    </row>
    <row r="3" spans="1:4" ht="15.75" thickBot="1" x14ac:dyDescent="0.3">
      <c r="A3" s="90" t="str">
        <f>EstimativadoFaturamentoMensal!A3</f>
        <v>Cerveja Pilsen</v>
      </c>
      <c r="B3" s="183">
        <f>EstimativadoFaturamentoMensal!B3</f>
        <v>1200</v>
      </c>
      <c r="C3" s="93">
        <f>EstimativadeCustoUnitario!N23</f>
        <v>4.074303259259259</v>
      </c>
      <c r="D3" s="94">
        <f>SUM(B3*C3)</f>
        <v>4889.1639111111108</v>
      </c>
    </row>
    <row r="4" spans="1:4" ht="16.5" thickTop="1" thickBot="1" x14ac:dyDescent="0.3">
      <c r="A4" s="113" t="s">
        <v>81</v>
      </c>
      <c r="B4" s="114"/>
      <c r="C4" s="114"/>
      <c r="D4" s="120">
        <f>SUM(D2:D3)</f>
        <v>10859.486711111109</v>
      </c>
    </row>
    <row r="5" spans="1:4" ht="15.75" thickTop="1" x14ac:dyDescent="0.25"/>
    <row r="7" spans="1:4" x14ac:dyDescent="0.25">
      <c r="A7" s="254"/>
      <c r="B7" s="265"/>
      <c r="C7" s="253"/>
      <c r="D7" s="255"/>
    </row>
    <row r="8" spans="1:4" x14ac:dyDescent="0.25">
      <c r="A8" s="17"/>
      <c r="B8" s="266"/>
      <c r="C8" s="16"/>
      <c r="D8" s="16"/>
    </row>
    <row r="9" spans="1:4" x14ac:dyDescent="0.25">
      <c r="A9" s="17"/>
      <c r="B9" s="266"/>
      <c r="C9" s="16"/>
      <c r="D9" s="16"/>
    </row>
    <row r="10" spans="1:4" x14ac:dyDescent="0.25">
      <c r="A10" s="255"/>
      <c r="B10" s="255"/>
      <c r="C10" s="255"/>
      <c r="D10" s="15"/>
    </row>
    <row r="11" spans="1:4" x14ac:dyDescent="0.25">
      <c r="A11" s="17"/>
      <c r="B11" s="17"/>
      <c r="C11" s="17"/>
      <c r="D11" s="17"/>
    </row>
    <row r="12" spans="1:4" x14ac:dyDescent="0.25">
      <c r="A12" s="17"/>
      <c r="B12" s="17"/>
      <c r="C12" s="17"/>
      <c r="D12" s="17"/>
    </row>
    <row r="13" spans="1:4" x14ac:dyDescent="0.25">
      <c r="A13" s="254"/>
      <c r="B13" s="265"/>
      <c r="C13" s="253"/>
      <c r="D13" s="255"/>
    </row>
    <row r="14" spans="1:4" x14ac:dyDescent="0.25">
      <c r="A14" s="17"/>
      <c r="B14" s="266"/>
      <c r="C14" s="16"/>
      <c r="D14" s="16"/>
    </row>
    <row r="15" spans="1:4" x14ac:dyDescent="0.25">
      <c r="A15" s="17"/>
      <c r="B15" s="266"/>
      <c r="C15" s="16"/>
      <c r="D15" s="16"/>
    </row>
    <row r="16" spans="1:4" x14ac:dyDescent="0.25">
      <c r="A16" s="255"/>
      <c r="B16" s="255"/>
      <c r="C16" s="255"/>
      <c r="D16" s="15"/>
    </row>
    <row r="17" spans="1:4" x14ac:dyDescent="0.25">
      <c r="A17" s="17"/>
      <c r="B17" s="17"/>
      <c r="C17" s="17"/>
      <c r="D17" s="17"/>
    </row>
    <row r="18" spans="1:4" x14ac:dyDescent="0.25">
      <c r="A18" s="17"/>
      <c r="B18" s="17"/>
      <c r="C18" s="17"/>
      <c r="D18" s="17"/>
    </row>
    <row r="19" spans="1:4" x14ac:dyDescent="0.25">
      <c r="A19" s="254"/>
      <c r="B19" s="265"/>
      <c r="C19" s="253"/>
      <c r="D19" s="255"/>
    </row>
    <row r="20" spans="1:4" x14ac:dyDescent="0.25">
      <c r="A20" s="17"/>
      <c r="B20" s="266"/>
      <c r="C20" s="16"/>
      <c r="D20" s="16"/>
    </row>
    <row r="21" spans="1:4" x14ac:dyDescent="0.25">
      <c r="A21" s="17"/>
      <c r="B21" s="266"/>
      <c r="C21" s="16"/>
      <c r="D21" s="16"/>
    </row>
    <row r="22" spans="1:4" x14ac:dyDescent="0.25">
      <c r="A22" s="255"/>
      <c r="B22" s="255"/>
      <c r="C22" s="255"/>
      <c r="D22" s="15"/>
    </row>
    <row r="23" spans="1:4" x14ac:dyDescent="0.25">
      <c r="A23" s="17"/>
      <c r="B23" s="17"/>
      <c r="C23" s="17"/>
      <c r="D23" s="17"/>
    </row>
    <row r="24" spans="1:4" x14ac:dyDescent="0.25">
      <c r="A24" s="17"/>
      <c r="B24" s="17"/>
      <c r="C24" s="17"/>
      <c r="D24" s="17"/>
    </row>
    <row r="25" spans="1:4" x14ac:dyDescent="0.25">
      <c r="A25" s="254"/>
      <c r="B25" s="265"/>
      <c r="C25" s="253"/>
      <c r="D25" s="255"/>
    </row>
    <row r="26" spans="1:4" x14ac:dyDescent="0.25">
      <c r="A26" s="17"/>
      <c r="B26" s="266"/>
      <c r="C26" s="16"/>
      <c r="D26" s="16"/>
    </row>
    <row r="27" spans="1:4" x14ac:dyDescent="0.25">
      <c r="A27" s="17"/>
      <c r="B27" s="266"/>
      <c r="C27" s="16"/>
      <c r="D27" s="16"/>
    </row>
    <row r="28" spans="1:4" x14ac:dyDescent="0.25">
      <c r="A28" s="255"/>
      <c r="B28" s="255"/>
      <c r="C28" s="255"/>
      <c r="D28" s="15"/>
    </row>
    <row r="29" spans="1:4" x14ac:dyDescent="0.25">
      <c r="A29" s="17"/>
      <c r="B29" s="17"/>
      <c r="C29" s="17"/>
      <c r="D29" s="17"/>
    </row>
    <row r="30" spans="1:4" x14ac:dyDescent="0.25">
      <c r="A30" s="17"/>
      <c r="B30" s="17"/>
      <c r="C30" s="17"/>
      <c r="D30" s="17"/>
    </row>
    <row r="31" spans="1:4" x14ac:dyDescent="0.25">
      <c r="A31" s="254"/>
      <c r="B31" s="265"/>
      <c r="C31" s="253"/>
      <c r="D31" s="255"/>
    </row>
    <row r="32" spans="1:4" x14ac:dyDescent="0.25">
      <c r="A32" s="17"/>
      <c r="B32" s="266"/>
      <c r="C32" s="16"/>
      <c r="D32" s="16"/>
    </row>
    <row r="33" spans="1:4" x14ac:dyDescent="0.25">
      <c r="A33" s="17"/>
      <c r="B33" s="266"/>
      <c r="C33" s="16"/>
      <c r="D33" s="16"/>
    </row>
    <row r="34" spans="1:4" x14ac:dyDescent="0.25">
      <c r="A34" s="255"/>
      <c r="B34" s="255"/>
      <c r="C34" s="255"/>
      <c r="D34" s="15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  <row r="37" spans="1:4" x14ac:dyDescent="0.25">
      <c r="A37" s="254"/>
      <c r="B37" s="265"/>
      <c r="C37" s="253"/>
      <c r="D37" s="255"/>
    </row>
    <row r="38" spans="1:4" x14ac:dyDescent="0.25">
      <c r="A38" s="17"/>
      <c r="B38" s="266"/>
      <c r="C38" s="16"/>
      <c r="D38" s="16"/>
    </row>
    <row r="39" spans="1:4" x14ac:dyDescent="0.25">
      <c r="A39" s="17"/>
      <c r="B39" s="266"/>
      <c r="C39" s="16"/>
      <c r="D39" s="16"/>
    </row>
    <row r="40" spans="1:4" x14ac:dyDescent="0.25">
      <c r="A40" s="255"/>
      <c r="B40" s="255"/>
      <c r="C40" s="255"/>
      <c r="D4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4"/>
    </sheetView>
  </sheetViews>
  <sheetFormatPr defaultRowHeight="15" x14ac:dyDescent="0.25"/>
  <cols>
    <col min="1" max="1" width="10.140625" customWidth="1"/>
    <col min="2" max="2" width="18" customWidth="1"/>
    <col min="3" max="3" width="17.85546875" customWidth="1"/>
    <col min="4" max="4" width="22" customWidth="1"/>
    <col min="5" max="5" width="19.42578125" customWidth="1"/>
    <col min="6" max="6" width="10.5703125" customWidth="1"/>
  </cols>
  <sheetData>
    <row r="1" spans="1:6" ht="16.5" thickTop="1" thickBot="1" x14ac:dyDescent="0.3">
      <c r="A1" s="113" t="s">
        <v>272</v>
      </c>
      <c r="B1" s="114" t="s">
        <v>273</v>
      </c>
      <c r="C1" s="114" t="s">
        <v>274</v>
      </c>
      <c r="D1" s="114" t="s">
        <v>275</v>
      </c>
      <c r="E1" s="114" t="s">
        <v>276</v>
      </c>
      <c r="F1" s="158" t="s">
        <v>277</v>
      </c>
    </row>
    <row r="2" spans="1:6" ht="15.75" thickTop="1" x14ac:dyDescent="0.25">
      <c r="A2" s="214" t="s">
        <v>378</v>
      </c>
      <c r="B2" s="215">
        <v>1</v>
      </c>
      <c r="C2" s="216">
        <v>1000</v>
      </c>
      <c r="D2" s="188">
        <v>0.34</v>
      </c>
      <c r="E2" s="187">
        <f>SUM(C2*D2)</f>
        <v>340</v>
      </c>
      <c r="F2" s="189">
        <f>SUM(E2*B2+C2*B2)</f>
        <v>1340</v>
      </c>
    </row>
    <row r="3" spans="1:6" ht="15.75" thickBot="1" x14ac:dyDescent="0.3">
      <c r="A3" s="162" t="s">
        <v>379</v>
      </c>
      <c r="B3" s="142">
        <v>1</v>
      </c>
      <c r="C3" s="187">
        <v>1000</v>
      </c>
      <c r="D3" s="188">
        <v>0.34</v>
      </c>
      <c r="E3" s="187">
        <f>SUM(C3*D3)</f>
        <v>340</v>
      </c>
      <c r="F3" s="189">
        <f>SUM(E3*B3+C3*B3)</f>
        <v>1340</v>
      </c>
    </row>
    <row r="4" spans="1:6" ht="16.5" thickTop="1" thickBot="1" x14ac:dyDescent="0.3">
      <c r="A4" s="113" t="s">
        <v>81</v>
      </c>
      <c r="B4" s="114"/>
      <c r="C4" s="114"/>
      <c r="D4" s="114"/>
      <c r="E4" s="114"/>
      <c r="F4" s="120">
        <f>SUM(F2:F3)</f>
        <v>2680</v>
      </c>
    </row>
    <row r="5" spans="1:6" ht="15.75" thickTop="1" x14ac:dyDescent="0.25"/>
    <row r="7" spans="1:6" x14ac:dyDescent="0.25">
      <c r="A7" s="255"/>
      <c r="B7" s="255"/>
      <c r="C7" s="255"/>
      <c r="D7" s="255"/>
      <c r="E7" s="255"/>
      <c r="F7" s="255"/>
    </row>
    <row r="8" spans="1:6" x14ac:dyDescent="0.25">
      <c r="A8" s="263"/>
      <c r="B8" s="263"/>
      <c r="C8" s="264"/>
      <c r="D8" s="260"/>
      <c r="E8" s="16"/>
      <c r="F8" s="16"/>
    </row>
    <row r="9" spans="1:6" x14ac:dyDescent="0.25">
      <c r="A9" s="17"/>
      <c r="B9" s="17"/>
      <c r="C9" s="16"/>
      <c r="D9" s="260"/>
      <c r="E9" s="16"/>
      <c r="F9" s="16"/>
    </row>
    <row r="10" spans="1:6" x14ac:dyDescent="0.25">
      <c r="A10" s="255"/>
      <c r="B10" s="255"/>
      <c r="C10" s="255"/>
      <c r="D10" s="255"/>
      <c r="E10" s="255"/>
      <c r="F10" s="15"/>
    </row>
    <row r="11" spans="1:6" x14ac:dyDescent="0.25">
      <c r="A11" s="17"/>
      <c r="B11" s="17"/>
      <c r="C11" s="17"/>
      <c r="D11" s="17"/>
      <c r="E11" s="17"/>
      <c r="F11" s="17"/>
    </row>
    <row r="12" spans="1:6" x14ac:dyDescent="0.25">
      <c r="A12" s="17"/>
      <c r="B12" s="17"/>
      <c r="C12" s="17"/>
      <c r="D12" s="17"/>
      <c r="E12" s="17"/>
      <c r="F12" s="17"/>
    </row>
    <row r="13" spans="1:6" x14ac:dyDescent="0.25">
      <c r="A13" s="255"/>
      <c r="B13" s="255"/>
      <c r="C13" s="255"/>
      <c r="D13" s="255"/>
      <c r="E13" s="255"/>
      <c r="F13" s="255"/>
    </row>
    <row r="14" spans="1:6" x14ac:dyDescent="0.25">
      <c r="A14" s="263"/>
      <c r="B14" s="263"/>
      <c r="C14" s="264"/>
      <c r="D14" s="260"/>
      <c r="E14" s="16"/>
      <c r="F14" s="16"/>
    </row>
    <row r="15" spans="1:6" x14ac:dyDescent="0.25">
      <c r="A15" s="17"/>
      <c r="B15" s="17"/>
      <c r="C15" s="16"/>
      <c r="D15" s="260"/>
      <c r="E15" s="16"/>
      <c r="F15" s="16"/>
    </row>
    <row r="16" spans="1:6" x14ac:dyDescent="0.25">
      <c r="A16" s="255"/>
      <c r="B16" s="255"/>
      <c r="C16" s="255"/>
      <c r="D16" s="255"/>
      <c r="E16" s="255"/>
      <c r="F16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EstimativadeCustoUnitario</vt:lpstr>
      <vt:lpstr>EstimativadosInvestimentosFixos</vt:lpstr>
      <vt:lpstr>CapitaldeGiro</vt:lpstr>
      <vt:lpstr>EstudodeFornecedores</vt:lpstr>
      <vt:lpstr>InvestimentosPreOperacionais</vt:lpstr>
      <vt:lpstr>InvestimentoTotal</vt:lpstr>
      <vt:lpstr>CustosdeComercialização</vt:lpstr>
      <vt:lpstr>CustodosMateriaisDiretos</vt:lpstr>
      <vt:lpstr>CustoscomMãodeObra</vt:lpstr>
      <vt:lpstr>CustosFixosOperacionaisMensais</vt:lpstr>
      <vt:lpstr>DemonstrativodeResultado</vt:lpstr>
      <vt:lpstr>IndicadoresdeViabilidade</vt:lpstr>
      <vt:lpstr>CustocomDepreciação</vt:lpstr>
      <vt:lpstr>EstimativadoFaturamentoMensal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2018-06-01T07:18:43Z</dcterms:created>
  <dcterms:modified xsi:type="dcterms:W3CDTF">2018-06-10T19:20:42Z</dcterms:modified>
</cp:coreProperties>
</file>