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7382DEB-73D5-43E3-B4DE-8323065E85D5}" xr6:coauthVersionLast="47" xr6:coauthVersionMax="47" xr10:uidLastSave="{00000000-0000-0000-0000-000000000000}"/>
  <bookViews>
    <workbookView xWindow="-110" yWindow="-110" windowWidth="19420" windowHeight="10420" xr2:uid="{7FE4CE45-C507-4767-BB12-FFE758A63766}"/>
  </bookViews>
  <sheets>
    <sheet name="Feuil1" sheetId="1" r:id="rId1"/>
    <sheet name="Feuil2" sheetId="33" r:id="rId2"/>
    <sheet name="XLSTAT_20220111_140947_1_HID" sheetId="32" state="hidden" r:id="rId3"/>
    <sheet name="XLSTAT_20220111_115245_1_HID" sheetId="30" state="hidden" r:id="rId4"/>
    <sheet name="XLSTAT_20220111_114934_1_HID" sheetId="28" state="hidden" r:id="rId5"/>
  </sheets>
  <definedNames>
    <definedName name="xdata1" localSheetId="4" hidden="1">XLSTAT_20220111_114934_1_HID!$C$1:$C$70</definedName>
    <definedName name="xdata1" localSheetId="3" hidden="1">XLSTAT_20220111_115245_1_HID!$C$1:$C$70</definedName>
    <definedName name="xdata1" localSheetId="2" hidden="1">XLSTAT_20220111_140947_1_HID!$C$1:$C$70</definedName>
    <definedName name="xdata1" hidden="1">#REF!</definedName>
    <definedName name="xdata2" localSheetId="4" hidden="1">XLSTAT_20220111_114934_1_HID!$G$1:$G$70</definedName>
    <definedName name="xdata2" localSheetId="3" hidden="1">XLSTAT_20220111_115245_1_HID!$G$1:$G$70</definedName>
    <definedName name="xdata2" localSheetId="2" hidden="1">XLSTAT_20220111_140947_1_HID!$G$1:$G$70</definedName>
    <definedName name="xdata2" hidden="1">#REF!</definedName>
    <definedName name="xdata3" localSheetId="2" hidden="1">XLSTAT_20220111_140947_1_HID!$K$1:$K$100</definedName>
    <definedName name="xdata4" localSheetId="2" hidden="1">XLSTAT_20220111_140947_1_HID!$O$1:$O$100</definedName>
    <definedName name="xdata5" localSheetId="2" hidden="1">XLSTAT_20220111_140947_1_HID!$S$1:$S$70</definedName>
    <definedName name="xdata6" localSheetId="2" hidden="1">XLSTAT_20220111_140947_1_HID!$W$1:$W$70</definedName>
    <definedName name="ydata1" localSheetId="4" hidden="1">XLSTAT_20220111_114934_1_HID!$D$1:$D$70</definedName>
    <definedName name="ydata1" localSheetId="3" hidden="1">XLSTAT_20220111_115245_1_HID!$D$1:$D$70</definedName>
    <definedName name="ydata1" localSheetId="2" hidden="1">XLSTAT_20220111_140947_1_HID!$D$1:$D$70</definedName>
    <definedName name="ydata1" hidden="1">#REF!</definedName>
    <definedName name="ydata2" localSheetId="4" hidden="1">XLSTAT_20220111_114934_1_HID!$H$1:$H$70</definedName>
    <definedName name="ydata2" localSheetId="3" hidden="1">XLSTAT_20220111_115245_1_HID!$H$1:$H$70</definedName>
    <definedName name="ydata2" localSheetId="2" hidden="1">XLSTAT_20220111_140947_1_HID!$H$1:$H$70</definedName>
    <definedName name="ydata2" hidden="1">#REF!</definedName>
    <definedName name="ydata3" localSheetId="2" hidden="1">XLSTAT_20220111_140947_1_HID!$L$1:$L$100</definedName>
    <definedName name="ydata4" localSheetId="2" hidden="1">XLSTAT_20220111_140947_1_HID!$P$1:$P$100</definedName>
    <definedName name="ydata5" localSheetId="2" hidden="1">XLSTAT_20220111_140947_1_HID!$T$1:$T$70</definedName>
    <definedName name="ydata6" localSheetId="2" hidden="1">XLSTAT_20220111_140947_1_HID!$X$1:$X$70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P4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X43" i="1"/>
  <c r="Y43" i="1"/>
  <c r="Z43" i="1"/>
  <c r="AB24" i="1"/>
  <c r="AA24" i="1"/>
  <c r="AB7" i="1"/>
  <c r="AA7" i="1"/>
  <c r="AB6" i="1"/>
  <c r="AA6" i="1"/>
  <c r="AB14" i="1"/>
  <c r="AA14" i="1"/>
  <c r="AB31" i="1"/>
  <c r="AA31" i="1"/>
  <c r="AB2" i="1"/>
  <c r="AA2" i="1"/>
  <c r="AB8" i="1"/>
  <c r="AA8" i="1"/>
  <c r="AB15" i="1"/>
  <c r="AA15" i="1"/>
  <c r="AB30" i="1"/>
  <c r="AA30" i="1"/>
  <c r="AB4" i="1"/>
  <c r="AA4" i="1"/>
  <c r="AB13" i="1"/>
  <c r="AA13" i="1"/>
  <c r="P13" i="33" l="1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X1" i="32"/>
  <c r="X2" i="32"/>
  <c r="X3" i="32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X18" i="32"/>
  <c r="X19" i="32"/>
  <c r="X20" i="32"/>
  <c r="X21" i="32"/>
  <c r="X22" i="32"/>
  <c r="X23" i="32"/>
  <c r="X24" i="32"/>
  <c r="X25" i="32"/>
  <c r="X26" i="32"/>
  <c r="X27" i="32"/>
  <c r="X28" i="32"/>
  <c r="X29" i="32"/>
  <c r="X30" i="32"/>
  <c r="X31" i="32"/>
  <c r="X32" i="32"/>
  <c r="X33" i="32"/>
  <c r="X34" i="32"/>
  <c r="X35" i="32"/>
  <c r="X36" i="32"/>
  <c r="X37" i="32"/>
  <c r="X38" i="32"/>
  <c r="X39" i="32"/>
  <c r="X40" i="32"/>
  <c r="X41" i="32"/>
  <c r="X42" i="32"/>
  <c r="X43" i="32"/>
  <c r="X44" i="32"/>
  <c r="X45" i="32"/>
  <c r="X46" i="32"/>
  <c r="X47" i="32"/>
  <c r="X48" i="32"/>
  <c r="X49" i="32"/>
  <c r="X50" i="32"/>
  <c r="X51" i="32"/>
  <c r="X52" i="32"/>
  <c r="X53" i="32"/>
  <c r="X54" i="32"/>
  <c r="X55" i="32"/>
  <c r="X56" i="32"/>
  <c r="X57" i="32"/>
  <c r="X58" i="32"/>
  <c r="X59" i="32"/>
  <c r="X60" i="32"/>
  <c r="X61" i="32"/>
  <c r="X62" i="32"/>
  <c r="X63" i="32"/>
  <c r="X64" i="32"/>
  <c r="X65" i="32"/>
  <c r="X66" i="32"/>
  <c r="X67" i="32"/>
  <c r="X68" i="32"/>
  <c r="X69" i="32"/>
  <c r="X70" i="32"/>
  <c r="W1" i="32"/>
  <c r="W2" i="32"/>
  <c r="W3" i="32"/>
  <c r="W4" i="32"/>
  <c r="W5" i="32"/>
  <c r="W6" i="32"/>
  <c r="W7" i="32"/>
  <c r="W8" i="32"/>
  <c r="W9" i="32"/>
  <c r="W10" i="32"/>
  <c r="W11" i="32"/>
  <c r="W12" i="32"/>
  <c r="W13" i="32"/>
  <c r="W14" i="32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W47" i="32"/>
  <c r="W48" i="32"/>
  <c r="W49" i="32"/>
  <c r="W50" i="32"/>
  <c r="W51" i="32"/>
  <c r="W52" i="32"/>
  <c r="W53" i="32"/>
  <c r="W54" i="32"/>
  <c r="W55" i="32"/>
  <c r="W56" i="32"/>
  <c r="W57" i="32"/>
  <c r="W58" i="32"/>
  <c r="W59" i="32"/>
  <c r="W60" i="32"/>
  <c r="W61" i="32"/>
  <c r="W62" i="32"/>
  <c r="W63" i="32"/>
  <c r="W64" i="32"/>
  <c r="W65" i="32"/>
  <c r="W66" i="32"/>
  <c r="W67" i="32"/>
  <c r="W68" i="32"/>
  <c r="W69" i="32"/>
  <c r="W70" i="32"/>
  <c r="T1" i="32"/>
  <c r="T2" i="32"/>
  <c r="T3" i="32"/>
  <c r="T4" i="32"/>
  <c r="T5" i="32"/>
  <c r="T6" i="32"/>
  <c r="T7" i="32"/>
  <c r="T8" i="32"/>
  <c r="T9" i="32"/>
  <c r="T10" i="32"/>
  <c r="T11" i="32"/>
  <c r="T12" i="32"/>
  <c r="T13" i="32"/>
  <c r="T14" i="32"/>
  <c r="T15" i="32"/>
  <c r="T16" i="32"/>
  <c r="T17" i="32"/>
  <c r="T18" i="32"/>
  <c r="T19" i="32"/>
  <c r="T20" i="32"/>
  <c r="T21" i="32"/>
  <c r="T22" i="32"/>
  <c r="T23" i="32"/>
  <c r="T24" i="32"/>
  <c r="T25" i="32"/>
  <c r="T26" i="32"/>
  <c r="T27" i="32"/>
  <c r="T28" i="32"/>
  <c r="T29" i="32"/>
  <c r="T30" i="32"/>
  <c r="T31" i="32"/>
  <c r="T32" i="32"/>
  <c r="T33" i="32"/>
  <c r="T34" i="32"/>
  <c r="T35" i="32"/>
  <c r="T36" i="32"/>
  <c r="T37" i="32"/>
  <c r="T38" i="32"/>
  <c r="T39" i="32"/>
  <c r="T40" i="32"/>
  <c r="T41" i="32"/>
  <c r="T42" i="32"/>
  <c r="T43" i="32"/>
  <c r="T44" i="32"/>
  <c r="T45" i="32"/>
  <c r="T46" i="32"/>
  <c r="T47" i="32"/>
  <c r="T48" i="32"/>
  <c r="T49" i="32"/>
  <c r="T50" i="32"/>
  <c r="T51" i="32"/>
  <c r="T52" i="32"/>
  <c r="T53" i="32"/>
  <c r="T54" i="32"/>
  <c r="T55" i="32"/>
  <c r="T56" i="32"/>
  <c r="T57" i="32"/>
  <c r="T58" i="32"/>
  <c r="T59" i="32"/>
  <c r="T60" i="32"/>
  <c r="T61" i="32"/>
  <c r="T62" i="32"/>
  <c r="T63" i="32"/>
  <c r="T64" i="32"/>
  <c r="T65" i="32"/>
  <c r="T66" i="32"/>
  <c r="T67" i="32"/>
  <c r="T68" i="32"/>
  <c r="T69" i="32"/>
  <c r="T70" i="32"/>
  <c r="S1" i="32"/>
  <c r="S2" i="32"/>
  <c r="S3" i="32"/>
  <c r="S4" i="32"/>
  <c r="S5" i="32"/>
  <c r="S6" i="32"/>
  <c r="S7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27" i="32"/>
  <c r="S28" i="32"/>
  <c r="S29" i="32"/>
  <c r="S30" i="32"/>
  <c r="S31" i="32"/>
  <c r="S32" i="32"/>
  <c r="S33" i="32"/>
  <c r="S34" i="32"/>
  <c r="S35" i="32"/>
  <c r="S36" i="32"/>
  <c r="S37" i="32"/>
  <c r="S38" i="32"/>
  <c r="S39" i="32"/>
  <c r="S40" i="32"/>
  <c r="S41" i="32"/>
  <c r="S42" i="32"/>
  <c r="S43" i="32"/>
  <c r="S44" i="32"/>
  <c r="S45" i="32"/>
  <c r="S46" i="32"/>
  <c r="S47" i="32"/>
  <c r="S48" i="32"/>
  <c r="S49" i="32"/>
  <c r="S50" i="32"/>
  <c r="S51" i="32"/>
  <c r="S52" i="32"/>
  <c r="S53" i="32"/>
  <c r="S54" i="32"/>
  <c r="S55" i="32"/>
  <c r="S56" i="32"/>
  <c r="S57" i="32"/>
  <c r="S58" i="32"/>
  <c r="S59" i="32"/>
  <c r="S60" i="32"/>
  <c r="S61" i="32"/>
  <c r="S62" i="32"/>
  <c r="S63" i="32"/>
  <c r="S64" i="32"/>
  <c r="S65" i="32"/>
  <c r="S66" i="32"/>
  <c r="S67" i="32"/>
  <c r="S68" i="32"/>
  <c r="S69" i="32"/>
  <c r="S70" i="32"/>
  <c r="P1" i="32"/>
  <c r="P2" i="32"/>
  <c r="P3" i="32"/>
  <c r="P4" i="32"/>
  <c r="P5" i="32"/>
  <c r="P6" i="32"/>
  <c r="P7" i="32"/>
  <c r="P8" i="32"/>
  <c r="P9" i="32"/>
  <c r="P10" i="32"/>
  <c r="P11" i="32"/>
  <c r="P12" i="32"/>
  <c r="P13" i="32"/>
  <c r="P14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P58" i="32"/>
  <c r="P59" i="32"/>
  <c r="P60" i="32"/>
  <c r="P61" i="32"/>
  <c r="P62" i="32"/>
  <c r="P63" i="32"/>
  <c r="P64" i="32"/>
  <c r="P65" i="32"/>
  <c r="P66" i="32"/>
  <c r="P67" i="32"/>
  <c r="P68" i="32"/>
  <c r="P69" i="32"/>
  <c r="P70" i="32"/>
  <c r="P71" i="32"/>
  <c r="P72" i="32"/>
  <c r="P73" i="32"/>
  <c r="P74" i="32"/>
  <c r="P75" i="32"/>
  <c r="P76" i="32"/>
  <c r="P77" i="32"/>
  <c r="P78" i="32"/>
  <c r="P79" i="32"/>
  <c r="P80" i="32"/>
  <c r="P81" i="32"/>
  <c r="P82" i="32"/>
  <c r="P83" i="32"/>
  <c r="P84" i="32"/>
  <c r="P85" i="32"/>
  <c r="P86" i="32"/>
  <c r="P87" i="32"/>
  <c r="P88" i="32"/>
  <c r="P89" i="32"/>
  <c r="P90" i="32"/>
  <c r="P91" i="32"/>
  <c r="P92" i="32"/>
  <c r="P93" i="32"/>
  <c r="P94" i="32"/>
  <c r="P95" i="32"/>
  <c r="P96" i="32"/>
  <c r="P97" i="32"/>
  <c r="P98" i="32"/>
  <c r="P99" i="32"/>
  <c r="P100" i="32"/>
  <c r="O1" i="32"/>
  <c r="O2" i="32"/>
  <c r="O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95" i="32"/>
  <c r="O96" i="32"/>
  <c r="O97" i="32"/>
  <c r="O98" i="32"/>
  <c r="O99" i="32"/>
  <c r="O100" i="32"/>
  <c r="L1" i="32"/>
  <c r="L2" i="32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L58" i="32"/>
  <c r="L59" i="32"/>
  <c r="L60" i="32"/>
  <c r="L61" i="32"/>
  <c r="L62" i="32"/>
  <c r="L63" i="32"/>
  <c r="L64" i="32"/>
  <c r="L65" i="32"/>
  <c r="L66" i="32"/>
  <c r="L67" i="32"/>
  <c r="L68" i="32"/>
  <c r="L69" i="32"/>
  <c r="L70" i="32"/>
  <c r="L71" i="32"/>
  <c r="L72" i="32"/>
  <c r="L73" i="32"/>
  <c r="L74" i="32"/>
  <c r="L75" i="32"/>
  <c r="L76" i="32"/>
  <c r="L77" i="32"/>
  <c r="L78" i="32"/>
  <c r="L79" i="32"/>
  <c r="L80" i="32"/>
  <c r="L81" i="32"/>
  <c r="L82" i="32"/>
  <c r="L83" i="32"/>
  <c r="L84" i="32"/>
  <c r="L85" i="32"/>
  <c r="L86" i="32"/>
  <c r="L87" i="32"/>
  <c r="L88" i="32"/>
  <c r="L89" i="32"/>
  <c r="L90" i="32"/>
  <c r="L91" i="32"/>
  <c r="L92" i="32"/>
  <c r="L93" i="32"/>
  <c r="L94" i="32"/>
  <c r="L95" i="32"/>
  <c r="L96" i="32"/>
  <c r="L97" i="32"/>
  <c r="L98" i="32"/>
  <c r="L99" i="32"/>
  <c r="L100" i="32"/>
  <c r="K1" i="32"/>
  <c r="K2" i="32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K97" i="32"/>
  <c r="K98" i="32"/>
  <c r="K99" i="32"/>
  <c r="K100" i="32"/>
  <c r="H1" i="32"/>
  <c r="H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G1" i="32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D1" i="32"/>
  <c r="D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C1" i="32"/>
  <c r="C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H1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G1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D1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C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H1" i="28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G1" i="28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D1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C1" i="28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</calcChain>
</file>

<file path=xl/sharedStrings.xml><?xml version="1.0" encoding="utf-8"?>
<sst xmlns="http://schemas.openxmlformats.org/spreadsheetml/2006/main" count="76" uniqueCount="70">
  <si>
    <t>MDDN</t>
  </si>
  <si>
    <t>MDUN</t>
  </si>
  <si>
    <t>VMDN</t>
  </si>
  <si>
    <t>VMUN</t>
  </si>
  <si>
    <t>TPVDN</t>
  </si>
  <si>
    <t>TPVUN</t>
  </si>
  <si>
    <t>AMPDN</t>
  </si>
  <si>
    <t>AMPUN</t>
  </si>
  <si>
    <t>sub-04AM</t>
  </si>
  <si>
    <t>sub-11VP</t>
  </si>
  <si>
    <t>sub-12CB</t>
  </si>
  <si>
    <t>sub-13CB</t>
  </si>
  <si>
    <t>sub-14LG</t>
  </si>
  <si>
    <t>sub-15AV</t>
  </si>
  <si>
    <t>sub-16CG</t>
  </si>
  <si>
    <t>sub-17TS</t>
  </si>
  <si>
    <t>sub-18JE</t>
  </si>
  <si>
    <t>sub-19AW</t>
  </si>
  <si>
    <t>sub-20EP</t>
  </si>
  <si>
    <t>sub-22ML</t>
  </si>
  <si>
    <t>sub-23TJ</t>
  </si>
  <si>
    <t>sub-28AP</t>
  </si>
  <si>
    <t>sub-29BL</t>
  </si>
  <si>
    <t>sub-30AC</t>
  </si>
  <si>
    <t>sub-31LB</t>
  </si>
  <si>
    <t>sub-33MW</t>
  </si>
  <si>
    <t>sub-34GB</t>
  </si>
  <si>
    <t>sub-35AF</t>
  </si>
  <si>
    <t>sub-36LM</t>
  </si>
  <si>
    <t>sub-37NC</t>
  </si>
  <si>
    <t>sub-38LB</t>
  </si>
  <si>
    <t>sub-39TF</t>
  </si>
  <si>
    <t>sub-40BK</t>
  </si>
  <si>
    <t>sub-41SM</t>
  </si>
  <si>
    <t>sub-42LL</t>
  </si>
  <si>
    <t>sub-43GM</t>
  </si>
  <si>
    <t>sub-45LG</t>
  </si>
  <si>
    <t>sub-46ZZ</t>
  </si>
  <si>
    <t>sub-48NO</t>
  </si>
  <si>
    <t>sub-49SA</t>
  </si>
  <si>
    <t>sub-50MA</t>
  </si>
  <si>
    <t>sub-51EM</t>
  </si>
  <si>
    <t>sub-52FA</t>
  </si>
  <si>
    <t>sub-53AT</t>
  </si>
  <si>
    <t>sub-54EL</t>
  </si>
  <si>
    <t>sub-55CE</t>
  </si>
  <si>
    <t>sub-56YO</t>
  </si>
  <si>
    <t>sub-57KE</t>
  </si>
  <si>
    <t>sub-58GA</t>
  </si>
  <si>
    <t>MDDS</t>
  </si>
  <si>
    <t>MDUS</t>
  </si>
  <si>
    <t>VMDS</t>
  </si>
  <si>
    <t>VMUS</t>
  </si>
  <si>
    <t>TPVDS</t>
  </si>
  <si>
    <t>TPVUS</t>
  </si>
  <si>
    <t>AMPDS</t>
  </si>
  <si>
    <t>AMPUS</t>
  </si>
  <si>
    <t>MDDF</t>
  </si>
  <si>
    <t>MDUF</t>
  </si>
  <si>
    <t>VMDF</t>
  </si>
  <si>
    <t>VMUF</t>
  </si>
  <si>
    <t>TPVDF</t>
  </si>
  <si>
    <t>TPVUF</t>
  </si>
  <si>
    <t>AMPDF</t>
  </si>
  <si>
    <t>AMPUF</t>
  </si>
  <si>
    <t>id</t>
  </si>
  <si>
    <t>TPVDN2</t>
  </si>
  <si>
    <t>TPVUN3</t>
  </si>
  <si>
    <t>Colonne1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</si>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</sst>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2" fontId="0" fillId="0" borderId="3" xfId="0" applyNumberFormat="1" applyBorder="1" applyAlignment="1">
      <alignment horizontal="right"/>
    </xf>
    <xf numFmtId="2" fontId="0" fillId="0" borderId="0" xfId="0" applyNumberFormat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57"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Feuil2!$A$2</c:f>
              <c:strCache>
                <c:ptCount val="1"/>
                <c:pt idx="0">
                  <c:v>TPVDN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Feuil2!$B$1:$P$1</c:f>
              <c:numCache>
                <c:formatCode>General</c:formatCode>
                <c:ptCount val="15"/>
                <c:pt idx="0">
                  <c:v>0.23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0.32</c:v>
                </c:pt>
                <c:pt idx="4">
                  <c:v>0.35</c:v>
                </c:pt>
                <c:pt idx="5">
                  <c:v>0.38</c:v>
                </c:pt>
                <c:pt idx="6">
                  <c:v>0.41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0.59</c:v>
                </c:pt>
                <c:pt idx="13">
                  <c:v>0.62</c:v>
                </c:pt>
                <c:pt idx="14">
                  <c:v>0.65</c:v>
                </c:pt>
              </c:numCache>
            </c:numRef>
          </c:cat>
          <c:val>
            <c:numRef>
              <c:f>Feuil2!$B$2:$P$2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2F-4D31-B191-4CE0ED1A2D19}"/>
            </c:ext>
          </c:extLst>
        </c:ser>
        <c:ser>
          <c:idx val="1"/>
          <c:order val="1"/>
          <c:tx>
            <c:strRef>
              <c:f>Feuil2!$A$3</c:f>
              <c:strCache>
                <c:ptCount val="1"/>
                <c:pt idx="0">
                  <c:v>TPVUN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Feuil2!$B$1:$P$1</c:f>
              <c:numCache>
                <c:formatCode>General</c:formatCode>
                <c:ptCount val="15"/>
                <c:pt idx="0">
                  <c:v>0.23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0.32</c:v>
                </c:pt>
                <c:pt idx="4">
                  <c:v>0.35</c:v>
                </c:pt>
                <c:pt idx="5">
                  <c:v>0.38</c:v>
                </c:pt>
                <c:pt idx="6">
                  <c:v>0.41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0.59</c:v>
                </c:pt>
                <c:pt idx="13">
                  <c:v>0.62</c:v>
                </c:pt>
                <c:pt idx="14">
                  <c:v>0.65</c:v>
                </c:pt>
              </c:numCache>
            </c:numRef>
          </c:cat>
          <c:val>
            <c:numRef>
              <c:f>Feuil2!$B$3:$P$3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2F-4D31-B191-4CE0ED1A2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61200"/>
        <c:axId val="589056936"/>
      </c:lineChart>
      <c:catAx>
        <c:axId val="5890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56936"/>
        <c:crosses val="autoZero"/>
        <c:auto val="1"/>
        <c:lblAlgn val="ctr"/>
        <c:lblOffset val="100"/>
        <c:noMultiLvlLbl val="0"/>
      </c:catAx>
      <c:valAx>
        <c:axId val="589056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Feuil2!$A$7</c:f>
              <c:strCache>
                <c:ptCount val="1"/>
                <c:pt idx="0">
                  <c:v>TPVDS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Feuil2!$B$6:$P$6</c:f>
              <c:numCache>
                <c:formatCode>General</c:formatCode>
                <c:ptCount val="15"/>
                <c:pt idx="0">
                  <c:v>0.23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0.32</c:v>
                </c:pt>
                <c:pt idx="4">
                  <c:v>0.35</c:v>
                </c:pt>
                <c:pt idx="5">
                  <c:v>0.38</c:v>
                </c:pt>
                <c:pt idx="6">
                  <c:v>0.41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0.59</c:v>
                </c:pt>
                <c:pt idx="13">
                  <c:v>0.62</c:v>
                </c:pt>
                <c:pt idx="14">
                  <c:v>0.65</c:v>
                </c:pt>
              </c:numCache>
            </c:numRef>
          </c:cat>
          <c:val>
            <c:numRef>
              <c:f>Feuil2!$B$7:$P$7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96-45A1-A082-6326AFE40F59}"/>
            </c:ext>
          </c:extLst>
        </c:ser>
        <c:ser>
          <c:idx val="1"/>
          <c:order val="1"/>
          <c:tx>
            <c:strRef>
              <c:f>Feuil2!$A$8</c:f>
              <c:strCache>
                <c:ptCount val="1"/>
                <c:pt idx="0">
                  <c:v>TPVUS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Feuil2!$B$6:$P$6</c:f>
              <c:numCache>
                <c:formatCode>General</c:formatCode>
                <c:ptCount val="15"/>
                <c:pt idx="0">
                  <c:v>0.23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0.32</c:v>
                </c:pt>
                <c:pt idx="4">
                  <c:v>0.35</c:v>
                </c:pt>
                <c:pt idx="5">
                  <c:v>0.38</c:v>
                </c:pt>
                <c:pt idx="6">
                  <c:v>0.41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0.59</c:v>
                </c:pt>
                <c:pt idx="13">
                  <c:v>0.62</c:v>
                </c:pt>
                <c:pt idx="14">
                  <c:v>0.65</c:v>
                </c:pt>
              </c:numCache>
            </c:numRef>
          </c:cat>
          <c:val>
            <c:numRef>
              <c:f>Feuil2!$B$8:$P$8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96-45A1-A082-6326AFE4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11848"/>
        <c:axId val="580209880"/>
      </c:lineChart>
      <c:catAx>
        <c:axId val="58021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09880"/>
        <c:crosses val="autoZero"/>
        <c:auto val="1"/>
        <c:lblAlgn val="ctr"/>
        <c:lblOffset val="100"/>
        <c:noMultiLvlLbl val="0"/>
      </c:catAx>
      <c:valAx>
        <c:axId val="580209880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1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TPVF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Feuil2!$A$12</c:f>
              <c:strCache>
                <c:ptCount val="1"/>
                <c:pt idx="0">
                  <c:v>TPVDF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Feuil2!$B$11:$P$11</c:f>
              <c:numCache>
                <c:formatCode>General</c:formatCode>
                <c:ptCount val="15"/>
                <c:pt idx="0">
                  <c:v>0.23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0.32</c:v>
                </c:pt>
                <c:pt idx="4">
                  <c:v>0.35</c:v>
                </c:pt>
                <c:pt idx="5">
                  <c:v>0.38</c:v>
                </c:pt>
                <c:pt idx="6">
                  <c:v>0.41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0.59</c:v>
                </c:pt>
                <c:pt idx="13">
                  <c:v>0.62</c:v>
                </c:pt>
                <c:pt idx="14">
                  <c:v>0.65</c:v>
                </c:pt>
              </c:numCache>
            </c:numRef>
          </c:cat>
          <c:val>
            <c:numRef>
              <c:f>Feuil2!$B$12:$P$12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14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E4-471B-8D0A-8832E52A9377}"/>
            </c:ext>
          </c:extLst>
        </c:ser>
        <c:ser>
          <c:idx val="1"/>
          <c:order val="1"/>
          <c:tx>
            <c:strRef>
              <c:f>Feuil2!$A$13</c:f>
              <c:strCache>
                <c:ptCount val="1"/>
                <c:pt idx="0">
                  <c:v>TPVUF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Feuil2!$B$11:$P$11</c:f>
              <c:numCache>
                <c:formatCode>General</c:formatCode>
                <c:ptCount val="15"/>
                <c:pt idx="0">
                  <c:v>0.23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0.32</c:v>
                </c:pt>
                <c:pt idx="4">
                  <c:v>0.35</c:v>
                </c:pt>
                <c:pt idx="5">
                  <c:v>0.38</c:v>
                </c:pt>
                <c:pt idx="6">
                  <c:v>0.41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0.59</c:v>
                </c:pt>
                <c:pt idx="13">
                  <c:v>0.62</c:v>
                </c:pt>
                <c:pt idx="14">
                  <c:v>0.65</c:v>
                </c:pt>
              </c:numCache>
            </c:numRef>
          </c:cat>
          <c:val>
            <c:numRef>
              <c:f>Feuil2!$B$13:$P$13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E4-471B-8D0A-8832E52A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878280"/>
        <c:axId val="576878936"/>
      </c:lineChart>
      <c:catAx>
        <c:axId val="5768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8936"/>
        <c:crosses val="autoZero"/>
        <c:auto val="1"/>
        <c:lblAlgn val="ctr"/>
        <c:lblOffset val="100"/>
        <c:noMultiLvlLbl val="0"/>
      </c:catAx>
      <c:valAx>
        <c:axId val="576878936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26</xdr:row>
      <xdr:rowOff>114877</xdr:rowOff>
    </xdr:from>
    <xdr:to>
      <xdr:col>15</xdr:col>
      <xdr:colOff>669348</xdr:colOff>
      <xdr:row>39</xdr:row>
      <xdr:rowOff>23379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630B67-32EF-4476-A2BD-3969FC3FD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15</xdr:row>
      <xdr:rowOff>0</xdr:rowOff>
    </xdr:from>
    <xdr:to>
      <xdr:col>15</xdr:col>
      <xdr:colOff>637598</xdr:colOff>
      <xdr:row>26</xdr:row>
      <xdr:rowOff>99002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41C9F8-E7A6-4E3B-810D-E6191749C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26554</xdr:rowOff>
    </xdr:from>
    <xdr:to>
      <xdr:col>15</xdr:col>
      <xdr:colOff>669348</xdr:colOff>
      <xdr:row>51</xdr:row>
      <xdr:rowOff>81106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1884D52-9C06-4272-B5DD-0B5532AB6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93F84-DE9E-4A67-A23B-790B2C46C252}" name="Tableau1" displayName="Tableau1" ref="A1:AB43" totalsRowCount="1" headerRowDxfId="56">
  <autoFilter ref="A1:AB42" xr:uid="{BDD93F84-DE9E-4A67-A23B-790B2C46C252}"/>
  <sortState xmlns:xlrd2="http://schemas.microsoft.com/office/spreadsheetml/2017/richdata2" ref="A2:AB42">
    <sortCondition ref="F1:F42"/>
  </sortState>
  <tableColumns count="28">
    <tableColumn id="1" xr3:uid="{07EB122A-99DF-4B2D-BC92-B8464A75F3F3}" name="id" totalsRowLabel="Total" dataDxfId="55" totalsRowDxfId="27"/>
    <tableColumn id="2" xr3:uid="{9079173E-36C0-4618-84BD-CCDD653ACCF0}" name="MDDN" totalsRowFunction="custom" dataDxfId="54" totalsRowDxfId="26">
      <totalsRowFormula>STDEVA(Tableau1[MDDN])/SQRT(COUNT(Tableau1[MDDN]))</totalsRowFormula>
    </tableColumn>
    <tableColumn id="3" xr3:uid="{A0FBFC70-0C1D-4A03-ABB8-0FE32E1BEEDE}" name="MDUN" totalsRowFunction="custom" dataDxfId="53" totalsRowDxfId="25">
      <totalsRowFormula>_xlfn.STDEV.P(Tableau1[MDUN])</totalsRowFormula>
    </tableColumn>
    <tableColumn id="4" xr3:uid="{0851A76F-35DF-479F-AAA1-0EBF348219E4}" name="VMDN" totalsRowFunction="custom" dataDxfId="52" totalsRowDxfId="24">
      <totalsRowFormula>_xlfn.STDEV.P(Tableau1[VMDN])</totalsRowFormula>
    </tableColumn>
    <tableColumn id="5" xr3:uid="{57030F41-9569-4D7F-8DDB-0A54DA4B1F62}" name="VMUN" totalsRowFunction="custom" dataDxfId="51" totalsRowDxfId="23">
      <totalsRowFormula>_xlfn.STDEV.P(Tableau1[VMUN])</totalsRowFormula>
    </tableColumn>
    <tableColumn id="6" xr3:uid="{4AD352AB-D4B5-496F-ADE4-0441CAA7B0DB}" name="TPVDN" totalsRowFunction="custom" dataDxfId="50" totalsRowDxfId="22">
      <totalsRowFormula>_xlfn.STDEV.P(Tableau1[TPVDN])</totalsRowFormula>
    </tableColumn>
    <tableColumn id="7" xr3:uid="{304A6F69-68A0-4C7B-A35E-D8AD8E7FE83D}" name="TPVUN" totalsRowFunction="custom" dataDxfId="49" totalsRowDxfId="21">
      <totalsRowFormula>_xlfn.STDEV.P(Tableau1[TPVUN])</totalsRowFormula>
    </tableColumn>
    <tableColumn id="8" xr3:uid="{4E947B5E-AA3A-4227-97B5-0634049947A2}" name="AMPDN" totalsRowFunction="custom" dataDxfId="48" totalsRowDxfId="20">
      <totalsRowFormula>_xlfn.STDEV.P(Tableau1[AMPDN])</totalsRowFormula>
    </tableColumn>
    <tableColumn id="9" xr3:uid="{5A412F77-605A-4DC3-84A5-4760DFAC26F8}" name="AMPUN" totalsRowFunction="custom" dataDxfId="47" totalsRowDxfId="19">
      <totalsRowFormula>_xlfn.STDEV.P(Tableau1[AMPUN])</totalsRowFormula>
    </tableColumn>
    <tableColumn id="10" xr3:uid="{437665B1-EA80-4256-9953-B5C98AAB15EB}" name="MDDS" totalsRowFunction="custom" dataDxfId="46" totalsRowDxfId="18">
      <totalsRowFormula>_xlfn.STDEV.P(Tableau1[MDDS])</totalsRowFormula>
    </tableColumn>
    <tableColumn id="11" xr3:uid="{72119986-1687-465D-AB33-0E1BEE137D4A}" name="MDUS" totalsRowFunction="custom" dataDxfId="45" totalsRowDxfId="17">
      <totalsRowFormula>_xlfn.STDEV.P(Tableau1[MDUS])</totalsRowFormula>
    </tableColumn>
    <tableColumn id="12" xr3:uid="{3C090F62-7910-425A-B2BD-E10F8E4FB79D}" name="VMDS" totalsRowFunction="custom" dataDxfId="44" totalsRowDxfId="16">
      <totalsRowFormula>_xlfn.STDEV.P(Tableau1[VMDS])</totalsRowFormula>
    </tableColumn>
    <tableColumn id="13" xr3:uid="{29DFE91A-F116-439F-8038-9C7513497EF1}" name="VMUS" totalsRowFunction="custom" dataDxfId="43" totalsRowDxfId="15">
      <totalsRowFormula>_xlfn.STDEV.P(Tableau1[VMUS])</totalsRowFormula>
    </tableColumn>
    <tableColumn id="14" xr3:uid="{066E2040-E075-42AD-8EAA-E4822CF8C82E}" name="TPVDS" totalsRowFunction="custom" dataDxfId="42" totalsRowDxfId="14">
      <totalsRowFormula>_xlfn.STDEV.P(Tableau1[TPVDS])</totalsRowFormula>
    </tableColumn>
    <tableColumn id="15" xr3:uid="{F0BD233E-EEF0-4225-A355-10D156A51855}" name="TPVUS" totalsRowFunction="custom" dataDxfId="41" totalsRowDxfId="13">
      <totalsRowFormula>_xlfn.STDEV.P(Tableau1[TPVUS])</totalsRowFormula>
    </tableColumn>
    <tableColumn id="28" xr3:uid="{B773DCBE-6683-4E66-955C-874AEE8D8871}" name="Colonne1" totalsRowFunction="custom" dataDxfId="40" totalsRowDxfId="12">
      <calculatedColumnFormula>Tableau1[[#This Row],[TPVUS]]&gt;0.5</calculatedColumnFormula>
      <totalsRowFormula>COUNTIF(Tableau1[Colonne1],"FAUX")</totalsRowFormula>
    </tableColumn>
    <tableColumn id="16" xr3:uid="{4C80B4D5-6A4A-4EB2-A031-C65A7B9FA577}" name="AMPDS" totalsRowFunction="custom" dataDxfId="39" totalsRowDxfId="11">
      <totalsRowFormula>_xlfn.STDEV.P(Tableau1[AMPDS])</totalsRowFormula>
    </tableColumn>
    <tableColumn id="17" xr3:uid="{E78329AD-571D-4D07-906B-8BA87A2E1A5C}" name="AMPUS" totalsRowFunction="custom" dataDxfId="38" totalsRowDxfId="10">
      <totalsRowFormula>_xlfn.STDEV.P(Tableau1[AMPUS])</totalsRowFormula>
    </tableColumn>
    <tableColumn id="18" xr3:uid="{BA54C5C1-EC8D-45A6-B203-DFC785994B7B}" name="MDDF" totalsRowFunction="custom" dataDxfId="37" totalsRowDxfId="9">
      <totalsRowFormula>_xlfn.STDEV.P(Tableau1[MDDF])</totalsRowFormula>
    </tableColumn>
    <tableColumn id="19" xr3:uid="{2694BB86-AEA2-4D72-AA90-235C115147CD}" name="MDUF" totalsRowFunction="custom" dataDxfId="36" totalsRowDxfId="8">
      <totalsRowFormula>_xlfn.STDEV.P(Tableau1[MDUF])</totalsRowFormula>
    </tableColumn>
    <tableColumn id="20" xr3:uid="{23D1AEA6-BD13-4576-9E5A-494413D9661C}" name="VMDF" totalsRowFunction="custom" dataDxfId="35" totalsRowDxfId="7">
      <totalsRowFormula>_xlfn.STDEV.P(Tableau1[VMDF])</totalsRowFormula>
    </tableColumn>
    <tableColumn id="21" xr3:uid="{C098705A-04AB-4AA4-A8CF-1BA077A35138}" name="VMUF" totalsRowFunction="custom" dataDxfId="34" totalsRowDxfId="6">
      <totalsRowFormula>_xlfn.STDEV.P(Tableau1[VMUF])</totalsRowFormula>
    </tableColumn>
    <tableColumn id="22" xr3:uid="{C8C6D56A-5BAC-4EE2-B9BC-9BDEAF963CB2}" name="TPVDF" totalsRowFunction="custom" dataDxfId="33" totalsRowDxfId="5">
      <totalsRowFormula>_xlfn.STDEV.P(Tableau1[TPVDF])</totalsRowFormula>
    </tableColumn>
    <tableColumn id="23" xr3:uid="{C4D0F3FE-35ED-42EB-8996-3F9E33C878C4}" name="TPVUF" totalsRowFunction="custom" dataDxfId="32" totalsRowDxfId="4">
      <totalsRowFormula>_xlfn.STDEV.P(Tableau1[TPVUF])</totalsRowFormula>
    </tableColumn>
    <tableColumn id="24" xr3:uid="{B4FB9622-9A1D-43BB-A8CC-BD3807D69DCD}" name="AMPDF" totalsRowFunction="custom" dataDxfId="31" totalsRowDxfId="3">
      <totalsRowFormula>_xlfn.STDEV.P(Tableau1[AMPDF])</totalsRowFormula>
    </tableColumn>
    <tableColumn id="25" xr3:uid="{A12C2CAB-01FA-49C9-BA41-8F71A7C289B1}" name="AMPUF" totalsRowFunction="custom" dataDxfId="30" totalsRowDxfId="2">
      <totalsRowFormula>_xlfn.STDEV.P(Tableau1[AMPUF])</totalsRowFormula>
    </tableColumn>
    <tableColumn id="26" xr3:uid="{A5D24F14-712A-486C-9887-E24B2F93CC5E}" name="TPVDN2" dataDxfId="29" totalsRowDxfId="1"/>
    <tableColumn id="27" xr3:uid="{D3A0DED5-5066-4341-9D64-FC4DEBF3B299}" name="TPVUN3" dataDxfId="28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E1C4-4558-4C8F-992C-DA0B6980A35F}">
  <sheetPr codeName="Feuil1"/>
  <dimension ref="A1:AB43"/>
  <sheetViews>
    <sheetView tabSelected="1" zoomScale="85" zoomScaleNormal="85" workbookViewId="0">
      <selection activeCell="I36" sqref="I36"/>
    </sheetView>
  </sheetViews>
  <sheetFormatPr baseColWidth="10" defaultRowHeight="14.5" x14ac:dyDescent="0.35"/>
  <cols>
    <col min="2" max="2" width="11.81640625" bestFit="1" customWidth="1"/>
    <col min="27" max="27" width="14" bestFit="1" customWidth="1"/>
  </cols>
  <sheetData>
    <row r="1" spans="1:28" x14ac:dyDescent="0.35">
      <c r="A1" t="s">
        <v>65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68</v>
      </c>
      <c r="Q1" s="1" t="s">
        <v>55</v>
      </c>
      <c r="R1" s="2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66</v>
      </c>
      <c r="AB1" s="14" t="s">
        <v>67</v>
      </c>
    </row>
    <row r="2" spans="1:28" x14ac:dyDescent="0.35">
      <c r="A2" s="10" t="s">
        <v>43</v>
      </c>
      <c r="B2" s="3">
        <v>1.3590909090909</v>
      </c>
      <c r="C2" s="3">
        <v>1.2072727272727199</v>
      </c>
      <c r="D2" s="3">
        <v>737.41617595040998</v>
      </c>
      <c r="E2" s="3">
        <v>881.18309667500898</v>
      </c>
      <c r="F2" s="3">
        <v>0.41774007287742199</v>
      </c>
      <c r="G2" s="3">
        <v>0.39746560803888498</v>
      </c>
      <c r="H2" s="3">
        <v>540.92682265640804</v>
      </c>
      <c r="I2" s="4">
        <v>533.14681168285597</v>
      </c>
      <c r="J2" s="12">
        <v>2.98</v>
      </c>
      <c r="K2" s="12">
        <v>2.2654545454545398</v>
      </c>
      <c r="L2" s="3">
        <v>327.178609557615</v>
      </c>
      <c r="M2" s="3">
        <v>396.82246039647703</v>
      </c>
      <c r="N2" s="3">
        <v>0.27887088924861703</v>
      </c>
      <c r="O2" s="3">
        <v>0.35579419944728302</v>
      </c>
      <c r="P2" s="3" t="b">
        <f>Tableau1[[#This Row],[TPVUS]]&gt;0.5</f>
        <v>0</v>
      </c>
      <c r="Q2" s="3">
        <v>524.463040329102</v>
      </c>
      <c r="R2" s="3">
        <v>508.02877463616198</v>
      </c>
      <c r="S2" s="3">
        <v>0.42272727272727201</v>
      </c>
      <c r="T2" s="3">
        <v>0.35090909090909</v>
      </c>
      <c r="U2" s="3">
        <v>2601.8185959909401</v>
      </c>
      <c r="V2" s="3">
        <v>2579.3972646293901</v>
      </c>
      <c r="W2" s="3">
        <v>0.45375240762070101</v>
      </c>
      <c r="X2" s="3">
        <v>0.44370824336097497</v>
      </c>
      <c r="Y2" s="3">
        <v>530.52016618364701</v>
      </c>
      <c r="Z2" s="3">
        <v>491.344210655815</v>
      </c>
      <c r="AA2" s="12">
        <f>0.08/0.42</f>
        <v>0.19047619047619049</v>
      </c>
      <c r="AB2" s="12">
        <f>0.09/0.4</f>
        <v>0.22499999999999998</v>
      </c>
    </row>
    <row r="3" spans="1:28" x14ac:dyDescent="0.35">
      <c r="A3" s="10" t="s">
        <v>26</v>
      </c>
      <c r="B3" s="7">
        <v>1.0889473684210527</v>
      </c>
      <c r="C3" s="7">
        <v>0.96947368421052638</v>
      </c>
      <c r="D3" s="3">
        <v>885.33309646604346</v>
      </c>
      <c r="E3" s="3">
        <v>1195.0078946113424</v>
      </c>
      <c r="F3" s="3">
        <v>0.42547713256049563</v>
      </c>
      <c r="G3" s="3">
        <v>0.36905610037703962</v>
      </c>
      <c r="H3" s="3">
        <v>554.971183567347</v>
      </c>
      <c r="I3" s="4">
        <v>599.09424887076841</v>
      </c>
      <c r="J3" s="12">
        <v>1.9238888888888885</v>
      </c>
      <c r="K3" s="12">
        <v>1.6695</v>
      </c>
      <c r="L3" s="3">
        <v>536.98116999916022</v>
      </c>
      <c r="M3" s="3">
        <v>681.33163674887953</v>
      </c>
      <c r="N3" s="3">
        <v>0.42459182958209496</v>
      </c>
      <c r="O3" s="3">
        <v>0.34145275804688041</v>
      </c>
      <c r="P3" s="3" t="b">
        <f>Tableau1[[#This Row],[TPVUS]]&gt;0.5</f>
        <v>0</v>
      </c>
      <c r="Q3" s="3">
        <v>580.7212182355247</v>
      </c>
      <c r="R3" s="3">
        <v>596.49334995091249</v>
      </c>
      <c r="S3" s="3">
        <v>0.70666666666666655</v>
      </c>
      <c r="T3" s="3">
        <v>0.63157894736842091</v>
      </c>
      <c r="U3" s="3">
        <v>1440.3689967371761</v>
      </c>
      <c r="V3" s="3">
        <v>1772.0877545097067</v>
      </c>
      <c r="W3" s="3">
        <v>0.40305808865155279</v>
      </c>
      <c r="X3" s="3">
        <v>0.37438441937149397</v>
      </c>
      <c r="Y3" s="3">
        <v>582.64305901318835</v>
      </c>
      <c r="Z3" s="3">
        <v>630.57219319116484</v>
      </c>
      <c r="AA3" s="12">
        <v>0.24</v>
      </c>
      <c r="AB3" s="12">
        <v>0.17</v>
      </c>
    </row>
    <row r="4" spans="1:28" x14ac:dyDescent="0.35">
      <c r="A4" s="5" t="s">
        <v>39</v>
      </c>
      <c r="B4" s="3">
        <v>0.80545454545454498</v>
      </c>
      <c r="C4" s="3">
        <v>0.80454545454545401</v>
      </c>
      <c r="D4" s="3">
        <v>1391.0669308870099</v>
      </c>
      <c r="E4" s="3">
        <v>1446.7536207322</v>
      </c>
      <c r="F4" s="3">
        <v>0.43845420100214499</v>
      </c>
      <c r="G4" s="3">
        <v>0.48693633461812902</v>
      </c>
      <c r="H4" s="3">
        <v>591.93770461823703</v>
      </c>
      <c r="I4" s="4">
        <v>576.71429440862801</v>
      </c>
      <c r="J4" s="12">
        <v>1.60363636363636</v>
      </c>
      <c r="K4" s="12">
        <v>1.42363636363636</v>
      </c>
      <c r="L4" s="3">
        <v>657.59635236067504</v>
      </c>
      <c r="M4" s="3">
        <v>681.91456444398102</v>
      </c>
      <c r="N4" s="3">
        <v>0.34026802809911699</v>
      </c>
      <c r="O4" s="3">
        <v>0.51244110828637301</v>
      </c>
      <c r="P4" s="3" t="b">
        <f>Tableau1[[#This Row],[TPVUS]]&gt;0.5</f>
        <v>1</v>
      </c>
      <c r="Q4" s="3">
        <v>563.455136330291</v>
      </c>
      <c r="R4" s="3">
        <v>538.33358782318396</v>
      </c>
      <c r="S4" s="3">
        <v>0.397272727272727</v>
      </c>
      <c r="T4" s="3">
        <v>0.41909090909090901</v>
      </c>
      <c r="U4" s="3">
        <v>2780.08877395434</v>
      </c>
      <c r="V4" s="3">
        <v>2564.1887938998898</v>
      </c>
      <c r="W4" s="3">
        <v>0.40693065117341898</v>
      </c>
      <c r="X4" s="3">
        <v>0.46828952943714403</v>
      </c>
      <c r="Y4" s="3">
        <v>599.22669160447401</v>
      </c>
      <c r="Z4" s="3">
        <v>575.972593408796</v>
      </c>
      <c r="AA4" s="12">
        <f>0.06/0.44</f>
        <v>0.13636363636363635</v>
      </c>
      <c r="AB4" s="12">
        <f>0.06/0.49</f>
        <v>0.12244897959183673</v>
      </c>
    </row>
    <row r="5" spans="1:28" x14ac:dyDescent="0.35">
      <c r="A5" s="10" t="s">
        <v>17</v>
      </c>
      <c r="B5" s="13">
        <v>0.96461538461538443</v>
      </c>
      <c r="C5" s="13">
        <v>0.91999999999999993</v>
      </c>
      <c r="D5" s="3">
        <v>1133.0947970528537</v>
      </c>
      <c r="E5" s="3">
        <v>1146.6728122736154</v>
      </c>
      <c r="F5" s="3">
        <v>0.44345749711391835</v>
      </c>
      <c r="G5" s="3">
        <v>0.38250911510000207</v>
      </c>
      <c r="H5" s="3">
        <v>593.41130164063475</v>
      </c>
      <c r="I5" s="3">
        <v>568.60171889206038</v>
      </c>
      <c r="J5" s="12">
        <v>1.8637499999999998</v>
      </c>
      <c r="K5" s="12">
        <v>1.8776470588235294</v>
      </c>
      <c r="L5" s="3">
        <v>537.96189767482713</v>
      </c>
      <c r="M5" s="3">
        <v>518.20573759706599</v>
      </c>
      <c r="N5" s="3">
        <v>0.41338497822655379</v>
      </c>
      <c r="O5" s="3">
        <v>0.2983999298284275</v>
      </c>
      <c r="P5" s="3" t="b">
        <f>Tableau1[[#This Row],[TPVUS]]&gt;0.5</f>
        <v>0</v>
      </c>
      <c r="Q5" s="3">
        <v>579.98356372182525</v>
      </c>
      <c r="R5" s="3">
        <v>565.3196572826605</v>
      </c>
      <c r="S5" s="3">
        <v>0.82368421052631569</v>
      </c>
      <c r="T5" s="3">
        <v>0.6942105263157895</v>
      </c>
      <c r="U5" s="3">
        <v>1378.7402468124449</v>
      </c>
      <c r="V5" s="3">
        <v>1512.280150587811</v>
      </c>
      <c r="W5" s="3">
        <v>0.5207964085669754</v>
      </c>
      <c r="X5" s="3">
        <v>0.43813487250952327</v>
      </c>
      <c r="Y5" s="3">
        <v>590.71251916936149</v>
      </c>
      <c r="Z5" s="3">
        <v>583.59820399679404</v>
      </c>
      <c r="AA5" s="12">
        <v>0.27</v>
      </c>
      <c r="AB5" s="12">
        <v>0.24</v>
      </c>
    </row>
    <row r="6" spans="1:28" x14ac:dyDescent="0.35">
      <c r="A6" s="10" t="s">
        <v>46</v>
      </c>
      <c r="B6" s="3">
        <v>1.17</v>
      </c>
      <c r="C6" s="3">
        <v>0.96599999999999997</v>
      </c>
      <c r="D6" s="3">
        <v>793.40134172619196</v>
      </c>
      <c r="E6" s="3">
        <v>978.763802706766</v>
      </c>
      <c r="F6" s="3">
        <v>0.44625647170126798</v>
      </c>
      <c r="G6" s="3">
        <v>0.41537819050896801</v>
      </c>
      <c r="H6" s="3">
        <v>535.53880449986798</v>
      </c>
      <c r="I6" s="4">
        <v>534.05590746112205</v>
      </c>
      <c r="J6" s="12">
        <v>1.7418181818181799</v>
      </c>
      <c r="K6" s="12">
        <v>1.5554545454545401</v>
      </c>
      <c r="L6" s="3">
        <v>477.65556060440298</v>
      </c>
      <c r="M6" s="3">
        <v>552.34220588712606</v>
      </c>
      <c r="N6" s="3">
        <v>0.48081154573207702</v>
      </c>
      <c r="O6" s="3">
        <v>0.40134352723789901</v>
      </c>
      <c r="P6" s="3" t="b">
        <f>Tableau1[[#This Row],[TPVUS]]&gt;0.5</f>
        <v>0</v>
      </c>
      <c r="Q6" s="3">
        <v>495.43761673495999</v>
      </c>
      <c r="R6" s="3">
        <v>499.10559857250303</v>
      </c>
      <c r="S6" s="3">
        <v>0.36909090909090903</v>
      </c>
      <c r="T6" s="3">
        <v>0.37181818181818099</v>
      </c>
      <c r="U6" s="3">
        <v>3049.77289496909</v>
      </c>
      <c r="V6" s="3">
        <v>2777.53774451342</v>
      </c>
      <c r="W6" s="3">
        <v>0.47084502145477702</v>
      </c>
      <c r="X6" s="3">
        <v>0.46773383257657902</v>
      </c>
      <c r="Y6" s="3">
        <v>524.70376478728201</v>
      </c>
      <c r="Z6" s="3">
        <v>537.08076349424505</v>
      </c>
      <c r="AA6" s="12">
        <f>0.1/0.45</f>
        <v>0.22222222222222224</v>
      </c>
      <c r="AB6" s="12">
        <f>0.06/0.42</f>
        <v>0.14285714285714285</v>
      </c>
    </row>
    <row r="7" spans="1:28" x14ac:dyDescent="0.35">
      <c r="A7" s="5" t="s">
        <v>47</v>
      </c>
      <c r="B7" s="3">
        <v>1.29181818181818</v>
      </c>
      <c r="C7" s="3">
        <v>1.17545454545454</v>
      </c>
      <c r="D7" s="3">
        <v>707.61943670668495</v>
      </c>
      <c r="E7" s="3">
        <v>762.57560689008199</v>
      </c>
      <c r="F7" s="3">
        <v>0.45640848881649199</v>
      </c>
      <c r="G7" s="3">
        <v>0.48743998849094899</v>
      </c>
      <c r="H7" s="3">
        <v>469.42399250425302</v>
      </c>
      <c r="I7" s="4">
        <v>489.15660981139899</v>
      </c>
      <c r="J7" s="12">
        <v>3.4909090909090899</v>
      </c>
      <c r="K7" s="12">
        <v>3.1227272727272699</v>
      </c>
      <c r="L7" s="3">
        <v>257.14434205744499</v>
      </c>
      <c r="M7" s="3">
        <v>237.88573146950799</v>
      </c>
      <c r="N7" s="3">
        <v>0.41172736756989697</v>
      </c>
      <c r="O7" s="3">
        <v>0.41361580316767499</v>
      </c>
      <c r="P7" s="3" t="b">
        <f>Tableau1[[#This Row],[TPVUS]]&gt;0.5</f>
        <v>0</v>
      </c>
      <c r="Q7" s="3">
        <v>438.98096371210499</v>
      </c>
      <c r="R7" s="3">
        <v>444.86601093953698</v>
      </c>
      <c r="S7" s="3">
        <v>0.37454545454545402</v>
      </c>
      <c r="T7" s="3">
        <v>0.325454545454545</v>
      </c>
      <c r="U7" s="3">
        <v>2611.8945946702001</v>
      </c>
      <c r="V7" s="3">
        <v>2758.9744138569699</v>
      </c>
      <c r="W7" s="3">
        <v>0.485478158205431</v>
      </c>
      <c r="X7" s="3">
        <v>0.41993595945936402</v>
      </c>
      <c r="Y7" s="3">
        <v>468.32273458948498</v>
      </c>
      <c r="Z7" s="3">
        <v>470.54472142895497</v>
      </c>
      <c r="AA7" s="12">
        <f>0.06/0.46</f>
        <v>0.13043478260869565</v>
      </c>
      <c r="AB7" s="12">
        <f>0.05/0.49</f>
        <v>0.10204081632653061</v>
      </c>
    </row>
    <row r="8" spans="1:28" x14ac:dyDescent="0.35">
      <c r="A8" s="10" t="s">
        <v>42</v>
      </c>
      <c r="B8" s="12">
        <v>1.13090909090909</v>
      </c>
      <c r="C8" s="12">
        <v>0.94636363636363596</v>
      </c>
      <c r="D8" s="3">
        <v>845.99818458669904</v>
      </c>
      <c r="E8" s="3">
        <v>981.52812499758295</v>
      </c>
      <c r="F8" s="3">
        <v>0.456497571449971</v>
      </c>
      <c r="G8" s="3">
        <v>0.39160582514590098</v>
      </c>
      <c r="H8" s="3">
        <v>513.11796196298803</v>
      </c>
      <c r="I8" s="3">
        <v>509.19590729131698</v>
      </c>
      <c r="J8" s="12">
        <v>3.754</v>
      </c>
      <c r="K8" s="12">
        <v>3.06454545454545</v>
      </c>
      <c r="L8" s="3">
        <v>230.131751550552</v>
      </c>
      <c r="M8" s="3">
        <v>275.70562451041297</v>
      </c>
      <c r="N8" s="3">
        <v>0.51172894355905696</v>
      </c>
      <c r="O8" s="3">
        <v>0.38129002784453497</v>
      </c>
      <c r="P8" s="3" t="b">
        <f>Tableau1[[#This Row],[TPVUS]]&gt;0.5</f>
        <v>0</v>
      </c>
      <c r="Q8" s="3">
        <v>485.91528257365297</v>
      </c>
      <c r="R8" s="3">
        <v>471.41855787745499</v>
      </c>
      <c r="S8" s="3">
        <v>0.27636363636363598</v>
      </c>
      <c r="T8" s="3">
        <v>0.25818181818181801</v>
      </c>
      <c r="U8" s="3">
        <v>3570.7764449861702</v>
      </c>
      <c r="V8" s="3">
        <v>3648.5705294407198</v>
      </c>
      <c r="W8" s="3">
        <v>0.45958859539504698</v>
      </c>
      <c r="X8" s="3">
        <v>0.42067658337250802</v>
      </c>
      <c r="Y8" s="3">
        <v>498.842161245873</v>
      </c>
      <c r="Z8" s="3">
        <v>494.46732469645599</v>
      </c>
      <c r="AA8" s="12">
        <f>0.08/0.46</f>
        <v>0.17391304347826086</v>
      </c>
      <c r="AB8" s="12">
        <f>0.05/0.39</f>
        <v>0.12820512820512822</v>
      </c>
    </row>
    <row r="9" spans="1:28" x14ac:dyDescent="0.35">
      <c r="A9" s="10" t="s">
        <v>31</v>
      </c>
      <c r="B9" s="7">
        <v>0.87200000000000011</v>
      </c>
      <c r="C9" s="7">
        <v>0.81473684210526309</v>
      </c>
      <c r="D9" s="3">
        <v>1348.4944819372413</v>
      </c>
      <c r="E9" s="3">
        <v>1338.7221292390745</v>
      </c>
      <c r="F9" s="3">
        <v>0.46582334044054513</v>
      </c>
      <c r="G9" s="3">
        <v>0.37040630815051878</v>
      </c>
      <c r="H9" s="3">
        <v>606.17173335696032</v>
      </c>
      <c r="I9" s="4">
        <v>585.52882601107842</v>
      </c>
      <c r="J9" s="12">
        <v>0.94157894736842085</v>
      </c>
      <c r="K9" s="12">
        <v>1.0190000000000001</v>
      </c>
      <c r="L9" s="3">
        <v>1137.4768604860501</v>
      </c>
      <c r="M9" s="3">
        <v>1214.3477081697872</v>
      </c>
      <c r="N9" s="3">
        <v>0.42908774431801983</v>
      </c>
      <c r="O9" s="3">
        <v>0.36043130213888225</v>
      </c>
      <c r="P9" s="3" t="b">
        <f>Tableau1[[#This Row],[TPVUS]]&gt;0.5</f>
        <v>0</v>
      </c>
      <c r="Q9" s="3">
        <v>568.07985389528312</v>
      </c>
      <c r="R9" s="3">
        <v>622.99502078118758</v>
      </c>
      <c r="S9" s="3">
        <v>0.6852631578947368</v>
      </c>
      <c r="T9" s="3">
        <v>0.70150000000000001</v>
      </c>
      <c r="U9" s="3">
        <v>1638.7039318735265</v>
      </c>
      <c r="V9" s="3">
        <v>1625.5184406389731</v>
      </c>
      <c r="W9" s="3">
        <v>0.48891746058890739</v>
      </c>
      <c r="X9" s="3">
        <v>0.37960631550417773</v>
      </c>
      <c r="Y9" s="3">
        <v>631.65881812933037</v>
      </c>
      <c r="Z9" s="3">
        <v>648.71889649431478</v>
      </c>
      <c r="AA9" s="12">
        <v>0.16</v>
      </c>
      <c r="AB9" s="12">
        <v>0.17</v>
      </c>
    </row>
    <row r="10" spans="1:28" x14ac:dyDescent="0.35">
      <c r="A10" s="10" t="s">
        <v>22</v>
      </c>
      <c r="B10" s="7">
        <v>1.4369999999999998</v>
      </c>
      <c r="C10" s="7">
        <v>1.25</v>
      </c>
      <c r="D10" s="3">
        <v>872.54127274993903</v>
      </c>
      <c r="E10" s="3">
        <v>932.9111117529186</v>
      </c>
      <c r="F10" s="3">
        <v>0.46622168204074715</v>
      </c>
      <c r="G10" s="3">
        <v>0.42779494001538854</v>
      </c>
      <c r="H10" s="3">
        <v>669.85263858025348</v>
      </c>
      <c r="I10" s="4">
        <v>661.23180198978503</v>
      </c>
      <c r="J10" s="12">
        <v>1.7105263157894737</v>
      </c>
      <c r="K10" s="12">
        <v>1.6404999999999998</v>
      </c>
      <c r="L10" s="3">
        <v>723.2756292670025</v>
      </c>
      <c r="M10" s="3">
        <v>693.6477823247169</v>
      </c>
      <c r="N10" s="3">
        <v>0.4595325625927334</v>
      </c>
      <c r="O10" s="3">
        <v>0.4691074182190379</v>
      </c>
      <c r="P10" s="3" t="b">
        <f>Tableau1[[#This Row],[TPVUS]]&gt;0.5</f>
        <v>0</v>
      </c>
      <c r="Q10" s="3">
        <v>668.47309039920128</v>
      </c>
      <c r="R10" s="3">
        <v>670.56016579296704</v>
      </c>
      <c r="S10" s="3">
        <v>0.87894736842105281</v>
      </c>
      <c r="T10" s="3">
        <v>0.853157894736842</v>
      </c>
      <c r="U10" s="3">
        <v>1477.3710675530483</v>
      </c>
      <c r="V10" s="3">
        <v>1475.3558526076238</v>
      </c>
      <c r="W10" s="3">
        <v>0.44250081176133627</v>
      </c>
      <c r="X10" s="3">
        <v>0.42234582285391919</v>
      </c>
      <c r="Y10" s="3">
        <v>680.004167977826</v>
      </c>
      <c r="Z10" s="3">
        <v>676.70588812050948</v>
      </c>
      <c r="AA10" s="12">
        <v>0.2</v>
      </c>
      <c r="AB10" s="12">
        <v>0.26</v>
      </c>
    </row>
    <row r="11" spans="1:28" x14ac:dyDescent="0.35">
      <c r="A11" s="11" t="s">
        <v>32</v>
      </c>
      <c r="B11" s="13">
        <v>1.3574999999999999</v>
      </c>
      <c r="C11" s="13">
        <v>1.1100000000000001</v>
      </c>
      <c r="D11" s="3">
        <v>678.64223668337308</v>
      </c>
      <c r="E11" s="3">
        <v>836.53423290979072</v>
      </c>
      <c r="F11" s="3">
        <v>0.47104516806907304</v>
      </c>
      <c r="G11" s="3">
        <v>0.47563500279625009</v>
      </c>
      <c r="H11" s="3">
        <v>557.76862172314577</v>
      </c>
      <c r="I11" s="3">
        <v>558.25200845732491</v>
      </c>
      <c r="J11" s="12">
        <v>1.9829411764705878</v>
      </c>
      <c r="K11" s="12">
        <v>1.9424999999999999</v>
      </c>
      <c r="L11" s="3">
        <v>448.83729968674936</v>
      </c>
      <c r="M11" s="3">
        <v>480.41018230196863</v>
      </c>
      <c r="N11" s="3">
        <v>0.54882973966864956</v>
      </c>
      <c r="O11" s="3">
        <v>0.39400860055563275</v>
      </c>
      <c r="P11" s="3" t="b">
        <f>Tableau1[[#This Row],[TPVUS]]&gt;0.5</f>
        <v>0</v>
      </c>
      <c r="Q11" s="3">
        <v>560.61649039274323</v>
      </c>
      <c r="R11" s="3">
        <v>561.25398351365016</v>
      </c>
      <c r="S11" s="3">
        <v>0.62899999999999989</v>
      </c>
      <c r="T11" s="3">
        <v>0.60210526315789459</v>
      </c>
      <c r="U11" s="3">
        <v>1651.423325728892</v>
      </c>
      <c r="V11" s="3">
        <v>1713.799379229032</v>
      </c>
      <c r="W11" s="3">
        <v>0.49091626348720324</v>
      </c>
      <c r="X11" s="3">
        <v>0.46594927531713443</v>
      </c>
      <c r="Y11" s="3">
        <v>595.12416884760046</v>
      </c>
      <c r="Z11" s="3">
        <v>594.34697745961137</v>
      </c>
      <c r="AA11" s="12">
        <v>0.25</v>
      </c>
      <c r="AB11" s="12">
        <v>0.19</v>
      </c>
    </row>
    <row r="12" spans="1:28" x14ac:dyDescent="0.35">
      <c r="A12" s="10" t="s">
        <v>24</v>
      </c>
      <c r="B12" s="7">
        <v>1.3436842105263158</v>
      </c>
      <c r="C12" s="7">
        <v>1.1563157894736844</v>
      </c>
      <c r="D12" s="3">
        <v>891.96634837013767</v>
      </c>
      <c r="E12" s="3">
        <v>987.88951134231377</v>
      </c>
      <c r="F12" s="3">
        <v>0.47284395496530618</v>
      </c>
      <c r="G12" s="3">
        <v>0.39856754271288286</v>
      </c>
      <c r="H12" s="3">
        <v>685.30680525357434</v>
      </c>
      <c r="I12" s="4">
        <v>643.67130143014992</v>
      </c>
      <c r="J12" s="12">
        <v>1.9536363636363638</v>
      </c>
      <c r="K12" s="12">
        <v>2.2433333333333336</v>
      </c>
      <c r="L12" s="3">
        <v>546.14655307257044</v>
      </c>
      <c r="M12" s="3">
        <v>511.95826679229384</v>
      </c>
      <c r="N12" s="3">
        <v>0.44566305743555323</v>
      </c>
      <c r="O12" s="3">
        <v>0.26477227950884252</v>
      </c>
      <c r="P12" s="3" t="b">
        <f>Tableau1[[#This Row],[TPVUS]]&gt;0.5</f>
        <v>0</v>
      </c>
      <c r="Q12" s="3">
        <v>678.38768443865149</v>
      </c>
      <c r="R12" s="3">
        <v>648.44848603034211</v>
      </c>
      <c r="S12" s="3">
        <v>0.60050000000000003</v>
      </c>
      <c r="T12" s="3">
        <v>0.57105263157894737</v>
      </c>
      <c r="U12" s="3">
        <v>2230.1183517319919</v>
      </c>
      <c r="V12" s="3">
        <v>2269.2321509126687</v>
      </c>
      <c r="W12" s="3">
        <v>0.53069453141049827</v>
      </c>
      <c r="X12" s="3">
        <v>0.4632977848166841</v>
      </c>
      <c r="Y12" s="3">
        <v>759.40406999995798</v>
      </c>
      <c r="Z12" s="3">
        <v>740.63388385629128</v>
      </c>
      <c r="AA12" s="12">
        <v>0.24</v>
      </c>
      <c r="AB12" s="12">
        <v>0.19</v>
      </c>
    </row>
    <row r="13" spans="1:28" x14ac:dyDescent="0.35">
      <c r="A13" s="5" t="s">
        <v>38</v>
      </c>
      <c r="B13" s="3">
        <v>0.97545454545454502</v>
      </c>
      <c r="C13" s="3">
        <v>0.78727272727272701</v>
      </c>
      <c r="D13" s="3">
        <v>1059.90974125151</v>
      </c>
      <c r="E13" s="3">
        <v>1281.74631877977</v>
      </c>
      <c r="F13" s="3">
        <v>0.473501425456749</v>
      </c>
      <c r="G13" s="3">
        <v>0.46839130693631997</v>
      </c>
      <c r="H13" s="3">
        <v>576.59333286610695</v>
      </c>
      <c r="I13" s="4">
        <v>550.88146747082703</v>
      </c>
      <c r="J13" s="12">
        <v>1.4090909090909001</v>
      </c>
      <c r="K13" s="12">
        <v>1.16818181818181</v>
      </c>
      <c r="L13" s="3">
        <v>701.64751570123201</v>
      </c>
      <c r="M13" s="3">
        <v>810.64193848688296</v>
      </c>
      <c r="N13" s="3">
        <v>0.49200434157628398</v>
      </c>
      <c r="O13" s="3">
        <v>0.45069015609652902</v>
      </c>
      <c r="P13" s="3" t="b">
        <f>Tableau1[[#This Row],[TPVUS]]&gt;0.5</f>
        <v>0</v>
      </c>
      <c r="Q13" s="3">
        <v>554.06303381323005</v>
      </c>
      <c r="R13" s="3">
        <v>521.45423643095398</v>
      </c>
      <c r="S13" s="3">
        <v>0.44636363636363602</v>
      </c>
      <c r="T13" s="3">
        <v>0.42</v>
      </c>
      <c r="U13" s="3">
        <v>2422.0969930586002</v>
      </c>
      <c r="V13" s="3">
        <v>2400.12315355088</v>
      </c>
      <c r="W13" s="3">
        <v>0.49489922010515403</v>
      </c>
      <c r="X13" s="3">
        <v>0.50742408740792599</v>
      </c>
      <c r="Y13" s="3">
        <v>562.48042692099898</v>
      </c>
      <c r="Z13" s="3">
        <v>538.578644990724</v>
      </c>
      <c r="AA13" s="12">
        <f>0.04/0.47</f>
        <v>8.5106382978723416E-2</v>
      </c>
      <c r="AB13" s="12">
        <f>0.06/0.47</f>
        <v>0.1276595744680851</v>
      </c>
    </row>
    <row r="14" spans="1:28" x14ac:dyDescent="0.35">
      <c r="A14" s="5" t="s">
        <v>45</v>
      </c>
      <c r="B14" s="3">
        <v>0.76272727272727203</v>
      </c>
      <c r="C14" s="3">
        <v>0.63454545454545397</v>
      </c>
      <c r="D14" s="3">
        <v>1314.7728129689301</v>
      </c>
      <c r="E14" s="3">
        <v>1646.94642585409</v>
      </c>
      <c r="F14" s="3">
        <v>0.47529889869459002</v>
      </c>
      <c r="G14" s="3">
        <v>0.43442260447803299</v>
      </c>
      <c r="H14" s="3">
        <v>553.20361727975501</v>
      </c>
      <c r="I14" s="4">
        <v>541.30448906501499</v>
      </c>
      <c r="J14" s="12">
        <v>0.98090909090909095</v>
      </c>
      <c r="K14" s="12">
        <v>0.90363636363636302</v>
      </c>
      <c r="L14" s="3">
        <v>983.41559855579396</v>
      </c>
      <c r="M14" s="3">
        <v>1022.2837489556</v>
      </c>
      <c r="N14" s="3">
        <v>0.370407883770349</v>
      </c>
      <c r="O14" s="3">
        <v>0.38780567920608899</v>
      </c>
      <c r="P14" s="3" t="b">
        <f>Tableau1[[#This Row],[TPVUS]]&gt;0.5</f>
        <v>0</v>
      </c>
      <c r="Q14" s="3">
        <v>534.07459264335705</v>
      </c>
      <c r="R14" s="3">
        <v>524.43860686109895</v>
      </c>
      <c r="S14" s="3">
        <v>0.33636363636363598</v>
      </c>
      <c r="T14" s="3">
        <v>0.31272727272727202</v>
      </c>
      <c r="U14" s="3">
        <v>3214.3730978803001</v>
      </c>
      <c r="V14" s="3">
        <v>3300.8432269728301</v>
      </c>
      <c r="W14" s="3">
        <v>0.40906053437103901</v>
      </c>
      <c r="X14" s="3">
        <v>0.35889872168089798</v>
      </c>
      <c r="Y14" s="3">
        <v>537.94601016126398</v>
      </c>
      <c r="Z14" s="3">
        <v>522.976707183499</v>
      </c>
      <c r="AA14" s="12">
        <f>0.1/0.48</f>
        <v>0.20833333333333334</v>
      </c>
      <c r="AB14" s="12">
        <f>0.08/0.43</f>
        <v>0.18604651162790697</v>
      </c>
    </row>
    <row r="15" spans="1:28" x14ac:dyDescent="0.35">
      <c r="A15" s="5" t="s">
        <v>41</v>
      </c>
      <c r="B15" s="3">
        <v>0.72909090909090901</v>
      </c>
      <c r="C15" s="3">
        <v>0.68636363636363595</v>
      </c>
      <c r="D15" s="3">
        <v>1384.3181375888701</v>
      </c>
      <c r="E15" s="3">
        <v>1470.3078444206801</v>
      </c>
      <c r="F15" s="3">
        <v>0.48487850488327</v>
      </c>
      <c r="G15" s="3">
        <v>0.422396341140238</v>
      </c>
      <c r="H15" s="3">
        <v>562.91994726454902</v>
      </c>
      <c r="I15" s="4">
        <v>552.64892428040503</v>
      </c>
      <c r="J15" s="12">
        <v>1.5327272727272701</v>
      </c>
      <c r="K15" s="12">
        <v>1.4172727272727199</v>
      </c>
      <c r="L15" s="3">
        <v>609.98737495933005</v>
      </c>
      <c r="M15" s="3">
        <v>676.26737275925302</v>
      </c>
      <c r="N15" s="3">
        <v>0.43927828288230297</v>
      </c>
      <c r="O15" s="3">
        <v>0.42018440651738198</v>
      </c>
      <c r="P15" s="3" t="b">
        <f>Tableau1[[#This Row],[TPVUS]]&gt;0.5</f>
        <v>0</v>
      </c>
      <c r="Q15" s="3">
        <v>528.68755991704302</v>
      </c>
      <c r="R15" s="3">
        <v>504.87162879489301</v>
      </c>
      <c r="S15" s="3">
        <v>0.39272727272727198</v>
      </c>
      <c r="T15" s="3">
        <v>0.33818181818181797</v>
      </c>
      <c r="U15" s="3">
        <v>2866.35682458366</v>
      </c>
      <c r="V15" s="3">
        <v>3170.98022016192</v>
      </c>
      <c r="W15" s="3">
        <v>0.51125648020638803</v>
      </c>
      <c r="X15" s="3">
        <v>0.40004708805168498</v>
      </c>
      <c r="Y15" s="3">
        <v>567.96219117200098</v>
      </c>
      <c r="Z15" s="3">
        <v>526.17367165140899</v>
      </c>
      <c r="AA15" s="12">
        <f>0.04/0.48</f>
        <v>8.3333333333333343E-2</v>
      </c>
      <c r="AB15" s="12">
        <f>0.07/0.42</f>
        <v>0.16666666666666669</v>
      </c>
    </row>
    <row r="16" spans="1:28" x14ac:dyDescent="0.35">
      <c r="A16" s="10" t="s">
        <v>12</v>
      </c>
      <c r="B16" s="7">
        <v>1.6034999999999999</v>
      </c>
      <c r="C16" s="7">
        <v>1.4275000000000002</v>
      </c>
      <c r="D16" s="3">
        <v>629.25450617551508</v>
      </c>
      <c r="E16" s="3">
        <v>819.32561808101127</v>
      </c>
      <c r="F16" s="3">
        <v>0.4894636665620733</v>
      </c>
      <c r="G16" s="3">
        <v>0.35551966837009663</v>
      </c>
      <c r="H16" s="3">
        <v>615.67933837485839</v>
      </c>
      <c r="I16" s="4">
        <v>614.2103402096518</v>
      </c>
      <c r="J16" s="12">
        <v>2.2580000000000005</v>
      </c>
      <c r="K16" s="12">
        <v>2.2711111111111109</v>
      </c>
      <c r="L16" s="3">
        <v>510.69144822668392</v>
      </c>
      <c r="M16" s="3">
        <v>481.92075078953883</v>
      </c>
      <c r="N16" s="3">
        <v>0.47025855482215972</v>
      </c>
      <c r="O16" s="3">
        <v>0.34431147779386695</v>
      </c>
      <c r="P16" s="3" t="b">
        <f>Tableau1[[#This Row],[TPVUS]]&gt;0.5</f>
        <v>0</v>
      </c>
      <c r="Q16" s="3">
        <v>646.16404378424033</v>
      </c>
      <c r="R16" s="3">
        <v>624.48711531514982</v>
      </c>
      <c r="S16" s="3">
        <v>0.83210526315789479</v>
      </c>
      <c r="T16" s="3">
        <v>0.80352941176470594</v>
      </c>
      <c r="U16" s="3">
        <v>1419.908417835926</v>
      </c>
      <c r="V16" s="3">
        <v>1429.8238307180636</v>
      </c>
      <c r="W16" s="3">
        <v>0.46623154986882376</v>
      </c>
      <c r="X16" s="3">
        <v>0.45713842954300898</v>
      </c>
      <c r="Y16" s="3">
        <v>641.29914438408719</v>
      </c>
      <c r="Z16" s="3">
        <v>628.18019650954955</v>
      </c>
      <c r="AA16" s="12">
        <v>0.18</v>
      </c>
      <c r="AB16" s="12">
        <v>0.22</v>
      </c>
    </row>
    <row r="17" spans="1:28" x14ac:dyDescent="0.35">
      <c r="A17" s="5" t="s">
        <v>37</v>
      </c>
      <c r="B17" s="12">
        <v>0.64450000000000007</v>
      </c>
      <c r="C17" s="12">
        <v>0.62199999999999989</v>
      </c>
      <c r="D17" s="3">
        <v>1713.60817826364</v>
      </c>
      <c r="E17" s="3">
        <v>1792.1314194221832</v>
      </c>
      <c r="F17" s="3">
        <v>0.49131735187928294</v>
      </c>
      <c r="G17" s="3">
        <v>0.49065414347288544</v>
      </c>
      <c r="H17" s="3">
        <v>620.04768516503702</v>
      </c>
      <c r="I17" s="3">
        <v>632.29289738632144</v>
      </c>
      <c r="J17" s="12">
        <v>0.92099999999999993</v>
      </c>
      <c r="K17" s="12">
        <v>0.83399999999999996</v>
      </c>
      <c r="L17" s="3">
        <v>1202.7390236293663</v>
      </c>
      <c r="M17" s="3">
        <v>1375.5928674178444</v>
      </c>
      <c r="N17" s="3">
        <v>0.62355269039471806</v>
      </c>
      <c r="O17" s="3">
        <v>0.48862877688806544</v>
      </c>
      <c r="P17" s="3" t="b">
        <f>Tableau1[[#This Row],[TPVUS]]&gt;0.5</f>
        <v>0</v>
      </c>
      <c r="Q17" s="3">
        <v>603.26971718491166</v>
      </c>
      <c r="R17" s="3">
        <v>619.41847944060214</v>
      </c>
      <c r="S17" s="3">
        <v>0.51899999999999991</v>
      </c>
      <c r="T17" s="3">
        <v>0.51500000000000001</v>
      </c>
      <c r="U17" s="3">
        <v>2222.8939860983078</v>
      </c>
      <c r="V17" s="3">
        <v>2249.8339035218141</v>
      </c>
      <c r="W17" s="3">
        <v>0.51058192093408028</v>
      </c>
      <c r="X17" s="3">
        <v>0.49717023697590879</v>
      </c>
      <c r="Y17" s="3">
        <v>669.9394641430215</v>
      </c>
      <c r="Z17" s="3">
        <v>673.50725539054304</v>
      </c>
      <c r="AA17" s="12">
        <v>4.0838729054896473E-2</v>
      </c>
      <c r="AB17" s="12">
        <v>2.3084810474060174E-2</v>
      </c>
    </row>
    <row r="18" spans="1:28" x14ac:dyDescent="0.35">
      <c r="A18" s="5" t="s">
        <v>9</v>
      </c>
      <c r="B18" s="7">
        <v>0.94450000000000001</v>
      </c>
      <c r="C18" s="7">
        <v>0.95578947368421052</v>
      </c>
      <c r="D18" s="3">
        <v>967.18673149974268</v>
      </c>
      <c r="E18" s="3">
        <v>937.35631907730431</v>
      </c>
      <c r="F18" s="3">
        <v>0.49209855241056666</v>
      </c>
      <c r="G18" s="3">
        <v>0.42156025681691034</v>
      </c>
      <c r="H18" s="3">
        <v>500.05859139269933</v>
      </c>
      <c r="I18" s="4">
        <v>497.45566812106455</v>
      </c>
      <c r="J18" s="8">
        <v>1.2394736842105263</v>
      </c>
      <c r="K18" s="8">
        <v>1.2004999999999999</v>
      </c>
      <c r="L18" s="3">
        <v>742.9472879069732</v>
      </c>
      <c r="M18" s="3">
        <v>781.55010950230087</v>
      </c>
      <c r="N18" s="3">
        <v>0.46024054064926456</v>
      </c>
      <c r="O18" s="3">
        <v>0.42199555385880683</v>
      </c>
      <c r="P18" s="3" t="b">
        <f>Tableau1[[#This Row],[TPVUS]]&gt;0.5</f>
        <v>0</v>
      </c>
      <c r="Q18" s="3">
        <v>502.81035166935294</v>
      </c>
      <c r="R18" s="3">
        <v>499.21832654313499</v>
      </c>
      <c r="S18" s="3">
        <v>0.76526315789473698</v>
      </c>
      <c r="T18" s="3">
        <v>0.73894736842105269</v>
      </c>
      <c r="U18" s="3">
        <v>1185.6655110723398</v>
      </c>
      <c r="V18" s="3">
        <v>1226.7023669951905</v>
      </c>
      <c r="W18" s="3">
        <v>0.48223403544945587</v>
      </c>
      <c r="X18" s="3">
        <v>0.43012205831046246</v>
      </c>
      <c r="Y18" s="3">
        <v>498.36009718242252</v>
      </c>
      <c r="Z18" s="3">
        <v>501.93552680385926</v>
      </c>
      <c r="AA18" s="12">
        <v>0.08</v>
      </c>
      <c r="AB18" s="12">
        <v>0.11</v>
      </c>
    </row>
    <row r="19" spans="1:28" x14ac:dyDescent="0.35">
      <c r="A19" s="5" t="s">
        <v>10</v>
      </c>
      <c r="B19" s="7">
        <v>1.0220000000000002</v>
      </c>
      <c r="C19" s="7">
        <v>0.98105263157894718</v>
      </c>
      <c r="D19" s="3">
        <v>997.79556205634344</v>
      </c>
      <c r="E19" s="3">
        <v>1026.8390445578866</v>
      </c>
      <c r="F19" s="3">
        <v>0.49324730229554214</v>
      </c>
      <c r="G19" s="3">
        <v>0.45551764231840475</v>
      </c>
      <c r="H19" s="3">
        <v>564.92609636768816</v>
      </c>
      <c r="I19" s="4">
        <v>560.62733081890804</v>
      </c>
      <c r="J19" s="8">
        <v>1.4624999999999999</v>
      </c>
      <c r="K19" s="8">
        <v>1.4605882352941175</v>
      </c>
      <c r="L19" s="3">
        <v>709.39554525859785</v>
      </c>
      <c r="M19" s="3">
        <v>724.63222085136761</v>
      </c>
      <c r="N19" s="3">
        <v>0.4393748651176792</v>
      </c>
      <c r="O19" s="3">
        <v>0.40388115771357502</v>
      </c>
      <c r="P19" s="3" t="b">
        <f>Tableau1[[#This Row],[TPVUS]]&gt;0.5</f>
        <v>0</v>
      </c>
      <c r="Q19" s="3">
        <v>562.59839725054644</v>
      </c>
      <c r="R19" s="3">
        <v>559.02696436357076</v>
      </c>
      <c r="S19" s="3">
        <v>0.5568421052631578</v>
      </c>
      <c r="T19" s="3">
        <v>0.57444444444444454</v>
      </c>
      <c r="U19" s="3">
        <v>1857.5198232736889</v>
      </c>
      <c r="V19" s="3">
        <v>1793.3753163111185</v>
      </c>
      <c r="W19" s="3">
        <v>0.53800418922494886</v>
      </c>
      <c r="X19" s="3">
        <v>0.48345098277380882</v>
      </c>
      <c r="Y19" s="3">
        <v>596.62773709059411</v>
      </c>
      <c r="Z19" s="3">
        <v>586.83940472720224</v>
      </c>
      <c r="AA19" s="12">
        <v>0.18</v>
      </c>
      <c r="AB19" s="12">
        <v>0.15</v>
      </c>
    </row>
    <row r="20" spans="1:28" x14ac:dyDescent="0.35">
      <c r="A20" s="5" t="s">
        <v>23</v>
      </c>
      <c r="B20" s="7">
        <v>1.190625</v>
      </c>
      <c r="C20" s="7">
        <v>1.1642857142857144</v>
      </c>
      <c r="D20" s="3">
        <v>809.11521070875926</v>
      </c>
      <c r="E20" s="3">
        <v>849.04309097495752</v>
      </c>
      <c r="F20" s="3">
        <v>0.49686658564259273</v>
      </c>
      <c r="G20" s="3">
        <v>0.42496536432654591</v>
      </c>
      <c r="H20" s="3">
        <v>546.98258813628979</v>
      </c>
      <c r="I20" s="4">
        <v>550.73446770886858</v>
      </c>
      <c r="J20" s="12">
        <v>2.2866666666666666</v>
      </c>
      <c r="K20" s="12">
        <v>2.1244444444444444</v>
      </c>
      <c r="L20" s="3">
        <v>373.53038044442769</v>
      </c>
      <c r="M20" s="3">
        <v>418.49980738488324</v>
      </c>
      <c r="N20" s="3">
        <v>0.52366849515637959</v>
      </c>
      <c r="O20" s="3">
        <v>0.35885162095247708</v>
      </c>
      <c r="P20" s="3" t="b">
        <f>Tableau1[[#This Row],[TPVUS]]&gt;0.5</f>
        <v>0</v>
      </c>
      <c r="Q20" s="3">
        <v>558.4118516402857</v>
      </c>
      <c r="R20" s="3">
        <v>564.4660931241209</v>
      </c>
      <c r="S20" s="3">
        <v>0.60842105263157908</v>
      </c>
      <c r="T20" s="3">
        <v>0.56210526315789477</v>
      </c>
      <c r="U20" s="3">
        <v>1694.3954132207264</v>
      </c>
      <c r="V20" s="3">
        <v>1848.0654945087426</v>
      </c>
      <c r="W20" s="3">
        <v>0.50536670148194107</v>
      </c>
      <c r="X20" s="3">
        <v>0.45901054304403022</v>
      </c>
      <c r="Y20" s="3">
        <v>590.86159866002833</v>
      </c>
      <c r="Z20" s="3">
        <v>601.42424071661947</v>
      </c>
      <c r="AA20" s="12">
        <v>0.15</v>
      </c>
      <c r="AB20" s="12">
        <v>0.23</v>
      </c>
    </row>
    <row r="21" spans="1:28" x14ac:dyDescent="0.35">
      <c r="A21" s="5" t="s">
        <v>27</v>
      </c>
      <c r="B21" s="13">
        <v>1.1053846153846156</v>
      </c>
      <c r="C21" s="13">
        <v>0.75357142857142845</v>
      </c>
      <c r="D21" s="3">
        <v>1045.5072734332243</v>
      </c>
      <c r="E21" s="3">
        <v>1451.7862495048357</v>
      </c>
      <c r="F21" s="3">
        <v>0.49810445815654064</v>
      </c>
      <c r="G21" s="3">
        <v>0.47172945044482917</v>
      </c>
      <c r="H21" s="3">
        <v>634.05456068452884</v>
      </c>
      <c r="I21" s="3">
        <v>631.86599566603684</v>
      </c>
      <c r="J21" s="12">
        <v>1.5770588235294121</v>
      </c>
      <c r="K21" s="12">
        <v>1.4374999999999998</v>
      </c>
      <c r="L21" s="3">
        <v>647.26986341351449</v>
      </c>
      <c r="M21" s="3">
        <v>738.68097248669631</v>
      </c>
      <c r="N21" s="3">
        <v>0.49398472019193157</v>
      </c>
      <c r="O21" s="3">
        <v>0.36356656534320714</v>
      </c>
      <c r="P21" s="3" t="b">
        <f>Tableau1[[#This Row],[TPVUS]]&gt;0.5</f>
        <v>0</v>
      </c>
      <c r="Q21" s="3">
        <v>657.81793637574583</v>
      </c>
      <c r="R21" s="3">
        <v>613.91850767809922</v>
      </c>
      <c r="S21" s="3">
        <v>0.5938888888888888</v>
      </c>
      <c r="T21" s="3">
        <v>0.55944444444444452</v>
      </c>
      <c r="U21" s="3">
        <v>2037.8968624600304</v>
      </c>
      <c r="V21" s="3">
        <v>2070.7350227061384</v>
      </c>
      <c r="W21" s="3">
        <v>0.48175108526489796</v>
      </c>
      <c r="X21" s="3">
        <v>0.46179616427401571</v>
      </c>
      <c r="Y21" s="3">
        <v>691.44295638303549</v>
      </c>
      <c r="Z21" s="3">
        <v>673.66883259188921</v>
      </c>
      <c r="AA21" s="12">
        <v>0.27</v>
      </c>
      <c r="AB21" s="12">
        <v>0.19</v>
      </c>
    </row>
    <row r="22" spans="1:28" x14ac:dyDescent="0.35">
      <c r="A22" s="5" t="s">
        <v>30</v>
      </c>
      <c r="B22" s="7">
        <v>1.0368421052631578</v>
      </c>
      <c r="C22" s="7">
        <v>0.85649999999999993</v>
      </c>
      <c r="D22" s="3">
        <v>1194.7740459716733</v>
      </c>
      <c r="E22" s="3">
        <v>1305.4429372718753</v>
      </c>
      <c r="F22" s="3">
        <v>0.50185888146647506</v>
      </c>
      <c r="G22" s="3">
        <v>0.44624828553651169</v>
      </c>
      <c r="H22" s="3">
        <v>659.44859110923755</v>
      </c>
      <c r="I22" s="4">
        <v>624.8370520505697</v>
      </c>
      <c r="J22" s="12">
        <v>1.4424999999999999</v>
      </c>
      <c r="K22" s="12">
        <v>1.2673684210526315</v>
      </c>
      <c r="L22" s="3">
        <v>904.0012417704977</v>
      </c>
      <c r="M22" s="3">
        <v>864.19660890293528</v>
      </c>
      <c r="N22" s="3">
        <v>0.43902122072498156</v>
      </c>
      <c r="O22" s="3">
        <v>0.39664120742814207</v>
      </c>
      <c r="P22" s="3" t="b">
        <f>Tableau1[[#This Row],[TPVUS]]&gt;0.5</f>
        <v>0</v>
      </c>
      <c r="Q22" s="3">
        <v>671.09542018628417</v>
      </c>
      <c r="R22" s="3">
        <v>620.29906940339981</v>
      </c>
      <c r="S22" s="3">
        <v>0.65333333333333321</v>
      </c>
      <c r="T22" s="3">
        <v>0.60578947368421066</v>
      </c>
      <c r="U22" s="3">
        <v>1946.0488712013298</v>
      </c>
      <c r="V22" s="3">
        <v>1908.4193217873769</v>
      </c>
      <c r="W22" s="3">
        <v>0.49878010944021811</v>
      </c>
      <c r="X22" s="3">
        <v>0.44832760530279298</v>
      </c>
      <c r="Y22" s="3">
        <v>721.90122085194173</v>
      </c>
      <c r="Z22" s="3">
        <v>645.3832129936003</v>
      </c>
      <c r="AA22" s="12">
        <v>0.17</v>
      </c>
      <c r="AB22" s="12">
        <v>0.15</v>
      </c>
    </row>
    <row r="23" spans="1:28" x14ac:dyDescent="0.35">
      <c r="A23" s="5" t="s">
        <v>21</v>
      </c>
      <c r="B23" s="13">
        <v>1.023157894736842</v>
      </c>
      <c r="C23" s="13">
        <v>1.0326315789473683</v>
      </c>
      <c r="D23" s="3">
        <v>1113.1190774501883</v>
      </c>
      <c r="E23" s="3">
        <v>1142.7240395280608</v>
      </c>
      <c r="F23" s="3">
        <v>0.50252491853913783</v>
      </c>
      <c r="G23" s="3">
        <v>0.43110869648881006</v>
      </c>
      <c r="H23" s="3">
        <v>634.75687852211058</v>
      </c>
      <c r="I23" s="3">
        <v>629.57933954842372</v>
      </c>
      <c r="J23" s="12">
        <v>1.59</v>
      </c>
      <c r="K23" s="12">
        <v>1.4606666666666663</v>
      </c>
      <c r="L23" s="3">
        <v>792.23247471922525</v>
      </c>
      <c r="M23" s="3">
        <v>807.29197913633584</v>
      </c>
      <c r="N23" s="3">
        <v>0.37076232905890888</v>
      </c>
      <c r="O23" s="3">
        <v>0.35949037417950841</v>
      </c>
      <c r="P23" s="3" t="b">
        <f>Tableau1[[#This Row],[TPVUS]]&gt;0.5</f>
        <v>0</v>
      </c>
      <c r="Q23" s="3">
        <v>634.8280141335822</v>
      </c>
      <c r="R23" s="3">
        <v>638.55314941493998</v>
      </c>
      <c r="S23" s="3">
        <v>0.59263157894736862</v>
      </c>
      <c r="T23" s="3">
        <v>0.56800000000000006</v>
      </c>
      <c r="U23" s="3">
        <v>1980.306427330416</v>
      </c>
      <c r="V23" s="3">
        <v>2101.3961241717598</v>
      </c>
      <c r="W23" s="3">
        <v>0.48023866662414633</v>
      </c>
      <c r="X23" s="3">
        <v>0.44212960093127707</v>
      </c>
      <c r="Y23" s="3">
        <v>662.76451141566724</v>
      </c>
      <c r="Z23" s="3">
        <v>682.71146952546644</v>
      </c>
      <c r="AA23" s="12">
        <v>0.18</v>
      </c>
      <c r="AB23" s="12">
        <v>0.13</v>
      </c>
    </row>
    <row r="24" spans="1:28" x14ac:dyDescent="0.35">
      <c r="A24" s="5" t="s">
        <v>48</v>
      </c>
      <c r="B24" s="3">
        <v>0.81727272727272704</v>
      </c>
      <c r="C24" s="3">
        <v>0.63818181818181796</v>
      </c>
      <c r="D24" s="3">
        <v>1220.1574648394401</v>
      </c>
      <c r="E24" s="3">
        <v>1506.9460183946001</v>
      </c>
      <c r="F24" s="3">
        <v>0.50480675631976601</v>
      </c>
      <c r="G24" s="3">
        <v>0.46197239345693097</v>
      </c>
      <c r="H24" s="3">
        <v>551.46313685385701</v>
      </c>
      <c r="I24" s="4">
        <v>544.70002259381397</v>
      </c>
      <c r="J24" s="12">
        <v>1.1354545454545399</v>
      </c>
      <c r="K24" s="12">
        <v>0.93818181818181801</v>
      </c>
      <c r="L24" s="3">
        <v>837.70154322584597</v>
      </c>
      <c r="M24" s="3">
        <v>977.56946119366296</v>
      </c>
      <c r="N24" s="3">
        <v>0.58071485243227305</v>
      </c>
      <c r="O24" s="3">
        <v>0.54518881727498203</v>
      </c>
      <c r="P24" s="3" t="b">
        <f>Tableau1[[#This Row],[TPVUS]]&gt;0.5</f>
        <v>1</v>
      </c>
      <c r="Q24" s="3">
        <v>519.84297167899001</v>
      </c>
      <c r="R24" s="3">
        <v>521.80618158929997</v>
      </c>
      <c r="S24" s="3">
        <v>0.41</v>
      </c>
      <c r="T24" s="3">
        <v>0.34909090909090901</v>
      </c>
      <c r="U24" s="3">
        <v>2857.0731518348798</v>
      </c>
      <c r="V24" s="3">
        <v>3228.9276639480099</v>
      </c>
      <c r="W24" s="3">
        <v>0.39606604742948698</v>
      </c>
      <c r="X24" s="3">
        <v>0.330404714562468</v>
      </c>
      <c r="Y24" s="3">
        <v>536.913267385582</v>
      </c>
      <c r="Z24" s="3">
        <v>542.09771782953203</v>
      </c>
      <c r="AA24" s="12">
        <f>0.1/0.5</f>
        <v>0.2</v>
      </c>
      <c r="AB24" s="12">
        <f>0.05/0.46</f>
        <v>0.10869565217391304</v>
      </c>
    </row>
    <row r="25" spans="1:28" x14ac:dyDescent="0.35">
      <c r="A25" s="10" t="s">
        <v>11</v>
      </c>
      <c r="B25" s="7">
        <v>1.0829411764705885</v>
      </c>
      <c r="C25" s="7">
        <v>1.084705882352941</v>
      </c>
      <c r="D25" s="3">
        <v>1085.9455040823104</v>
      </c>
      <c r="E25" s="3">
        <v>1139.4643536830888</v>
      </c>
      <c r="F25" s="3">
        <v>0.50488554364909199</v>
      </c>
      <c r="G25" s="3">
        <v>0.36509381711779876</v>
      </c>
      <c r="H25" s="3">
        <v>677.215273274531</v>
      </c>
      <c r="I25" s="4">
        <v>659.22470327286351</v>
      </c>
      <c r="J25" s="12">
        <v>2.1889473684210525</v>
      </c>
      <c r="K25" s="12">
        <v>1.7884210526315791</v>
      </c>
      <c r="L25" s="3">
        <v>481.38494045451512</v>
      </c>
      <c r="M25" s="3">
        <v>628.66817457001378</v>
      </c>
      <c r="N25" s="3">
        <v>0.42926455019874477</v>
      </c>
      <c r="O25" s="3">
        <v>0.36357181547832707</v>
      </c>
      <c r="P25" s="3" t="b">
        <f>Tableau1[[#This Row],[TPVUS]]&gt;0.5</f>
        <v>0</v>
      </c>
      <c r="Q25" s="3">
        <v>662.49915848958608</v>
      </c>
      <c r="R25" s="3">
        <v>650.44675923720933</v>
      </c>
      <c r="S25" s="3">
        <v>0.5647368421052632</v>
      </c>
      <c r="T25" s="3">
        <v>0.55888888888888899</v>
      </c>
      <c r="U25" s="3">
        <v>2216.2297444722299</v>
      </c>
      <c r="V25" s="3">
        <v>2174.1850189231491</v>
      </c>
      <c r="W25" s="3">
        <v>0.51734352907569892</v>
      </c>
      <c r="X25" s="3">
        <v>0.46406876951848891</v>
      </c>
      <c r="Y25" s="3">
        <v>711.74292067842828</v>
      </c>
      <c r="Z25" s="3">
        <v>698.4240329378307</v>
      </c>
      <c r="AA25" s="12">
        <v>0.22</v>
      </c>
      <c r="AB25" s="12">
        <v>0.2</v>
      </c>
    </row>
    <row r="26" spans="1:28" x14ac:dyDescent="0.35">
      <c r="A26" s="5" t="s">
        <v>20</v>
      </c>
      <c r="B26" s="7">
        <v>0.7126315789473685</v>
      </c>
      <c r="C26" s="7">
        <v>0.69277777777777783</v>
      </c>
      <c r="D26" s="3">
        <v>1599.2788997355501</v>
      </c>
      <c r="E26" s="3">
        <v>1656.5055564225902</v>
      </c>
      <c r="F26" s="3">
        <v>0.50561761963073315</v>
      </c>
      <c r="G26" s="3">
        <v>0.45685498538289737</v>
      </c>
      <c r="H26" s="3">
        <v>635.50573235228921</v>
      </c>
      <c r="I26" s="4">
        <v>659.46586547726849</v>
      </c>
      <c r="J26" s="12">
        <v>1.0635294117647058</v>
      </c>
      <c r="K26" s="12">
        <v>1.1794444444444447</v>
      </c>
      <c r="L26" s="3">
        <v>1103.5067020578458</v>
      </c>
      <c r="M26" s="3">
        <v>960.72572794833025</v>
      </c>
      <c r="N26" s="3">
        <v>0.5119673943331664</v>
      </c>
      <c r="O26" s="3">
        <v>0.46463282801412681</v>
      </c>
      <c r="P26" s="3" t="b">
        <f>Tableau1[[#This Row],[TPVUS]]&gt;0.5</f>
        <v>0</v>
      </c>
      <c r="Q26" s="3">
        <v>636.95646083099825</v>
      </c>
      <c r="R26" s="3">
        <v>640.65413908626829</v>
      </c>
      <c r="S26" s="3">
        <v>0.56894736842105276</v>
      </c>
      <c r="T26" s="3">
        <v>0.55157894736842106</v>
      </c>
      <c r="U26" s="3">
        <v>2035.8663760130298</v>
      </c>
      <c r="V26" s="3">
        <v>2166.3313711203846</v>
      </c>
      <c r="W26" s="3">
        <v>0.49977693070224261</v>
      </c>
      <c r="X26" s="3">
        <v>0.41945966729742007</v>
      </c>
      <c r="Y26" s="3">
        <v>665.57994787783684</v>
      </c>
      <c r="Z26" s="3">
        <v>694.02392607922388</v>
      </c>
      <c r="AA26" s="12">
        <v>7.0000000000000007E-2</v>
      </c>
      <c r="AB26" s="12">
        <v>0.09</v>
      </c>
    </row>
    <row r="27" spans="1:28" x14ac:dyDescent="0.35">
      <c r="A27" s="5" t="s">
        <v>16</v>
      </c>
      <c r="B27" s="7">
        <v>0.61105263157894718</v>
      </c>
      <c r="C27" s="7">
        <v>0.62052631578947359</v>
      </c>
      <c r="D27" s="3">
        <v>1973.1804785805411</v>
      </c>
      <c r="E27" s="3">
        <v>1813.3586198844205</v>
      </c>
      <c r="F27" s="3">
        <v>0.50813152374502901</v>
      </c>
      <c r="G27" s="3">
        <v>0.43206186073815261</v>
      </c>
      <c r="H27" s="3">
        <v>697.47009802674484</v>
      </c>
      <c r="I27" s="4">
        <v>644.37037093793242</v>
      </c>
      <c r="J27" s="12">
        <v>0.69250000000000012</v>
      </c>
      <c r="K27" s="12">
        <v>0.67899999999999994</v>
      </c>
      <c r="L27" s="3">
        <v>1752.0178974041912</v>
      </c>
      <c r="M27" s="3">
        <v>1705.3033035435735</v>
      </c>
      <c r="N27" s="3">
        <v>0.52062237773123921</v>
      </c>
      <c r="O27" s="3">
        <v>0.41093672750554344</v>
      </c>
      <c r="P27" s="3" t="b">
        <f>Tableau1[[#This Row],[TPVUS]]&gt;0.5</f>
        <v>0</v>
      </c>
      <c r="Q27" s="3">
        <v>680.41499878457023</v>
      </c>
      <c r="R27" s="3">
        <v>646.50628662793349</v>
      </c>
      <c r="S27" s="3">
        <v>0.57550000000000012</v>
      </c>
      <c r="T27" s="3">
        <v>0.56722222222222241</v>
      </c>
      <c r="U27" s="3">
        <v>2112.5170817189069</v>
      </c>
      <c r="V27" s="3">
        <v>1983.9839388753276</v>
      </c>
      <c r="W27" s="3">
        <v>0.51863121919544897</v>
      </c>
      <c r="X27" s="3">
        <v>0.47110288346017554</v>
      </c>
      <c r="Y27" s="3">
        <v>690.05866182284342</v>
      </c>
      <c r="Z27" s="3">
        <v>657.25200711781872</v>
      </c>
      <c r="AA27" s="12">
        <v>0.08</v>
      </c>
      <c r="AB27" s="12">
        <v>0.1</v>
      </c>
    </row>
    <row r="28" spans="1:28" x14ac:dyDescent="0.35">
      <c r="A28" s="5" t="s">
        <v>33</v>
      </c>
      <c r="B28" s="7">
        <v>0.75944444444444459</v>
      </c>
      <c r="C28" s="7">
        <v>0.73777777777777775</v>
      </c>
      <c r="D28" s="3">
        <v>1399.6735074417538</v>
      </c>
      <c r="E28" s="3">
        <v>1388.5863972516215</v>
      </c>
      <c r="F28" s="3">
        <v>0.51076967054769962</v>
      </c>
      <c r="G28" s="3">
        <v>0.43080615323632065</v>
      </c>
      <c r="H28" s="3">
        <v>596.15407749160715</v>
      </c>
      <c r="I28" s="4">
        <v>573.6335139327731</v>
      </c>
      <c r="J28" s="12">
        <v>0.77263157894736845</v>
      </c>
      <c r="K28" s="12">
        <v>0.80000000000000016</v>
      </c>
      <c r="L28" s="3">
        <v>1419.7129714650525</v>
      </c>
      <c r="M28" s="3">
        <v>1358.6472143806216</v>
      </c>
      <c r="N28" s="3">
        <v>0.54222674200709731</v>
      </c>
      <c r="O28" s="3">
        <v>0.42437712833889518</v>
      </c>
      <c r="P28" s="3" t="b">
        <f>Tableau1[[#This Row],[TPVUS]]&gt;0.5</f>
        <v>0</v>
      </c>
      <c r="Q28" s="3">
        <v>602.69993176166622</v>
      </c>
      <c r="R28" s="3">
        <v>581.64031086942202</v>
      </c>
      <c r="S28" s="3">
        <v>0.76842105263157889</v>
      </c>
      <c r="T28" s="3">
        <v>0.79166666666666674</v>
      </c>
      <c r="U28" s="3">
        <v>1417.7228327523721</v>
      </c>
      <c r="V28" s="3">
        <v>1328.8867779434204</v>
      </c>
      <c r="W28" s="3">
        <v>0.5134030082772878</v>
      </c>
      <c r="X28" s="3">
        <v>0.41957712152853854</v>
      </c>
      <c r="Y28" s="3">
        <v>595.24302160681987</v>
      </c>
      <c r="Z28" s="3">
        <v>575.49777081478169</v>
      </c>
      <c r="AA28" s="12">
        <v>0.16</v>
      </c>
      <c r="AB28" s="12">
        <v>0.09</v>
      </c>
    </row>
    <row r="29" spans="1:28" x14ac:dyDescent="0.35">
      <c r="A29" s="5" t="s">
        <v>18</v>
      </c>
      <c r="B29" s="7">
        <v>0.84894736842105256</v>
      </c>
      <c r="C29" s="7">
        <v>0.83368421052631569</v>
      </c>
      <c r="D29" s="3">
        <v>1250.2977224665763</v>
      </c>
      <c r="E29" s="3">
        <v>1278.3732252051991</v>
      </c>
      <c r="F29" s="3">
        <v>0.51476003796521419</v>
      </c>
      <c r="G29" s="3">
        <v>0.45837618953085268</v>
      </c>
      <c r="H29" s="3">
        <v>556.57601352824975</v>
      </c>
      <c r="I29" s="4">
        <v>581.74666413922898</v>
      </c>
      <c r="J29" s="8">
        <v>1.3768421052631579</v>
      </c>
      <c r="K29" s="8">
        <v>1.4326315789473685</v>
      </c>
      <c r="L29" s="3">
        <v>735.24700474821429</v>
      </c>
      <c r="M29" s="3">
        <v>788.09081147495101</v>
      </c>
      <c r="N29" s="3">
        <v>0.50555185188215879</v>
      </c>
      <c r="O29" s="3">
        <v>0.39310471683287812</v>
      </c>
      <c r="P29" s="3" t="b">
        <f>Tableau1[[#This Row],[TPVUS]]&gt;0.5</f>
        <v>0</v>
      </c>
      <c r="Q29" s="3">
        <v>577.30937855084369</v>
      </c>
      <c r="R29" s="3">
        <v>588.64316310522736</v>
      </c>
      <c r="S29" s="3">
        <v>0.5747368421052631</v>
      </c>
      <c r="T29" s="3">
        <v>0.58421052631578951</v>
      </c>
      <c r="U29" s="3">
        <v>1781.0895775031961</v>
      </c>
      <c r="V29" s="3">
        <v>1824.4438161789435</v>
      </c>
      <c r="W29" s="3">
        <v>0.49600569309264425</v>
      </c>
      <c r="X29" s="3">
        <v>0.45230931044065742</v>
      </c>
      <c r="Y29" s="3">
        <v>586.57361899822229</v>
      </c>
      <c r="Z29" s="3">
        <v>609.37923132283129</v>
      </c>
      <c r="AA29" s="12">
        <v>0.15</v>
      </c>
      <c r="AB29" s="12">
        <v>0.13</v>
      </c>
    </row>
    <row r="30" spans="1:28" x14ac:dyDescent="0.35">
      <c r="A30" s="5" t="s">
        <v>40</v>
      </c>
      <c r="B30" s="3">
        <v>0.67363636363636303</v>
      </c>
      <c r="C30" s="3">
        <v>0.61090909090908996</v>
      </c>
      <c r="D30" s="3">
        <v>1446.34261822962</v>
      </c>
      <c r="E30" s="3">
        <v>1575.91649783301</v>
      </c>
      <c r="F30" s="3">
        <v>0.51506742415833295</v>
      </c>
      <c r="G30" s="3">
        <v>0.486556883670961</v>
      </c>
      <c r="H30" s="3">
        <v>524.95577069665103</v>
      </c>
      <c r="I30" s="4">
        <v>530.41963967247</v>
      </c>
      <c r="J30" s="12">
        <v>3.53727272727272</v>
      </c>
      <c r="K30" s="12">
        <v>2.9863636363636301</v>
      </c>
      <c r="L30" s="3">
        <v>270.478770446917</v>
      </c>
      <c r="M30" s="3">
        <v>287.29222306624303</v>
      </c>
      <c r="N30" s="3">
        <v>0.46977590187877399</v>
      </c>
      <c r="O30" s="3">
        <v>0.52643923558928396</v>
      </c>
      <c r="P30" s="3" t="b">
        <f>Tableau1[[#This Row],[TPVUS]]&gt;0.5</f>
        <v>1</v>
      </c>
      <c r="Q30" s="3">
        <v>515.79154216518805</v>
      </c>
      <c r="R30" s="3">
        <v>500.22009111493099</v>
      </c>
      <c r="S30" s="6">
        <v>0.34818181818181798</v>
      </c>
      <c r="T30" s="6">
        <v>0.311818181818181</v>
      </c>
      <c r="U30" s="6">
        <v>2877.97626231711</v>
      </c>
      <c r="V30" s="6">
        <v>2958.3341282925999</v>
      </c>
      <c r="W30" s="3">
        <v>0.52033857590559995</v>
      </c>
      <c r="X30" s="3">
        <v>0.50134610035926397</v>
      </c>
      <c r="Y30" s="6">
        <v>526.77081221176297</v>
      </c>
      <c r="Z30" s="6">
        <v>517.50935144871198</v>
      </c>
      <c r="AA30" s="12">
        <f>0.06/0.52</f>
        <v>0.11538461538461538</v>
      </c>
      <c r="AB30" s="12">
        <f>0.05/0.49</f>
        <v>0.10204081632653061</v>
      </c>
    </row>
    <row r="31" spans="1:28" x14ac:dyDescent="0.35">
      <c r="A31" s="5" t="s">
        <v>44</v>
      </c>
      <c r="B31" s="3">
        <v>0.70727272727272705</v>
      </c>
      <c r="C31" s="3">
        <v>0.66909090909090896</v>
      </c>
      <c r="D31" s="3">
        <v>1503.81176829994</v>
      </c>
      <c r="E31" s="3">
        <v>1389.0998229147699</v>
      </c>
      <c r="F31" s="3">
        <v>0.51589917947015296</v>
      </c>
      <c r="G31" s="3">
        <v>0.41260971320350998</v>
      </c>
      <c r="H31" s="3">
        <v>564.10919649602397</v>
      </c>
      <c r="I31" s="4">
        <v>549.56398045535605</v>
      </c>
      <c r="J31" s="3">
        <v>3.0418181818181802</v>
      </c>
      <c r="K31" s="3">
        <v>2.5345454545454502</v>
      </c>
      <c r="L31" s="3">
        <v>293.82488266705502</v>
      </c>
      <c r="M31" s="3">
        <v>350.02806937089298</v>
      </c>
      <c r="N31" s="3">
        <v>0.34571964585083098</v>
      </c>
      <c r="O31" s="3">
        <v>0.25725624828527799</v>
      </c>
      <c r="P31" s="3" t="b">
        <f>Tableau1[[#This Row],[TPVUS]]&gt;0.5</f>
        <v>0</v>
      </c>
      <c r="Q31" s="3">
        <v>534.74962707048701</v>
      </c>
      <c r="R31" s="3">
        <v>527.58355618700898</v>
      </c>
      <c r="S31" s="3">
        <v>0.39636363636363597</v>
      </c>
      <c r="T31" s="3">
        <v>0.38727272727272699</v>
      </c>
      <c r="U31" s="3">
        <v>2784.722543204</v>
      </c>
      <c r="V31" s="3">
        <v>2666.2952611625801</v>
      </c>
      <c r="W31" s="3">
        <v>0.52158007354958502</v>
      </c>
      <c r="X31" s="3">
        <v>0.43257186096627798</v>
      </c>
      <c r="Y31" s="3">
        <v>550.02143820122001</v>
      </c>
      <c r="Z31" s="3">
        <v>533.30108401133703</v>
      </c>
      <c r="AA31" s="3">
        <f>0.04/0.52</f>
        <v>7.6923076923076927E-2</v>
      </c>
      <c r="AB31" s="3">
        <f>0.07/0.41</f>
        <v>0.17073170731707318</v>
      </c>
    </row>
    <row r="32" spans="1:28" x14ac:dyDescent="0.35">
      <c r="A32" s="5" t="s">
        <v>19</v>
      </c>
      <c r="B32" s="7">
        <v>1.3289473684210529</v>
      </c>
      <c r="C32" s="7">
        <v>1.2105555555555554</v>
      </c>
      <c r="D32" s="3">
        <v>783.16310473326894</v>
      </c>
      <c r="E32" s="3">
        <v>834.53792361702324</v>
      </c>
      <c r="F32" s="3">
        <v>0.51740056483859143</v>
      </c>
      <c r="G32" s="3">
        <v>0.41655559516672025</v>
      </c>
      <c r="H32" s="3">
        <v>598.45920800793203</v>
      </c>
      <c r="I32" s="3">
        <v>579.12381266794637</v>
      </c>
      <c r="J32" s="3">
        <v>1.8539999999999999</v>
      </c>
      <c r="K32" s="3">
        <v>1.8966666666666667</v>
      </c>
      <c r="L32" s="3">
        <v>555.75176073487296</v>
      </c>
      <c r="M32" s="3">
        <v>553.67673832847981</v>
      </c>
      <c r="N32" s="3">
        <v>0.46125356521785443</v>
      </c>
      <c r="O32" s="3">
        <v>0.32551559415550596</v>
      </c>
      <c r="P32" s="3" t="b">
        <f>Tableau1[[#This Row],[TPVUS]]&gt;0.5</f>
        <v>0</v>
      </c>
      <c r="Q32" s="3">
        <v>626.70310520250325</v>
      </c>
      <c r="R32" s="3">
        <v>602.40511752610712</v>
      </c>
      <c r="S32" s="3">
        <v>0.61421052631578965</v>
      </c>
      <c r="T32" s="3">
        <v>0.5910526315789475</v>
      </c>
      <c r="U32" s="3">
        <v>1821.9106816880008</v>
      </c>
      <c r="V32" s="3">
        <v>1847.4863444529826</v>
      </c>
      <c r="W32" s="3">
        <v>0.51985902045375831</v>
      </c>
      <c r="X32" s="3">
        <v>0.45032420922036798</v>
      </c>
      <c r="Y32" s="3">
        <v>629.38248438997732</v>
      </c>
      <c r="Z32" s="3">
        <v>625.69543418857734</v>
      </c>
      <c r="AA32" s="3">
        <v>0.14000000000000001</v>
      </c>
      <c r="AB32" s="3">
        <v>0.12</v>
      </c>
    </row>
    <row r="33" spans="1:28" x14ac:dyDescent="0.35">
      <c r="A33" s="5" t="s">
        <v>13</v>
      </c>
      <c r="B33" s="7">
        <v>1.0638888888888891</v>
      </c>
      <c r="C33" s="7">
        <v>0.92894736842105252</v>
      </c>
      <c r="D33" s="3">
        <v>1047.6223590646084</v>
      </c>
      <c r="E33" s="3">
        <v>1189.3114127462434</v>
      </c>
      <c r="F33" s="3">
        <v>0.52981663969416437</v>
      </c>
      <c r="G33" s="3">
        <v>0.47743451507809159</v>
      </c>
      <c r="H33" s="3">
        <v>625.22760446727352</v>
      </c>
      <c r="I33" s="3">
        <v>597.64225899040002</v>
      </c>
      <c r="J33" s="3">
        <v>1.8981818181818182</v>
      </c>
      <c r="K33" s="3">
        <v>1.8715789473684212</v>
      </c>
      <c r="L33" s="3">
        <v>606.00867608264423</v>
      </c>
      <c r="M33" s="3">
        <v>581.17965511388002</v>
      </c>
      <c r="N33" s="3">
        <v>0.51319169802278319</v>
      </c>
      <c r="O33" s="3">
        <v>0.4415212670967894</v>
      </c>
      <c r="P33" s="3" t="b">
        <f>Tableau1[[#This Row],[TPVUS]]&gt;0.5</f>
        <v>0</v>
      </c>
      <c r="Q33" s="3">
        <v>643.964921874119</v>
      </c>
      <c r="R33" s="3">
        <v>602.28662939362482</v>
      </c>
      <c r="S33" s="3">
        <v>0.59105263157894727</v>
      </c>
      <c r="T33" s="3">
        <v>0.59368421052631581</v>
      </c>
      <c r="U33" s="3">
        <v>1963.9069801244214</v>
      </c>
      <c r="V33" s="3">
        <v>1888.9091237173975</v>
      </c>
      <c r="W33" s="3">
        <v>0.49314954069735684</v>
      </c>
      <c r="X33" s="3">
        <v>0.45675384665634516</v>
      </c>
      <c r="Y33" s="3">
        <v>662.63825605005195</v>
      </c>
      <c r="Z33" s="3">
        <v>632.89563637946617</v>
      </c>
      <c r="AA33" s="3">
        <v>0.15</v>
      </c>
      <c r="AB33" s="3">
        <v>0.17</v>
      </c>
    </row>
    <row r="34" spans="1:28" x14ac:dyDescent="0.35">
      <c r="A34" s="5" t="s">
        <v>15</v>
      </c>
      <c r="B34" s="7">
        <v>1.7254999999999996</v>
      </c>
      <c r="C34" s="7">
        <v>1.7711764705882356</v>
      </c>
      <c r="D34" s="3">
        <v>701.1750190540381</v>
      </c>
      <c r="E34" s="3">
        <v>748.58155273926695</v>
      </c>
      <c r="F34" s="3">
        <v>0.53190506423675565</v>
      </c>
      <c r="G34" s="3">
        <v>0.44803872299573638</v>
      </c>
      <c r="H34" s="3">
        <v>663.6988985411823</v>
      </c>
      <c r="I34" s="3">
        <v>675.23845882716557</v>
      </c>
      <c r="J34" s="3">
        <v>2.4592857142857141</v>
      </c>
      <c r="K34" s="3">
        <v>2.37</v>
      </c>
      <c r="L34" s="3">
        <v>470.78844552260449</v>
      </c>
      <c r="M34" s="3">
        <v>475.89563100608837</v>
      </c>
      <c r="N34" s="3">
        <v>0.48908842460295449</v>
      </c>
      <c r="O34" s="3">
        <v>0.4488471118521361</v>
      </c>
      <c r="P34" s="3" t="b">
        <f>Tableau1[[#This Row],[TPVUS]]&gt;0.5</f>
        <v>0</v>
      </c>
      <c r="Q34" s="3">
        <v>671.00702765725407</v>
      </c>
      <c r="R34" s="3">
        <v>666.623601824964</v>
      </c>
      <c r="S34" s="3">
        <v>1.17</v>
      </c>
      <c r="T34" s="3">
        <v>1.0536842105263156</v>
      </c>
      <c r="U34" s="3">
        <v>1062.3870357118917</v>
      </c>
      <c r="V34" s="3">
        <v>1107.7773359860471</v>
      </c>
      <c r="W34" s="3">
        <v>0.55456236683022875</v>
      </c>
      <c r="X34" s="3">
        <v>0.47170736318971523</v>
      </c>
      <c r="Y34" s="3">
        <v>663.74868045528342</v>
      </c>
      <c r="Z34" s="3">
        <v>679.86321022646518</v>
      </c>
      <c r="AA34" s="3">
        <v>0.2</v>
      </c>
      <c r="AB34" s="3">
        <v>0.26</v>
      </c>
    </row>
    <row r="35" spans="1:28" x14ac:dyDescent="0.35">
      <c r="A35" s="5" t="s">
        <v>34</v>
      </c>
      <c r="B35" s="7">
        <v>0.86421052631578954</v>
      </c>
      <c r="C35" s="7">
        <v>0.73526315789473673</v>
      </c>
      <c r="D35" s="3">
        <v>1250.658709058607</v>
      </c>
      <c r="E35" s="3">
        <v>1523.4006888819501</v>
      </c>
      <c r="F35" s="3">
        <v>0.53911527836802575</v>
      </c>
      <c r="G35" s="3">
        <v>0.4648631100663505</v>
      </c>
      <c r="H35" s="3">
        <v>595.46964598020622</v>
      </c>
      <c r="I35" s="3">
        <v>617.64118612539608</v>
      </c>
      <c r="J35" s="3">
        <v>1.3257894736842109</v>
      </c>
      <c r="K35" s="3">
        <v>1.1994736842105262</v>
      </c>
      <c r="L35" s="3">
        <v>764.99663984767994</v>
      </c>
      <c r="M35" s="3">
        <v>917.30057103946569</v>
      </c>
      <c r="N35" s="3">
        <v>0.42169797539570508</v>
      </c>
      <c r="O35" s="3">
        <v>0.40212206665994799</v>
      </c>
      <c r="P35" s="3" t="b">
        <f>Tableau1[[#This Row],[TPVUS]]&gt;0.5</f>
        <v>0</v>
      </c>
      <c r="Q35" s="3">
        <v>592.80665762015485</v>
      </c>
      <c r="R35" s="3">
        <v>611.93708091723295</v>
      </c>
      <c r="S35" s="3">
        <v>0.57210526315789467</v>
      </c>
      <c r="T35" s="3">
        <v>0.55666666666666664</v>
      </c>
      <c r="U35" s="3">
        <v>1934.5825363346441</v>
      </c>
      <c r="V35" s="3">
        <v>2018.4858844627897</v>
      </c>
      <c r="W35" s="3">
        <v>0.50872992351376944</v>
      </c>
      <c r="X35" s="3">
        <v>0.46134305895860739</v>
      </c>
      <c r="Y35" s="3">
        <v>643.14200700429296</v>
      </c>
      <c r="Z35" s="3">
        <v>643.49168534215755</v>
      </c>
      <c r="AA35" s="3">
        <v>0.16</v>
      </c>
      <c r="AB35" s="3">
        <v>0.12</v>
      </c>
    </row>
    <row r="36" spans="1:28" x14ac:dyDescent="0.35">
      <c r="A36" s="9" t="s">
        <v>8</v>
      </c>
      <c r="B36" s="7">
        <v>0.97000000000000008</v>
      </c>
      <c r="C36" s="7">
        <v>0.96944444444444422</v>
      </c>
      <c r="D36" s="3">
        <v>1271.2325159410002</v>
      </c>
      <c r="E36" s="3">
        <v>1217.7589646512188</v>
      </c>
      <c r="F36" s="3">
        <v>0.54953747452026191</v>
      </c>
      <c r="G36" s="3">
        <v>0.52817749867082353</v>
      </c>
      <c r="H36" s="3">
        <v>670.70153969556884</v>
      </c>
      <c r="I36" s="3">
        <v>664.61850093212433</v>
      </c>
      <c r="J36" s="3">
        <v>1.731052631578947</v>
      </c>
      <c r="K36" s="3">
        <v>1.8456249999999996</v>
      </c>
      <c r="L36" s="3">
        <v>650.98743951283132</v>
      </c>
      <c r="M36" s="3">
        <v>578.55353096208137</v>
      </c>
      <c r="N36" s="3">
        <v>0.61535407617839588</v>
      </c>
      <c r="O36" s="3">
        <v>0.51645598223847033</v>
      </c>
      <c r="P36" s="3" t="b">
        <f>Tableau1[[#This Row],[TPVUS]]&gt;0.5</f>
        <v>1</v>
      </c>
      <c r="Q36" s="3">
        <v>672.23607792970188</v>
      </c>
      <c r="R36" s="3">
        <v>678.9293828724177</v>
      </c>
      <c r="S36" s="3">
        <v>0.56684210526315781</v>
      </c>
      <c r="T36" s="3">
        <v>0.56842105263157894</v>
      </c>
      <c r="U36" s="3">
        <v>2179.0798469080337</v>
      </c>
      <c r="V36" s="3">
        <v>2192.9977547467647</v>
      </c>
      <c r="W36" s="3">
        <v>0.5271663235423989</v>
      </c>
      <c r="X36" s="3">
        <v>0.50483645957981038</v>
      </c>
      <c r="Y36" s="3">
        <v>707.15153455240511</v>
      </c>
      <c r="Z36" s="3">
        <v>709.696031757887</v>
      </c>
      <c r="AA36" s="3">
        <v>0.11</v>
      </c>
      <c r="AB36" s="3">
        <v>0.1</v>
      </c>
    </row>
    <row r="37" spans="1:28" x14ac:dyDescent="0.35">
      <c r="A37" s="5" t="s">
        <v>29</v>
      </c>
      <c r="B37" s="7">
        <v>1.3314285714285714</v>
      </c>
      <c r="C37" s="7">
        <v>1.1626666666666665</v>
      </c>
      <c r="D37" s="3">
        <v>806.8263059381328</v>
      </c>
      <c r="E37" s="3">
        <v>899.2075354706011</v>
      </c>
      <c r="F37" s="3">
        <v>0.55038428047825905</v>
      </c>
      <c r="G37" s="3">
        <v>0.43800607394578134</v>
      </c>
      <c r="H37" s="3">
        <v>603.24789785625933</v>
      </c>
      <c r="I37" s="3">
        <v>599.50614611780509</v>
      </c>
      <c r="J37" s="3">
        <v>1.7013333333333336</v>
      </c>
      <c r="K37" s="3">
        <v>1.4068421052631579</v>
      </c>
      <c r="L37" s="3">
        <v>596.03463348497633</v>
      </c>
      <c r="M37" s="3">
        <v>748.64250208685962</v>
      </c>
      <c r="N37" s="3">
        <v>0.53052684080755053</v>
      </c>
      <c r="O37" s="3">
        <v>0.4114875286507404</v>
      </c>
      <c r="P37" s="3" t="b">
        <f>Tableau1[[#This Row],[TPVUS]]&gt;0.5</f>
        <v>0</v>
      </c>
      <c r="Q37" s="3">
        <v>603.3388533182349</v>
      </c>
      <c r="R37" s="3">
        <v>604.53594103691682</v>
      </c>
      <c r="S37" s="3">
        <v>0.69684210526315782</v>
      </c>
      <c r="T37" s="3">
        <v>0.70111111111111113</v>
      </c>
      <c r="U37" s="3">
        <v>1583.7508824836823</v>
      </c>
      <c r="V37" s="3">
        <v>1547.7649275517526</v>
      </c>
      <c r="W37" s="3">
        <v>0.58994388494480188</v>
      </c>
      <c r="X37" s="3">
        <v>0.47874424850480723</v>
      </c>
      <c r="Y37" s="3">
        <v>629.77910921953105</v>
      </c>
      <c r="Z37" s="3">
        <v>607.37759849407337</v>
      </c>
      <c r="AA37" s="3">
        <v>0.2</v>
      </c>
      <c r="AB37" s="3">
        <v>0.21</v>
      </c>
    </row>
    <row r="38" spans="1:28" x14ac:dyDescent="0.35">
      <c r="A38" s="5" t="s">
        <v>35</v>
      </c>
      <c r="B38" s="7">
        <v>0.78578947368421048</v>
      </c>
      <c r="C38" s="7">
        <v>0.78368421052631587</v>
      </c>
      <c r="D38" s="3">
        <v>1342.1276932087599</v>
      </c>
      <c r="E38" s="3">
        <v>1325.3039996556927</v>
      </c>
      <c r="F38" s="3">
        <v>0.55226510564642151</v>
      </c>
      <c r="G38" s="3">
        <v>0.41845574081640963</v>
      </c>
      <c r="H38" s="3">
        <v>603.1587745586005</v>
      </c>
      <c r="I38" s="3">
        <v>600.61451970895769</v>
      </c>
      <c r="J38" s="3">
        <v>0.86263157894736842</v>
      </c>
      <c r="K38" s="3">
        <v>0.86789473684210516</v>
      </c>
      <c r="L38" s="3">
        <v>1215.2694229675917</v>
      </c>
      <c r="M38" s="3">
        <v>1232.1416921104167</v>
      </c>
      <c r="N38" s="3">
        <v>0.53321019245455337</v>
      </c>
      <c r="O38" s="3">
        <v>0.42600063486879963</v>
      </c>
      <c r="P38" s="3" t="b">
        <f>Tableau1[[#This Row],[TPVUS]]&gt;0.5</f>
        <v>0</v>
      </c>
      <c r="Q38" s="3">
        <v>602.62926567601596</v>
      </c>
      <c r="R38" s="3">
        <v>598.52517925194252</v>
      </c>
      <c r="S38" s="3">
        <v>0.63833333333333331</v>
      </c>
      <c r="T38" s="3">
        <v>0.63105263157894742</v>
      </c>
      <c r="U38" s="3">
        <v>1667.6613586870492</v>
      </c>
      <c r="V38" s="3">
        <v>1709.75341334631</v>
      </c>
      <c r="W38" s="3">
        <v>0.54034668925480545</v>
      </c>
      <c r="X38" s="3">
        <v>0.46699920030382536</v>
      </c>
      <c r="Y38" s="3">
        <v>613.4557875150515</v>
      </c>
      <c r="Z38" s="3">
        <v>606.87851200048192</v>
      </c>
      <c r="AA38" s="3">
        <v>0.14000000000000001</v>
      </c>
      <c r="AB38" s="3">
        <v>0.11</v>
      </c>
    </row>
    <row r="39" spans="1:28" x14ac:dyDescent="0.35">
      <c r="A39" s="5" t="s">
        <v>25</v>
      </c>
      <c r="B39" s="7">
        <v>0.88263157894736843</v>
      </c>
      <c r="C39" s="7">
        <v>0.89049999999999996</v>
      </c>
      <c r="D39" s="3">
        <v>1301.5812297132222</v>
      </c>
      <c r="E39" s="3">
        <v>1225.3898269150061</v>
      </c>
      <c r="F39" s="3">
        <v>0.55360083692891293</v>
      </c>
      <c r="G39" s="3">
        <v>0.45308892689751323</v>
      </c>
      <c r="H39" s="3">
        <v>642.12355203387358</v>
      </c>
      <c r="I39" s="3">
        <v>612.67121239235485</v>
      </c>
      <c r="J39" s="3">
        <v>1.0689473684210526</v>
      </c>
      <c r="K39" s="3">
        <v>1.091</v>
      </c>
      <c r="L39" s="3">
        <v>1060.6756996145089</v>
      </c>
      <c r="M39" s="3">
        <v>1047.505591754875</v>
      </c>
      <c r="N39" s="3">
        <v>0.52098768128799378</v>
      </c>
      <c r="O39" s="3">
        <v>0.46543145266599872</v>
      </c>
      <c r="P39" s="3" t="b">
        <f>Tableau1[[#This Row],[TPVUS]]&gt;0.5</f>
        <v>0</v>
      </c>
      <c r="Q39" s="3">
        <v>629.70036780569387</v>
      </c>
      <c r="R39" s="3">
        <v>611.2124403931972</v>
      </c>
      <c r="S39" s="3">
        <v>0.71599999999999997</v>
      </c>
      <c r="T39" s="3">
        <v>0.67315789473684207</v>
      </c>
      <c r="U39" s="3">
        <v>1684.5052530633902</v>
      </c>
      <c r="V39" s="3">
        <v>1653.0159313992838</v>
      </c>
      <c r="W39" s="3">
        <v>0.55984341733582532</v>
      </c>
      <c r="X39" s="3">
        <v>0.46607808718489369</v>
      </c>
      <c r="Y39" s="3">
        <v>682.17245805266396</v>
      </c>
      <c r="Z39" s="3">
        <v>640.86916412574431</v>
      </c>
      <c r="AA39" s="3">
        <v>0.11</v>
      </c>
      <c r="AB39" s="3">
        <v>0.15</v>
      </c>
    </row>
    <row r="40" spans="1:28" x14ac:dyDescent="0.35">
      <c r="A40" s="9" t="s">
        <v>28</v>
      </c>
      <c r="B40" s="7">
        <v>1.2252631578947368</v>
      </c>
      <c r="C40" s="7">
        <v>1.0231578947368423</v>
      </c>
      <c r="D40" s="3">
        <v>867.64086620606895</v>
      </c>
      <c r="E40" s="3">
        <v>1047.7176535186059</v>
      </c>
      <c r="F40" s="3">
        <v>0.58771529662529198</v>
      </c>
      <c r="G40" s="3">
        <v>0.54653922567344349</v>
      </c>
      <c r="H40" s="3">
        <v>570.45816812008877</v>
      </c>
      <c r="I40" s="3">
        <v>600.21117506970018</v>
      </c>
      <c r="J40" s="3">
        <v>1.7006249999999996</v>
      </c>
      <c r="K40" s="3">
        <v>1.6711111111111112</v>
      </c>
      <c r="L40" s="3">
        <v>550.01423312725296</v>
      </c>
      <c r="M40" s="3">
        <v>596.18609522110182</v>
      </c>
      <c r="N40" s="3">
        <v>0.54287403846095006</v>
      </c>
      <c r="O40" s="3">
        <v>0.4619460243566143</v>
      </c>
      <c r="P40" s="3" t="b">
        <f>Tableau1[[#This Row],[TPVUS]]&gt;0.5</f>
        <v>0</v>
      </c>
      <c r="Q40" s="3">
        <v>596.40132352217745</v>
      </c>
      <c r="R40" s="3">
        <v>607.5860938406671</v>
      </c>
      <c r="S40" s="3">
        <v>0.65421052631578946</v>
      </c>
      <c r="T40" s="3">
        <v>0.61799999999999999</v>
      </c>
      <c r="U40" s="3">
        <v>1683.5974031808066</v>
      </c>
      <c r="V40" s="3">
        <v>1770.402581455799</v>
      </c>
      <c r="W40" s="3">
        <v>0.54726192352717073</v>
      </c>
      <c r="X40" s="3">
        <v>0.50290076749457235</v>
      </c>
      <c r="Y40" s="3">
        <v>623.08532558601314</v>
      </c>
      <c r="Z40" s="3">
        <v>615.81445228744485</v>
      </c>
      <c r="AA40" s="3">
        <v>0.13</v>
      </c>
      <c r="AB40" s="3">
        <v>0.08</v>
      </c>
    </row>
    <row r="41" spans="1:28" x14ac:dyDescent="0.35">
      <c r="A41" s="5" t="s">
        <v>14</v>
      </c>
      <c r="B41" s="7">
        <v>1.3507692307692309</v>
      </c>
      <c r="C41" s="7">
        <v>1.1383333333333334</v>
      </c>
      <c r="D41" s="3">
        <v>689.80710014532815</v>
      </c>
      <c r="E41" s="3">
        <v>790.07807650325299</v>
      </c>
      <c r="F41" s="3">
        <v>0.59169455184219233</v>
      </c>
      <c r="G41" s="3">
        <v>0.42561676720726604</v>
      </c>
      <c r="H41" s="3">
        <v>508.81874485256083</v>
      </c>
      <c r="I41" s="3">
        <v>507.24045254969087</v>
      </c>
      <c r="J41" s="3">
        <v>1.8433333333333335</v>
      </c>
      <c r="K41" s="3">
        <v>1.8843750000000001</v>
      </c>
      <c r="L41" s="3">
        <v>519.15359961020113</v>
      </c>
      <c r="M41" s="3">
        <v>423.5098419949436</v>
      </c>
      <c r="N41" s="3">
        <v>0.55059331779540666</v>
      </c>
      <c r="O41" s="3">
        <v>0.37194771858705494</v>
      </c>
      <c r="P41" s="3" t="b">
        <f>Tableau1[[#This Row],[TPVUS]]&gt;0.5</f>
        <v>0</v>
      </c>
      <c r="Q41" s="3">
        <v>515.2956372315947</v>
      </c>
      <c r="R41" s="3">
        <v>487.03790017456129</v>
      </c>
      <c r="S41" s="3">
        <v>0.64277777777777778</v>
      </c>
      <c r="T41" s="3">
        <v>0.80157894736842095</v>
      </c>
      <c r="U41" s="3">
        <v>1260.6082317731141</v>
      </c>
      <c r="V41" s="3">
        <v>1079.7288062245714</v>
      </c>
      <c r="W41" s="3">
        <v>0.54825123894143313</v>
      </c>
      <c r="X41" s="3">
        <v>0.4585682146868022</v>
      </c>
      <c r="Y41" s="3">
        <v>463.80039875156774</v>
      </c>
      <c r="Z41" s="3">
        <v>430.63104791359837</v>
      </c>
      <c r="AA41" s="3">
        <v>0.21</v>
      </c>
      <c r="AB41" s="3">
        <v>0.25</v>
      </c>
    </row>
    <row r="42" spans="1:28" x14ac:dyDescent="0.35">
      <c r="A42" s="9" t="s">
        <v>36</v>
      </c>
      <c r="B42" s="7">
        <v>0.83473684210526311</v>
      </c>
      <c r="C42" s="7">
        <v>0.81684210526315781</v>
      </c>
      <c r="D42" s="3">
        <v>1238.8379465051555</v>
      </c>
      <c r="E42" s="3">
        <v>1314.1705029880629</v>
      </c>
      <c r="F42" s="3">
        <v>0.61790600821640562</v>
      </c>
      <c r="G42" s="3">
        <v>0.51656090640147201</v>
      </c>
      <c r="H42" s="3">
        <v>563.79586762687393</v>
      </c>
      <c r="I42" s="3">
        <v>575.55939193459176</v>
      </c>
      <c r="J42" s="3">
        <v>1.148421052631579</v>
      </c>
      <c r="K42" s="3">
        <v>1.1364999999999998</v>
      </c>
      <c r="L42" s="3">
        <v>992.0799136003119</v>
      </c>
      <c r="M42" s="3">
        <v>997.80566847395153</v>
      </c>
      <c r="N42" s="3">
        <v>0.57405109979480129</v>
      </c>
      <c r="O42" s="3">
        <v>0.47462314746661283</v>
      </c>
      <c r="P42" s="3" t="b">
        <f>Tableau1[[#This Row],[TPVUS]]&gt;0.5</f>
        <v>0</v>
      </c>
      <c r="Q42" s="3">
        <v>568.95241017985347</v>
      </c>
      <c r="R42" s="3">
        <v>578.21396239068144</v>
      </c>
      <c r="S42" s="3">
        <v>0.63777777777777778</v>
      </c>
      <c r="T42" s="3">
        <v>0.63947368421052642</v>
      </c>
      <c r="U42" s="3">
        <v>1655.6122907556442</v>
      </c>
      <c r="V42" s="3">
        <v>1694.1848077464488</v>
      </c>
      <c r="W42" s="3">
        <v>0.63537911544453363</v>
      </c>
      <c r="X42" s="3">
        <v>0.53828335601225086</v>
      </c>
      <c r="Y42" s="3">
        <v>585.56462260170304</v>
      </c>
      <c r="Z42" s="3">
        <v>599.8522748440397</v>
      </c>
      <c r="AA42" s="3">
        <v>0.09</v>
      </c>
      <c r="AB42" s="3">
        <v>0.13</v>
      </c>
    </row>
    <row r="43" spans="1:28" x14ac:dyDescent="0.35">
      <c r="A43" s="5" t="s">
        <v>69</v>
      </c>
      <c r="B43" s="3">
        <f>STDEVA(Tableau1[MDDN])/SQRT(COUNT(Tableau1[MDDN]))</f>
        <v>4.2480803992293814E-2</v>
      </c>
      <c r="C43" s="3">
        <f>_xlfn.STDEV.P(Tableau1[MDUN])</f>
        <v>0.24249355929581129</v>
      </c>
      <c r="D43" s="3">
        <f>_xlfn.STDEV.P(Tableau1[VMDN])</f>
        <v>309.34465126979751</v>
      </c>
      <c r="E43" s="3">
        <f>_xlfn.STDEV.P(Tableau1[VMUN])</f>
        <v>290.09672630169393</v>
      </c>
      <c r="F43" s="3">
        <f>_xlfn.STDEV.P(Tableau1[TPVDN])</f>
        <v>4.3319308913065402E-2</v>
      </c>
      <c r="G43" s="3">
        <f>_xlfn.STDEV.P(Tableau1[TPVUN])</f>
        <v>4.3208230366212616E-2</v>
      </c>
      <c r="H43" s="3">
        <f>_xlfn.STDEV.P(Tableau1[AMPDN])</f>
        <v>54.036993542549659</v>
      </c>
      <c r="I43" s="3">
        <f>_xlfn.STDEV.P(Tableau1[AMPUN])</f>
        <v>48.643630053551867</v>
      </c>
      <c r="J43" s="3">
        <f>_xlfn.STDEV.P(Tableau1[MDDS])</f>
        <v>0.73774479962302331</v>
      </c>
      <c r="K43" s="3">
        <f>_xlfn.STDEV.P(Tableau1[MDUS])</f>
        <v>0.61028644418669287</v>
      </c>
      <c r="L43" s="3">
        <f>_xlfn.STDEV.P(Tableau1[VMDS])</f>
        <v>324.46826037413746</v>
      </c>
      <c r="M43" s="3">
        <f>_xlfn.STDEV.P(Tableau1[VMUS])</f>
        <v>320.43247695834765</v>
      </c>
      <c r="N43" s="3">
        <f>_xlfn.STDEV.P(Tableau1[TPVDS])</f>
        <v>7.3239357539262737E-2</v>
      </c>
      <c r="O43" s="3">
        <f>_xlfn.STDEV.P(Tableau1[TPVUS])</f>
        <v>6.4867210354300167E-2</v>
      </c>
      <c r="P43" s="3">
        <f>COUNTIF(Tableau1[Colonne1],"FAUX")</f>
        <v>37</v>
      </c>
      <c r="Q43" s="3">
        <f>_xlfn.STDEV.P(Tableau1[AMPDS])</f>
        <v>60.821780974008711</v>
      </c>
      <c r="R43" s="3">
        <f>_xlfn.STDEV.P(Tableau1[AMPUS])</f>
        <v>59.342999958955069</v>
      </c>
      <c r="S43" s="3">
        <f>_xlfn.STDEV.P(Tableau1[MDDF])</f>
        <v>0.16988046827182879</v>
      </c>
      <c r="T43" s="3">
        <f>_xlfn.STDEV.P(Tableau1[MDUF])</f>
        <v>0.16680866106893372</v>
      </c>
      <c r="U43" s="3">
        <f>_xlfn.STDEV.P(Tableau1[VMDF])</f>
        <v>591.49855172661705</v>
      </c>
      <c r="V43" s="3">
        <f>_xlfn.STDEV.P(Tableau1[VMUF])</f>
        <v>608.25435488424159</v>
      </c>
      <c r="W43" s="3">
        <f>_xlfn.STDEV.P(Tableau1[TPVDF])</f>
        <v>4.7594682708551495E-2</v>
      </c>
      <c r="X43" s="3">
        <f>_xlfn.STDEV.P(Tableau1[TPVUF])</f>
        <v>4.074624736026522E-2</v>
      </c>
      <c r="Y43" s="3">
        <f>_xlfn.STDEV.P(Tableau1[AMPDF])</f>
        <v>70.654926267892108</v>
      </c>
      <c r="Z43" s="3">
        <f>_xlfn.STDEV.P(Tableau1[AMPUF])</f>
        <v>71.360213817639661</v>
      </c>
      <c r="AA43" s="3"/>
      <c r="AB43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E725-7725-4120-8C38-0AA1C9A4785C}">
  <dimension ref="A1:P13"/>
  <sheetViews>
    <sheetView topLeftCell="A4" workbookViewId="0">
      <selection activeCell="L16" sqref="L16"/>
    </sheetView>
  </sheetViews>
  <sheetFormatPr baseColWidth="10" defaultRowHeight="14.5" x14ac:dyDescent="0.35"/>
  <sheetData>
    <row r="1" spans="1:16" x14ac:dyDescent="0.35">
      <c r="B1">
        <v>0.23</v>
      </c>
      <c r="C1">
        <v>0.26</v>
      </c>
      <c r="D1">
        <v>0.28999999999999998</v>
      </c>
      <c r="E1">
        <v>0.32</v>
      </c>
      <c r="F1">
        <v>0.35</v>
      </c>
      <c r="G1">
        <v>0.38</v>
      </c>
      <c r="H1">
        <v>0.41</v>
      </c>
      <c r="I1">
        <v>0.44</v>
      </c>
      <c r="J1">
        <v>0.47</v>
      </c>
      <c r="K1">
        <v>0.5</v>
      </c>
      <c r="L1">
        <v>0.53</v>
      </c>
      <c r="M1">
        <v>0.56000000000000005</v>
      </c>
      <c r="N1">
        <v>0.59</v>
      </c>
      <c r="O1">
        <v>0.62</v>
      </c>
      <c r="P1">
        <v>0.65</v>
      </c>
    </row>
    <row r="2" spans="1:16" x14ac:dyDescent="0.35">
      <c r="A2" t="s">
        <v>4</v>
      </c>
      <c r="B2">
        <f>COUNTIFS(Tableau1[TPVDN],"&gt;=0,22",Tableau1[TPVDN], "&lt;0,25")</f>
        <v>0</v>
      </c>
      <c r="C2">
        <f>COUNTIFS(Tableau1[TPVDN],"&gt;=0,25",Tableau1[TPVDN], "&lt;0,28")</f>
        <v>0</v>
      </c>
      <c r="D2">
        <f>COUNTIFS(Tableau1[TPVDN],"&gt;=0,28",Tableau1[TPVDN], "&lt;0,31")</f>
        <v>0</v>
      </c>
      <c r="E2">
        <f>COUNTIFS(Tableau1[TPVDN],"&gt;=0,31",Tableau1[TPVDN], "&lt;0,34")</f>
        <v>0</v>
      </c>
      <c r="F2">
        <f>COUNTIFS(Tableau1[TPVDN],"&gt;=0,34",Tableau1[TPVDN], "&lt;0,37")</f>
        <v>0</v>
      </c>
      <c r="G2">
        <f>COUNTIFS(Tableau1[TPVDN],"&gt;=0,37",Tableau1[TPVDN], "&lt;0,40")</f>
        <v>0</v>
      </c>
      <c r="H2">
        <f>COUNTIFS(Tableau1[TPVDN],"&gt;=0,40",Tableau1[TPVDN], "&lt;0,43")</f>
        <v>2</v>
      </c>
      <c r="I2">
        <f>COUNTIFS(Tableau1[TPVDN],"&gt;=0,43",Tableau1[TPVDN], "&lt;0,46")</f>
        <v>5</v>
      </c>
      <c r="J2">
        <f>COUNTIFS(Tableau1[TPVDN],"&gt;=0,46",Tableau1[TPVDN], "&lt;0,49")</f>
        <v>8</v>
      </c>
      <c r="K2">
        <f>COUNTIFS(Tableau1[TPVDN],"&gt;=0,49",Tableau1[TPVDN], "&lt;0,52")</f>
        <v>16</v>
      </c>
      <c r="L2">
        <f>COUNTIFS(Tableau1[TPVDN],"&gt;=0,52",Tableau1[TPVDN], "&lt;0,55")</f>
        <v>4</v>
      </c>
      <c r="M2">
        <f>COUNTIFS(Tableau1[TPVDN],"&gt;=0,55",Tableau1[TPVDN], "&lt;0,58")</f>
        <v>3</v>
      </c>
      <c r="N2">
        <f>COUNTIFS(Tableau1[TPVDN],"&gt;=0,58",Tableau1[TPVDN], "&lt;0,61")</f>
        <v>2</v>
      </c>
      <c r="O2">
        <f>COUNTIFS(Tableau1[TPVDN],"&gt;=0,61",Tableau1[TPVDN], "&lt;0,64")</f>
        <v>1</v>
      </c>
      <c r="P2">
        <f>COUNTIFS(Tableau1[TPVDN],"&gt;=0,64",Tableau1[TPVDN], "&lt;0,67")</f>
        <v>0</v>
      </c>
    </row>
    <row r="3" spans="1:16" x14ac:dyDescent="0.35">
      <c r="A3" t="s">
        <v>5</v>
      </c>
      <c r="B3">
        <f>COUNTIFS(Tableau1[TPVUN],"&gt;=0,22",Tableau1[TPVUN], "&lt;0,25")</f>
        <v>0</v>
      </c>
      <c r="C3">
        <f>COUNTIFS(Tableau1[TPVUN],"&gt;=0,25",Tableau1[TPVUN], "&lt;0,28")</f>
        <v>0</v>
      </c>
      <c r="D3">
        <f>COUNTIFS(Tableau1[TPVUN],"&gt;=0,28",Tableau1[TPVUN], "&lt;0,31")</f>
        <v>0</v>
      </c>
      <c r="E3">
        <f>COUNTIFS(Tableau1[TPVUN],"&gt;=0,31",Tableau1[TPVUN], "&lt;=0,34")</f>
        <v>0</v>
      </c>
      <c r="F3">
        <f>COUNTIFS(Tableau1[TPVUN],"&gt;=0,34",Tableau1[TPVUN], "&lt;0,37")</f>
        <v>3</v>
      </c>
      <c r="G3">
        <f>COUNTIFS(Tableau1[TPVUN],"&gt;=0,37",Tableau1[TPVUN], "&lt;0,40")</f>
        <v>5</v>
      </c>
      <c r="H3">
        <f>COUNTIFS(Tableau1[TPVUN],"&gt;=0,40",Tableau1[TPVUN], "&lt;0,43")</f>
        <v>9</v>
      </c>
      <c r="I3">
        <f>COUNTIFS(Tableau1[TPVUN],"&gt;=0,43",Tableau1[TPVUN], "&lt;0,46")</f>
        <v>11</v>
      </c>
      <c r="J3">
        <f>COUNTIFS(Tableau1[TPVUN],"&gt;=0,46",Tableau1[TPVUN], "&lt;0,49")</f>
        <v>9</v>
      </c>
      <c r="K3">
        <f>COUNTIFS(Tableau1[TPVUN],"&gt;=0,49",Tableau1[TPVUN], "&lt;0,52")</f>
        <v>2</v>
      </c>
      <c r="L3">
        <f>COUNTIFS(Tableau1[TPVUN],"&gt;=0,52",Tableau1[TPVUN], "&lt;0,55")</f>
        <v>2</v>
      </c>
      <c r="M3">
        <f>COUNTIFS(Tableau1[TPVUN],"&gt;=0,55",Tableau1[TPVUN], "&lt;0,58")</f>
        <v>0</v>
      </c>
      <c r="N3">
        <f>COUNTIFS(Tableau1[TPVUN],"&gt;=0,58",Tableau1[TPVUN], "&lt;0,61")</f>
        <v>0</v>
      </c>
      <c r="O3">
        <f>COUNTIFS(Tableau1[TPVUN],"&gt;=0,61",Tableau1[TPVUN], "&lt;0,64")</f>
        <v>0</v>
      </c>
      <c r="P3">
        <f>COUNTIFS(Tableau1[TPVUN],"&gt;=0,64",Tableau1[TPVUN], "&lt;0,67")</f>
        <v>0</v>
      </c>
    </row>
    <row r="6" spans="1:16" x14ac:dyDescent="0.35">
      <c r="B6">
        <v>0.23</v>
      </c>
      <c r="C6">
        <v>0.26</v>
      </c>
      <c r="D6">
        <v>0.28999999999999998</v>
      </c>
      <c r="E6">
        <v>0.32</v>
      </c>
      <c r="F6">
        <v>0.35</v>
      </c>
      <c r="G6">
        <v>0.38</v>
      </c>
      <c r="H6">
        <v>0.41</v>
      </c>
      <c r="I6">
        <v>0.44</v>
      </c>
      <c r="J6">
        <v>0.47</v>
      </c>
      <c r="K6">
        <v>0.5</v>
      </c>
      <c r="L6">
        <v>0.53</v>
      </c>
      <c r="M6">
        <v>0.56000000000000005</v>
      </c>
      <c r="N6">
        <v>0.59</v>
      </c>
      <c r="O6">
        <v>0.62</v>
      </c>
      <c r="P6">
        <v>0.65</v>
      </c>
    </row>
    <row r="7" spans="1:16" x14ac:dyDescent="0.35">
      <c r="A7" t="s">
        <v>53</v>
      </c>
      <c r="B7">
        <f>COUNTIFS(Tableau1[TPVDS],"&gt;=0,22",Tableau1[TPVDS], "&lt;0,25")</f>
        <v>0</v>
      </c>
      <c r="C7">
        <f>COUNTIFS(Tableau1[TPVDS],"&gt;=0,25",Tableau1[TPVDS], "&lt;0,28")</f>
        <v>1</v>
      </c>
      <c r="D7">
        <f>COUNTIFS(Tableau1[TPVDS],"&gt;=0,28",Tableau1[TPVDS], "&lt;0,31")</f>
        <v>0</v>
      </c>
      <c r="E7">
        <f>COUNTIFS(Tableau1[TPVDS],"&gt;=0,31",Tableau1[TPVDS], "&lt;0,34")</f>
        <v>0</v>
      </c>
      <c r="F7">
        <f>COUNTIFS(Tableau1[TPVDS],"&gt;=0,34",Tableau1[TPVDS], "&lt;0,37")</f>
        <v>2</v>
      </c>
      <c r="G7">
        <f>COUNTIFS(Tableau1[TPVDS],"&gt;=0,37",Tableau1[TPVDS], "&lt;0,40")</f>
        <v>2</v>
      </c>
      <c r="H7">
        <f>COUNTIFS(Tableau1[TPVDS],"&gt;=0,40",Tableau1[TPVDS], "&lt;0,43")</f>
        <v>6</v>
      </c>
      <c r="I7">
        <f>COUNTIFS(Tableau1[TPVDS],"&gt;=0,43",Tableau1[TPVDS], "&lt;0,46")</f>
        <v>5</v>
      </c>
      <c r="J7">
        <f>COUNTIFS(Tableau1[TPVDS],"&gt;=0,46",Tableau1[TPVDS], "&lt;0,49")</f>
        <v>6</v>
      </c>
      <c r="K7">
        <f>COUNTIFS(Tableau1[TPVDS],"&gt;=0,49",Tableau1[TPVDS], "&lt;0,52")</f>
        <v>6</v>
      </c>
      <c r="L7">
        <f>COUNTIFS(Tableau1[TPVDS],"&gt;=0,52",Tableau1[TPVDS], "&lt;0,55")</f>
        <v>8</v>
      </c>
      <c r="M7">
        <f>COUNTIFS(Tableau1[TPVDS],"&gt;=0,55",Tableau1[TPVDS], "&lt;0,58")</f>
        <v>2</v>
      </c>
      <c r="N7">
        <f>COUNTIFS(Tableau1[TPVDS],"&gt;=0,58",Tableau1[TPVDS], "&lt;0,61")</f>
        <v>1</v>
      </c>
      <c r="O7">
        <f>COUNTIFS(Tableau1[TPVDS],"&gt;=0,61",Tableau1[TPVDS], "&lt;0,64")</f>
        <v>2</v>
      </c>
      <c r="P7">
        <f>COUNTIFS(Tableau1[TPVDS],"&gt;=0,64",Tableau1[TPVDS], "&lt;0,67")</f>
        <v>0</v>
      </c>
    </row>
    <row r="8" spans="1:16" x14ac:dyDescent="0.35">
      <c r="A8" t="s">
        <v>54</v>
      </c>
      <c r="B8">
        <f>COUNTIFS(Tableau1[TPVUS],"&gt;=0,22",Tableau1[TPVUS], "&lt;0,25")</f>
        <v>0</v>
      </c>
      <c r="C8">
        <f>COUNTIFS(Tableau1[TPVUS],"&gt;=0,25",Tableau1[TPVUS], "&lt;0,28")</f>
        <v>2</v>
      </c>
      <c r="D8">
        <f>COUNTIFS(Tableau1[TPVUS],"&gt;=0,28",Tableau1[TPVUS], "&lt;0,31")</f>
        <v>1</v>
      </c>
      <c r="E8">
        <f>COUNTIFS(Tableau1[TPVUS],"&gt;=0,31",Tableau1[TPVUS], "&lt;=0,34")</f>
        <v>1</v>
      </c>
      <c r="F8">
        <f>COUNTIFS(Tableau1[TPVUS],"&gt;=0,34",Tableau1[TPVUS], "&lt;0,37")</f>
        <v>8</v>
      </c>
      <c r="G8">
        <f>COUNTIFS(Tableau1[TPVUS],"&gt;=0,37",Tableau1[TPVUS], "&lt;0,40")</f>
        <v>6</v>
      </c>
      <c r="H8">
        <f>COUNTIFS(Tableau1[TPVUS],"&gt;=0,40",Tableau1[TPVUS], "&lt;0,43")</f>
        <v>10</v>
      </c>
      <c r="I8">
        <f>COUNTIFS(Tableau1[TPVUS],"&gt;=0,43",Tableau1[TPVUS], "&lt;0,46")</f>
        <v>3</v>
      </c>
      <c r="J8">
        <f>COUNTIFS(Tableau1[TPVUS],"&gt;=0,46",Tableau1[TPVUS], "&lt;0,49")</f>
        <v>6</v>
      </c>
      <c r="K8">
        <f>COUNTIFS(Tableau1[TPVUS],"&gt;=0,49",Tableau1[TPVUS], "&lt;0,52")</f>
        <v>2</v>
      </c>
      <c r="L8">
        <f>COUNTIFS(Tableau1[TPVUS],"&gt;=0,52",Tableau1[TPVUS], "&lt;0,55")</f>
        <v>2</v>
      </c>
      <c r="M8">
        <f>COUNTIFS(Tableau1[TPVUS],"&gt;=0,55",Tableau1[TPVUS], "&lt;0,58")</f>
        <v>0</v>
      </c>
      <c r="N8">
        <f>COUNTIFS(Tableau1[TPVUS],"&gt;=0,58",Tableau1[TPVUS], "&lt;0,61")</f>
        <v>0</v>
      </c>
      <c r="O8">
        <f>COUNTIFS(Tableau1[TPVUS],"&gt;=0,61",Tableau1[TPVUS], "&lt;0,64")</f>
        <v>0</v>
      </c>
      <c r="P8">
        <f>COUNTIFS(Tableau1[TPVUS],"&gt;=0,64",Tableau1[TPVUS], "&lt;0,67")</f>
        <v>0</v>
      </c>
    </row>
    <row r="11" spans="1:16" x14ac:dyDescent="0.35">
      <c r="B11">
        <v>0.23</v>
      </c>
      <c r="C11">
        <v>0.26</v>
      </c>
      <c r="D11">
        <v>0.28999999999999998</v>
      </c>
      <c r="E11">
        <v>0.32</v>
      </c>
      <c r="F11">
        <v>0.35</v>
      </c>
      <c r="G11">
        <v>0.38</v>
      </c>
      <c r="H11">
        <v>0.41</v>
      </c>
      <c r="I11">
        <v>0.44</v>
      </c>
      <c r="J11">
        <v>0.47</v>
      </c>
      <c r="K11">
        <v>0.5</v>
      </c>
      <c r="L11">
        <v>0.53</v>
      </c>
      <c r="M11">
        <v>0.56000000000000005</v>
      </c>
      <c r="N11">
        <v>0.59</v>
      </c>
      <c r="O11">
        <v>0.62</v>
      </c>
      <c r="P11">
        <v>0.65</v>
      </c>
    </row>
    <row r="12" spans="1:16" x14ac:dyDescent="0.35">
      <c r="A12" t="s">
        <v>61</v>
      </c>
      <c r="B12">
        <f>COUNTIFS(Tableau1[TPVDF],"&gt;=0,22",Tableau1[TPVDF], "&lt;0,25")</f>
        <v>0</v>
      </c>
      <c r="C12">
        <f>COUNTIFS(Tableau1[TPVDF],"&gt;=0,25",Tableau1[TPVDF], "&lt;0,28")</f>
        <v>0</v>
      </c>
      <c r="D12">
        <f>COUNTIFS(Tableau1[TPVDF],"&gt;=0,28",Tableau1[TPVDF], "&lt;0,31")</f>
        <v>0</v>
      </c>
      <c r="E12">
        <f>COUNTIFS(Tableau1[TPVDF],"&gt;=0,31",Tableau1[TPVDF], "&lt;0,34")</f>
        <v>0</v>
      </c>
      <c r="F12">
        <f>COUNTIFS(Tableau1[TPVDF],"&gt;=0,34",Tableau1[TPVDF], "&lt;0,37")</f>
        <v>0</v>
      </c>
      <c r="G12">
        <f>COUNTIFS(Tableau1[TPVDF],"&gt;=0,37",Tableau1[TPVDF], "&lt;0,40")</f>
        <v>1</v>
      </c>
      <c r="H12">
        <f>COUNTIFS(Tableau1[TPVDF],"&gt;=0,40",Tableau1[TPVDF], "&lt;0,43")</f>
        <v>3</v>
      </c>
      <c r="I12">
        <f>COUNTIFS(Tableau1[TPVDF],"&gt;=0,43",Tableau1[TPVDF], "&lt;0,46")</f>
        <v>3</v>
      </c>
      <c r="J12">
        <f>COUNTIFS(Tableau1[TPVDF],"&gt;=0,46",Tableau1[TPVDF], "&lt;0,49")</f>
        <v>7</v>
      </c>
      <c r="K12">
        <f>COUNTIFS(Tableau1[TPVDF],"&gt;=0,49",Tableau1[TPVDF], "&lt;0,52")</f>
        <v>14</v>
      </c>
      <c r="L12">
        <f>COUNTIFS(Tableau1[TPVDF],"&gt;=0,52",Tableau1[TPVDF], "&lt;0,55")</f>
        <v>9</v>
      </c>
      <c r="M12">
        <f>COUNTIFS(Tableau1[TPVDF],"&gt;=0,55",Tableau1[TPVDF], "&lt;0,58")</f>
        <v>2</v>
      </c>
      <c r="N12">
        <f>COUNTIFS(Tableau1[TPVDF],"&gt;=0,58",Tableau1[TPVDF], "&lt;0,61")</f>
        <v>1</v>
      </c>
      <c r="O12">
        <f>COUNTIFS(Tableau1[TPVDF],"&gt;=0,61",Tableau1[TPVDF], "&lt;0,64")</f>
        <v>1</v>
      </c>
      <c r="P12">
        <f>COUNTIFS(Tableau1[TPVDF],"&gt;=0,64",Tableau1[TPVDF], "&lt;0,67")</f>
        <v>0</v>
      </c>
    </row>
    <row r="13" spans="1:16" x14ac:dyDescent="0.35">
      <c r="A13" t="s">
        <v>62</v>
      </c>
      <c r="B13">
        <f>COUNTIFS(Tableau1[TPVUF],"&gt;=0,22",Tableau1[TPVUF], "&lt;0,25")</f>
        <v>0</v>
      </c>
      <c r="C13">
        <f>COUNTIFS(Tableau1[TPVUF],"&gt;=0,25",Tableau1[TPVUF], "&lt;0,28")</f>
        <v>0</v>
      </c>
      <c r="D13">
        <f>COUNTIFS(Tableau1[TPVUF],"&gt;=0,28",Tableau1[TPVUF], "&lt;0,31")</f>
        <v>0</v>
      </c>
      <c r="E13">
        <f>COUNTIFS(Tableau1[TPVUF],"&gt;=0,31",Tableau1[TPVUF], "&lt;=0,34")</f>
        <v>1</v>
      </c>
      <c r="F13">
        <f>COUNTIFS(Tableau1[TPVUF],"&gt;=0,34",Tableau1[TPVUF], "&lt;0,37")</f>
        <v>1</v>
      </c>
      <c r="G13">
        <f>COUNTIFS(Tableau1[TPVUF],"&gt;=0,37",Tableau1[TPVUF], "&lt;0,40")</f>
        <v>2</v>
      </c>
      <c r="H13">
        <f>COUNTIFS(Tableau1[TPVUS],"&gt;=0,40",Tableau1[TPVUS], "&lt;0,43")</f>
        <v>10</v>
      </c>
      <c r="I13">
        <f>COUNTIFS(Tableau1[TPVUF],"&gt;=0,43",Tableau1[TPVUF], "&lt;0,46")</f>
        <v>12</v>
      </c>
      <c r="J13">
        <f>COUNTIFS(Tableau1[TPVUF],"&gt;=0,46",Tableau1[TPVUF], "&lt;0,49")</f>
        <v>13</v>
      </c>
      <c r="K13">
        <f>COUNTIFS(Tableau1[TPVUF],"&gt;=0,49",Tableau1[TPVUF], "&lt;0,52")</f>
        <v>5</v>
      </c>
      <c r="L13">
        <f>COUNTIFS(Tableau1[TPVUF],"&gt;=0,52",Tableau1[TPVUF], "&lt;0,55")</f>
        <v>1</v>
      </c>
      <c r="M13">
        <f>COUNTIFS(Tableau1[TPVUF],"&gt;=0,55",Tableau1[TPVUF], "&lt;0,58")</f>
        <v>0</v>
      </c>
      <c r="N13">
        <f>COUNTIFS(Tableau1[TPVUF],"&gt;=0,58",Tableau1[TPVUF], "&lt;0,61")</f>
        <v>0</v>
      </c>
      <c r="O13">
        <f>COUNTIFS(Tableau1[TPVUF],"&gt;=0,61",Tableau1[TPVUF], "&lt;0,64")</f>
        <v>0</v>
      </c>
      <c r="P13">
        <f>COUNTIFS(Tableau1[TPVUF],"&gt;=0,64",Tableau1[TPVUF], "&lt;0,67")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6161-D947-4F14-9C37-8054E8811263}">
  <sheetPr codeName="XLSTAT_20220111_140947_1_HID">
    <tabColor rgb="FF007800"/>
  </sheetPr>
  <dimension ref="A1:X100"/>
  <sheetViews>
    <sheetView workbookViewId="0">
      <selection activeCell="U1" sqref="U1"/>
    </sheetView>
  </sheetViews>
  <sheetFormatPr baseColWidth="10" defaultRowHeight="14.5" x14ac:dyDescent="0.35"/>
  <sheetData>
    <row r="1" spans="1:24" x14ac:dyDescent="0.35">
      <c r="A1">
        <v>1</v>
      </c>
      <c r="C1">
        <f t="shared" ref="C1:C32" si="0">0.3364177126+(A1-1)*0.0033220793</f>
        <v>0.33641771259999997</v>
      </c>
      <c r="D1">
        <f t="shared" ref="D1:D32" si="1">0.363350118612284+0.32111866660137*C1-0.0900725597571582*(0.0232558139534884+(C1-0.438582741812773)^2/0.0836087453908287)^0.5</f>
        <v>0.43671733713885103</v>
      </c>
      <c r="E1">
        <v>1</v>
      </c>
      <c r="G1">
        <f t="shared" ref="G1:G32" si="2">0.3364177126+(E1-1)*0.0033220793</f>
        <v>0.33641771259999997</v>
      </c>
      <c r="H1">
        <f t="shared" ref="H1:H32" si="3">0.363350118612284+0.32111866660137*G1+0.0900725597571582*(0.0232558139534884+(G1-0.438582741812773)^2/0.0836087453908287)^0.5</f>
        <v>0.5060429146681068</v>
      </c>
      <c r="I1">
        <v>1</v>
      </c>
      <c r="K1">
        <f t="shared" ref="K1:K32" si="4">0.3364177126+(I1-1)*0.0023153886</f>
        <v>0.33641771259999997</v>
      </c>
      <c r="L1">
        <f t="shared" ref="L1:L32" si="5">0.363350118612284+0.32111866660137*K1-0.0900725597571582*(1.02325581395349+(K1-0.438582741812773)^2/0.0836087453908287)^0.5</f>
        <v>0.37486808030217555</v>
      </c>
      <c r="M1">
        <v>1</v>
      </c>
      <c r="O1">
        <f t="shared" ref="O1:O32" si="6">0.3364177126+(M1-1)*0.0023153886</f>
        <v>0.33641771259999997</v>
      </c>
      <c r="P1">
        <f t="shared" ref="P1:P32" si="7">0.363350118612284+0.32111866660137*O1+0.0900725597571582*(1.02325581395349+(O1-0.438582741812773)^2/0.0836087453908287)^0.5</f>
        <v>0.56789217150478222</v>
      </c>
      <c r="Q1">
        <v>1</v>
      </c>
      <c r="S1">
        <f t="shared" ref="S1:S32" si="8">0.4750605226+(Q1-1)*0.00248644</f>
        <v>0.47506052259999998</v>
      </c>
      <c r="T1">
        <f t="shared" ref="T1:T32" si="9">0+1*S1-0.0900725597571582*(1.02325581395349+(S1-0.504187223857575)^2/0.0086214995563288)^0.5</f>
        <v>0.3796662025347477</v>
      </c>
      <c r="U1">
        <v>1</v>
      </c>
      <c r="W1">
        <f t="shared" ref="W1:W32" si="10">0.3820112964+(U1-1)*0.0038349795</f>
        <v>0.38201129639999998</v>
      </c>
      <c r="X1">
        <f t="shared" ref="X1:X32" si="11">0+1*W1+0.0900725597571582*(1.02325581395349+(W1-0.504187223857575)^2/0.0086214995563288)^0.5</f>
        <v>0.53150516086289223</v>
      </c>
    </row>
    <row r="2" spans="1:24" x14ac:dyDescent="0.35">
      <c r="A2">
        <v>2</v>
      </c>
      <c r="C2">
        <f t="shared" si="0"/>
        <v>0.33973979189999998</v>
      </c>
      <c r="D2">
        <f t="shared" si="1"/>
        <v>0.43873175265125353</v>
      </c>
      <c r="E2">
        <v>2</v>
      </c>
      <c r="G2">
        <f t="shared" si="2"/>
        <v>0.33973979189999998</v>
      </c>
      <c r="H2">
        <f t="shared" si="3"/>
        <v>0.50616206250602436</v>
      </c>
      <c r="I2">
        <v>2</v>
      </c>
      <c r="K2">
        <f t="shared" si="4"/>
        <v>0.3387331012</v>
      </c>
      <c r="L2">
        <f t="shared" si="5"/>
        <v>0.37584702307185736</v>
      </c>
      <c r="M2">
        <v>2</v>
      </c>
      <c r="O2">
        <f t="shared" si="6"/>
        <v>0.3387331012</v>
      </c>
      <c r="P2">
        <f t="shared" si="7"/>
        <v>0.56840025773489256</v>
      </c>
      <c r="Q2">
        <v>2</v>
      </c>
      <c r="S2">
        <f t="shared" si="8"/>
        <v>0.47754696259999996</v>
      </c>
      <c r="T2">
        <f t="shared" si="9"/>
        <v>0.38283903089920529</v>
      </c>
      <c r="U2">
        <v>2</v>
      </c>
      <c r="W2">
        <f t="shared" si="10"/>
        <v>0.38584627589999998</v>
      </c>
      <c r="X2">
        <f t="shared" si="11"/>
        <v>0.53240832197692389</v>
      </c>
    </row>
    <row r="3" spans="1:24" x14ac:dyDescent="0.35">
      <c r="A3">
        <v>3</v>
      </c>
      <c r="C3">
        <f t="shared" si="0"/>
        <v>0.34306187119999998</v>
      </c>
      <c r="D3">
        <f t="shared" si="1"/>
        <v>0.44074089199462219</v>
      </c>
      <c r="E3">
        <v>3</v>
      </c>
      <c r="G3">
        <f t="shared" si="2"/>
        <v>0.34306187119999998</v>
      </c>
      <c r="H3">
        <f t="shared" si="3"/>
        <v>0.5062864865129757</v>
      </c>
      <c r="I3">
        <v>3</v>
      </c>
      <c r="K3">
        <f t="shared" si="4"/>
        <v>0.34104848979999997</v>
      </c>
      <c r="L3">
        <f t="shared" si="5"/>
        <v>0.37682112651493532</v>
      </c>
      <c r="M3">
        <v>3</v>
      </c>
      <c r="O3">
        <f t="shared" si="6"/>
        <v>0.34104848979999997</v>
      </c>
      <c r="P3">
        <f t="shared" si="7"/>
        <v>0.56891318329160645</v>
      </c>
      <c r="Q3">
        <v>3</v>
      </c>
      <c r="S3">
        <f t="shared" si="8"/>
        <v>0.48003340259999999</v>
      </c>
      <c r="T3">
        <f t="shared" si="9"/>
        <v>0.38595501009264954</v>
      </c>
      <c r="U3">
        <v>3</v>
      </c>
      <c r="W3">
        <f t="shared" si="10"/>
        <v>0.38968125539999998</v>
      </c>
      <c r="X3">
        <f t="shared" si="11"/>
        <v>0.53334799021198953</v>
      </c>
    </row>
    <row r="4" spans="1:24" x14ac:dyDescent="0.35">
      <c r="A4">
        <v>4</v>
      </c>
      <c r="C4">
        <f t="shared" si="0"/>
        <v>0.34638395049999998</v>
      </c>
      <c r="D4">
        <f t="shared" si="1"/>
        <v>0.44274428663841114</v>
      </c>
      <c r="E4">
        <v>4</v>
      </c>
      <c r="G4">
        <f t="shared" si="2"/>
        <v>0.34638395049999998</v>
      </c>
      <c r="H4">
        <f t="shared" si="3"/>
        <v>0.50641665521950674</v>
      </c>
      <c r="I4">
        <v>4</v>
      </c>
      <c r="K4">
        <f t="shared" si="4"/>
        <v>0.34336387839999999</v>
      </c>
      <c r="L4">
        <f t="shared" si="5"/>
        <v>0.37779035569428521</v>
      </c>
      <c r="M4">
        <v>4</v>
      </c>
      <c r="O4">
        <f t="shared" si="6"/>
        <v>0.34336387839999999</v>
      </c>
      <c r="P4">
        <f t="shared" si="7"/>
        <v>0.56943098311204876</v>
      </c>
      <c r="Q4">
        <v>4</v>
      </c>
      <c r="S4">
        <f t="shared" si="8"/>
        <v>0.48251984259999997</v>
      </c>
      <c r="T4">
        <f t="shared" si="9"/>
        <v>0.38901299188901772</v>
      </c>
      <c r="U4">
        <v>4</v>
      </c>
      <c r="W4">
        <f t="shared" si="10"/>
        <v>0.39351623489999998</v>
      </c>
      <c r="X4">
        <f t="shared" si="11"/>
        <v>0.53432641754281196</v>
      </c>
    </row>
    <row r="5" spans="1:24" x14ac:dyDescent="0.35">
      <c r="A5">
        <v>5</v>
      </c>
      <c r="C5">
        <f t="shared" si="0"/>
        <v>0.34970602979999998</v>
      </c>
      <c r="D5">
        <f t="shared" si="1"/>
        <v>0.44474141429241071</v>
      </c>
      <c r="E5">
        <v>5</v>
      </c>
      <c r="G5">
        <f t="shared" si="2"/>
        <v>0.34970602979999998</v>
      </c>
      <c r="H5">
        <f t="shared" si="3"/>
        <v>0.50655309091582723</v>
      </c>
      <c r="I5">
        <v>5</v>
      </c>
      <c r="K5">
        <f t="shared" si="4"/>
        <v>0.34567926699999996</v>
      </c>
      <c r="L5">
        <f t="shared" si="5"/>
        <v>0.37875467608484176</v>
      </c>
      <c r="M5">
        <v>5</v>
      </c>
      <c r="O5">
        <f t="shared" si="6"/>
        <v>0.34567926699999996</v>
      </c>
      <c r="P5">
        <f t="shared" si="7"/>
        <v>0.56995369172128407</v>
      </c>
      <c r="Q5">
        <v>5</v>
      </c>
      <c r="S5">
        <f t="shared" si="8"/>
        <v>0.4850062826</v>
      </c>
      <c r="T5">
        <f t="shared" si="9"/>
        <v>0.39201190692921639</v>
      </c>
      <c r="U5">
        <v>5</v>
      </c>
      <c r="W5">
        <f t="shared" si="10"/>
        <v>0.39735121439999999</v>
      </c>
      <c r="X5">
        <f t="shared" si="11"/>
        <v>0.53534601098068635</v>
      </c>
    </row>
    <row r="6" spans="1:24" x14ac:dyDescent="0.35">
      <c r="A6">
        <v>6</v>
      </c>
      <c r="C6">
        <f t="shared" si="0"/>
        <v>0.35302810909999999</v>
      </c>
      <c r="D6">
        <f t="shared" si="1"/>
        <v>0.44673169156070036</v>
      </c>
      <c r="E6">
        <v>6</v>
      </c>
      <c r="G6">
        <f t="shared" si="2"/>
        <v>0.35302810909999999</v>
      </c>
      <c r="H6">
        <f t="shared" si="3"/>
        <v>0.50669637699785752</v>
      </c>
      <c r="I6">
        <v>6</v>
      </c>
      <c r="K6">
        <f t="shared" si="4"/>
        <v>0.34799465559999998</v>
      </c>
      <c r="L6">
        <f t="shared" si="5"/>
        <v>0.37971405359617982</v>
      </c>
      <c r="M6">
        <v>6</v>
      </c>
      <c r="O6">
        <f t="shared" si="6"/>
        <v>0.34799465559999998</v>
      </c>
      <c r="P6">
        <f t="shared" si="7"/>
        <v>0.57048134320973809</v>
      </c>
      <c r="Q6">
        <v>6</v>
      </c>
      <c r="S6">
        <f t="shared" si="8"/>
        <v>0.48749272259999998</v>
      </c>
      <c r="T6">
        <f t="shared" si="9"/>
        <v>0.39495077391560141</v>
      </c>
      <c r="U6">
        <v>6</v>
      </c>
      <c r="W6">
        <f t="shared" si="10"/>
        <v>0.40118619389999999</v>
      </c>
      <c r="X6">
        <f t="shared" si="11"/>
        <v>0.53640934182174949</v>
      </c>
    </row>
    <row r="7" spans="1:24" x14ac:dyDescent="0.35">
      <c r="A7">
        <v>7</v>
      </c>
      <c r="C7">
        <f t="shared" si="0"/>
        <v>0.35635018839999999</v>
      </c>
      <c r="D7">
        <f t="shared" si="1"/>
        <v>0.44871446548493105</v>
      </c>
      <c r="E7">
        <v>7</v>
      </c>
      <c r="G7">
        <f t="shared" si="2"/>
        <v>0.35635018839999999</v>
      </c>
      <c r="H7">
        <f t="shared" si="3"/>
        <v>0.50684716642394689</v>
      </c>
      <c r="I7">
        <v>7</v>
      </c>
      <c r="K7">
        <f t="shared" si="4"/>
        <v>0.35031004419999995</v>
      </c>
      <c r="L7">
        <f t="shared" si="5"/>
        <v>0.38066845459519871</v>
      </c>
      <c r="M7">
        <v>7</v>
      </c>
      <c r="O7">
        <f t="shared" si="6"/>
        <v>0.35031004419999995</v>
      </c>
      <c r="P7">
        <f t="shared" si="7"/>
        <v>0.57101397121051123</v>
      </c>
      <c r="Q7">
        <v>7</v>
      </c>
      <c r="S7">
        <f t="shared" si="8"/>
        <v>0.48997916259999996</v>
      </c>
      <c r="T7">
        <f t="shared" si="9"/>
        <v>0.39782870839815132</v>
      </c>
      <c r="U7">
        <v>7</v>
      </c>
      <c r="W7">
        <f t="shared" si="10"/>
        <v>0.40502117339999999</v>
      </c>
      <c r="X7">
        <f t="shared" si="11"/>
        <v>0.53751915484677182</v>
      </c>
    </row>
    <row r="8" spans="1:24" x14ac:dyDescent="0.35">
      <c r="A8">
        <v>8</v>
      </c>
      <c r="C8">
        <f t="shared" si="0"/>
        <v>0.35967226769999999</v>
      </c>
      <c r="D8">
        <f t="shared" si="1"/>
        <v>0.45068900380967714</v>
      </c>
      <c r="E8">
        <v>8</v>
      </c>
      <c r="G8">
        <f t="shared" si="2"/>
        <v>0.35967226769999999</v>
      </c>
      <c r="H8">
        <f t="shared" si="3"/>
        <v>0.50700619144952086</v>
      </c>
      <c r="I8">
        <v>8</v>
      </c>
      <c r="K8">
        <f t="shared" si="4"/>
        <v>0.35262543279999997</v>
      </c>
      <c r="L8">
        <f t="shared" si="5"/>
        <v>0.38161784592888476</v>
      </c>
      <c r="M8">
        <v>8</v>
      </c>
      <c r="O8">
        <f t="shared" si="6"/>
        <v>0.35262543279999997</v>
      </c>
      <c r="P8">
        <f t="shared" si="7"/>
        <v>0.57155160887661727</v>
      </c>
      <c r="Q8">
        <v>8</v>
      </c>
      <c r="S8">
        <f t="shared" si="8"/>
        <v>0.4924656026</v>
      </c>
      <c r="T8">
        <f t="shared" si="9"/>
        <v>0.40064493098242659</v>
      </c>
      <c r="U8">
        <v>8</v>
      </c>
      <c r="W8">
        <f t="shared" si="10"/>
        <v>0.40885615289999999</v>
      </c>
      <c r="X8">
        <f t="shared" si="11"/>
        <v>0.53867837728454149</v>
      </c>
    </row>
    <row r="9" spans="1:24" x14ac:dyDescent="0.35">
      <c r="A9">
        <v>9</v>
      </c>
      <c r="C9">
        <f t="shared" si="0"/>
        <v>0.36299434699999999</v>
      </c>
      <c r="D9">
        <f t="shared" si="1"/>
        <v>0.4526544837842047</v>
      </c>
      <c r="E9">
        <v>9</v>
      </c>
      <c r="G9">
        <f t="shared" si="2"/>
        <v>0.36299434699999999</v>
      </c>
      <c r="H9">
        <f t="shared" si="3"/>
        <v>0.5071742748253133</v>
      </c>
      <c r="I9">
        <v>9</v>
      </c>
      <c r="K9">
        <f t="shared" si="4"/>
        <v>0.3549408214</v>
      </c>
      <c r="L9">
        <f t="shared" si="5"/>
        <v>0.38256219494711957</v>
      </c>
      <c r="M9">
        <v>9</v>
      </c>
      <c r="O9">
        <f t="shared" si="6"/>
        <v>0.3549408214</v>
      </c>
      <c r="P9">
        <f t="shared" si="7"/>
        <v>0.57209428885817448</v>
      </c>
      <c r="Q9">
        <v>9</v>
      </c>
      <c r="S9">
        <f t="shared" si="8"/>
        <v>0.49495204259999998</v>
      </c>
      <c r="T9">
        <f t="shared" si="9"/>
        <v>0.40339877479162733</v>
      </c>
      <c r="U9">
        <v>9</v>
      </c>
      <c r="W9">
        <f t="shared" si="10"/>
        <v>0.41269113239999999</v>
      </c>
      <c r="X9">
        <f t="shared" si="11"/>
        <v>0.53989012730133867</v>
      </c>
    </row>
    <row r="10" spans="1:24" x14ac:dyDescent="0.35">
      <c r="A10">
        <v>10</v>
      </c>
      <c r="C10">
        <f t="shared" si="0"/>
        <v>0.3663164263</v>
      </c>
      <c r="D10">
        <f t="shared" si="1"/>
        <v>0.45460997929906061</v>
      </c>
      <c r="E10">
        <v>10</v>
      </c>
      <c r="G10">
        <f t="shared" si="2"/>
        <v>0.3663164263</v>
      </c>
      <c r="H10">
        <f t="shared" si="3"/>
        <v>0.50735234266077744</v>
      </c>
      <c r="I10">
        <v>10</v>
      </c>
      <c r="K10">
        <f t="shared" si="4"/>
        <v>0.35725620999999996</v>
      </c>
      <c r="L10">
        <f t="shared" si="5"/>
        <v>0.38350146952550551</v>
      </c>
      <c r="M10">
        <v>10</v>
      </c>
      <c r="O10">
        <f t="shared" si="6"/>
        <v>0.35725620999999996</v>
      </c>
      <c r="P10">
        <f t="shared" si="7"/>
        <v>0.57264204327958046</v>
      </c>
      <c r="Q10">
        <v>10</v>
      </c>
      <c r="S10">
        <f t="shared" si="8"/>
        <v>0.49743848259999995</v>
      </c>
      <c r="T10">
        <f t="shared" si="9"/>
        <v>0.4060896920230303</v>
      </c>
      <c r="U10">
        <v>10</v>
      </c>
      <c r="W10">
        <f t="shared" si="10"/>
        <v>0.4165261119</v>
      </c>
      <c r="X10">
        <f t="shared" si="11"/>
        <v>0.54115772172170906</v>
      </c>
    </row>
    <row r="11" spans="1:24" x14ac:dyDescent="0.35">
      <c r="A11">
        <v>11</v>
      </c>
      <c r="C11">
        <f t="shared" si="0"/>
        <v>0.3696385056</v>
      </c>
      <c r="D11">
        <f t="shared" si="1"/>
        <v>0.4565544461456697</v>
      </c>
      <c r="E11">
        <v>11</v>
      </c>
      <c r="G11">
        <f t="shared" si="2"/>
        <v>0.3696385056</v>
      </c>
      <c r="H11">
        <f t="shared" si="3"/>
        <v>0.50754143916448846</v>
      </c>
      <c r="I11">
        <v>11</v>
      </c>
      <c r="K11">
        <f t="shared" si="4"/>
        <v>0.35957159859999999</v>
      </c>
      <c r="L11">
        <f t="shared" si="5"/>
        <v>0.38443563808817571</v>
      </c>
      <c r="M11">
        <v>11</v>
      </c>
      <c r="O11">
        <f t="shared" si="6"/>
        <v>0.35957159859999999</v>
      </c>
      <c r="P11">
        <f t="shared" si="7"/>
        <v>0.57319490371670234</v>
      </c>
      <c r="Q11">
        <v>11</v>
      </c>
      <c r="S11">
        <f t="shared" si="8"/>
        <v>0.49992492259999999</v>
      </c>
      <c r="T11">
        <f t="shared" si="9"/>
        <v>0.40871725945291226</v>
      </c>
      <c r="U11">
        <v>11</v>
      </c>
      <c r="W11">
        <f t="shared" si="10"/>
        <v>0.4203610914</v>
      </c>
      <c r="X11">
        <f t="shared" si="11"/>
        <v>0.5424846826208205</v>
      </c>
    </row>
    <row r="12" spans="1:24" x14ac:dyDescent="0.35">
      <c r="A12">
        <v>12</v>
      </c>
      <c r="C12">
        <f t="shared" si="0"/>
        <v>0.37296058489999995</v>
      </c>
      <c r="D12">
        <f t="shared" si="1"/>
        <v>0.45848670518775003</v>
      </c>
      <c r="E12">
        <v>12</v>
      </c>
      <c r="G12">
        <f t="shared" si="2"/>
        <v>0.37296058489999995</v>
      </c>
      <c r="H12">
        <f t="shared" si="3"/>
        <v>0.50774274347272808</v>
      </c>
      <c r="I12">
        <v>12</v>
      </c>
      <c r="K12">
        <f t="shared" si="4"/>
        <v>0.36188698719999995</v>
      </c>
      <c r="L12">
        <f t="shared" si="5"/>
        <v>0.38536466963055638</v>
      </c>
      <c r="M12">
        <v>12</v>
      </c>
      <c r="O12">
        <f t="shared" si="6"/>
        <v>0.36188698719999995</v>
      </c>
      <c r="P12">
        <f t="shared" si="7"/>
        <v>0.57375290117411371</v>
      </c>
      <c r="Q12">
        <v>12</v>
      </c>
      <c r="S12">
        <f t="shared" si="8"/>
        <v>0.50241136259999997</v>
      </c>
      <c r="T12">
        <f t="shared" si="9"/>
        <v>0.41128118276354675</v>
      </c>
      <c r="U12">
        <v>12</v>
      </c>
      <c r="W12">
        <f t="shared" si="10"/>
        <v>0.4241960709</v>
      </c>
      <c r="X12">
        <f t="shared" si="11"/>
        <v>0.54387474235681721</v>
      </c>
    </row>
    <row r="13" spans="1:24" x14ac:dyDescent="0.35">
      <c r="A13">
        <v>13</v>
      </c>
      <c r="C13">
        <f t="shared" si="0"/>
        <v>0.37628266420000001</v>
      </c>
      <c r="D13">
        <f t="shared" si="1"/>
        <v>0.4604054232526103</v>
      </c>
      <c r="E13">
        <v>13</v>
      </c>
      <c r="G13">
        <f t="shared" si="2"/>
        <v>0.37628266420000001</v>
      </c>
      <c r="H13">
        <f t="shared" si="3"/>
        <v>0.50795758875818786</v>
      </c>
      <c r="I13">
        <v>13</v>
      </c>
      <c r="K13">
        <f t="shared" si="4"/>
        <v>0.36420237579999998</v>
      </c>
      <c r="L13">
        <f t="shared" si="5"/>
        <v>0.38628853374204919</v>
      </c>
      <c r="M13">
        <v>13</v>
      </c>
      <c r="O13">
        <f t="shared" si="6"/>
        <v>0.36420237579999998</v>
      </c>
      <c r="P13">
        <f t="shared" si="7"/>
        <v>0.57431606606241292</v>
      </c>
      <c r="Q13">
        <v>13</v>
      </c>
      <c r="S13">
        <f t="shared" si="8"/>
        <v>0.50489780259999995</v>
      </c>
      <c r="T13">
        <f t="shared" si="9"/>
        <v>0.41378129959044585</v>
      </c>
      <c r="U13">
        <v>13</v>
      </c>
      <c r="W13">
        <f t="shared" si="10"/>
        <v>0.4280310504</v>
      </c>
      <c r="X13">
        <f t="shared" si="11"/>
        <v>0.54533184653432687</v>
      </c>
    </row>
    <row r="14" spans="1:24" x14ac:dyDescent="0.35">
      <c r="A14">
        <v>14</v>
      </c>
      <c r="C14">
        <f t="shared" si="0"/>
        <v>0.37960474349999995</v>
      </c>
      <c r="D14">
        <f t="shared" si="1"/>
        <v>0.46230909159984979</v>
      </c>
      <c r="E14">
        <v>14</v>
      </c>
      <c r="G14">
        <f t="shared" si="2"/>
        <v>0.37960474349999995</v>
      </c>
      <c r="H14">
        <f t="shared" si="3"/>
        <v>0.50818748376126832</v>
      </c>
      <c r="I14">
        <v>14</v>
      </c>
      <c r="K14">
        <f t="shared" si="4"/>
        <v>0.36651776439999995</v>
      </c>
      <c r="L14">
        <f t="shared" si="5"/>
        <v>0.38720720062859804</v>
      </c>
      <c r="M14">
        <v>14</v>
      </c>
      <c r="O14">
        <f t="shared" si="6"/>
        <v>0.36651776439999995</v>
      </c>
      <c r="P14">
        <f t="shared" si="7"/>
        <v>0.5748844281756561</v>
      </c>
      <c r="Q14">
        <v>14</v>
      </c>
      <c r="S14">
        <f t="shared" si="8"/>
        <v>0.50738424259999992</v>
      </c>
      <c r="T14">
        <f t="shared" si="9"/>
        <v>0.41621758121684971</v>
      </c>
      <c r="U14">
        <v>14</v>
      </c>
      <c r="W14">
        <f t="shared" si="10"/>
        <v>0.4318660299</v>
      </c>
      <c r="X14">
        <f t="shared" si="11"/>
        <v>0.54686015431035606</v>
      </c>
    </row>
    <row r="15" spans="1:24" x14ac:dyDescent="0.35">
      <c r="A15">
        <v>15</v>
      </c>
      <c r="C15">
        <f t="shared" si="0"/>
        <v>0.38292682279999996</v>
      </c>
      <c r="D15">
        <f t="shared" si="1"/>
        <v>0.46419600192130606</v>
      </c>
      <c r="E15">
        <v>15</v>
      </c>
      <c r="G15">
        <f t="shared" si="2"/>
        <v>0.38292682279999996</v>
      </c>
      <c r="H15">
        <f t="shared" si="3"/>
        <v>0.50843413679013216</v>
      </c>
      <c r="I15">
        <v>15</v>
      </c>
      <c r="K15">
        <f t="shared" si="4"/>
        <v>0.36883315299999997</v>
      </c>
      <c r="L15">
        <f t="shared" si="5"/>
        <v>0.38812064113510802</v>
      </c>
      <c r="M15">
        <v>15</v>
      </c>
      <c r="O15">
        <f t="shared" si="6"/>
        <v>0.36883315299999997</v>
      </c>
      <c r="P15">
        <f t="shared" si="7"/>
        <v>0.57545801666893814</v>
      </c>
      <c r="Q15">
        <v>15</v>
      </c>
      <c r="S15">
        <f t="shared" si="8"/>
        <v>0.50987068260000001</v>
      </c>
      <c r="T15">
        <f t="shared" si="9"/>
        <v>0.41859013287442065</v>
      </c>
      <c r="U15">
        <v>15</v>
      </c>
      <c r="W15">
        <f t="shared" si="10"/>
        <v>0.43570100940000001</v>
      </c>
      <c r="X15">
        <f t="shared" si="11"/>
        <v>0.54846403537545618</v>
      </c>
    </row>
    <row r="16" spans="1:24" x14ac:dyDescent="0.35">
      <c r="A16">
        <v>16</v>
      </c>
      <c r="C16">
        <f t="shared" si="0"/>
        <v>0.38624890209999996</v>
      </c>
      <c r="D16">
        <f t="shared" si="1"/>
        <v>0.46606421999260211</v>
      </c>
      <c r="E16">
        <v>16</v>
      </c>
      <c r="G16">
        <f t="shared" si="2"/>
        <v>0.38624890209999996</v>
      </c>
      <c r="H16">
        <f t="shared" si="3"/>
        <v>0.50869948206915616</v>
      </c>
      <c r="I16">
        <v>16</v>
      </c>
      <c r="K16">
        <f t="shared" si="4"/>
        <v>0.37114854159999999</v>
      </c>
      <c r="L16">
        <f t="shared" si="5"/>
        <v>0.38902882676767958</v>
      </c>
      <c r="M16">
        <v>16</v>
      </c>
      <c r="O16">
        <f t="shared" si="6"/>
        <v>0.37114854159999999</v>
      </c>
      <c r="P16">
        <f t="shared" si="7"/>
        <v>0.57603686003615862</v>
      </c>
      <c r="Q16">
        <v>16</v>
      </c>
      <c r="S16">
        <f t="shared" si="8"/>
        <v>0.51235712259999999</v>
      </c>
      <c r="T16">
        <f t="shared" si="9"/>
        <v>0.42089919264282205</v>
      </c>
      <c r="U16">
        <v>16</v>
      </c>
      <c r="W16">
        <f t="shared" si="10"/>
        <v>0.43953598889999995</v>
      </c>
      <c r="X16">
        <f t="shared" si="11"/>
        <v>0.55014806287231877</v>
      </c>
    </row>
    <row r="17" spans="1:24" x14ac:dyDescent="0.35">
      <c r="A17">
        <v>17</v>
      </c>
      <c r="C17">
        <f t="shared" si="0"/>
        <v>0.38957098139999996</v>
      </c>
      <c r="D17">
        <f t="shared" si="1"/>
        <v>0.46791155736466628</v>
      </c>
      <c r="E17">
        <v>17</v>
      </c>
      <c r="G17">
        <f t="shared" si="2"/>
        <v>0.38957098139999996</v>
      </c>
      <c r="H17">
        <f t="shared" si="3"/>
        <v>0.50898570804741194</v>
      </c>
      <c r="I17">
        <v>17</v>
      </c>
      <c r="K17">
        <f t="shared" si="4"/>
        <v>0.37346393019999996</v>
      </c>
      <c r="L17">
        <f t="shared" si="5"/>
        <v>0.38993172971562262</v>
      </c>
      <c r="M17">
        <v>17</v>
      </c>
      <c r="O17">
        <f t="shared" si="6"/>
        <v>0.37346393019999996</v>
      </c>
      <c r="P17">
        <f t="shared" si="7"/>
        <v>0.5766209860880076</v>
      </c>
      <c r="Q17">
        <v>17</v>
      </c>
      <c r="S17">
        <f t="shared" si="8"/>
        <v>0.51484356259999997</v>
      </c>
      <c r="T17">
        <f t="shared" si="9"/>
        <v>0.42314512897491413</v>
      </c>
      <c r="U17">
        <v>17</v>
      </c>
      <c r="W17">
        <f t="shared" si="10"/>
        <v>0.44337096839999995</v>
      </c>
      <c r="X17">
        <f t="shared" si="11"/>
        <v>0.55191700145903644</v>
      </c>
    </row>
    <row r="18" spans="1:24" x14ac:dyDescent="0.35">
      <c r="A18">
        <v>18</v>
      </c>
      <c r="C18">
        <f t="shared" si="0"/>
        <v>0.39289306069999996</v>
      </c>
      <c r="D18">
        <f t="shared" si="1"/>
        <v>0.46973554189304961</v>
      </c>
      <c r="E18">
        <v>18</v>
      </c>
      <c r="G18">
        <f t="shared" si="2"/>
        <v>0.39289306069999996</v>
      </c>
      <c r="H18">
        <f t="shared" si="3"/>
        <v>0.50929528686934866</v>
      </c>
      <c r="I18">
        <v>18</v>
      </c>
      <c r="K18">
        <f t="shared" si="4"/>
        <v>0.37577931879999998</v>
      </c>
      <c r="L18">
        <f t="shared" si="5"/>
        <v>0.39082932287321559</v>
      </c>
      <c r="M18">
        <v>18</v>
      </c>
      <c r="O18">
        <f t="shared" si="6"/>
        <v>0.37577931879999998</v>
      </c>
      <c r="P18">
        <f t="shared" si="7"/>
        <v>0.57721042193020666</v>
      </c>
      <c r="Q18">
        <v>18</v>
      </c>
      <c r="S18">
        <f t="shared" si="8"/>
        <v>0.51733000259999995</v>
      </c>
      <c r="T18">
        <f t="shared" si="9"/>
        <v>0.42532843690717825</v>
      </c>
      <c r="U18">
        <v>18</v>
      </c>
      <c r="W18">
        <f t="shared" si="10"/>
        <v>0.44720594789999996</v>
      </c>
      <c r="X18">
        <f t="shared" si="11"/>
        <v>0.55377578969555008</v>
      </c>
    </row>
    <row r="19" spans="1:24" x14ac:dyDescent="0.35">
      <c r="A19">
        <v>19</v>
      </c>
      <c r="C19">
        <f t="shared" si="0"/>
        <v>0.39621513999999997</v>
      </c>
      <c r="D19">
        <f t="shared" si="1"/>
        <v>0.47153338850064064</v>
      </c>
      <c r="E19">
        <v>19</v>
      </c>
      <c r="G19">
        <f t="shared" si="2"/>
        <v>0.39621513999999997</v>
      </c>
      <c r="H19">
        <f t="shared" si="3"/>
        <v>0.50963100361207758</v>
      </c>
      <c r="I19">
        <v>19</v>
      </c>
      <c r="K19">
        <f t="shared" si="4"/>
        <v>0.37809470739999995</v>
      </c>
      <c r="L19">
        <f t="shared" si="5"/>
        <v>0.3917215798611724</v>
      </c>
      <c r="M19">
        <v>19</v>
      </c>
      <c r="O19">
        <f t="shared" si="6"/>
        <v>0.37809470739999995</v>
      </c>
      <c r="P19">
        <f t="shared" si="7"/>
        <v>0.57780519394204188</v>
      </c>
      <c r="Q19">
        <v>19</v>
      </c>
      <c r="S19">
        <f t="shared" si="8"/>
        <v>0.51981644259999993</v>
      </c>
      <c r="T19">
        <f t="shared" si="9"/>
        <v>0.42744973304530692</v>
      </c>
      <c r="U19">
        <v>19</v>
      </c>
      <c r="W19">
        <f t="shared" si="10"/>
        <v>0.45104092739999996</v>
      </c>
      <c r="X19">
        <f t="shared" si="11"/>
        <v>0.55572951594184206</v>
      </c>
    </row>
    <row r="20" spans="1:24" x14ac:dyDescent="0.35">
      <c r="A20">
        <v>20</v>
      </c>
      <c r="C20">
        <f t="shared" si="0"/>
        <v>0.39953721929999997</v>
      </c>
      <c r="D20">
        <f t="shared" si="1"/>
        <v>0.47330197240314864</v>
      </c>
      <c r="E20">
        <v>20</v>
      </c>
      <c r="G20">
        <f t="shared" si="2"/>
        <v>0.39953721929999997</v>
      </c>
      <c r="H20">
        <f t="shared" si="3"/>
        <v>0.50999598305988969</v>
      </c>
      <c r="I20">
        <v>20</v>
      </c>
      <c r="K20">
        <f t="shared" si="4"/>
        <v>0.38041009599999998</v>
      </c>
      <c r="L20">
        <f t="shared" si="5"/>
        <v>0.39260847504778029</v>
      </c>
      <c r="M20">
        <v>20</v>
      </c>
      <c r="O20">
        <f t="shared" si="6"/>
        <v>0.38041009599999998</v>
      </c>
      <c r="P20">
        <f t="shared" si="7"/>
        <v>0.57840532775522602</v>
      </c>
      <c r="Q20">
        <v>20</v>
      </c>
      <c r="S20">
        <f t="shared" si="8"/>
        <v>0.52230288260000002</v>
      </c>
      <c r="T20">
        <f t="shared" si="9"/>
        <v>0.42950974944142223</v>
      </c>
      <c r="U20">
        <v>20</v>
      </c>
      <c r="W20">
        <f t="shared" si="10"/>
        <v>0.45487590689999996</v>
      </c>
      <c r="X20">
        <f t="shared" si="11"/>
        <v>0.55778338701936259</v>
      </c>
    </row>
    <row r="21" spans="1:24" x14ac:dyDescent="0.35">
      <c r="A21">
        <v>21</v>
      </c>
      <c r="C21">
        <f t="shared" si="0"/>
        <v>0.40285929859999997</v>
      </c>
      <c r="D21">
        <f t="shared" si="1"/>
        <v>0.47503780813056035</v>
      </c>
      <c r="E21">
        <v>21</v>
      </c>
      <c r="G21">
        <f t="shared" si="2"/>
        <v>0.40285929859999997</v>
      </c>
      <c r="H21">
        <f t="shared" si="3"/>
        <v>0.51039371068279793</v>
      </c>
      <c r="I21">
        <v>21</v>
      </c>
      <c r="K21">
        <f t="shared" si="4"/>
        <v>0.3827254846</v>
      </c>
      <c r="L21">
        <f t="shared" si="5"/>
        <v>0.39348998356967319</v>
      </c>
      <c r="M21">
        <v>21</v>
      </c>
      <c r="O21">
        <f t="shared" si="6"/>
        <v>0.3827254846</v>
      </c>
      <c r="P21">
        <f t="shared" si="7"/>
        <v>0.57901084823312521</v>
      </c>
      <c r="Q21">
        <v>21</v>
      </c>
      <c r="S21">
        <f t="shared" si="8"/>
        <v>0.5247893226</v>
      </c>
      <c r="T21">
        <f t="shared" si="9"/>
        <v>0.43150932650113544</v>
      </c>
      <c r="U21">
        <v>21</v>
      </c>
      <c r="W21">
        <f t="shared" si="10"/>
        <v>0.45871088639999996</v>
      </c>
      <c r="X21">
        <f t="shared" si="11"/>
        <v>0.55994268901770672</v>
      </c>
    </row>
    <row r="22" spans="1:24" x14ac:dyDescent="0.35">
      <c r="A22">
        <v>22</v>
      </c>
      <c r="C22">
        <f t="shared" si="0"/>
        <v>0.40618137789999997</v>
      </c>
      <c r="D22">
        <f t="shared" si="1"/>
        <v>0.47673703904465881</v>
      </c>
      <c r="E22">
        <v>22</v>
      </c>
      <c r="G22">
        <f t="shared" si="2"/>
        <v>0.40618137789999997</v>
      </c>
      <c r="H22">
        <f t="shared" si="3"/>
        <v>0.51082804311901953</v>
      </c>
      <c r="I22">
        <v>22</v>
      </c>
      <c r="K22">
        <f t="shared" si="4"/>
        <v>0.38504087319999997</v>
      </c>
      <c r="L22">
        <f t="shared" si="5"/>
        <v>0.39436608135220286</v>
      </c>
      <c r="M22">
        <v>22</v>
      </c>
      <c r="O22">
        <f t="shared" si="6"/>
        <v>0.38504087319999997</v>
      </c>
      <c r="P22">
        <f t="shared" si="7"/>
        <v>0.57962177945038751</v>
      </c>
      <c r="Q22">
        <v>22</v>
      </c>
      <c r="S22">
        <f t="shared" si="8"/>
        <v>0.52727576259999998</v>
      </c>
      <c r="T22">
        <f t="shared" si="9"/>
        <v>0.43344940507495833</v>
      </c>
      <c r="U22">
        <v>22</v>
      </c>
      <c r="W22">
        <f t="shared" si="10"/>
        <v>0.46254586589999996</v>
      </c>
      <c r="X22">
        <f t="shared" si="11"/>
        <v>0.56221273984025688</v>
      </c>
    </row>
    <row r="23" spans="1:24" x14ac:dyDescent="0.35">
      <c r="A23">
        <v>23</v>
      </c>
      <c r="C23">
        <f t="shared" si="0"/>
        <v>0.40950345719999998</v>
      </c>
      <c r="D23">
        <f t="shared" si="1"/>
        <v>0.47839544358960151</v>
      </c>
      <c r="E23">
        <v>23</v>
      </c>
      <c r="G23">
        <f t="shared" si="2"/>
        <v>0.40950345719999998</v>
      </c>
      <c r="H23">
        <f t="shared" si="3"/>
        <v>0.51130320192439693</v>
      </c>
      <c r="I23">
        <v>23</v>
      </c>
      <c r="K23">
        <f t="shared" si="4"/>
        <v>0.38735626179999999</v>
      </c>
      <c r="L23">
        <f t="shared" si="5"/>
        <v>0.39523674512937212</v>
      </c>
      <c r="M23">
        <v>23</v>
      </c>
      <c r="O23">
        <f t="shared" si="6"/>
        <v>0.38735626179999999</v>
      </c>
      <c r="P23">
        <f t="shared" si="7"/>
        <v>0.58023814467301027</v>
      </c>
      <c r="Q23">
        <v>23</v>
      </c>
      <c r="S23">
        <f t="shared" si="8"/>
        <v>0.52976220259999995</v>
      </c>
      <c r="T23">
        <f t="shared" si="9"/>
        <v>0.43533101789905604</v>
      </c>
      <c r="U23">
        <v>23</v>
      </c>
      <c r="W23">
        <f t="shared" si="10"/>
        <v>0.46638084539999997</v>
      </c>
      <c r="X23">
        <f t="shared" si="11"/>
        <v>0.56459883338537453</v>
      </c>
    </row>
    <row r="24" spans="1:24" x14ac:dyDescent="0.35">
      <c r="A24">
        <v>24</v>
      </c>
      <c r="C24">
        <f t="shared" si="0"/>
        <v>0.41282553649999998</v>
      </c>
      <c r="D24">
        <f t="shared" si="1"/>
        <v>0.48000846597800001</v>
      </c>
      <c r="E24">
        <v>24</v>
      </c>
      <c r="G24">
        <f t="shared" si="2"/>
        <v>0.41282553649999998</v>
      </c>
      <c r="H24">
        <f t="shared" si="3"/>
        <v>0.51182374288631838</v>
      </c>
      <c r="I24">
        <v>24</v>
      </c>
      <c r="K24">
        <f t="shared" si="4"/>
        <v>0.38967165039999996</v>
      </c>
      <c r="L24">
        <f t="shared" si="5"/>
        <v>0.39610195246329288</v>
      </c>
      <c r="M24">
        <v>24</v>
      </c>
      <c r="O24">
        <f t="shared" si="6"/>
        <v>0.38967165039999996</v>
      </c>
      <c r="P24">
        <f t="shared" si="7"/>
        <v>0.58085996633888137</v>
      </c>
      <c r="Q24">
        <v>24</v>
      </c>
      <c r="S24">
        <f t="shared" si="8"/>
        <v>0.53224864259999993</v>
      </c>
      <c r="T24">
        <f t="shared" si="9"/>
        <v>0.43715528055498259</v>
      </c>
      <c r="U24">
        <v>24</v>
      </c>
      <c r="W24">
        <f t="shared" si="10"/>
        <v>0.47021582489999997</v>
      </c>
      <c r="X24">
        <f t="shared" si="11"/>
        <v>0.56710617565716614</v>
      </c>
    </row>
    <row r="25" spans="1:24" x14ac:dyDescent="0.35">
      <c r="A25">
        <v>25</v>
      </c>
      <c r="C25">
        <f t="shared" si="0"/>
        <v>0.41614761579999998</v>
      </c>
      <c r="D25">
        <f t="shared" si="1"/>
        <v>0.48157127995162352</v>
      </c>
      <c r="E25">
        <v>25</v>
      </c>
      <c r="G25">
        <f t="shared" si="2"/>
        <v>0.41614761579999998</v>
      </c>
      <c r="H25">
        <f t="shared" si="3"/>
        <v>0.51239449226301492</v>
      </c>
      <c r="I25">
        <v>25</v>
      </c>
      <c r="K25">
        <f t="shared" si="4"/>
        <v>0.39198703899999998</v>
      </c>
      <c r="L25">
        <f t="shared" si="5"/>
        <v>0.39696168176313418</v>
      </c>
      <c r="M25">
        <v>25</v>
      </c>
      <c r="O25">
        <f t="shared" si="6"/>
        <v>0.39198703899999998</v>
      </c>
      <c r="P25">
        <f t="shared" si="7"/>
        <v>0.58148726603883227</v>
      </c>
      <c r="Q25">
        <v>25</v>
      </c>
      <c r="S25">
        <f t="shared" si="8"/>
        <v>0.53473508260000002</v>
      </c>
      <c r="T25">
        <f t="shared" si="9"/>
        <v>0.43892338211712678</v>
      </c>
      <c r="U25">
        <v>25</v>
      </c>
      <c r="W25">
        <f t="shared" si="10"/>
        <v>0.47405080439999997</v>
      </c>
      <c r="X25">
        <f t="shared" si="11"/>
        <v>0.56973981358536885</v>
      </c>
    </row>
    <row r="26" spans="1:24" x14ac:dyDescent="0.35">
      <c r="A26">
        <v>26</v>
      </c>
      <c r="C26">
        <f t="shared" si="0"/>
        <v>0.41946969509999998</v>
      </c>
      <c r="D26">
        <f t="shared" si="1"/>
        <v>0.48307889395527082</v>
      </c>
      <c r="E26">
        <v>26</v>
      </c>
      <c r="G26">
        <f t="shared" si="2"/>
        <v>0.41946969509999998</v>
      </c>
      <c r="H26">
        <f t="shared" si="3"/>
        <v>0.51302044160968763</v>
      </c>
      <c r="I26">
        <v>26</v>
      </c>
      <c r="K26">
        <f t="shared" si="4"/>
        <v>0.39430242760000001</v>
      </c>
      <c r="L26">
        <f t="shared" si="5"/>
        <v>0.39781591230352314</v>
      </c>
      <c r="M26">
        <v>26</v>
      </c>
      <c r="O26">
        <f t="shared" si="6"/>
        <v>0.39430242760000001</v>
      </c>
      <c r="P26">
        <f t="shared" si="7"/>
        <v>0.58212006449823539</v>
      </c>
      <c r="Q26">
        <v>26</v>
      </c>
      <c r="S26">
        <f t="shared" si="8"/>
        <v>0.5372215226</v>
      </c>
      <c r="T26">
        <f t="shared" si="9"/>
        <v>0.44063657565064879</v>
      </c>
      <c r="U26">
        <v>26</v>
      </c>
      <c r="W26">
        <f t="shared" si="10"/>
        <v>0.47788578389999997</v>
      </c>
      <c r="X26">
        <f t="shared" si="11"/>
        <v>0.57250455788797727</v>
      </c>
    </row>
    <row r="27" spans="1:24" x14ac:dyDescent="0.35">
      <c r="A27">
        <v>27</v>
      </c>
      <c r="C27">
        <f t="shared" si="0"/>
        <v>0.42279177439999999</v>
      </c>
      <c r="D27">
        <f t="shared" si="1"/>
        <v>0.48452630363075688</v>
      </c>
      <c r="E27">
        <v>27</v>
      </c>
      <c r="G27">
        <f t="shared" si="2"/>
        <v>0.42279177439999999</v>
      </c>
      <c r="H27">
        <f t="shared" si="3"/>
        <v>0.51370659528452156</v>
      </c>
      <c r="I27">
        <v>27</v>
      </c>
      <c r="K27">
        <f t="shared" si="4"/>
        <v>0.39661781619999997</v>
      </c>
      <c r="L27">
        <f t="shared" si="5"/>
        <v>0.39866462424236587</v>
      </c>
      <c r="M27">
        <v>27</v>
      </c>
      <c r="O27">
        <f t="shared" si="6"/>
        <v>0.39661781619999997</v>
      </c>
      <c r="P27">
        <f t="shared" si="7"/>
        <v>0.58275838155918469</v>
      </c>
      <c r="Q27">
        <v>27</v>
      </c>
      <c r="S27">
        <f t="shared" si="8"/>
        <v>0.53970796259999998</v>
      </c>
      <c r="T27">
        <f t="shared" si="9"/>
        <v>0.44229616871244098</v>
      </c>
      <c r="U27">
        <v>27</v>
      </c>
      <c r="W27">
        <f t="shared" si="10"/>
        <v>0.48172076339999997</v>
      </c>
      <c r="X27">
        <f t="shared" si="11"/>
        <v>0.57540490189834792</v>
      </c>
    </row>
    <row r="28" spans="1:24" x14ac:dyDescent="0.35">
      <c r="A28">
        <v>28</v>
      </c>
      <c r="C28">
        <f t="shared" si="0"/>
        <v>0.42611385369999999</v>
      </c>
      <c r="D28">
        <f t="shared" si="1"/>
        <v>0.48590869215281562</v>
      </c>
      <c r="E28">
        <v>28</v>
      </c>
      <c r="G28">
        <f t="shared" si="2"/>
        <v>0.42611385369999999</v>
      </c>
      <c r="H28">
        <f t="shared" si="3"/>
        <v>0.51445777011278293</v>
      </c>
      <c r="I28">
        <v>28</v>
      </c>
      <c r="K28">
        <f t="shared" si="4"/>
        <v>0.39893320479999994</v>
      </c>
      <c r="L28">
        <f t="shared" si="5"/>
        <v>0.39950779863805153</v>
      </c>
      <c r="M28">
        <v>28</v>
      </c>
      <c r="O28">
        <f t="shared" si="6"/>
        <v>0.39893320479999994</v>
      </c>
      <c r="P28">
        <f t="shared" si="7"/>
        <v>0.5834022361632909</v>
      </c>
      <c r="Q28">
        <v>28</v>
      </c>
      <c r="S28">
        <f t="shared" si="8"/>
        <v>0.54219440259999996</v>
      </c>
      <c r="T28">
        <f t="shared" si="9"/>
        <v>0.44390351399393607</v>
      </c>
      <c r="U28">
        <v>28</v>
      </c>
      <c r="W28">
        <f t="shared" si="10"/>
        <v>0.48555574289999998</v>
      </c>
      <c r="X28">
        <f t="shared" si="11"/>
        <v>0.57844493885112636</v>
      </c>
    </row>
    <row r="29" spans="1:24" x14ac:dyDescent="0.35">
      <c r="A29">
        <v>29</v>
      </c>
      <c r="C29">
        <f t="shared" si="0"/>
        <v>0.42943593299999999</v>
      </c>
      <c r="D29">
        <f t="shared" si="1"/>
        <v>0.48722167033603603</v>
      </c>
      <c r="E29">
        <v>29</v>
      </c>
      <c r="G29">
        <f t="shared" si="2"/>
        <v>0.42943593299999999</v>
      </c>
      <c r="H29">
        <f t="shared" si="3"/>
        <v>0.51527835527988264</v>
      </c>
      <c r="I29">
        <v>29</v>
      </c>
      <c r="K29">
        <f t="shared" si="4"/>
        <v>0.40124859339999996</v>
      </c>
      <c r="L29">
        <f t="shared" si="5"/>
        <v>0.40034541746600827</v>
      </c>
      <c r="M29">
        <v>29</v>
      </c>
      <c r="O29">
        <f t="shared" si="6"/>
        <v>0.40124859339999996</v>
      </c>
      <c r="P29">
        <f t="shared" si="7"/>
        <v>0.5840516463351263</v>
      </c>
      <c r="Q29">
        <v>29</v>
      </c>
      <c r="S29">
        <f t="shared" si="8"/>
        <v>0.54468084259999994</v>
      </c>
      <c r="T29">
        <f t="shared" si="9"/>
        <v>0.4454600002283432</v>
      </c>
      <c r="U29">
        <v>29</v>
      </c>
      <c r="W29">
        <f t="shared" si="10"/>
        <v>0.48939072239999998</v>
      </c>
      <c r="X29">
        <f t="shared" si="11"/>
        <v>0.5816282806167874</v>
      </c>
    </row>
    <row r="30" spans="1:24" x14ac:dyDescent="0.35">
      <c r="A30">
        <v>30</v>
      </c>
      <c r="C30">
        <f t="shared" si="0"/>
        <v>0.43275801229999999</v>
      </c>
      <c r="D30">
        <f t="shared" si="1"/>
        <v>0.48846153759249555</v>
      </c>
      <c r="E30">
        <v>30</v>
      </c>
      <c r="G30">
        <f t="shared" si="2"/>
        <v>0.43275801229999999</v>
      </c>
      <c r="H30">
        <f t="shared" si="3"/>
        <v>0.516172051373743</v>
      </c>
      <c r="I30">
        <v>30</v>
      </c>
      <c r="K30">
        <f t="shared" si="4"/>
        <v>0.40356398199999999</v>
      </c>
      <c r="L30">
        <f t="shared" si="5"/>
        <v>0.40117746363457574</v>
      </c>
      <c r="M30">
        <v>30</v>
      </c>
      <c r="O30">
        <f t="shared" si="6"/>
        <v>0.40356398199999999</v>
      </c>
      <c r="P30">
        <f t="shared" si="7"/>
        <v>0.58470662916635086</v>
      </c>
      <c r="Q30">
        <v>30</v>
      </c>
      <c r="S30">
        <f t="shared" si="8"/>
        <v>0.54716728260000003</v>
      </c>
      <c r="T30">
        <f t="shared" si="9"/>
        <v>0.4469670434670181</v>
      </c>
      <c r="U30">
        <v>30</v>
      </c>
      <c r="W30">
        <f t="shared" si="10"/>
        <v>0.49322570189999998</v>
      </c>
      <c r="X30">
        <f t="shared" si="11"/>
        <v>0.58495798122534515</v>
      </c>
    </row>
    <row r="31" spans="1:24" x14ac:dyDescent="0.35">
      <c r="A31">
        <v>31</v>
      </c>
      <c r="C31">
        <f t="shared" si="0"/>
        <v>0.43608009159999994</v>
      </c>
      <c r="D31">
        <f t="shared" si="1"/>
        <v>0.48962553428896144</v>
      </c>
      <c r="E31">
        <v>31</v>
      </c>
      <c r="G31">
        <f t="shared" si="2"/>
        <v>0.43608009159999994</v>
      </c>
      <c r="H31">
        <f t="shared" si="3"/>
        <v>0.51714161802759706</v>
      </c>
      <c r="I31">
        <v>31</v>
      </c>
      <c r="K31">
        <f t="shared" si="4"/>
        <v>0.40587937059999996</v>
      </c>
      <c r="L31">
        <f t="shared" si="5"/>
        <v>0.40200392100016602</v>
      </c>
      <c r="M31">
        <v>31</v>
      </c>
      <c r="O31">
        <f t="shared" si="6"/>
        <v>0.40587937059999996</v>
      </c>
      <c r="P31">
        <f t="shared" si="7"/>
        <v>0.5853672008005526</v>
      </c>
      <c r="Q31">
        <v>31</v>
      </c>
      <c r="S31">
        <f t="shared" si="8"/>
        <v>0.54965372260000001</v>
      </c>
      <c r="T31">
        <f t="shared" si="9"/>
        <v>0.44842607881103058</v>
      </c>
      <c r="U31">
        <v>31</v>
      </c>
      <c r="W31">
        <f t="shared" si="10"/>
        <v>0.49706068139999998</v>
      </c>
      <c r="X31">
        <f t="shared" si="11"/>
        <v>0.58843646866189159</v>
      </c>
    </row>
    <row r="32" spans="1:24" x14ac:dyDescent="0.35">
      <c r="A32">
        <v>32</v>
      </c>
      <c r="C32">
        <f t="shared" si="0"/>
        <v>0.4394021709</v>
      </c>
      <c r="D32">
        <f t="shared" si="1"/>
        <v>0.49071204970515281</v>
      </c>
      <c r="E32">
        <v>32</v>
      </c>
      <c r="G32">
        <f t="shared" si="2"/>
        <v>0.4394021709</v>
      </c>
      <c r="H32">
        <f t="shared" si="3"/>
        <v>0.51818866596172575</v>
      </c>
      <c r="I32">
        <v>32</v>
      </c>
      <c r="K32">
        <f t="shared" si="4"/>
        <v>0.40819475919999998</v>
      </c>
      <c r="L32">
        <f t="shared" si="5"/>
        <v>0.4028247743816783</v>
      </c>
      <c r="M32">
        <v>32</v>
      </c>
      <c r="O32">
        <f t="shared" si="6"/>
        <v>0.40819475919999998</v>
      </c>
      <c r="P32">
        <f t="shared" si="7"/>
        <v>0.58603337641883224</v>
      </c>
      <c r="Q32">
        <v>32</v>
      </c>
      <c r="S32">
        <f t="shared" si="8"/>
        <v>0.55214016259999998</v>
      </c>
      <c r="T32">
        <f t="shared" si="9"/>
        <v>0.44983855266535477</v>
      </c>
      <c r="U32">
        <v>32</v>
      </c>
      <c r="W32">
        <f t="shared" si="10"/>
        <v>0.50089566089999993</v>
      </c>
      <c r="X32">
        <f t="shared" si="11"/>
        <v>0.59206548830093975</v>
      </c>
    </row>
    <row r="33" spans="1:24" x14ac:dyDescent="0.35">
      <c r="A33">
        <v>33</v>
      </c>
      <c r="C33">
        <f t="shared" ref="C33:C64" si="12">0.3364177126+(A33-1)*0.0033220793</f>
        <v>0.44272425019999995</v>
      </c>
      <c r="D33">
        <f t="shared" ref="D33:D64" si="13">0.363350118612284+0.32111866660137*C33-0.0900725597571582*(0.0232558139534884+(C33-0.438582741812773)^2/0.0836087453908287)^0.5</f>
        <v>0.49172075135971427</v>
      </c>
      <c r="E33">
        <v>33</v>
      </c>
      <c r="G33">
        <f t="shared" ref="G33:G64" si="14">0.3364177126+(E33-1)*0.0033220793</f>
        <v>0.44272425019999995</v>
      </c>
      <c r="H33">
        <f t="shared" ref="H33:H64" si="15">0.363350118612284+0.32111866660137*G33+0.0900725597571582*(0.0232558139534884+(G33-0.438582741812773)^2/0.0836087453908287)^0.5</f>
        <v>0.5193135276574844</v>
      </c>
      <c r="I33">
        <v>33</v>
      </c>
      <c r="K33">
        <f t="shared" ref="K33:K64" si="16">0.3364177126+(I33-1)*0.0023153886</f>
        <v>0.41051014779999995</v>
      </c>
      <c r="L33">
        <f t="shared" ref="L33:L64" si="17">0.363350118612284+0.32111866660137*K33-0.0900725597571582*(1.02325581395349+(K33-0.438582741812773)^2/0.0836087453908287)^0.5</f>
        <v>0.40364000957414126</v>
      </c>
      <c r="M33">
        <v>33</v>
      </c>
      <c r="O33">
        <f t="shared" ref="O33:O64" si="18">0.3364177126+(M33-1)*0.0023153886</f>
        <v>0.41051014779999995</v>
      </c>
      <c r="P33">
        <f t="shared" ref="P33:P64" si="19">0.363350118612284+0.32111866660137*O33+0.0900725597571582*(1.02325581395349+(O33-0.438582741812773)^2/0.0836087453908287)^0.5</f>
        <v>0.58670517022616142</v>
      </c>
      <c r="Q33">
        <v>33</v>
      </c>
      <c r="S33">
        <f t="shared" ref="S33:S64" si="20">0.4750605226+(Q33-1)*0.00248644</f>
        <v>0.55462660259999996</v>
      </c>
      <c r="T33">
        <f t="shared" ref="T33:T64" si="21">0+1*S33-0.0900725597571582*(1.02325581395349+(S33-0.504187223857575)^2/0.0086214995563288)^0.5</f>
        <v>0.45120591556511214</v>
      </c>
      <c r="U33">
        <v>33</v>
      </c>
      <c r="W33">
        <f t="shared" ref="W33:W64" si="22">0.3820112964+(U33-1)*0.0038349795</f>
        <v>0.50473064039999993</v>
      </c>
      <c r="X33">
        <f t="shared" ref="X33:X64" si="23">0+1*W33+0.0900725597571582*(1.02325581395349+(W33-0.504187223857575)^2/0.0086214995563288)^0.5</f>
        <v>0.59584606094988968</v>
      </c>
    </row>
    <row r="34" spans="1:24" x14ac:dyDescent="0.35">
      <c r="A34">
        <v>34</v>
      </c>
      <c r="C34">
        <f t="shared" si="12"/>
        <v>0.44604632950000001</v>
      </c>
      <c r="D34">
        <f t="shared" si="13"/>
        <v>0.49265261244198033</v>
      </c>
      <c r="E34">
        <v>34</v>
      </c>
      <c r="G34">
        <f t="shared" si="14"/>
        <v>0.44604632950000001</v>
      </c>
      <c r="H34">
        <f t="shared" si="15"/>
        <v>0.52051522992553823</v>
      </c>
      <c r="I34">
        <v>34</v>
      </c>
      <c r="K34">
        <f t="shared" si="16"/>
        <v>0.41282553639999997</v>
      </c>
      <c r="L34">
        <f t="shared" si="17"/>
        <v>0.40444961336155294</v>
      </c>
      <c r="M34">
        <v>34</v>
      </c>
      <c r="O34">
        <f t="shared" si="18"/>
        <v>0.41282553639999997</v>
      </c>
      <c r="P34">
        <f t="shared" si="19"/>
        <v>0.58738259543854165</v>
      </c>
      <c r="Q34">
        <v>34</v>
      </c>
      <c r="S34">
        <f t="shared" si="20"/>
        <v>0.55711304259999994</v>
      </c>
      <c r="T34">
        <f t="shared" si="21"/>
        <v>0.45252961560647365</v>
      </c>
      <c r="U34">
        <v>34</v>
      </c>
      <c r="W34">
        <f t="shared" si="22"/>
        <v>0.50856561989999993</v>
      </c>
      <c r="X34">
        <f t="shared" si="23"/>
        <v>0.59977845780524641</v>
      </c>
    </row>
    <row r="35" spans="1:24" x14ac:dyDescent="0.35">
      <c r="A35">
        <v>35</v>
      </c>
      <c r="C35">
        <f t="shared" si="12"/>
        <v>0.44936840879999995</v>
      </c>
      <c r="D35">
        <f t="shared" si="13"/>
        <v>0.49350983223013722</v>
      </c>
      <c r="E35">
        <v>35</v>
      </c>
      <c r="G35">
        <f t="shared" si="14"/>
        <v>0.44936840879999995</v>
      </c>
      <c r="H35">
        <f t="shared" si="15"/>
        <v>0.52179157348770144</v>
      </c>
      <c r="I35">
        <v>35</v>
      </c>
      <c r="K35">
        <f t="shared" si="16"/>
        <v>0.41514092499999999</v>
      </c>
      <c r="L35">
        <f t="shared" si="17"/>
        <v>0.40525357352889302</v>
      </c>
      <c r="M35">
        <v>35</v>
      </c>
      <c r="O35">
        <f t="shared" si="18"/>
        <v>0.41514092499999999</v>
      </c>
      <c r="P35">
        <f t="shared" si="19"/>
        <v>0.58806566427099372</v>
      </c>
      <c r="Q35">
        <v>35</v>
      </c>
      <c r="S35">
        <f t="shared" si="20"/>
        <v>0.55959948259999992</v>
      </c>
      <c r="T35">
        <f t="shared" si="21"/>
        <v>0.45381109249954332</v>
      </c>
      <c r="U35">
        <v>35</v>
      </c>
      <c r="W35">
        <f t="shared" si="22"/>
        <v>0.51240059939999993</v>
      </c>
      <c r="X35">
        <f t="shared" si="23"/>
        <v>0.60386219373638617</v>
      </c>
    </row>
    <row r="36" spans="1:24" x14ac:dyDescent="0.35">
      <c r="A36">
        <v>36</v>
      </c>
      <c r="C36">
        <f t="shared" si="12"/>
        <v>0.45269048809999995</v>
      </c>
      <c r="D36">
        <f t="shared" si="13"/>
        <v>0.49429566417053816</v>
      </c>
      <c r="E36">
        <v>36</v>
      </c>
      <c r="G36">
        <f t="shared" si="14"/>
        <v>0.45269048809999995</v>
      </c>
      <c r="H36">
        <f t="shared" si="15"/>
        <v>0.52313930489762062</v>
      </c>
      <c r="I36">
        <v>36</v>
      </c>
      <c r="K36">
        <f t="shared" si="16"/>
        <v>0.41745631359999996</v>
      </c>
      <c r="L36">
        <f t="shared" si="17"/>
        <v>0.40605187887328054</v>
      </c>
      <c r="M36">
        <v>36</v>
      </c>
      <c r="O36">
        <f t="shared" si="18"/>
        <v>0.41745631359999996</v>
      </c>
      <c r="P36">
        <f t="shared" si="19"/>
        <v>0.58875438792639812</v>
      </c>
      <c r="Q36">
        <v>36</v>
      </c>
      <c r="S36">
        <f t="shared" si="20"/>
        <v>0.56208592260000001</v>
      </c>
      <c r="T36">
        <f t="shared" si="21"/>
        <v>0.4550517722470559</v>
      </c>
      <c r="U36">
        <v>36</v>
      </c>
      <c r="W36">
        <f t="shared" si="22"/>
        <v>0.51623557889999994</v>
      </c>
      <c r="X36">
        <f t="shared" si="23"/>
        <v>0.60809603928126499</v>
      </c>
    </row>
    <row r="37" spans="1:24" x14ac:dyDescent="0.35">
      <c r="A37">
        <v>37</v>
      </c>
      <c r="C37">
        <f t="shared" si="12"/>
        <v>0.45601256739999996</v>
      </c>
      <c r="D37">
        <f t="shared" si="13"/>
        <v>0.49501418142161308</v>
      </c>
      <c r="E37">
        <v>37</v>
      </c>
      <c r="G37">
        <f t="shared" si="14"/>
        <v>0.45601256739999996</v>
      </c>
      <c r="H37">
        <f t="shared" si="15"/>
        <v>0.52455435099686554</v>
      </c>
      <c r="I37">
        <v>37</v>
      </c>
      <c r="K37">
        <f t="shared" si="16"/>
        <v>0.41977170219999999</v>
      </c>
      <c r="L37">
        <f t="shared" si="17"/>
        <v>0.40684451921425624</v>
      </c>
      <c r="M37">
        <v>37</v>
      </c>
      <c r="O37">
        <f t="shared" si="18"/>
        <v>0.41977170219999999</v>
      </c>
      <c r="P37">
        <f t="shared" si="19"/>
        <v>0.58944877658521455</v>
      </c>
      <c r="Q37">
        <v>37</v>
      </c>
      <c r="S37">
        <f t="shared" si="20"/>
        <v>0.56457236259999999</v>
      </c>
      <c r="T37">
        <f t="shared" si="21"/>
        <v>0.45625306244115943</v>
      </c>
      <c r="U37">
        <v>37</v>
      </c>
      <c r="W37">
        <f t="shared" si="22"/>
        <v>0.52007055839999994</v>
      </c>
      <c r="X37">
        <f t="shared" si="23"/>
        <v>0.6124780506689802</v>
      </c>
    </row>
    <row r="38" spans="1:24" x14ac:dyDescent="0.35">
      <c r="A38">
        <v>38</v>
      </c>
      <c r="C38">
        <f t="shared" si="12"/>
        <v>0.45933464669999996</v>
      </c>
      <c r="D38">
        <f t="shared" si="13"/>
        <v>0.49567001602730221</v>
      </c>
      <c r="E38">
        <v>38</v>
      </c>
      <c r="G38">
        <f t="shared" si="14"/>
        <v>0.45933464669999996</v>
      </c>
      <c r="H38">
        <f t="shared" si="15"/>
        <v>0.52603207974149657</v>
      </c>
      <c r="I38">
        <v>38</v>
      </c>
      <c r="K38">
        <f t="shared" si="16"/>
        <v>0.42208709079999995</v>
      </c>
      <c r="L38">
        <f t="shared" si="17"/>
        <v>0.40763148540316407</v>
      </c>
      <c r="M38">
        <v>38</v>
      </c>
      <c r="O38">
        <f t="shared" si="18"/>
        <v>0.42208709079999995</v>
      </c>
      <c r="P38">
        <f t="shared" si="19"/>
        <v>0.59014883939609863</v>
      </c>
      <c r="Q38">
        <v>38</v>
      </c>
      <c r="S38">
        <f t="shared" si="20"/>
        <v>0.56705880259999997</v>
      </c>
      <c r="T38">
        <f t="shared" si="21"/>
        <v>0.45741634816094856</v>
      </c>
      <c r="U38">
        <v>38</v>
      </c>
      <c r="W38">
        <f t="shared" si="22"/>
        <v>0.52390553789999994</v>
      </c>
      <c r="X38">
        <f t="shared" si="23"/>
        <v>0.61700561618409566</v>
      </c>
    </row>
    <row r="39" spans="1:24" x14ac:dyDescent="0.35">
      <c r="A39">
        <v>39</v>
      </c>
      <c r="C39">
        <f t="shared" si="12"/>
        <v>0.46265672599999996</v>
      </c>
      <c r="D39">
        <f t="shared" si="13"/>
        <v>0.49626810517106479</v>
      </c>
      <c r="E39">
        <v>39</v>
      </c>
      <c r="G39">
        <f t="shared" si="14"/>
        <v>0.46265672599999996</v>
      </c>
      <c r="H39">
        <f t="shared" si="15"/>
        <v>0.5275675539480541</v>
      </c>
      <c r="I39">
        <v>39</v>
      </c>
      <c r="K39">
        <f t="shared" si="16"/>
        <v>0.42440247939999998</v>
      </c>
      <c r="L39">
        <f t="shared" si="17"/>
        <v>0.40841276933161652</v>
      </c>
      <c r="M39">
        <v>39</v>
      </c>
      <c r="O39">
        <f t="shared" si="18"/>
        <v>0.42440247939999998</v>
      </c>
      <c r="P39">
        <f t="shared" si="19"/>
        <v>0.59085458446743833</v>
      </c>
      <c r="Q39">
        <v>39</v>
      </c>
      <c r="S39">
        <f t="shared" si="20"/>
        <v>0.56954524259999995</v>
      </c>
      <c r="T39">
        <f t="shared" si="21"/>
        <v>0.458542988445717</v>
      </c>
      <c r="U39">
        <v>39</v>
      </c>
      <c r="W39">
        <f t="shared" si="22"/>
        <v>0.52774051739999994</v>
      </c>
      <c r="X39">
        <f t="shared" si="23"/>
        <v>0.62167551635484763</v>
      </c>
    </row>
    <row r="40" spans="1:24" x14ac:dyDescent="0.35">
      <c r="A40">
        <v>40</v>
      </c>
      <c r="C40">
        <f t="shared" si="12"/>
        <v>0.46597880529999997</v>
      </c>
      <c r="D40">
        <f t="shared" si="13"/>
        <v>0.496813469030082</v>
      </c>
      <c r="E40">
        <v>40</v>
      </c>
      <c r="G40">
        <f t="shared" si="14"/>
        <v>0.46597880529999997</v>
      </c>
      <c r="H40">
        <f t="shared" si="15"/>
        <v>0.52915575343935684</v>
      </c>
      <c r="I40">
        <v>40</v>
      </c>
      <c r="K40">
        <f t="shared" si="16"/>
        <v>0.426717868</v>
      </c>
      <c r="L40">
        <f t="shared" si="17"/>
        <v>0.40918836393902003</v>
      </c>
      <c r="M40">
        <v>40</v>
      </c>
      <c r="O40">
        <f t="shared" si="18"/>
        <v>0.426717868</v>
      </c>
      <c r="P40">
        <f t="shared" si="19"/>
        <v>0.59156601885982674</v>
      </c>
      <c r="Q40">
        <v>40</v>
      </c>
      <c r="S40">
        <f t="shared" si="20"/>
        <v>0.57203168260000004</v>
      </c>
      <c r="T40">
        <f t="shared" si="21"/>
        <v>0.45963431331299798</v>
      </c>
      <c r="U40">
        <v>40</v>
      </c>
      <c r="W40">
        <f t="shared" si="22"/>
        <v>0.53157549689999994</v>
      </c>
      <c r="X40">
        <f t="shared" si="23"/>
        <v>0.62648399485391937</v>
      </c>
    </row>
    <row r="41" spans="1:24" x14ac:dyDescent="0.35">
      <c r="A41">
        <v>41</v>
      </c>
      <c r="C41">
        <f t="shared" si="12"/>
        <v>0.46930088459999997</v>
      </c>
      <c r="D41">
        <f t="shared" si="13"/>
        <v>0.49731103363815288</v>
      </c>
      <c r="E41">
        <v>41</v>
      </c>
      <c r="G41">
        <f t="shared" si="14"/>
        <v>0.46930088459999997</v>
      </c>
      <c r="H41">
        <f t="shared" si="15"/>
        <v>0.53079175218160601</v>
      </c>
      <c r="I41">
        <v>41</v>
      </c>
      <c r="K41">
        <f t="shared" si="16"/>
        <v>0.42903325659999997</v>
      </c>
      <c r="L41">
        <f t="shared" si="17"/>
        <v>0.40995826321915019</v>
      </c>
      <c r="M41">
        <v>41</v>
      </c>
      <c r="O41">
        <f t="shared" si="18"/>
        <v>0.42903325659999997</v>
      </c>
      <c r="P41">
        <f t="shared" si="19"/>
        <v>0.59228314857948872</v>
      </c>
      <c r="Q41">
        <v>41</v>
      </c>
      <c r="S41">
        <f t="shared" si="20"/>
        <v>0.57451812260000001</v>
      </c>
      <c r="T41">
        <f t="shared" si="21"/>
        <v>0.4606916212862045</v>
      </c>
      <c r="U41">
        <v>41</v>
      </c>
      <c r="W41">
        <f t="shared" si="22"/>
        <v>0.53541047639999995</v>
      </c>
      <c r="X41">
        <f t="shared" si="23"/>
        <v>0.63142683668391419</v>
      </c>
    </row>
    <row r="42" spans="1:24" x14ac:dyDescent="0.35">
      <c r="A42">
        <v>42</v>
      </c>
      <c r="C42">
        <f t="shared" si="12"/>
        <v>0.47262296389999997</v>
      </c>
      <c r="D42">
        <f t="shared" si="13"/>
        <v>0.49776550221253518</v>
      </c>
      <c r="E42">
        <v>42</v>
      </c>
      <c r="G42">
        <f t="shared" si="14"/>
        <v>0.47262296389999997</v>
      </c>
      <c r="H42">
        <f t="shared" si="15"/>
        <v>0.53247084695754365</v>
      </c>
      <c r="I42">
        <v>42</v>
      </c>
      <c r="K42">
        <f t="shared" si="16"/>
        <v>0.43134864519999999</v>
      </c>
      <c r="L42">
        <f t="shared" si="17"/>
        <v>0.41072246222575715</v>
      </c>
      <c r="M42">
        <v>42</v>
      </c>
      <c r="O42">
        <f t="shared" si="18"/>
        <v>0.43134864519999999</v>
      </c>
      <c r="P42">
        <f t="shared" si="19"/>
        <v>0.59300597857267368</v>
      </c>
      <c r="Q42">
        <v>42</v>
      </c>
      <c r="S42">
        <f t="shared" si="20"/>
        <v>0.57700456259999999</v>
      </c>
      <c r="T42">
        <f t="shared" si="21"/>
        <v>0.46171617739388138</v>
      </c>
      <c r="U42">
        <v>42</v>
      </c>
      <c r="W42">
        <f t="shared" si="22"/>
        <v>0.53924545589999995</v>
      </c>
      <c r="X42">
        <f t="shared" si="23"/>
        <v>0.63649945018070342</v>
      </c>
    </row>
    <row r="43" spans="1:24" x14ac:dyDescent="0.35">
      <c r="A43">
        <v>43</v>
      </c>
      <c r="C43">
        <f t="shared" si="12"/>
        <v>0.47594504319999997</v>
      </c>
      <c r="D43">
        <f t="shared" si="13"/>
        <v>0.49818127136055801</v>
      </c>
      <c r="E43">
        <v>43</v>
      </c>
      <c r="G43">
        <f t="shared" si="14"/>
        <v>0.47594504319999997</v>
      </c>
      <c r="H43">
        <f t="shared" si="15"/>
        <v>0.53418864115984088</v>
      </c>
      <c r="I43">
        <v>43</v>
      </c>
      <c r="K43">
        <f t="shared" si="16"/>
        <v>0.43366403379999996</v>
      </c>
      <c r="L43">
        <f t="shared" si="17"/>
        <v>0.41148095707719345</v>
      </c>
      <c r="M43">
        <v>43</v>
      </c>
      <c r="O43">
        <f t="shared" si="18"/>
        <v>0.43366403379999996</v>
      </c>
      <c r="P43">
        <f t="shared" si="19"/>
        <v>0.59373451272102951</v>
      </c>
      <c r="Q43">
        <v>43</v>
      </c>
      <c r="S43">
        <f t="shared" si="20"/>
        <v>0.57949100259999997</v>
      </c>
      <c r="T43">
        <f t="shared" si="21"/>
        <v>0.46270921160104594</v>
      </c>
      <c r="U43">
        <v>43</v>
      </c>
      <c r="W43">
        <f t="shared" si="22"/>
        <v>0.54308043539999995</v>
      </c>
      <c r="X43">
        <f t="shared" si="23"/>
        <v>0.64169694957491485</v>
      </c>
    </row>
    <row r="44" spans="1:24" x14ac:dyDescent="0.35">
      <c r="A44">
        <v>44</v>
      </c>
      <c r="C44">
        <f t="shared" si="12"/>
        <v>0.47926712249999998</v>
      </c>
      <c r="D44">
        <f t="shared" si="13"/>
        <v>0.49856238473518688</v>
      </c>
      <c r="E44">
        <v>44</v>
      </c>
      <c r="G44">
        <f t="shared" si="14"/>
        <v>0.47926712249999998</v>
      </c>
      <c r="H44">
        <f t="shared" si="15"/>
        <v>0.5359410911355319</v>
      </c>
      <c r="I44">
        <v>44</v>
      </c>
      <c r="K44">
        <f t="shared" si="16"/>
        <v>0.43597942239999998</v>
      </c>
      <c r="L44">
        <f t="shared" si="17"/>
        <v>0.4122337449600505</v>
      </c>
      <c r="M44">
        <v>44</v>
      </c>
      <c r="O44">
        <f t="shared" si="18"/>
        <v>0.43597942239999998</v>
      </c>
      <c r="P44">
        <f t="shared" si="19"/>
        <v>0.59446875383796438</v>
      </c>
      <c r="Q44">
        <v>44</v>
      </c>
      <c r="S44">
        <f t="shared" si="20"/>
        <v>0.58197744259999995</v>
      </c>
      <c r="T44">
        <f t="shared" si="21"/>
        <v>0.46367191763262372</v>
      </c>
      <c r="U44">
        <v>44</v>
      </c>
      <c r="W44">
        <f t="shared" si="22"/>
        <v>0.54691541489999995</v>
      </c>
      <c r="X44">
        <f t="shared" si="23"/>
        <v>0.64701423525044499</v>
      </c>
    </row>
    <row r="45" spans="1:24" x14ac:dyDescent="0.35">
      <c r="A45">
        <v>45</v>
      </c>
      <c r="C45">
        <f t="shared" si="12"/>
        <v>0.48258920179999998</v>
      </c>
      <c r="D45">
        <f t="shared" si="13"/>
        <v>0.49891251544445953</v>
      </c>
      <c r="E45">
        <v>45</v>
      </c>
      <c r="G45">
        <f t="shared" si="14"/>
        <v>0.48258920179999998</v>
      </c>
      <c r="H45">
        <f t="shared" si="15"/>
        <v>0.53772452377657931</v>
      </c>
      <c r="I45">
        <v>45</v>
      </c>
      <c r="K45">
        <f t="shared" si="16"/>
        <v>0.43829481100000001</v>
      </c>
      <c r="L45">
        <f t="shared" si="17"/>
        <v>0.41298082413179915</v>
      </c>
      <c r="M45">
        <v>45</v>
      </c>
      <c r="O45">
        <f t="shared" si="18"/>
        <v>0.43829481100000001</v>
      </c>
      <c r="P45">
        <f t="shared" si="19"/>
        <v>0.59520870366600787</v>
      </c>
      <c r="Q45">
        <v>45</v>
      </c>
      <c r="S45">
        <f t="shared" si="20"/>
        <v>0.58446388259999993</v>
      </c>
      <c r="T45">
        <f t="shared" si="21"/>
        <v>0.46460545214939003</v>
      </c>
      <c r="U45">
        <v>45</v>
      </c>
      <c r="W45">
        <f t="shared" si="22"/>
        <v>0.55075039439999995</v>
      </c>
      <c r="X45">
        <f t="shared" si="23"/>
        <v>0.65244606936294791</v>
      </c>
    </row>
    <row r="46" spans="1:24" x14ac:dyDescent="0.35">
      <c r="A46">
        <v>46</v>
      </c>
      <c r="C46">
        <f t="shared" si="12"/>
        <v>0.48591128109999998</v>
      </c>
      <c r="D46">
        <f t="shared" si="13"/>
        <v>0.49923496893302122</v>
      </c>
      <c r="E46">
        <v>46</v>
      </c>
      <c r="G46">
        <f t="shared" si="14"/>
        <v>0.48591128109999998</v>
      </c>
      <c r="H46">
        <f t="shared" si="15"/>
        <v>0.53953563363833779</v>
      </c>
      <c r="I46">
        <v>46</v>
      </c>
      <c r="K46">
        <f t="shared" si="16"/>
        <v>0.44061019959999997</v>
      </c>
      <c r="L46">
        <f t="shared" si="17"/>
        <v>0.41372219392242515</v>
      </c>
      <c r="M46">
        <v>46</v>
      </c>
      <c r="O46">
        <f t="shared" si="18"/>
        <v>0.44061019959999997</v>
      </c>
      <c r="P46">
        <f t="shared" si="19"/>
        <v>0.59595436287517378</v>
      </c>
      <c r="Q46">
        <v>46</v>
      </c>
      <c r="S46">
        <f t="shared" si="20"/>
        <v>0.58695032260000002</v>
      </c>
      <c r="T46">
        <f t="shared" si="21"/>
        <v>0.46551093423792439</v>
      </c>
      <c r="U46">
        <v>46</v>
      </c>
      <c r="W46">
        <f t="shared" si="22"/>
        <v>0.55458537389999996</v>
      </c>
      <c r="X46">
        <f t="shared" si="23"/>
        <v>0.65798714506407552</v>
      </c>
    </row>
    <row r="47" spans="1:24" x14ac:dyDescent="0.35">
      <c r="A47">
        <v>47</v>
      </c>
      <c r="C47">
        <f t="shared" si="12"/>
        <v>0.48923336039999998</v>
      </c>
      <c r="D47">
        <f t="shared" si="13"/>
        <v>0.49953269932438515</v>
      </c>
      <c r="E47">
        <v>47</v>
      </c>
      <c r="G47">
        <f t="shared" si="14"/>
        <v>0.48923336039999998</v>
      </c>
      <c r="H47">
        <f t="shared" si="15"/>
        <v>0.54137146659729374</v>
      </c>
      <c r="I47">
        <v>47</v>
      </c>
      <c r="K47">
        <f t="shared" si="16"/>
        <v>0.44292558819999994</v>
      </c>
      <c r="L47">
        <f t="shared" si="17"/>
        <v>0.41445785473505975</v>
      </c>
      <c r="M47">
        <v>47</v>
      </c>
      <c r="O47">
        <f t="shared" si="18"/>
        <v>0.44292558819999994</v>
      </c>
      <c r="P47">
        <f t="shared" si="19"/>
        <v>0.59670573106233116</v>
      </c>
      <c r="Q47">
        <v>47</v>
      </c>
      <c r="S47">
        <f t="shared" si="20"/>
        <v>0.5894367626</v>
      </c>
      <c r="T47">
        <f t="shared" si="21"/>
        <v>0.46638944517771547</v>
      </c>
      <c r="U47">
        <v>47</v>
      </c>
      <c r="W47">
        <f t="shared" si="22"/>
        <v>0.55842035339999996</v>
      </c>
      <c r="X47">
        <f t="shared" si="23"/>
        <v>0.66363214816011951</v>
      </c>
    </row>
    <row r="48" spans="1:24" x14ac:dyDescent="0.35">
      <c r="A48">
        <v>48</v>
      </c>
      <c r="C48">
        <f t="shared" si="12"/>
        <v>0.49255543969999999</v>
      </c>
      <c r="D48">
        <f t="shared" si="13"/>
        <v>0.49980833375550665</v>
      </c>
      <c r="E48">
        <v>48</v>
      </c>
      <c r="G48">
        <f t="shared" si="14"/>
        <v>0.49255543969999999</v>
      </c>
      <c r="H48">
        <f t="shared" si="15"/>
        <v>0.54322939551649241</v>
      </c>
      <c r="I48">
        <v>48</v>
      </c>
      <c r="K48">
        <f t="shared" si="16"/>
        <v>0.44524097679999997</v>
      </c>
      <c r="L48">
        <f t="shared" si="17"/>
        <v>0.41518780804560024</v>
      </c>
      <c r="M48">
        <v>48</v>
      </c>
      <c r="O48">
        <f t="shared" si="18"/>
        <v>0.44524097679999997</v>
      </c>
      <c r="P48">
        <f t="shared" si="19"/>
        <v>0.59746280675158281</v>
      </c>
      <c r="Q48">
        <v>48</v>
      </c>
      <c r="S48">
        <f t="shared" si="20"/>
        <v>0.59192320259999998</v>
      </c>
      <c r="T48">
        <f t="shared" si="21"/>
        <v>0.46724202845057206</v>
      </c>
      <c r="U48">
        <v>48</v>
      </c>
      <c r="W48">
        <f t="shared" si="22"/>
        <v>0.56225533289999996</v>
      </c>
      <c r="X48">
        <f t="shared" si="23"/>
        <v>0.66937581057118378</v>
      </c>
    </row>
    <row r="49" spans="1:24" x14ac:dyDescent="0.35">
      <c r="A49">
        <v>49</v>
      </c>
      <c r="C49">
        <f t="shared" si="12"/>
        <v>0.49587751899999999</v>
      </c>
      <c r="D49">
        <f t="shared" si="13"/>
        <v>0.50006420070761026</v>
      </c>
      <c r="E49">
        <v>49</v>
      </c>
      <c r="G49">
        <f t="shared" si="14"/>
        <v>0.49587751899999999</v>
      </c>
      <c r="H49">
        <f t="shared" si="15"/>
        <v>0.54510709191470885</v>
      </c>
      <c r="I49">
        <v>49</v>
      </c>
      <c r="K49">
        <f t="shared" si="16"/>
        <v>0.44755636539999999</v>
      </c>
      <c r="L49">
        <f t="shared" si="17"/>
        <v>0.41591205640132367</v>
      </c>
      <c r="M49">
        <v>49</v>
      </c>
      <c r="O49">
        <f t="shared" si="18"/>
        <v>0.44755636539999999</v>
      </c>
      <c r="P49">
        <f t="shared" si="19"/>
        <v>0.59822558739565146</v>
      </c>
      <c r="Q49">
        <v>49</v>
      </c>
      <c r="S49">
        <f t="shared" si="20"/>
        <v>0.59440964259999995</v>
      </c>
      <c r="T49">
        <f t="shared" si="21"/>
        <v>0.4680696899597776</v>
      </c>
      <c r="U49">
        <v>49</v>
      </c>
      <c r="W49">
        <f t="shared" si="22"/>
        <v>0.56609031239999996</v>
      </c>
      <c r="X49">
        <f t="shared" si="23"/>
        <v>0.67521295541894022</v>
      </c>
    </row>
    <row r="50" spans="1:24" x14ac:dyDescent="0.35">
      <c r="A50">
        <v>50</v>
      </c>
      <c r="C50">
        <f t="shared" si="12"/>
        <v>0.49919959829999994</v>
      </c>
      <c r="D50">
        <f t="shared" si="13"/>
        <v>0.50030235957932034</v>
      </c>
      <c r="E50">
        <v>50</v>
      </c>
      <c r="G50">
        <f t="shared" si="14"/>
        <v>0.49919959829999994</v>
      </c>
      <c r="H50">
        <f t="shared" si="15"/>
        <v>0.54700249639331866</v>
      </c>
      <c r="I50">
        <v>50</v>
      </c>
      <c r="K50">
        <f t="shared" si="16"/>
        <v>0.44987175399999996</v>
      </c>
      <c r="L50">
        <f t="shared" si="17"/>
        <v>0.41663060341849634</v>
      </c>
      <c r="M50">
        <v>50</v>
      </c>
      <c r="O50">
        <f t="shared" si="18"/>
        <v>0.44987175399999996</v>
      </c>
      <c r="P50">
        <f t="shared" si="19"/>
        <v>0.59899406937827071</v>
      </c>
      <c r="Q50">
        <v>50</v>
      </c>
      <c r="S50">
        <f t="shared" si="20"/>
        <v>0.59689608259999993</v>
      </c>
      <c r="T50">
        <f t="shared" si="21"/>
        <v>0.4688733984288681</v>
      </c>
      <c r="U50">
        <v>50</v>
      </c>
      <c r="W50">
        <f t="shared" si="22"/>
        <v>0.56992529189999996</v>
      </c>
      <c r="X50">
        <f t="shared" si="23"/>
        <v>0.68113853394183121</v>
      </c>
    </row>
    <row r="51" spans="1:24" x14ac:dyDescent="0.35">
      <c r="A51">
        <v>51</v>
      </c>
      <c r="C51">
        <f t="shared" si="12"/>
        <v>0.50252167759999999</v>
      </c>
      <c r="D51">
        <f t="shared" si="13"/>
        <v>0.50052462971624045</v>
      </c>
      <c r="E51">
        <v>51</v>
      </c>
      <c r="G51">
        <f t="shared" si="14"/>
        <v>0.50252167759999999</v>
      </c>
      <c r="H51">
        <f t="shared" si="15"/>
        <v>0.54891378960671866</v>
      </c>
      <c r="I51">
        <v>51</v>
      </c>
      <c r="K51">
        <f t="shared" si="16"/>
        <v>0.45218714259999998</v>
      </c>
      <c r="L51">
        <f t="shared" si="17"/>
        <v>0.41734345377898419</v>
      </c>
      <c r="M51">
        <v>51</v>
      </c>
      <c r="O51">
        <f t="shared" si="18"/>
        <v>0.45218714259999998</v>
      </c>
      <c r="P51">
        <f t="shared" si="19"/>
        <v>0.59976824801757478</v>
      </c>
      <c r="Q51">
        <v>51</v>
      </c>
      <c r="S51">
        <f t="shared" si="20"/>
        <v>0.59938252260000002</v>
      </c>
      <c r="T51">
        <f t="shared" si="21"/>
        <v>0.46965408595242752</v>
      </c>
      <c r="U51">
        <v>51</v>
      </c>
      <c r="W51">
        <f t="shared" si="22"/>
        <v>0.57376027139999997</v>
      </c>
      <c r="X51">
        <f t="shared" si="23"/>
        <v>0.68714765471291628</v>
      </c>
    </row>
    <row r="52" spans="1:24" x14ac:dyDescent="0.35">
      <c r="A52">
        <v>52</v>
      </c>
      <c r="C52">
        <f t="shared" si="12"/>
        <v>0.50584375689999994</v>
      </c>
      <c r="D52">
        <f t="shared" si="13"/>
        <v>0.50073261782290468</v>
      </c>
      <c r="E52">
        <v>52</v>
      </c>
      <c r="G52">
        <f t="shared" si="14"/>
        <v>0.50584375689999994</v>
      </c>
      <c r="H52">
        <f t="shared" si="15"/>
        <v>0.55083936485037432</v>
      </c>
      <c r="I52">
        <v>52</v>
      </c>
      <c r="K52">
        <f t="shared" si="16"/>
        <v>0.45450253119999995</v>
      </c>
      <c r="L52">
        <f t="shared" si="17"/>
        <v>0.41805061322587095</v>
      </c>
      <c r="M52">
        <v>52</v>
      </c>
      <c r="O52">
        <f t="shared" si="18"/>
        <v>0.45450253119999995</v>
      </c>
      <c r="P52">
        <f t="shared" si="19"/>
        <v>0.6005481175704801</v>
      </c>
      <c r="Q52">
        <v>52</v>
      </c>
      <c r="S52">
        <f t="shared" si="20"/>
        <v>0.6018689626</v>
      </c>
      <c r="T52">
        <f t="shared" si="21"/>
        <v>0.47041264867381694</v>
      </c>
      <c r="U52">
        <v>52</v>
      </c>
      <c r="W52">
        <f t="shared" si="22"/>
        <v>0.57759525089999997</v>
      </c>
      <c r="X52">
        <f t="shared" si="23"/>
        <v>0.69323560582303223</v>
      </c>
    </row>
    <row r="53" spans="1:24" x14ac:dyDescent="0.35">
      <c r="A53">
        <v>53</v>
      </c>
      <c r="C53">
        <f t="shared" si="12"/>
        <v>0.5091658362</v>
      </c>
      <c r="D53">
        <f t="shared" si="13"/>
        <v>0.50092774318176914</v>
      </c>
      <c r="E53">
        <v>53</v>
      </c>
      <c r="G53">
        <f t="shared" si="14"/>
        <v>0.5091658362</v>
      </c>
      <c r="H53">
        <f t="shared" si="15"/>
        <v>0.55277780284182998</v>
      </c>
      <c r="I53">
        <v>53</v>
      </c>
      <c r="K53">
        <f t="shared" si="16"/>
        <v>0.45681791979999997</v>
      </c>
      <c r="L53">
        <f t="shared" si="17"/>
        <v>0.41875208855809376</v>
      </c>
      <c r="M53">
        <v>53</v>
      </c>
      <c r="O53">
        <f t="shared" si="18"/>
        <v>0.45681791979999997</v>
      </c>
      <c r="P53">
        <f t="shared" si="19"/>
        <v>0.60133367123804948</v>
      </c>
      <c r="Q53">
        <v>53</v>
      </c>
      <c r="S53">
        <f t="shared" si="20"/>
        <v>0.60435540259999998</v>
      </c>
      <c r="T53">
        <f t="shared" si="21"/>
        <v>0.47114994756722262</v>
      </c>
      <c r="U53">
        <v>53</v>
      </c>
      <c r="W53">
        <f t="shared" si="22"/>
        <v>0.58143023039999997</v>
      </c>
      <c r="X53">
        <f t="shared" si="23"/>
        <v>0.69939787080184468</v>
      </c>
    </row>
    <row r="54" spans="1:24" x14ac:dyDescent="0.35">
      <c r="A54">
        <v>54</v>
      </c>
      <c r="C54">
        <f t="shared" si="12"/>
        <v>0.51248791549999995</v>
      </c>
      <c r="D54">
        <f t="shared" si="13"/>
        <v>0.50111126043808318</v>
      </c>
      <c r="E54">
        <v>54</v>
      </c>
      <c r="G54">
        <f t="shared" si="14"/>
        <v>0.51248791549999995</v>
      </c>
      <c r="H54">
        <f t="shared" si="15"/>
        <v>0.55472784893583582</v>
      </c>
      <c r="I54">
        <v>54</v>
      </c>
      <c r="K54">
        <f t="shared" si="16"/>
        <v>0.4591333084</v>
      </c>
      <c r="L54">
        <f t="shared" si="17"/>
        <v>0.41944788762410939</v>
      </c>
      <c r="M54">
        <v>54</v>
      </c>
      <c r="O54">
        <f t="shared" si="18"/>
        <v>0.4591333084</v>
      </c>
      <c r="P54">
        <f t="shared" si="19"/>
        <v>0.60212490117182582</v>
      </c>
      <c r="Q54">
        <v>54</v>
      </c>
      <c r="S54">
        <f t="shared" si="20"/>
        <v>0.60684184259999996</v>
      </c>
      <c r="T54">
        <f t="shared" si="21"/>
        <v>0.47186680930378833</v>
      </c>
      <c r="U54">
        <v>54</v>
      </c>
      <c r="W54">
        <f t="shared" si="22"/>
        <v>0.58526520989999997</v>
      </c>
      <c r="X54">
        <f t="shared" si="23"/>
        <v>0.70563013909581018</v>
      </c>
    </row>
    <row r="55" spans="1:24" x14ac:dyDescent="0.35">
      <c r="A55">
        <v>55</v>
      </c>
      <c r="C55">
        <f t="shared" si="12"/>
        <v>0.5158099948</v>
      </c>
      <c r="D55">
        <f t="shared" si="13"/>
        <v>0.50128427992296998</v>
      </c>
      <c r="E55">
        <v>55</v>
      </c>
      <c r="G55">
        <f t="shared" si="14"/>
        <v>0.5158099948</v>
      </c>
      <c r="H55">
        <f t="shared" si="15"/>
        <v>0.55668839280126914</v>
      </c>
      <c r="I55">
        <v>55</v>
      </c>
      <c r="K55">
        <f t="shared" si="16"/>
        <v>0.46144869699999996</v>
      </c>
      <c r="L55">
        <f t="shared" si="17"/>
        <v>0.42013801931460248</v>
      </c>
      <c r="M55">
        <v>55</v>
      </c>
      <c r="O55">
        <f t="shared" si="18"/>
        <v>0.46144869699999996</v>
      </c>
      <c r="P55">
        <f t="shared" si="19"/>
        <v>0.60292179848112459</v>
      </c>
      <c r="Q55">
        <v>55</v>
      </c>
      <c r="S55">
        <f t="shared" si="20"/>
        <v>0.60932828259999994</v>
      </c>
      <c r="T55">
        <f t="shared" si="21"/>
        <v>0.47256402718385798</v>
      </c>
      <c r="U55">
        <v>55</v>
      </c>
      <c r="W55">
        <f t="shared" si="22"/>
        <v>0.58910018939999997</v>
      </c>
      <c r="X55">
        <f t="shared" si="23"/>
        <v>0.71192831191974415</v>
      </c>
    </row>
    <row r="56" spans="1:24" x14ac:dyDescent="0.35">
      <c r="A56">
        <v>56</v>
      </c>
      <c r="C56">
        <f t="shared" si="12"/>
        <v>0.51913207409999995</v>
      </c>
      <c r="D56">
        <f t="shared" si="13"/>
        <v>0.50144778561553649</v>
      </c>
      <c r="E56">
        <v>56</v>
      </c>
      <c r="G56">
        <f t="shared" si="14"/>
        <v>0.51913207409999995</v>
      </c>
      <c r="H56">
        <f t="shared" si="15"/>
        <v>0.55865845045902274</v>
      </c>
      <c r="I56">
        <v>56</v>
      </c>
      <c r="K56">
        <f t="shared" si="16"/>
        <v>0.46376408559999999</v>
      </c>
      <c r="L56">
        <f t="shared" si="17"/>
        <v>0.4208224935542535</v>
      </c>
      <c r="M56">
        <v>56</v>
      </c>
      <c r="O56">
        <f t="shared" si="18"/>
        <v>0.46376408559999999</v>
      </c>
      <c r="P56">
        <f t="shared" si="19"/>
        <v>0.60372435324126572</v>
      </c>
      <c r="Q56">
        <v>56</v>
      </c>
      <c r="S56">
        <f t="shared" si="20"/>
        <v>0.61181472259999992</v>
      </c>
      <c r="T56">
        <f t="shared" si="21"/>
        <v>0.47324236211947657</v>
      </c>
      <c r="U56">
        <v>56</v>
      </c>
      <c r="W56">
        <f t="shared" si="22"/>
        <v>0.59293516889999998</v>
      </c>
      <c r="X56">
        <f t="shared" si="23"/>
        <v>0.71828850426135982</v>
      </c>
    </row>
    <row r="57" spans="1:24" x14ac:dyDescent="0.35">
      <c r="A57">
        <v>57</v>
      </c>
      <c r="C57">
        <f t="shared" si="12"/>
        <v>0.52245415340000001</v>
      </c>
      <c r="D57">
        <f t="shared" si="13"/>
        <v>0.50160265091557255</v>
      </c>
      <c r="E57">
        <v>57</v>
      </c>
      <c r="G57">
        <f t="shared" si="14"/>
        <v>0.52245415340000001</v>
      </c>
      <c r="H57">
        <f t="shared" si="15"/>
        <v>0.56063714850930657</v>
      </c>
      <c r="I57">
        <v>57</v>
      </c>
      <c r="K57">
        <f t="shared" si="16"/>
        <v>0.46607947419999995</v>
      </c>
      <c r="L57">
        <f t="shared" si="17"/>
        <v>0.421501321292582</v>
      </c>
      <c r="M57">
        <v>57</v>
      </c>
      <c r="O57">
        <f t="shared" si="18"/>
        <v>0.46607947419999995</v>
      </c>
      <c r="P57">
        <f t="shared" si="19"/>
        <v>0.60453255450272936</v>
      </c>
      <c r="Q57">
        <v>57</v>
      </c>
      <c r="S57">
        <f t="shared" si="20"/>
        <v>0.61430116260000001</v>
      </c>
      <c r="T57">
        <f t="shared" si="21"/>
        <v>0.47390254365326456</v>
      </c>
      <c r="U57">
        <v>57</v>
      </c>
      <c r="W57">
        <f t="shared" si="22"/>
        <v>0.59677014839999998</v>
      </c>
      <c r="X57">
        <f t="shared" si="23"/>
        <v>0.7247070437577865</v>
      </c>
    </row>
    <row r="58" spans="1:24" x14ac:dyDescent="0.35">
      <c r="A58">
        <v>58</v>
      </c>
      <c r="C58">
        <f t="shared" si="12"/>
        <v>0.52577623269999996</v>
      </c>
      <c r="D58">
        <f t="shared" si="13"/>
        <v>0.50174965243122849</v>
      </c>
      <c r="E58">
        <v>58</v>
      </c>
      <c r="G58">
        <f t="shared" si="14"/>
        <v>0.52577623269999996</v>
      </c>
      <c r="H58">
        <f t="shared" si="15"/>
        <v>0.56262371034397074</v>
      </c>
      <c r="I58">
        <v>58</v>
      </c>
      <c r="K58">
        <f t="shared" si="16"/>
        <v>0.46839486279999998</v>
      </c>
      <c r="L58">
        <f t="shared" si="17"/>
        <v>0.42217451449388727</v>
      </c>
      <c r="M58">
        <v>58</v>
      </c>
      <c r="O58">
        <f t="shared" si="18"/>
        <v>0.46839486279999998</v>
      </c>
      <c r="P58">
        <f t="shared" si="19"/>
        <v>0.60534639030121606</v>
      </c>
      <c r="Q58">
        <v>58</v>
      </c>
      <c r="S58">
        <f t="shared" si="20"/>
        <v>0.61678760259999998</v>
      </c>
      <c r="T58">
        <f t="shared" si="21"/>
        <v>0.47454527100159277</v>
      </c>
      <c r="U58">
        <v>58</v>
      </c>
      <c r="W58">
        <f t="shared" si="22"/>
        <v>0.60060512789999998</v>
      </c>
      <c r="X58">
        <f t="shared" si="23"/>
        <v>0.73118046708945139</v>
      </c>
    </row>
    <row r="59" spans="1:24" x14ac:dyDescent="0.35">
      <c r="A59">
        <v>59</v>
      </c>
      <c r="C59">
        <f t="shared" si="12"/>
        <v>0.52909831200000002</v>
      </c>
      <c r="D59">
        <f t="shared" si="13"/>
        <v>0.50188948199493399</v>
      </c>
      <c r="E59">
        <v>59</v>
      </c>
      <c r="G59">
        <f t="shared" si="14"/>
        <v>0.52909831200000002</v>
      </c>
      <c r="H59">
        <f t="shared" si="15"/>
        <v>0.56461744413058534</v>
      </c>
      <c r="I59">
        <v>59</v>
      </c>
      <c r="K59">
        <f t="shared" si="16"/>
        <v>0.4707102514</v>
      </c>
      <c r="L59">
        <f t="shared" si="17"/>
        <v>0.42284208612630608</v>
      </c>
      <c r="M59">
        <v>59</v>
      </c>
      <c r="O59">
        <f t="shared" si="18"/>
        <v>0.4707102514</v>
      </c>
      <c r="P59">
        <f t="shared" si="19"/>
        <v>0.60616584766858916</v>
      </c>
      <c r="Q59">
        <v>59</v>
      </c>
      <c r="S59">
        <f t="shared" si="20"/>
        <v>0.61927404259999996</v>
      </c>
      <c r="T59">
        <f t="shared" si="21"/>
        <v>0.4751712141116391</v>
      </c>
      <c r="U59">
        <v>59</v>
      </c>
      <c r="W59">
        <f t="shared" si="22"/>
        <v>0.60444010739999998</v>
      </c>
      <c r="X59">
        <f t="shared" si="23"/>
        <v>0.73770551445738586</v>
      </c>
    </row>
    <row r="60" spans="1:24" x14ac:dyDescent="0.35">
      <c r="A60">
        <v>60</v>
      </c>
      <c r="C60">
        <f t="shared" si="12"/>
        <v>0.53242039129999996</v>
      </c>
      <c r="D60">
        <f t="shared" si="13"/>
        <v>0.50202275711531985</v>
      </c>
      <c r="E60">
        <v>60</v>
      </c>
      <c r="G60">
        <f t="shared" si="14"/>
        <v>0.53242039129999996</v>
      </c>
      <c r="H60">
        <f t="shared" si="15"/>
        <v>0.56661773236051938</v>
      </c>
      <c r="I60">
        <v>60</v>
      </c>
      <c r="K60">
        <f t="shared" si="16"/>
        <v>0.47302563999999997</v>
      </c>
      <c r="L60">
        <f t="shared" si="17"/>
        <v>0.42350405015001069</v>
      </c>
      <c r="M60">
        <v>60</v>
      </c>
      <c r="O60">
        <f t="shared" si="18"/>
        <v>0.47302563999999997</v>
      </c>
      <c r="P60">
        <f t="shared" si="19"/>
        <v>0.60699091264467664</v>
      </c>
      <c r="Q60">
        <v>60</v>
      </c>
      <c r="S60">
        <f t="shared" si="20"/>
        <v>0.62176048259999994</v>
      </c>
      <c r="T60">
        <f t="shared" si="21"/>
        <v>0.47578101472340179</v>
      </c>
      <c r="U60">
        <v>60</v>
      </c>
      <c r="W60">
        <f t="shared" si="22"/>
        <v>0.60827508689999998</v>
      </c>
      <c r="X60">
        <f t="shared" si="23"/>
        <v>0.74427912263049067</v>
      </c>
    </row>
    <row r="61" spans="1:24" x14ac:dyDescent="0.35">
      <c r="A61">
        <v>61</v>
      </c>
      <c r="C61">
        <f t="shared" si="12"/>
        <v>0.53574247060000002</v>
      </c>
      <c r="D61">
        <f t="shared" si="13"/>
        <v>0.50215003005934511</v>
      </c>
      <c r="E61">
        <v>61</v>
      </c>
      <c r="G61">
        <f t="shared" si="14"/>
        <v>0.53574247060000002</v>
      </c>
      <c r="H61">
        <f t="shared" si="15"/>
        <v>0.56862402276681423</v>
      </c>
      <c r="I61">
        <v>61</v>
      </c>
      <c r="K61">
        <f t="shared" si="16"/>
        <v>0.47534102859999994</v>
      </c>
      <c r="L61">
        <f t="shared" si="17"/>
        <v>0.42416042150457167</v>
      </c>
      <c r="M61">
        <v>61</v>
      </c>
      <c r="O61">
        <f t="shared" si="18"/>
        <v>0.47534102859999994</v>
      </c>
      <c r="P61">
        <f t="shared" si="19"/>
        <v>0.6078215702899078</v>
      </c>
      <c r="Q61">
        <v>61</v>
      </c>
      <c r="S61">
        <f t="shared" si="20"/>
        <v>0.62424692260000003</v>
      </c>
      <c r="T61">
        <f t="shared" si="21"/>
        <v>0.47637528742909341</v>
      </c>
      <c r="U61">
        <v>61</v>
      </c>
      <c r="W61">
        <f t="shared" si="22"/>
        <v>0.61211006639999999</v>
      </c>
      <c r="X61">
        <f t="shared" si="23"/>
        <v>0.75089841697334547</v>
      </c>
    </row>
    <row r="62" spans="1:24" x14ac:dyDescent="0.35">
      <c r="A62">
        <v>62</v>
      </c>
      <c r="C62">
        <f t="shared" si="12"/>
        <v>0.53906454989999997</v>
      </c>
      <c r="D62">
        <f t="shared" si="13"/>
        <v>0.50227179574137149</v>
      </c>
      <c r="E62">
        <v>62</v>
      </c>
      <c r="G62">
        <f t="shared" si="14"/>
        <v>0.53906454989999997</v>
      </c>
      <c r="H62">
        <f t="shared" si="15"/>
        <v>0.57063582043510797</v>
      </c>
      <c r="I62">
        <v>62</v>
      </c>
      <c r="K62">
        <f t="shared" si="16"/>
        <v>0.47765641719999996</v>
      </c>
      <c r="L62">
        <f t="shared" si="17"/>
        <v>0.42481121609551359</v>
      </c>
      <c r="M62">
        <v>62</v>
      </c>
      <c r="O62">
        <f t="shared" si="18"/>
        <v>0.47765641719999996</v>
      </c>
      <c r="P62">
        <f t="shared" si="19"/>
        <v>0.60865780469875774</v>
      </c>
      <c r="Q62">
        <v>62</v>
      </c>
      <c r="S62">
        <f t="shared" si="20"/>
        <v>0.62673336260000001</v>
      </c>
      <c r="T62">
        <f t="shared" si="21"/>
        <v>0.47695462072354167</v>
      </c>
      <c r="U62">
        <v>62</v>
      </c>
      <c r="W62">
        <f t="shared" si="22"/>
        <v>0.61594504589999999</v>
      </c>
      <c r="X62">
        <f t="shared" si="23"/>
        <v>0.75756070279512766</v>
      </c>
    </row>
    <row r="63" spans="1:24" x14ac:dyDescent="0.35">
      <c r="A63">
        <v>63</v>
      </c>
      <c r="C63">
        <f t="shared" si="12"/>
        <v>0.54238662919999991</v>
      </c>
      <c r="D63">
        <f t="shared" si="13"/>
        <v>0.50238849857710877</v>
      </c>
      <c r="E63">
        <v>63</v>
      </c>
      <c r="G63">
        <f t="shared" si="14"/>
        <v>0.54238662919999991</v>
      </c>
      <c r="H63">
        <f t="shared" si="15"/>
        <v>0.57265268094969057</v>
      </c>
      <c r="I63">
        <v>63</v>
      </c>
      <c r="K63">
        <f t="shared" si="16"/>
        <v>0.47997180579999998</v>
      </c>
      <c r="L63">
        <f t="shared" si="17"/>
        <v>0.42545645078008898</v>
      </c>
      <c r="M63">
        <v>63</v>
      </c>
      <c r="O63">
        <f t="shared" si="18"/>
        <v>0.47997180579999998</v>
      </c>
      <c r="P63">
        <f t="shared" si="19"/>
        <v>0.60949959901397432</v>
      </c>
      <c r="Q63">
        <v>63</v>
      </c>
      <c r="S63">
        <f t="shared" si="20"/>
        <v>0.62921980259999999</v>
      </c>
      <c r="T63">
        <f t="shared" si="21"/>
        <v>0.47751957804029188</v>
      </c>
      <c r="U63">
        <v>63</v>
      </c>
      <c r="W63">
        <f t="shared" si="22"/>
        <v>0.61978002539999999</v>
      </c>
      <c r="X63">
        <f t="shared" si="23"/>
        <v>0.76426345629740966</v>
      </c>
    </row>
    <row r="64" spans="1:24" x14ac:dyDescent="0.35">
      <c r="A64">
        <v>64</v>
      </c>
      <c r="C64">
        <f t="shared" si="12"/>
        <v>0.54570870849999997</v>
      </c>
      <c r="D64">
        <f t="shared" si="13"/>
        <v>0.50250053844175346</v>
      </c>
      <c r="E64">
        <v>64</v>
      </c>
      <c r="G64">
        <f t="shared" si="14"/>
        <v>0.54570870849999997</v>
      </c>
      <c r="H64">
        <f t="shared" si="15"/>
        <v>0.57467420443536599</v>
      </c>
      <c r="I64">
        <v>64</v>
      </c>
      <c r="K64">
        <f t="shared" si="16"/>
        <v>0.48228719440000001</v>
      </c>
      <c r="L64">
        <f t="shared" si="17"/>
        <v>0.42609614335230062</v>
      </c>
      <c r="M64">
        <v>64</v>
      </c>
      <c r="O64">
        <f t="shared" si="18"/>
        <v>0.48228719440000001</v>
      </c>
      <c r="P64">
        <f t="shared" si="19"/>
        <v>0.61034693544155483</v>
      </c>
      <c r="Q64">
        <v>64</v>
      </c>
      <c r="S64">
        <f t="shared" si="20"/>
        <v>0.63170624259999997</v>
      </c>
      <c r="T64">
        <f t="shared" si="21"/>
        <v>0.47807069876905206</v>
      </c>
      <c r="U64">
        <v>64</v>
      </c>
      <c r="W64">
        <f t="shared" si="22"/>
        <v>0.62361500489999999</v>
      </c>
      <c r="X64">
        <f t="shared" si="23"/>
        <v>0.77100431534351221</v>
      </c>
    </row>
    <row r="65" spans="1:24" x14ac:dyDescent="0.35">
      <c r="A65">
        <v>65</v>
      </c>
      <c r="C65">
        <f t="shared" ref="C65:C70" si="24">0.3364177126+(A65-1)*0.0033220793</f>
        <v>0.54903078780000003</v>
      </c>
      <c r="D65">
        <f t="shared" ref="D65:D70" si="25">0.363350118612284+0.32111866660137*C65-0.0900725597571582*(0.0232558139534884+(C65-0.438582741812773)^2/0.0836087453908287)^0.5</f>
        <v>0.50260827585411061</v>
      </c>
      <c r="E65">
        <v>65</v>
      </c>
      <c r="G65">
        <f t="shared" ref="G65:G70" si="26">0.3364177126+(E65-1)*0.0033220793</f>
        <v>0.54903078780000003</v>
      </c>
      <c r="H65">
        <f t="shared" ref="H65:H70" si="27">0.363350118612284+0.32111866660137*G65+0.0900725597571582*(0.0232558139534884+(G65-0.438582741812773)^2/0.0836087453908287)^0.5</f>
        <v>0.57670003037332895</v>
      </c>
      <c r="I65">
        <v>65</v>
      </c>
      <c r="K65">
        <f t="shared" ref="K65:K100" si="28">0.3364177126+(I65-1)*0.0023153886</f>
        <v>0.48460258299999998</v>
      </c>
      <c r="L65">
        <f t="shared" ref="L65:L96" si="29">0.363350118612284+0.32111866660137*K65-0.0900725597571582*(1.02325581395349+(K65-0.438582741812773)^2/0.0836087453908287)^0.5</f>
        <v>0.42673031252720284</v>
      </c>
      <c r="M65">
        <v>65</v>
      </c>
      <c r="O65">
        <f t="shared" ref="O65:O100" si="30">0.3364177126+(M65-1)*0.0023153886</f>
        <v>0.48460258299999998</v>
      </c>
      <c r="P65">
        <f t="shared" ref="P65:P96" si="31">0.363350118612284+0.32111866660137*O65+0.0900725597571582*(1.02325581395349+(O65-0.438582741812773)^2/0.0836087453908287)^0.5</f>
        <v>0.61119979526644475</v>
      </c>
      <c r="Q65">
        <v>65</v>
      </c>
      <c r="S65">
        <f t="shared" ref="S65:S70" si="32">0.4750605226+(Q65-1)*0.00248644</f>
        <v>0.63419268259999995</v>
      </c>
      <c r="T65">
        <f t="shared" ref="T65:T70" si="33">0+1*S65-0.0900725597571582*(1.02325581395349+(S65-0.504187223857575)^2/0.0086214995563288)^0.5</f>
        <v>0.478608499250951</v>
      </c>
      <c r="U65">
        <v>65</v>
      </c>
      <c r="W65">
        <f t="shared" ref="W65:W70" si="34">0.3820112964+(U65-1)*0.0038349795</f>
        <v>0.62744998439999999</v>
      </c>
      <c r="X65">
        <f t="shared" ref="X65:X70" si="35">0+1*W65+0.0900725597571582*(1.02325581395349+(W65-0.504187223857575)^2/0.0086214995563288)^0.5</f>
        <v>0.77778107022465859</v>
      </c>
    </row>
    <row r="66" spans="1:24" x14ac:dyDescent="0.35">
      <c r="A66">
        <v>66</v>
      </c>
      <c r="C66">
        <f t="shared" si="24"/>
        <v>0.55235286709999998</v>
      </c>
      <c r="D66">
        <f t="shared" si="25"/>
        <v>0.50271203649248375</v>
      </c>
      <c r="E66">
        <v>66</v>
      </c>
      <c r="G66">
        <f t="shared" si="26"/>
        <v>0.55235286709999998</v>
      </c>
      <c r="H66">
        <f t="shared" si="27"/>
        <v>0.5787298330852757</v>
      </c>
      <c r="I66">
        <v>66</v>
      </c>
      <c r="K66">
        <f t="shared" si="28"/>
        <v>0.48691797159999994</v>
      </c>
      <c r="L66">
        <f t="shared" si="29"/>
        <v>0.42735897792451238</v>
      </c>
      <c r="M66">
        <v>66</v>
      </c>
      <c r="O66">
        <f t="shared" si="30"/>
        <v>0.48691797159999994</v>
      </c>
      <c r="P66">
        <f t="shared" si="31"/>
        <v>0.61205815886892712</v>
      </c>
      <c r="Q66">
        <v>66</v>
      </c>
      <c r="S66">
        <f t="shared" si="32"/>
        <v>0.63667912259999992</v>
      </c>
      <c r="T66">
        <f t="shared" si="33"/>
        <v>0.47913347374880522</v>
      </c>
      <c r="U66">
        <v>66</v>
      </c>
      <c r="W66">
        <f t="shared" si="34"/>
        <v>0.6312849639</v>
      </c>
      <c r="X66">
        <f t="shared" si="35"/>
        <v>0.78459165455799806</v>
      </c>
    </row>
    <row r="67" spans="1:24" x14ac:dyDescent="0.35">
      <c r="A67">
        <v>67</v>
      </c>
      <c r="C67">
        <f t="shared" si="24"/>
        <v>0.55567494639999993</v>
      </c>
      <c r="D67">
        <f t="shared" si="25"/>
        <v>0.50281211513378898</v>
      </c>
      <c r="E67">
        <v>67</v>
      </c>
      <c r="G67">
        <f t="shared" si="26"/>
        <v>0.55567494639999993</v>
      </c>
      <c r="H67">
        <f t="shared" si="27"/>
        <v>0.58076331779429036</v>
      </c>
      <c r="I67">
        <v>67</v>
      </c>
      <c r="K67">
        <f t="shared" si="28"/>
        <v>0.48923336019999997</v>
      </c>
      <c r="L67">
        <f t="shared" si="29"/>
        <v>0.42798216005156287</v>
      </c>
      <c r="M67">
        <v>67</v>
      </c>
      <c r="O67">
        <f t="shared" si="30"/>
        <v>0.48923336019999997</v>
      </c>
      <c r="P67">
        <f t="shared" si="31"/>
        <v>0.61292200574166855</v>
      </c>
      <c r="Q67">
        <v>67</v>
      </c>
      <c r="S67">
        <f t="shared" si="32"/>
        <v>0.63916556260000001</v>
      </c>
      <c r="T67">
        <f t="shared" si="33"/>
        <v>0.47964609539022174</v>
      </c>
      <c r="U67">
        <v>67</v>
      </c>
      <c r="W67">
        <f t="shared" si="34"/>
        <v>0.63511994339999989</v>
      </c>
      <c r="X67">
        <f t="shared" si="35"/>
        <v>0.79143413641801319</v>
      </c>
    </row>
    <row r="68" spans="1:24" x14ac:dyDescent="0.35">
      <c r="A68">
        <v>68</v>
      </c>
      <c r="C68">
        <f t="shared" si="24"/>
        <v>0.55899702569999998</v>
      </c>
      <c r="D68">
        <f t="shared" si="25"/>
        <v>0.50290877909471854</v>
      </c>
      <c r="E68">
        <v>68</v>
      </c>
      <c r="G68">
        <f t="shared" si="26"/>
        <v>0.55899702569999998</v>
      </c>
      <c r="H68">
        <f t="shared" si="27"/>
        <v>0.58280021718368091</v>
      </c>
      <c r="I68">
        <v>68</v>
      </c>
      <c r="K68">
        <f t="shared" si="28"/>
        <v>0.49154874879999999</v>
      </c>
      <c r="L68">
        <f t="shared" si="29"/>
        <v>0.42859988028563401</v>
      </c>
      <c r="M68">
        <v>68</v>
      </c>
      <c r="O68">
        <f t="shared" si="30"/>
        <v>0.49154874879999999</v>
      </c>
      <c r="P68">
        <f t="shared" si="31"/>
        <v>0.61379131450738955</v>
      </c>
      <c r="Q68">
        <v>68</v>
      </c>
      <c r="S68">
        <f t="shared" si="32"/>
        <v>0.64165200259999999</v>
      </c>
      <c r="T68">
        <f t="shared" si="33"/>
        <v>0.48014681708190832</v>
      </c>
      <c r="U68">
        <v>68</v>
      </c>
      <c r="W68">
        <f t="shared" si="34"/>
        <v>0.6389549229</v>
      </c>
      <c r="X68">
        <f t="shared" si="35"/>
        <v>0.79830670977519569</v>
      </c>
    </row>
    <row r="69" spans="1:24" x14ac:dyDescent="0.35">
      <c r="A69">
        <v>69</v>
      </c>
      <c r="C69">
        <f t="shared" si="24"/>
        <v>0.56231910500000004</v>
      </c>
      <c r="D69">
        <f t="shared" si="25"/>
        <v>0.50300227124274688</v>
      </c>
      <c r="E69">
        <v>69</v>
      </c>
      <c r="G69">
        <f t="shared" si="26"/>
        <v>0.56231910500000004</v>
      </c>
      <c r="H69">
        <f t="shared" si="27"/>
        <v>0.58484028838597268</v>
      </c>
      <c r="I69">
        <v>69</v>
      </c>
      <c r="K69">
        <f t="shared" si="28"/>
        <v>0.49386413740000001</v>
      </c>
      <c r="L69">
        <f t="shared" si="29"/>
        <v>0.42921216085569136</v>
      </c>
      <c r="M69">
        <v>69</v>
      </c>
      <c r="O69">
        <f t="shared" si="30"/>
        <v>0.49386413740000001</v>
      </c>
      <c r="P69">
        <f t="shared" si="31"/>
        <v>0.61466606293712434</v>
      </c>
      <c r="Q69">
        <v>69</v>
      </c>
      <c r="S69">
        <f t="shared" si="32"/>
        <v>0.64413844259999997</v>
      </c>
      <c r="T69">
        <f t="shared" si="33"/>
        <v>0.48063607239403328</v>
      </c>
      <c r="U69">
        <v>69</v>
      </c>
      <c r="W69">
        <f t="shared" si="34"/>
        <v>0.64278990239999989</v>
      </c>
      <c r="X69">
        <f t="shared" si="35"/>
        <v>0.8052076862933969</v>
      </c>
    </row>
    <row r="70" spans="1:24" x14ac:dyDescent="0.35">
      <c r="A70">
        <v>70</v>
      </c>
      <c r="C70">
        <f t="shared" si="24"/>
        <v>0.56564118429999999</v>
      </c>
      <c r="D70">
        <f t="shared" si="25"/>
        <v>0.50309281263521721</v>
      </c>
      <c r="E70">
        <v>70</v>
      </c>
      <c r="G70">
        <f t="shared" si="26"/>
        <v>0.56564118429999999</v>
      </c>
      <c r="H70">
        <f t="shared" si="27"/>
        <v>0.58688331034382224</v>
      </c>
      <c r="I70">
        <v>70</v>
      </c>
      <c r="K70">
        <f t="shared" si="28"/>
        <v>0.49617952599999998</v>
      </c>
      <c r="L70">
        <f t="shared" si="29"/>
        <v>0.42981902482357115</v>
      </c>
      <c r="M70">
        <v>70</v>
      </c>
      <c r="O70">
        <f t="shared" si="30"/>
        <v>0.49617952599999998</v>
      </c>
      <c r="P70">
        <f t="shared" si="31"/>
        <v>0.61554622796903646</v>
      </c>
      <c r="Q70">
        <v>70</v>
      </c>
      <c r="S70">
        <f t="shared" si="32"/>
        <v>0.64662488259999995</v>
      </c>
      <c r="T70">
        <f t="shared" si="33"/>
        <v>0.481114276413874</v>
      </c>
      <c r="U70">
        <v>70</v>
      </c>
      <c r="W70">
        <f t="shared" si="34"/>
        <v>0.6466248819</v>
      </c>
      <c r="X70">
        <f t="shared" si="35"/>
        <v>0.81213548751923548</v>
      </c>
    </row>
    <row r="71" spans="1:24" x14ac:dyDescent="0.35">
      <c r="I71">
        <v>71</v>
      </c>
      <c r="K71">
        <f t="shared" si="28"/>
        <v>0.49849491459999995</v>
      </c>
      <c r="L71">
        <f t="shared" si="29"/>
        <v>0.43042049606464611</v>
      </c>
      <c r="M71">
        <v>71</v>
      </c>
      <c r="O71">
        <f t="shared" si="30"/>
        <v>0.49849491459999995</v>
      </c>
      <c r="P71">
        <f t="shared" si="31"/>
        <v>0.61643178572775337</v>
      </c>
    </row>
    <row r="72" spans="1:24" x14ac:dyDescent="0.35">
      <c r="I72">
        <v>72</v>
      </c>
      <c r="K72">
        <f t="shared" si="28"/>
        <v>0.50081030319999997</v>
      </c>
      <c r="L72">
        <f t="shared" si="29"/>
        <v>0.43101659924800678</v>
      </c>
      <c r="M72">
        <v>72</v>
      </c>
      <c r="O72">
        <f t="shared" si="30"/>
        <v>0.50081030319999997</v>
      </c>
      <c r="P72">
        <f t="shared" si="31"/>
        <v>0.61732271154418483</v>
      </c>
    </row>
    <row r="73" spans="1:24" x14ac:dyDescent="0.35">
      <c r="I73">
        <v>73</v>
      </c>
      <c r="K73">
        <f t="shared" si="28"/>
        <v>0.5031256918</v>
      </c>
      <c r="L73">
        <f t="shared" si="29"/>
        <v>0.43160735981619558</v>
      </c>
      <c r="M73">
        <v>73</v>
      </c>
      <c r="O73">
        <f t="shared" si="30"/>
        <v>0.5031256918</v>
      </c>
      <c r="P73">
        <f t="shared" si="31"/>
        <v>0.61821897997578823</v>
      </c>
    </row>
    <row r="74" spans="1:24" x14ac:dyDescent="0.35">
      <c r="I74">
        <v>74</v>
      </c>
      <c r="K74">
        <f t="shared" si="28"/>
        <v>0.50544108040000002</v>
      </c>
      <c r="L74">
        <f t="shared" si="29"/>
        <v>0.43219280396453041</v>
      </c>
      <c r="M74">
        <v>74</v>
      </c>
      <c r="O74">
        <f t="shared" si="30"/>
        <v>0.50544108040000002</v>
      </c>
      <c r="P74">
        <f t="shared" si="31"/>
        <v>0.61912056482724531</v>
      </c>
    </row>
    <row r="75" spans="1:24" x14ac:dyDescent="0.35">
      <c r="I75">
        <v>75</v>
      </c>
      <c r="K75">
        <f t="shared" si="28"/>
        <v>0.50775646900000004</v>
      </c>
      <c r="L75">
        <f t="shared" si="29"/>
        <v>0.43277295862005416</v>
      </c>
      <c r="M75">
        <v>75</v>
      </c>
      <c r="O75">
        <f t="shared" si="30"/>
        <v>0.50775646900000004</v>
      </c>
      <c r="P75">
        <f t="shared" si="31"/>
        <v>0.62002743917151348</v>
      </c>
    </row>
    <row r="76" spans="1:24" x14ac:dyDescent="0.35">
      <c r="I76">
        <v>76</v>
      </c>
      <c r="K76">
        <f t="shared" si="28"/>
        <v>0.51007185759999996</v>
      </c>
      <c r="L76">
        <f t="shared" si="29"/>
        <v>0.43334785142014604</v>
      </c>
      <c r="M76">
        <v>76</v>
      </c>
      <c r="O76">
        <f t="shared" si="30"/>
        <v>0.51007185759999996</v>
      </c>
      <c r="P76">
        <f t="shared" si="31"/>
        <v>0.62093957537121369</v>
      </c>
    </row>
    <row r="77" spans="1:24" x14ac:dyDescent="0.35">
      <c r="I77">
        <v>77</v>
      </c>
      <c r="K77">
        <f t="shared" si="28"/>
        <v>0.51238724619999998</v>
      </c>
      <c r="L77">
        <f t="shared" si="29"/>
        <v>0.4339175106908314</v>
      </c>
      <c r="M77">
        <v>77</v>
      </c>
      <c r="O77">
        <f t="shared" si="30"/>
        <v>0.51238724619999998</v>
      </c>
      <c r="P77">
        <f t="shared" si="31"/>
        <v>0.6218569451003203</v>
      </c>
    </row>
    <row r="78" spans="1:24" x14ac:dyDescent="0.35">
      <c r="I78">
        <v>78</v>
      </c>
      <c r="K78">
        <f t="shared" si="28"/>
        <v>0.5147026348</v>
      </c>
      <c r="L78">
        <f t="shared" si="29"/>
        <v>0.43448196542482848</v>
      </c>
      <c r="M78">
        <v>78</v>
      </c>
      <c r="O78">
        <f t="shared" si="30"/>
        <v>0.5147026348</v>
      </c>
      <c r="P78">
        <f t="shared" si="31"/>
        <v>0.62277951936611542</v>
      </c>
    </row>
    <row r="79" spans="1:24" x14ac:dyDescent="0.35">
      <c r="I79">
        <v>79</v>
      </c>
      <c r="K79">
        <f t="shared" si="28"/>
        <v>0.51701802339999992</v>
      </c>
      <c r="L79">
        <f t="shared" si="29"/>
        <v>0.4350412452593645</v>
      </c>
      <c r="M79">
        <v>79</v>
      </c>
      <c r="O79">
        <f t="shared" si="30"/>
        <v>0.51701802339999992</v>
      </c>
      <c r="P79">
        <f t="shared" si="31"/>
        <v>0.62370726853137126</v>
      </c>
    </row>
    <row r="80" spans="1:24" x14ac:dyDescent="0.35">
      <c r="I80">
        <v>80</v>
      </c>
      <c r="K80">
        <f t="shared" si="28"/>
        <v>0.51933341199999994</v>
      </c>
      <c r="L80">
        <f t="shared" si="29"/>
        <v>0.43559538045380081</v>
      </c>
      <c r="M80">
        <v>80</v>
      </c>
      <c r="O80">
        <f t="shared" si="30"/>
        <v>0.51933341199999994</v>
      </c>
      <c r="P80">
        <f t="shared" si="31"/>
        <v>0.62464016233672703</v>
      </c>
    </row>
    <row r="81" spans="9:16" x14ac:dyDescent="0.35">
      <c r="I81">
        <v>81</v>
      </c>
      <c r="K81">
        <f t="shared" si="28"/>
        <v>0.52164880059999996</v>
      </c>
      <c r="L81">
        <f t="shared" si="29"/>
        <v>0.43614440186709813</v>
      </c>
      <c r="M81">
        <v>81</v>
      </c>
      <c r="O81">
        <f t="shared" si="30"/>
        <v>0.52164880059999996</v>
      </c>
      <c r="P81">
        <f t="shared" si="31"/>
        <v>0.62557816992322168</v>
      </c>
    </row>
    <row r="82" spans="9:16" x14ac:dyDescent="0.35">
      <c r="I82">
        <v>82</v>
      </c>
      <c r="K82">
        <f t="shared" si="28"/>
        <v>0.52396418919999999</v>
      </c>
      <c r="L82">
        <f t="shared" si="29"/>
        <v>0.43668834093516107</v>
      </c>
      <c r="M82">
        <v>82</v>
      </c>
      <c r="O82">
        <f t="shared" si="30"/>
        <v>0.52396418919999999</v>
      </c>
      <c r="P82">
        <f t="shared" si="31"/>
        <v>0.62652125985495088</v>
      </c>
    </row>
    <row r="83" spans="9:16" x14ac:dyDescent="0.35">
      <c r="I83">
        <v>83</v>
      </c>
      <c r="K83">
        <f t="shared" si="28"/>
        <v>0.52627957780000001</v>
      </c>
      <c r="L83">
        <f t="shared" si="29"/>
        <v>0.43722722964809135</v>
      </c>
      <c r="M83">
        <v>83</v>
      </c>
      <c r="O83">
        <f t="shared" si="30"/>
        <v>0.52627957780000001</v>
      </c>
      <c r="P83">
        <f t="shared" si="31"/>
        <v>0.62746940014181252</v>
      </c>
    </row>
    <row r="84" spans="9:16" x14ac:dyDescent="0.35">
      <c r="I84">
        <v>84</v>
      </c>
      <c r="K84">
        <f t="shared" si="28"/>
        <v>0.52859496640000003</v>
      </c>
      <c r="L84">
        <f t="shared" si="29"/>
        <v>0.43776110052738776</v>
      </c>
      <c r="M84">
        <v>84</v>
      </c>
      <c r="O84">
        <f t="shared" si="30"/>
        <v>0.52859496640000003</v>
      </c>
      <c r="P84">
        <f t="shared" si="31"/>
        <v>0.62842255826230831</v>
      </c>
    </row>
    <row r="85" spans="9:16" x14ac:dyDescent="0.35">
      <c r="I85">
        <v>85</v>
      </c>
      <c r="K85">
        <f t="shared" si="28"/>
        <v>0.53091035499999994</v>
      </c>
      <c r="L85">
        <f t="shared" si="29"/>
        <v>0.43828998660312046</v>
      </c>
      <c r="M85">
        <v>85</v>
      </c>
      <c r="O85">
        <f t="shared" si="30"/>
        <v>0.53091035499999994</v>
      </c>
      <c r="P85">
        <f t="shared" si="31"/>
        <v>0.62938070118636746</v>
      </c>
    </row>
    <row r="86" spans="9:16" x14ac:dyDescent="0.35">
      <c r="I86">
        <v>86</v>
      </c>
      <c r="K86">
        <f t="shared" si="28"/>
        <v>0.53322574359999997</v>
      </c>
      <c r="L86">
        <f t="shared" si="29"/>
        <v>0.43881392139111652</v>
      </c>
      <c r="M86">
        <v>86</v>
      </c>
      <c r="O86">
        <f t="shared" si="30"/>
        <v>0.53322574359999997</v>
      </c>
      <c r="P86">
        <f t="shared" si="31"/>
        <v>0.63034379539816354</v>
      </c>
    </row>
    <row r="87" spans="9:16" x14ac:dyDescent="0.35">
      <c r="I87">
        <v>87</v>
      </c>
      <c r="K87">
        <f t="shared" si="28"/>
        <v>0.53554113219999999</v>
      </c>
      <c r="L87">
        <f t="shared" si="29"/>
        <v>0.43933293887018249</v>
      </c>
      <c r="M87">
        <v>87</v>
      </c>
      <c r="O87">
        <f t="shared" si="30"/>
        <v>0.53554113219999999</v>
      </c>
      <c r="P87">
        <f t="shared" si="31"/>
        <v>0.63131180691888944</v>
      </c>
    </row>
    <row r="88" spans="9:16" x14ac:dyDescent="0.35">
      <c r="I88">
        <v>88</v>
      </c>
      <c r="K88">
        <f t="shared" si="28"/>
        <v>0.53785652080000002</v>
      </c>
      <c r="L88">
        <f t="shared" si="29"/>
        <v>0.43984707345939811</v>
      </c>
      <c r="M88">
        <v>88</v>
      </c>
      <c r="O88">
        <f t="shared" si="30"/>
        <v>0.53785652080000002</v>
      </c>
      <c r="P88">
        <f t="shared" si="31"/>
        <v>0.63228470132946601</v>
      </c>
    </row>
    <row r="89" spans="9:16" x14ac:dyDescent="0.35">
      <c r="I89">
        <v>89</v>
      </c>
      <c r="K89">
        <f t="shared" si="28"/>
        <v>0.54017190939999993</v>
      </c>
      <c r="L89">
        <f t="shared" si="29"/>
        <v>0.4403563599955071</v>
      </c>
      <c r="M89">
        <v>89</v>
      </c>
      <c r="O89">
        <f t="shared" si="30"/>
        <v>0.54017190939999993</v>
      </c>
      <c r="P89">
        <f t="shared" si="31"/>
        <v>0.63326244379314889</v>
      </c>
    </row>
    <row r="90" spans="9:16" x14ac:dyDescent="0.35">
      <c r="I90">
        <v>90</v>
      </c>
      <c r="K90">
        <f t="shared" si="28"/>
        <v>0.54248729799999995</v>
      </c>
      <c r="L90">
        <f t="shared" si="29"/>
        <v>0.44086083371043455</v>
      </c>
      <c r="M90">
        <v>90</v>
      </c>
      <c r="O90">
        <f t="shared" si="30"/>
        <v>0.54248729799999995</v>
      </c>
      <c r="P90">
        <f t="shared" si="31"/>
        <v>0.63424499907801357</v>
      </c>
    </row>
    <row r="91" spans="9:16" x14ac:dyDescent="0.35">
      <c r="I91">
        <v>91</v>
      </c>
      <c r="K91">
        <f t="shared" si="28"/>
        <v>0.54480268659999997</v>
      </c>
      <c r="L91">
        <f t="shared" si="29"/>
        <v>0.44136053020895621</v>
      </c>
      <c r="M91">
        <v>91</v>
      </c>
      <c r="O91">
        <f t="shared" si="30"/>
        <v>0.54480268659999997</v>
      </c>
      <c r="P91">
        <f t="shared" si="31"/>
        <v>0.63523233157928383</v>
      </c>
    </row>
    <row r="92" spans="9:16" x14ac:dyDescent="0.35">
      <c r="I92">
        <v>92</v>
      </c>
      <c r="K92">
        <f t="shared" si="28"/>
        <v>0.5471180752</v>
      </c>
      <c r="L92">
        <f t="shared" si="29"/>
        <v>0.44185548544654735</v>
      </c>
      <c r="M92">
        <v>92</v>
      </c>
      <c r="O92">
        <f t="shared" si="30"/>
        <v>0.5471180752</v>
      </c>
      <c r="P92">
        <f t="shared" si="31"/>
        <v>0.63622440534148494</v>
      </c>
    </row>
    <row r="93" spans="9:16" x14ac:dyDescent="0.35">
      <c r="I93">
        <v>93</v>
      </c>
      <c r="K93">
        <f t="shared" si="28"/>
        <v>0.54943346380000002</v>
      </c>
      <c r="L93">
        <f t="shared" si="29"/>
        <v>0.44234573570743257</v>
      </c>
      <c r="M93">
        <v>93</v>
      </c>
      <c r="O93">
        <f t="shared" si="30"/>
        <v>0.54943346380000002</v>
      </c>
      <c r="P93">
        <f t="shared" si="31"/>
        <v>0.63722118408039152</v>
      </c>
    </row>
    <row r="94" spans="9:16" x14ac:dyDescent="0.35">
      <c r="I94">
        <v>94</v>
      </c>
      <c r="K94">
        <f t="shared" si="28"/>
        <v>0.55174885240000004</v>
      </c>
      <c r="L94">
        <f t="shared" si="29"/>
        <v>0.44283131758286387</v>
      </c>
      <c r="M94">
        <v>94</v>
      </c>
      <c r="O94">
        <f t="shared" si="30"/>
        <v>0.55174885240000004</v>
      </c>
      <c r="P94">
        <f t="shared" si="31"/>
        <v>0.63822263120475242</v>
      </c>
    </row>
    <row r="95" spans="9:16" x14ac:dyDescent="0.35">
      <c r="I95">
        <v>95</v>
      </c>
      <c r="K95">
        <f t="shared" si="28"/>
        <v>0.55406424099999996</v>
      </c>
      <c r="L95">
        <f t="shared" si="29"/>
        <v>0.44331226794964446</v>
      </c>
      <c r="M95">
        <v>95</v>
      </c>
      <c r="O95">
        <f t="shared" si="30"/>
        <v>0.55406424099999996</v>
      </c>
      <c r="P95">
        <f t="shared" si="31"/>
        <v>0.63922870983776381</v>
      </c>
    </row>
    <row r="96" spans="9:16" x14ac:dyDescent="0.35">
      <c r="I96">
        <v>96</v>
      </c>
      <c r="K96">
        <f t="shared" si="28"/>
        <v>0.55637962959999998</v>
      </c>
      <c r="L96">
        <f t="shared" si="29"/>
        <v>0.44378862394892354</v>
      </c>
      <c r="M96">
        <v>96</v>
      </c>
      <c r="O96">
        <f t="shared" si="30"/>
        <v>0.55637962959999998</v>
      </c>
      <c r="P96">
        <f t="shared" si="31"/>
        <v>0.64023938283827664</v>
      </c>
    </row>
    <row r="97" spans="9:16" x14ac:dyDescent="0.35">
      <c r="I97">
        <v>97</v>
      </c>
      <c r="K97">
        <f t="shared" si="28"/>
        <v>0.5586950182</v>
      </c>
      <c r="L97">
        <f t="shared" ref="L97:L100" si="36">0.363350118612284+0.32111866660137*K97-0.0900725597571582*(1.02325581395349+(K97-0.438582741812773)^2/0.0836087453908287)^0.5</f>
        <v>0.44426042296527896</v>
      </c>
      <c r="M97">
        <v>97</v>
      </c>
      <c r="O97">
        <f t="shared" si="30"/>
        <v>0.5586950182</v>
      </c>
      <c r="P97">
        <f t="shared" ref="P97:P100" si="37">0.363350118612284+0.32111866660137*O97+0.0900725597571582*(1.02325581395349+(O97-0.438582741812773)^2/0.0836087453908287)^0.5</f>
        <v>0.64125461282171337</v>
      </c>
    </row>
    <row r="98" spans="9:16" x14ac:dyDescent="0.35">
      <c r="I98">
        <v>98</v>
      </c>
      <c r="K98">
        <f t="shared" si="28"/>
        <v>0.56101040679999992</v>
      </c>
      <c r="L98">
        <f t="shared" si="36"/>
        <v>0.44472770260610689</v>
      </c>
      <c r="M98">
        <v>98</v>
      </c>
      <c r="O98">
        <f t="shared" si="30"/>
        <v>0.56101040679999992</v>
      </c>
      <c r="P98">
        <f t="shared" si="37"/>
        <v>0.64227436218067757</v>
      </c>
    </row>
    <row r="99" spans="9:16" x14ac:dyDescent="0.35">
      <c r="I99">
        <v>99</v>
      </c>
      <c r="K99">
        <f t="shared" si="28"/>
        <v>0.56332579539999994</v>
      </c>
      <c r="L99">
        <f t="shared" si="36"/>
        <v>0.44519050068133625</v>
      </c>
      <c r="M99">
        <v>99</v>
      </c>
      <c r="O99">
        <f t="shared" si="30"/>
        <v>0.56332579539999994</v>
      </c>
      <c r="P99">
        <f t="shared" si="37"/>
        <v>0.64329859310524007</v>
      </c>
    </row>
    <row r="100" spans="9:16" x14ac:dyDescent="0.35">
      <c r="I100">
        <v>100</v>
      </c>
      <c r="K100">
        <f t="shared" si="28"/>
        <v>0.56564118399999996</v>
      </c>
      <c r="L100">
        <f t="shared" si="36"/>
        <v>0.44564885518348446</v>
      </c>
      <c r="M100">
        <v>100</v>
      </c>
      <c r="O100">
        <f t="shared" si="30"/>
        <v>0.56564118399999996</v>
      </c>
      <c r="P100">
        <f t="shared" si="37"/>
        <v>0.64432726760288384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8713-AFDF-4EEC-91BA-1B60A74F1AFD}">
  <sheetPr codeName="XLSTAT_20220111_115245_1_HID">
    <tabColor rgb="FF007800"/>
  </sheetPr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0.4406805728+(A1-1)*0.0018840522</f>
        <v>0.4406805728</v>
      </c>
      <c r="D1">
        <f t="shared" ref="D1:D32" si="1">0+1*C1-0.121978394956038*(1.00406504065041+(C1-0.462869733342018)^2/0.0543050420444662)^0.5</f>
        <v>0.31790390536524465</v>
      </c>
      <c r="E1">
        <v>1</v>
      </c>
      <c r="G1">
        <f t="shared" ref="G1:G32" si="2">0.3536178811+(E1-1)*0.0031458304</f>
        <v>0.35361788109999998</v>
      </c>
      <c r="H1">
        <f t="shared" ref="H1:H32" si="3">0+1*G1+0.121978394956038*(1.00406504065041+(G1-0.462869733342018)^2/0.0543050420444662)^0.5</f>
        <v>0.48856038395159895</v>
      </c>
    </row>
    <row r="2" spans="1:8" x14ac:dyDescent="0.35">
      <c r="A2">
        <v>2</v>
      </c>
      <c r="C2">
        <f t="shared" si="0"/>
        <v>0.44256462499999999</v>
      </c>
      <c r="D2">
        <f t="shared" si="1"/>
        <v>0.31987732127954338</v>
      </c>
      <c r="E2">
        <v>2</v>
      </c>
      <c r="G2">
        <f t="shared" si="2"/>
        <v>0.35676371149999997</v>
      </c>
      <c r="H2">
        <f t="shared" si="3"/>
        <v>0.49101668305869212</v>
      </c>
    </row>
    <row r="3" spans="1:8" x14ac:dyDescent="0.35">
      <c r="A3">
        <v>3</v>
      </c>
      <c r="C3">
        <f t="shared" si="0"/>
        <v>0.44444867720000003</v>
      </c>
      <c r="D3">
        <f t="shared" si="1"/>
        <v>0.32184286975104393</v>
      </c>
      <c r="E3">
        <v>3</v>
      </c>
      <c r="G3">
        <f t="shared" si="2"/>
        <v>0.35990954189999996</v>
      </c>
      <c r="H3">
        <f t="shared" si="3"/>
        <v>0.49348972195096263</v>
      </c>
    </row>
    <row r="4" spans="1:8" x14ac:dyDescent="0.35">
      <c r="A4">
        <v>4</v>
      </c>
      <c r="C4">
        <f t="shared" si="0"/>
        <v>0.44633272940000002</v>
      </c>
      <c r="D4">
        <f t="shared" si="1"/>
        <v>0.3238005350818155</v>
      </c>
      <c r="E4">
        <v>4</v>
      </c>
      <c r="G4">
        <f t="shared" si="2"/>
        <v>0.36305537229999996</v>
      </c>
      <c r="H4">
        <f t="shared" si="3"/>
        <v>0.49597975481193657</v>
      </c>
    </row>
    <row r="5" spans="1:8" x14ac:dyDescent="0.35">
      <c r="A5">
        <v>5</v>
      </c>
      <c r="C5">
        <f t="shared" si="0"/>
        <v>0.4482167816</v>
      </c>
      <c r="D5">
        <f t="shared" si="1"/>
        <v>0.32575030305647357</v>
      </c>
      <c r="E5">
        <v>5</v>
      </c>
      <c r="G5">
        <f t="shared" si="2"/>
        <v>0.36620120269999995</v>
      </c>
      <c r="H5">
        <f t="shared" si="3"/>
        <v>0.49848703438100456</v>
      </c>
    </row>
    <row r="6" spans="1:8" x14ac:dyDescent="0.35">
      <c r="A6">
        <v>6</v>
      </c>
      <c r="C6">
        <f t="shared" si="0"/>
        <v>0.45010083379999999</v>
      </c>
      <c r="D6">
        <f t="shared" si="1"/>
        <v>0.32769216095579906</v>
      </c>
      <c r="E6">
        <v>6</v>
      </c>
      <c r="G6">
        <f t="shared" si="2"/>
        <v>0.3693470331</v>
      </c>
      <c r="H6">
        <f t="shared" si="3"/>
        <v>0.5010118115888349</v>
      </c>
    </row>
    <row r="7" spans="1:8" x14ac:dyDescent="0.35">
      <c r="A7">
        <v>7</v>
      </c>
      <c r="C7">
        <f t="shared" si="0"/>
        <v>0.45198488600000003</v>
      </c>
      <c r="D7">
        <f t="shared" si="1"/>
        <v>0.32962609756897199</v>
      </c>
      <c r="E7">
        <v>7</v>
      </c>
      <c r="G7">
        <f t="shared" si="2"/>
        <v>0.37249286349999999</v>
      </c>
      <c r="H7">
        <f t="shared" si="3"/>
        <v>0.50355433518072024</v>
      </c>
    </row>
    <row r="8" spans="1:8" x14ac:dyDescent="0.35">
      <c r="A8">
        <v>8</v>
      </c>
      <c r="C8">
        <f t="shared" si="0"/>
        <v>0.45386893820000002</v>
      </c>
      <c r="D8">
        <f t="shared" si="1"/>
        <v>0.33155210320438938</v>
      </c>
      <c r="E8">
        <v>8</v>
      </c>
      <c r="G8">
        <f t="shared" si="2"/>
        <v>0.37563869389999999</v>
      </c>
      <c r="H8">
        <f t="shared" si="3"/>
        <v>0.50611485132863498</v>
      </c>
    </row>
    <row r="9" spans="1:8" x14ac:dyDescent="0.35">
      <c r="A9">
        <v>9</v>
      </c>
      <c r="C9">
        <f t="shared" si="0"/>
        <v>0.4557529904</v>
      </c>
      <c r="D9">
        <f t="shared" si="1"/>
        <v>0.33347016969904592</v>
      </c>
      <c r="E9">
        <v>9</v>
      </c>
      <c r="G9">
        <f t="shared" si="2"/>
        <v>0.37878452429999998</v>
      </c>
      <c r="H9">
        <f t="shared" si="3"/>
        <v>0.50869360323288704</v>
      </c>
    </row>
    <row r="10" spans="1:8" x14ac:dyDescent="0.35">
      <c r="A10">
        <v>10</v>
      </c>
      <c r="C10">
        <f t="shared" si="0"/>
        <v>0.45763704259999999</v>
      </c>
      <c r="D10">
        <f t="shared" si="1"/>
        <v>0.33538029042645418</v>
      </c>
      <c r="E10">
        <v>10</v>
      </c>
      <c r="G10">
        <f t="shared" si="2"/>
        <v>0.38193035469999997</v>
      </c>
      <c r="H10">
        <f t="shared" si="3"/>
        <v>0.51129083071436687</v>
      </c>
    </row>
    <row r="11" spans="1:8" x14ac:dyDescent="0.35">
      <c r="A11">
        <v>11</v>
      </c>
      <c r="C11">
        <f t="shared" si="0"/>
        <v>0.45952109480000003</v>
      </c>
      <c r="D11">
        <f t="shared" si="1"/>
        <v>0.33728246030308734</v>
      </c>
      <c r="E11">
        <v>11</v>
      </c>
      <c r="G11">
        <f t="shared" si="2"/>
        <v>0.38507618509999997</v>
      </c>
      <c r="H11">
        <f t="shared" si="3"/>
        <v>0.51390676979850847</v>
      </c>
    </row>
    <row r="12" spans="1:8" x14ac:dyDescent="0.35">
      <c r="A12">
        <v>12</v>
      </c>
      <c r="C12">
        <f t="shared" si="0"/>
        <v>0.46140514700000002</v>
      </c>
      <c r="D12">
        <f t="shared" si="1"/>
        <v>0.33917667579333027</v>
      </c>
      <c r="E12">
        <v>12</v>
      </c>
      <c r="G12">
        <f t="shared" si="2"/>
        <v>0.38822201549999996</v>
      </c>
      <c r="H12">
        <f t="shared" si="3"/>
        <v>0.51654165229218751</v>
      </c>
    </row>
    <row r="13" spans="1:8" x14ac:dyDescent="0.35">
      <c r="A13">
        <v>13</v>
      </c>
      <c r="C13">
        <f t="shared" si="0"/>
        <v>0.4632891992</v>
      </c>
      <c r="D13">
        <f t="shared" si="1"/>
        <v>0.34106293491292677</v>
      </c>
      <c r="E13">
        <v>13</v>
      </c>
      <c r="G13">
        <f t="shared" si="2"/>
        <v>0.39136784589999996</v>
      </c>
      <c r="H13">
        <f t="shared" si="3"/>
        <v>0.51919570535490023</v>
      </c>
    </row>
    <row r="14" spans="1:8" x14ac:dyDescent="0.35">
      <c r="A14">
        <v>14</v>
      </c>
      <c r="C14">
        <f t="shared" si="0"/>
        <v>0.46517325139999999</v>
      </c>
      <c r="D14">
        <f t="shared" si="1"/>
        <v>0.34294123723091607</v>
      </c>
      <c r="E14">
        <v>14</v>
      </c>
      <c r="G14">
        <f t="shared" si="2"/>
        <v>0.3945136763</v>
      </c>
      <c r="H14">
        <f t="shared" si="3"/>
        <v>0.52186915106566512</v>
      </c>
    </row>
    <row r="15" spans="1:8" x14ac:dyDescent="0.35">
      <c r="A15">
        <v>15</v>
      </c>
      <c r="C15">
        <f t="shared" si="0"/>
        <v>0.46705730360000003</v>
      </c>
      <c r="D15">
        <f t="shared" si="1"/>
        <v>0.3448115838700534</v>
      </c>
      <c r="E15">
        <v>15</v>
      </c>
      <c r="G15">
        <f t="shared" si="2"/>
        <v>0.3976595067</v>
      </c>
      <c r="H15">
        <f t="shared" si="3"/>
        <v>0.52456220598720038</v>
      </c>
    </row>
    <row r="16" spans="1:8" x14ac:dyDescent="0.35">
      <c r="A16">
        <v>16</v>
      </c>
      <c r="C16">
        <f t="shared" si="0"/>
        <v>0.46894135580000001</v>
      </c>
      <c r="D16">
        <f t="shared" si="1"/>
        <v>0.34667397750571383</v>
      </c>
      <c r="E16">
        <v>16</v>
      </c>
      <c r="G16">
        <f t="shared" si="2"/>
        <v>0.40080533709999999</v>
      </c>
      <c r="H16">
        <f t="shared" si="3"/>
        <v>0.52727508072902241</v>
      </c>
    </row>
    <row r="17" spans="1:8" x14ac:dyDescent="0.35">
      <c r="A17">
        <v>17</v>
      </c>
      <c r="C17">
        <f t="shared" si="0"/>
        <v>0.470825408</v>
      </c>
      <c r="D17">
        <f t="shared" si="1"/>
        <v>0.34852842236328285</v>
      </c>
      <c r="E17">
        <v>17</v>
      </c>
      <c r="G17">
        <f t="shared" si="2"/>
        <v>0.40395116749999999</v>
      </c>
      <c r="H17">
        <f t="shared" si="3"/>
        <v>0.53000797951120049</v>
      </c>
    </row>
    <row r="18" spans="1:8" x14ac:dyDescent="0.35">
      <c r="A18">
        <v>18</v>
      </c>
      <c r="C18">
        <f t="shared" si="0"/>
        <v>0.47270946019999999</v>
      </c>
      <c r="D18">
        <f t="shared" si="1"/>
        <v>0.35037492421403815</v>
      </c>
      <c r="E18">
        <v>18</v>
      </c>
      <c r="G18">
        <f t="shared" si="2"/>
        <v>0.40709699789999998</v>
      </c>
      <c r="H18">
        <f t="shared" si="3"/>
        <v>0.53276109973058261</v>
      </c>
    </row>
    <row r="19" spans="1:8" x14ac:dyDescent="0.35">
      <c r="A19">
        <v>19</v>
      </c>
      <c r="C19">
        <f t="shared" si="0"/>
        <v>0.47459351240000003</v>
      </c>
      <c r="D19">
        <f t="shared" si="1"/>
        <v>0.3522134903695327</v>
      </c>
      <c r="E19">
        <v>19</v>
      </c>
      <c r="G19">
        <f t="shared" si="2"/>
        <v>0.41024282829999997</v>
      </c>
      <c r="H19">
        <f t="shared" si="3"/>
        <v>0.53553463153137804</v>
      </c>
    </row>
    <row r="20" spans="1:8" x14ac:dyDescent="0.35">
      <c r="A20">
        <v>20</v>
      </c>
      <c r="C20">
        <f t="shared" si="0"/>
        <v>0.47647756460000001</v>
      </c>
      <c r="D20">
        <f t="shared" si="1"/>
        <v>0.35404412967449189</v>
      </c>
      <c r="E20">
        <v>20</v>
      </c>
      <c r="G20">
        <f t="shared" si="2"/>
        <v>0.41338865869999997</v>
      </c>
      <c r="H20">
        <f t="shared" si="3"/>
        <v>0.53832875738203667</v>
      </c>
    </row>
    <row r="21" spans="1:8" x14ac:dyDescent="0.35">
      <c r="A21">
        <v>21</v>
      </c>
      <c r="C21">
        <f t="shared" si="0"/>
        <v>0.4783616168</v>
      </c>
      <c r="D21">
        <f t="shared" si="1"/>
        <v>0.35586685249824107</v>
      </c>
      <c r="E21">
        <v>21</v>
      </c>
      <c r="G21">
        <f t="shared" si="2"/>
        <v>0.41653448909999996</v>
      </c>
      <c r="H21">
        <f t="shared" si="3"/>
        <v>0.54114365166041212</v>
      </c>
    </row>
    <row r="22" spans="1:8" x14ac:dyDescent="0.35">
      <c r="A22">
        <v>22</v>
      </c>
      <c r="C22">
        <f t="shared" si="0"/>
        <v>0.48024566899999999</v>
      </c>
      <c r="D22">
        <f t="shared" si="1"/>
        <v>0.35768167072468177</v>
      </c>
      <c r="E22">
        <v>22</v>
      </c>
      <c r="G22">
        <f t="shared" si="2"/>
        <v>0.41968031949999995</v>
      </c>
      <c r="H22">
        <f t="shared" si="3"/>
        <v>0.54397948024922149</v>
      </c>
    </row>
    <row r="23" spans="1:8" x14ac:dyDescent="0.35">
      <c r="A23">
        <v>23</v>
      </c>
      <c r="C23">
        <f t="shared" si="0"/>
        <v>0.48212972120000003</v>
      </c>
      <c r="D23">
        <f t="shared" si="1"/>
        <v>0.35948859774084052</v>
      </c>
      <c r="E23">
        <v>23</v>
      </c>
      <c r="G23">
        <f t="shared" si="2"/>
        <v>0.4228261499</v>
      </c>
      <c r="H23">
        <f t="shared" si="3"/>
        <v>0.54683640014383184</v>
      </c>
    </row>
    <row r="24" spans="1:8" x14ac:dyDescent="0.35">
      <c r="A24">
        <v>24</v>
      </c>
      <c r="C24">
        <f t="shared" si="0"/>
        <v>0.48401377340000001</v>
      </c>
      <c r="D24">
        <f t="shared" si="1"/>
        <v>0.36128764842401412</v>
      </c>
      <c r="E24">
        <v>24</v>
      </c>
      <c r="G24">
        <f t="shared" si="2"/>
        <v>0.4259719803</v>
      </c>
      <c r="H24">
        <f t="shared" si="3"/>
        <v>0.54971455907439837</v>
      </c>
    </row>
    <row r="25" spans="1:8" x14ac:dyDescent="0.35">
      <c r="A25">
        <v>25</v>
      </c>
      <c r="C25">
        <f t="shared" si="0"/>
        <v>0.4858978256</v>
      </c>
      <c r="D25">
        <f t="shared" si="1"/>
        <v>0.36307883912754257</v>
      </c>
      <c r="E25">
        <v>25</v>
      </c>
      <c r="G25">
        <f t="shared" si="2"/>
        <v>0.42911781069999999</v>
      </c>
      <c r="H25">
        <f t="shared" si="3"/>
        <v>0.552614095144359</v>
      </c>
    </row>
    <row r="26" spans="1:8" x14ac:dyDescent="0.35">
      <c r="A26">
        <v>26</v>
      </c>
      <c r="C26">
        <f t="shared" si="0"/>
        <v>0.48778187779999999</v>
      </c>
      <c r="D26">
        <f t="shared" si="1"/>
        <v>0.36486218766523781</v>
      </c>
      <c r="E26">
        <v>26</v>
      </c>
      <c r="G26">
        <f t="shared" si="2"/>
        <v>0.43226364109999998</v>
      </c>
      <c r="H26">
        <f t="shared" si="3"/>
        <v>0.55553513648725183</v>
      </c>
    </row>
    <row r="27" spans="1:8" x14ac:dyDescent="0.35">
      <c r="A27">
        <v>27</v>
      </c>
      <c r="C27">
        <f t="shared" si="0"/>
        <v>0.48966593000000003</v>
      </c>
      <c r="D27">
        <f t="shared" si="1"/>
        <v>0.36663771329450562</v>
      </c>
      <c r="E27">
        <v>27</v>
      </c>
      <c r="G27">
        <f t="shared" si="2"/>
        <v>0.43540947149999998</v>
      </c>
      <c r="H27">
        <f t="shared" si="3"/>
        <v>0.55847780094376853</v>
      </c>
    </row>
    <row r="28" spans="1:8" x14ac:dyDescent="0.35">
      <c r="A28">
        <v>28</v>
      </c>
      <c r="C28">
        <f t="shared" si="0"/>
        <v>0.49154998220000001</v>
      </c>
      <c r="D28">
        <f t="shared" si="1"/>
        <v>0.36840543669819503</v>
      </c>
      <c r="E28">
        <v>28</v>
      </c>
      <c r="G28">
        <f t="shared" si="2"/>
        <v>0.43855530189999997</v>
      </c>
      <c r="H28">
        <f t="shared" si="3"/>
        <v>0.56144219576087528</v>
      </c>
    </row>
    <row r="29" spans="1:8" x14ac:dyDescent="0.35">
      <c r="A29">
        <v>29</v>
      </c>
      <c r="C29">
        <f t="shared" si="0"/>
        <v>0.4934340344</v>
      </c>
      <c r="D29">
        <f t="shared" si="1"/>
        <v>0.37016537996521665</v>
      </c>
      <c r="E29">
        <v>29</v>
      </c>
      <c r="G29">
        <f t="shared" si="2"/>
        <v>0.44170113229999997</v>
      </c>
      <c r="H29">
        <f t="shared" si="3"/>
        <v>0.56442841731474935</v>
      </c>
    </row>
    <row r="30" spans="1:8" x14ac:dyDescent="0.35">
      <c r="A30">
        <v>30</v>
      </c>
      <c r="C30">
        <f t="shared" si="0"/>
        <v>0.49531808659999998</v>
      </c>
      <c r="D30">
        <f t="shared" si="1"/>
        <v>0.37191756656996999</v>
      </c>
      <c r="E30">
        <v>30</v>
      </c>
      <c r="G30">
        <f t="shared" si="2"/>
        <v>0.44484696270000001</v>
      </c>
      <c r="H30">
        <f t="shared" si="3"/>
        <v>0.56743655085915989</v>
      </c>
    </row>
    <row r="31" spans="1:8" x14ac:dyDescent="0.35">
      <c r="A31">
        <v>31</v>
      </c>
      <c r="C31">
        <f t="shared" si="0"/>
        <v>0.49720213880000003</v>
      </c>
      <c r="D31">
        <f t="shared" si="1"/>
        <v>0.37366202135062443</v>
      </c>
      <c r="E31">
        <v>31</v>
      </c>
      <c r="G31">
        <f t="shared" si="2"/>
        <v>0.44799279309999995</v>
      </c>
      <c r="H31">
        <f t="shared" si="3"/>
        <v>0.57046667030080056</v>
      </c>
    </row>
    <row r="32" spans="1:8" x14ac:dyDescent="0.35">
      <c r="A32">
        <v>32</v>
      </c>
      <c r="C32">
        <f t="shared" si="0"/>
        <v>0.49908619100000001</v>
      </c>
      <c r="D32">
        <f t="shared" si="1"/>
        <v>0.3753987704862991</v>
      </c>
      <c r="E32">
        <v>32</v>
      </c>
      <c r="G32">
        <f t="shared" si="2"/>
        <v>0.4511386235</v>
      </c>
      <c r="H32">
        <f t="shared" si="3"/>
        <v>0.57351883800293568</v>
      </c>
    </row>
    <row r="33" spans="1:8" x14ac:dyDescent="0.35">
      <c r="A33">
        <v>33</v>
      </c>
      <c r="C33">
        <f t="shared" ref="C33:C64" si="4">0.4406805728+(A33-1)*0.0018840522</f>
        <v>0.50097024320000005</v>
      </c>
      <c r="D33">
        <f t="shared" ref="D33:D64" si="5">0+1*C33-0.121978394956038*(1.00406504065041+(C33-0.462869733342018)^2/0.0543050420444662)^0.5</f>
        <v>0.37712784147319034</v>
      </c>
      <c r="E33">
        <v>33</v>
      </c>
      <c r="G33">
        <f t="shared" ref="G33:G64" si="6">0.3536178811+(E33-1)*0.0031458304</f>
        <v>0.4542844539</v>
      </c>
      <c r="H33">
        <f t="shared" ref="H33:H64" si="7">0+1*G33+0.121978394956038*(1.00406504065041+(G33-0.462869733342018)^2/0.0543050420444662)^0.5</f>
        <v>0.57659310461856417</v>
      </c>
    </row>
    <row r="34" spans="1:8" x14ac:dyDescent="0.35">
      <c r="A34">
        <v>34</v>
      </c>
      <c r="C34">
        <f t="shared" si="4"/>
        <v>0.50285429540000004</v>
      </c>
      <c r="D34">
        <f t="shared" si="5"/>
        <v>0.37884926309969436</v>
      </c>
      <c r="E34">
        <v>34</v>
      </c>
      <c r="G34">
        <f t="shared" si="6"/>
        <v>0.45743028429999999</v>
      </c>
      <c r="H34">
        <f t="shared" si="7"/>
        <v>0.57968950895413529</v>
      </c>
    </row>
    <row r="35" spans="1:8" x14ac:dyDescent="0.35">
      <c r="A35">
        <v>35</v>
      </c>
      <c r="C35">
        <f t="shared" si="4"/>
        <v>0.50473834760000003</v>
      </c>
      <c r="D35">
        <f t="shared" si="5"/>
        <v>0.38056306542057805</v>
      </c>
      <c r="E35">
        <v>35</v>
      </c>
      <c r="G35">
        <f t="shared" si="6"/>
        <v>0.46057611469999998</v>
      </c>
      <c r="H35">
        <f t="shared" si="7"/>
        <v>0.58280807786466626</v>
      </c>
    </row>
    <row r="36" spans="1:8" x14ac:dyDescent="0.35">
      <c r="A36">
        <v>36</v>
      </c>
      <c r="C36">
        <f t="shared" si="4"/>
        <v>0.50662239980000001</v>
      </c>
      <c r="D36">
        <f t="shared" si="5"/>
        <v>0.38226927973024794</v>
      </c>
      <c r="E36">
        <v>36</v>
      </c>
      <c r="G36">
        <f t="shared" si="6"/>
        <v>0.46372194509999998</v>
      </c>
      <c r="H36">
        <f t="shared" si="7"/>
        <v>0.5859488261809217</v>
      </c>
    </row>
    <row r="37" spans="1:8" x14ac:dyDescent="0.35">
      <c r="A37">
        <v>37</v>
      </c>
      <c r="C37">
        <f t="shared" si="4"/>
        <v>0.508506452</v>
      </c>
      <c r="D37">
        <f t="shared" si="5"/>
        <v>0.38396793853517197</v>
      </c>
      <c r="E37">
        <v>37</v>
      </c>
      <c r="G37">
        <f t="shared" si="6"/>
        <v>0.46686777549999997</v>
      </c>
      <c r="H37">
        <f t="shared" si="7"/>
        <v>0.58911175666911375</v>
      </c>
    </row>
    <row r="38" spans="1:8" x14ac:dyDescent="0.35">
      <c r="A38">
        <v>38</v>
      </c>
      <c r="C38">
        <f t="shared" si="4"/>
        <v>0.51039050419999998</v>
      </c>
      <c r="D38">
        <f t="shared" si="5"/>
        <v>0.38565907552550749</v>
      </c>
      <c r="E38">
        <v>38</v>
      </c>
      <c r="G38">
        <f t="shared" si="6"/>
        <v>0.47001360589999996</v>
      </c>
      <c r="H38">
        <f t="shared" si="7"/>
        <v>0.59229686002337911</v>
      </c>
    </row>
    <row r="39" spans="1:8" x14ac:dyDescent="0.35">
      <c r="A39">
        <v>39</v>
      </c>
      <c r="C39">
        <f t="shared" si="4"/>
        <v>0.51227455639999997</v>
      </c>
      <c r="D39">
        <f t="shared" si="5"/>
        <v>0.38734272554599075</v>
      </c>
      <c r="E39">
        <v>39</v>
      </c>
      <c r="G39">
        <f t="shared" si="6"/>
        <v>0.47315943630000001</v>
      </c>
      <c r="H39">
        <f t="shared" si="7"/>
        <v>0.59550411489107979</v>
      </c>
    </row>
    <row r="40" spans="1:8" x14ac:dyDescent="0.35">
      <c r="A40">
        <v>40</v>
      </c>
      <c r="C40">
        <f t="shared" si="4"/>
        <v>0.51415860860000007</v>
      </c>
      <c r="D40">
        <f t="shared" si="5"/>
        <v>0.38901892456614373</v>
      </c>
      <c r="E40">
        <v>40</v>
      </c>
      <c r="G40">
        <f t="shared" si="6"/>
        <v>0.47630526669999995</v>
      </c>
      <c r="H40">
        <f t="shared" si="7"/>
        <v>0.59873348793076731</v>
      </c>
    </row>
    <row r="41" spans="1:8" x14ac:dyDescent="0.35">
      <c r="A41">
        <v>41</v>
      </c>
      <c r="C41">
        <f t="shared" si="4"/>
        <v>0.51604266080000005</v>
      </c>
      <c r="D41">
        <f t="shared" si="5"/>
        <v>0.39068770964985233</v>
      </c>
      <c r="E41">
        <v>41</v>
      </c>
      <c r="G41">
        <f t="shared" si="6"/>
        <v>0.4794510971</v>
      </c>
      <c r="H41">
        <f t="shared" si="7"/>
        <v>0.60198493390244512</v>
      </c>
    </row>
    <row r="42" spans="1:8" x14ac:dyDescent="0.35">
      <c r="A42">
        <v>42</v>
      </c>
      <c r="C42">
        <f t="shared" si="4"/>
        <v>0.51792671300000004</v>
      </c>
      <c r="D42">
        <f t="shared" si="5"/>
        <v>0.39234911892437552</v>
      </c>
      <c r="E42">
        <v>42</v>
      </c>
      <c r="G42">
        <f t="shared" si="6"/>
        <v>0.48259692749999999</v>
      </c>
      <c r="H42">
        <f t="shared" si="7"/>
        <v>0.60525839578955787</v>
      </c>
    </row>
    <row r="43" spans="1:8" x14ac:dyDescent="0.35">
      <c r="A43">
        <v>43</v>
      </c>
      <c r="C43">
        <f t="shared" si="4"/>
        <v>0.51981076520000002</v>
      </c>
      <c r="D43">
        <f t="shared" si="5"/>
        <v>0.39400319154883778</v>
      </c>
      <c r="E43">
        <v>43</v>
      </c>
      <c r="G43">
        <f t="shared" si="6"/>
        <v>0.48574275789999999</v>
      </c>
      <c r="H43">
        <f t="shared" si="7"/>
        <v>0.60855380495194711</v>
      </c>
    </row>
    <row r="44" spans="1:8" x14ac:dyDescent="0.35">
      <c r="A44">
        <v>44</v>
      </c>
      <c r="C44">
        <f t="shared" si="4"/>
        <v>0.52169481740000001</v>
      </c>
      <c r="D44">
        <f t="shared" si="5"/>
        <v>0.39564996768226357</v>
      </c>
      <c r="E44">
        <v>44</v>
      </c>
      <c r="G44">
        <f t="shared" si="6"/>
        <v>0.48888858829999998</v>
      </c>
      <c r="H44">
        <f t="shared" si="7"/>
        <v>0.61187108130881962</v>
      </c>
    </row>
    <row r="45" spans="1:8" x14ac:dyDescent="0.35">
      <c r="A45">
        <v>45</v>
      </c>
      <c r="C45">
        <f t="shared" si="4"/>
        <v>0.5235788696</v>
      </c>
      <c r="D45">
        <f t="shared" si="5"/>
        <v>0.39728948845120815</v>
      </c>
      <c r="E45">
        <v>45</v>
      </c>
      <c r="G45">
        <f t="shared" si="6"/>
        <v>0.49203441869999998</v>
      </c>
      <c r="H45">
        <f t="shared" si="7"/>
        <v>0.61521013355060106</v>
      </c>
    </row>
    <row r="46" spans="1:8" x14ac:dyDescent="0.35">
      <c r="A46">
        <v>46</v>
      </c>
      <c r="C46">
        <f t="shared" si="4"/>
        <v>0.52546292179999998</v>
      </c>
      <c r="D46">
        <f t="shared" si="5"/>
        <v>0.39892179591704147</v>
      </c>
      <c r="E46">
        <v>46</v>
      </c>
      <c r="G46">
        <f t="shared" si="6"/>
        <v>0.49518024910000003</v>
      </c>
      <c r="H46">
        <f t="shared" si="7"/>
        <v>0.61857085937838463</v>
      </c>
    </row>
    <row r="47" spans="1:8" x14ac:dyDescent="0.35">
      <c r="A47">
        <v>47</v>
      </c>
      <c r="C47">
        <f t="shared" si="4"/>
        <v>0.52734697399999997</v>
      </c>
      <c r="D47">
        <f t="shared" si="5"/>
        <v>0.40054693304293809</v>
      </c>
      <c r="E47">
        <v>47</v>
      </c>
      <c r="G47">
        <f t="shared" si="6"/>
        <v>0.49832607949999996</v>
      </c>
      <c r="H47">
        <f t="shared" si="7"/>
        <v>0.62195314576953198</v>
      </c>
    </row>
    <row r="48" spans="1:8" x14ac:dyDescent="0.35">
      <c r="A48">
        <v>48</v>
      </c>
      <c r="C48">
        <f t="shared" si="4"/>
        <v>0.52923102619999995</v>
      </c>
      <c r="D48">
        <f t="shared" si="5"/>
        <v>0.40216494366062883</v>
      </c>
      <c r="E48">
        <v>48</v>
      </c>
      <c r="G48">
        <f t="shared" si="6"/>
        <v>0.50147190990000001</v>
      </c>
      <c r="H48">
        <f t="shared" si="7"/>
        <v>0.6253568692678495</v>
      </c>
    </row>
    <row r="49" spans="1:8" x14ac:dyDescent="0.35">
      <c r="A49">
        <v>49</v>
      </c>
      <c r="C49">
        <f t="shared" si="4"/>
        <v>0.53111507840000005</v>
      </c>
      <c r="D49">
        <f t="shared" si="5"/>
        <v>0.40377587243696655</v>
      </c>
      <c r="E49">
        <v>49</v>
      </c>
      <c r="G49">
        <f t="shared" si="6"/>
        <v>0.50461774029999995</v>
      </c>
      <c r="H49">
        <f t="shared" si="7"/>
        <v>0.6287818962966466</v>
      </c>
    </row>
    <row r="50" spans="1:8" x14ac:dyDescent="0.35">
      <c r="A50">
        <v>50</v>
      </c>
      <c r="C50">
        <f t="shared" si="4"/>
        <v>0.53299913060000004</v>
      </c>
      <c r="D50">
        <f t="shared" si="5"/>
        <v>0.40537976484035776</v>
      </c>
      <c r="E50">
        <v>50</v>
      </c>
      <c r="G50">
        <f t="shared" si="6"/>
        <v>0.5077635707</v>
      </c>
      <c r="H50">
        <f t="shared" si="7"/>
        <v>0.63222808349287962</v>
      </c>
    </row>
    <row r="51" spans="1:8" x14ac:dyDescent="0.35">
      <c r="A51">
        <v>51</v>
      </c>
      <c r="C51">
        <f t="shared" si="4"/>
        <v>0.53488318280000002</v>
      </c>
      <c r="D51">
        <f t="shared" si="5"/>
        <v>0.40697666710711322</v>
      </c>
      <c r="E51">
        <v>51</v>
      </c>
      <c r="G51">
        <f t="shared" si="6"/>
        <v>0.51090940109999994</v>
      </c>
      <c r="H51">
        <f t="shared" si="7"/>
        <v>0.6356952780605023</v>
      </c>
    </row>
    <row r="52" spans="1:8" x14ac:dyDescent="0.35">
      <c r="A52">
        <v>52</v>
      </c>
      <c r="C52">
        <f t="shared" si="4"/>
        <v>0.53676723500000001</v>
      </c>
      <c r="D52">
        <f t="shared" si="5"/>
        <v>0.40856662620776402</v>
      </c>
      <c r="E52">
        <v>52</v>
      </c>
      <c r="G52">
        <f t="shared" si="6"/>
        <v>0.51405523149999999</v>
      </c>
      <c r="H52">
        <f t="shared" si="7"/>
        <v>0.63918331814108054</v>
      </c>
    </row>
    <row r="53" spans="1:8" x14ac:dyDescent="0.35">
      <c r="A53">
        <v>53</v>
      </c>
      <c r="C53">
        <f t="shared" si="4"/>
        <v>0.5386512872</v>
      </c>
      <c r="D53">
        <f t="shared" si="5"/>
        <v>0.41014968981339528</v>
      </c>
      <c r="E53">
        <v>53</v>
      </c>
      <c r="G53">
        <f t="shared" si="6"/>
        <v>0.51720106190000004</v>
      </c>
      <c r="H53">
        <f t="shared" si="7"/>
        <v>0.64269203319968093</v>
      </c>
    </row>
    <row r="54" spans="1:8" x14ac:dyDescent="0.35">
      <c r="A54">
        <v>54</v>
      </c>
      <c r="C54">
        <f t="shared" si="4"/>
        <v>0.54053533939999998</v>
      </c>
      <c r="D54">
        <f t="shared" si="5"/>
        <v>0.41172590626204197</v>
      </c>
      <c r="E54">
        <v>54</v>
      </c>
      <c r="G54">
        <f t="shared" si="6"/>
        <v>0.52034689229999997</v>
      </c>
      <c r="H54">
        <f t="shared" si="7"/>
        <v>0.64622124442401407</v>
      </c>
    </row>
    <row r="55" spans="1:8" x14ac:dyDescent="0.35">
      <c r="A55">
        <v>55</v>
      </c>
      <c r="C55">
        <f t="shared" si="4"/>
        <v>0.54241939159999997</v>
      </c>
      <c r="D55">
        <f t="shared" si="5"/>
        <v>0.41329532452519413</v>
      </c>
      <c r="E55">
        <v>55</v>
      </c>
      <c r="G55">
        <f t="shared" si="6"/>
        <v>0.52349272270000002</v>
      </c>
      <c r="H55">
        <f t="shared" si="7"/>
        <v>0.64977076513480614</v>
      </c>
    </row>
    <row r="56" spans="1:8" x14ac:dyDescent="0.35">
      <c r="A56">
        <v>56</v>
      </c>
      <c r="C56">
        <f t="shared" si="4"/>
        <v>0.54430344380000006</v>
      </c>
      <c r="D56">
        <f t="shared" si="5"/>
        <v>0.41485799417445424</v>
      </c>
      <c r="E56">
        <v>56</v>
      </c>
      <c r="G56">
        <f t="shared" si="6"/>
        <v>0.52663855309999996</v>
      </c>
      <c r="H56">
        <f t="shared" si="7"/>
        <v>0.65334040120537096</v>
      </c>
    </row>
    <row r="57" spans="1:8" x14ac:dyDescent="0.35">
      <c r="A57">
        <v>57</v>
      </c>
      <c r="C57">
        <f t="shared" si="4"/>
        <v>0.54618749600000005</v>
      </c>
      <c r="D57">
        <f t="shared" si="5"/>
        <v>0.41641396534838993</v>
      </c>
      <c r="E57">
        <v>57</v>
      </c>
      <c r="G57">
        <f t="shared" si="6"/>
        <v>0.52978438350000001</v>
      </c>
      <c r="H57">
        <f t="shared" si="7"/>
        <v>0.65692995148838784</v>
      </c>
    </row>
    <row r="58" spans="1:8" x14ac:dyDescent="0.35">
      <c r="A58">
        <v>58</v>
      </c>
      <c r="C58">
        <f t="shared" si="4"/>
        <v>0.54807154820000004</v>
      </c>
      <c r="D58">
        <f t="shared" si="5"/>
        <v>0.41796328871962374</v>
      </c>
      <c r="E58">
        <v>58</v>
      </c>
      <c r="G58">
        <f t="shared" si="6"/>
        <v>0.53293021389999995</v>
      </c>
      <c r="H58">
        <f t="shared" si="7"/>
        <v>0.66053920824791579</v>
      </c>
    </row>
    <row r="59" spans="1:8" x14ac:dyDescent="0.35">
      <c r="A59">
        <v>59</v>
      </c>
      <c r="C59">
        <f t="shared" si="4"/>
        <v>0.54995560040000002</v>
      </c>
      <c r="D59">
        <f t="shared" si="5"/>
        <v>0.41950601546219601</v>
      </c>
      <c r="E59">
        <v>59</v>
      </c>
      <c r="G59">
        <f t="shared" si="6"/>
        <v>0.5360760443</v>
      </c>
      <c r="H59">
        <f t="shared" si="7"/>
        <v>0.66416795759473723</v>
      </c>
    </row>
    <row r="60" spans="1:8" x14ac:dyDescent="0.35">
      <c r="A60">
        <v>60</v>
      </c>
      <c r="C60">
        <f t="shared" si="4"/>
        <v>0.55183965260000001</v>
      </c>
      <c r="D60">
        <f t="shared" si="5"/>
        <v>0.42104219721924097</v>
      </c>
      <c r="E60">
        <v>60</v>
      </c>
      <c r="G60">
        <f t="shared" si="6"/>
        <v>0.53922187469999994</v>
      </c>
      <c r="H60">
        <f t="shared" si="7"/>
        <v>0.66781597992317876</v>
      </c>
    </row>
    <row r="61" spans="1:8" x14ac:dyDescent="0.35">
      <c r="A61">
        <v>61</v>
      </c>
      <c r="C61">
        <f t="shared" si="4"/>
        <v>0.55372370479999999</v>
      </c>
      <c r="D61">
        <f t="shared" si="5"/>
        <v>0.42257188607101004</v>
      </c>
      <c r="E61">
        <v>61</v>
      </c>
      <c r="G61">
        <f t="shared" si="6"/>
        <v>0.54236770509999999</v>
      </c>
      <c r="H61">
        <f t="shared" si="7"/>
        <v>0.67148305034763855</v>
      </c>
    </row>
    <row r="62" spans="1:8" x14ac:dyDescent="0.35">
      <c r="A62">
        <v>62</v>
      </c>
      <c r="C62">
        <f t="shared" si="4"/>
        <v>0.55560775699999998</v>
      </c>
      <c r="D62">
        <f t="shared" si="5"/>
        <v>0.42409513450327563</v>
      </c>
      <c r="E62">
        <v>62</v>
      </c>
      <c r="G62">
        <f t="shared" si="6"/>
        <v>0.54551353550000004</v>
      </c>
      <c r="H62">
        <f t="shared" si="7"/>
        <v>0.6751689391371305</v>
      </c>
    </row>
    <row r="63" spans="1:8" x14ac:dyDescent="0.35">
      <c r="A63">
        <v>63</v>
      </c>
      <c r="C63">
        <f t="shared" si="4"/>
        <v>0.55749180919999997</v>
      </c>
      <c r="D63">
        <f t="shared" si="5"/>
        <v>0.42561199537614791</v>
      </c>
      <c r="E63">
        <v>63</v>
      </c>
      <c r="G63">
        <f t="shared" si="6"/>
        <v>0.54865936589999997</v>
      </c>
      <c r="H63">
        <f t="shared" si="7"/>
        <v>0.67887341214625163</v>
      </c>
    </row>
    <row r="64" spans="1:8" x14ac:dyDescent="0.35">
      <c r="A64">
        <v>64</v>
      </c>
      <c r="C64">
        <f t="shared" si="4"/>
        <v>0.55937586139999995</v>
      </c>
      <c r="D64">
        <f t="shared" si="5"/>
        <v>0.427122521893333</v>
      </c>
      <c r="E64">
        <v>64</v>
      </c>
      <c r="G64">
        <f t="shared" si="6"/>
        <v>0.55180519630000002</v>
      </c>
      <c r="H64">
        <f t="shared" si="7"/>
        <v>0.68259623124107749</v>
      </c>
    </row>
    <row r="65" spans="1:8" x14ac:dyDescent="0.35">
      <c r="A65">
        <v>65</v>
      </c>
      <c r="C65">
        <f t="shared" ref="C65:C70" si="8">0.4406805728+(A65-1)*0.0018840522</f>
        <v>0.56125991360000005</v>
      </c>
      <c r="D65">
        <f t="shared" ref="D65:D70" si="9">0+1*C65-0.121978394956038*(1.00406504065041+(C65-0.462869733342018)^2/0.0543050420444662)^0.5</f>
        <v>0.42862676757186174</v>
      </c>
      <c r="E65">
        <v>65</v>
      </c>
      <c r="G65">
        <f t="shared" ref="G65:G70" si="10">0.3536178811+(E65-1)*0.0031458304</f>
        <v>0.55495102669999996</v>
      </c>
      <c r="H65">
        <f t="shared" ref="H65:H70" si="11">0+1*G65+0.121978394956038*(1.00406504065041+(G65-0.462869733342018)^2/0.0543050420444662)^0.5</f>
        <v>0.68633715471859535</v>
      </c>
    </row>
    <row r="66" spans="1:8" x14ac:dyDescent="0.35">
      <c r="A66">
        <v>66</v>
      </c>
      <c r="C66">
        <f t="shared" si="8"/>
        <v>0.56314396580000003</v>
      </c>
      <c r="D66">
        <f t="shared" si="9"/>
        <v>0.43012478621231398</v>
      </c>
      <c r="E66">
        <v>66</v>
      </c>
      <c r="G66">
        <f t="shared" si="10"/>
        <v>0.55809685710000001</v>
      </c>
      <c r="H66">
        <f t="shared" si="11"/>
        <v>0.69009593771839961</v>
      </c>
    </row>
    <row r="67" spans="1:8" x14ac:dyDescent="0.35">
      <c r="A67">
        <v>67</v>
      </c>
      <c r="C67">
        <f t="shared" si="8"/>
        <v>0.56502801800000002</v>
      </c>
      <c r="D67">
        <f t="shared" si="9"/>
        <v>0.43161663186956301</v>
      </c>
      <c r="E67">
        <v>67</v>
      </c>
      <c r="G67">
        <f t="shared" si="10"/>
        <v>0.56124268749999995</v>
      </c>
      <c r="H67">
        <f t="shared" si="11"/>
        <v>0.69387233262547765</v>
      </c>
    </row>
    <row r="68" spans="1:8" x14ac:dyDescent="0.35">
      <c r="A68">
        <v>68</v>
      </c>
      <c r="C68">
        <f t="shared" si="8"/>
        <v>0.56691207020000001</v>
      </c>
      <c r="D68">
        <f t="shared" si="9"/>
        <v>0.43310235882406162</v>
      </c>
      <c r="E68">
        <v>68</v>
      </c>
      <c r="G68">
        <f t="shared" si="10"/>
        <v>0.5643885179</v>
      </c>
      <c r="H68">
        <f t="shared" si="11"/>
        <v>0.6976660894630391</v>
      </c>
    </row>
    <row r="69" spans="1:8" x14ac:dyDescent="0.35">
      <c r="A69">
        <v>69</v>
      </c>
      <c r="C69">
        <f t="shared" si="8"/>
        <v>0.56879612239999999</v>
      </c>
      <c r="D69">
        <f t="shared" si="9"/>
        <v>0.43458202155369097</v>
      </c>
      <c r="E69">
        <v>69</v>
      </c>
      <c r="G69">
        <f t="shared" si="10"/>
        <v>0.56753434829999994</v>
      </c>
      <c r="H69">
        <f t="shared" si="11"/>
        <v>0.70147695627444273</v>
      </c>
    </row>
    <row r="70" spans="1:8" x14ac:dyDescent="0.35">
      <c r="A70">
        <v>70</v>
      </c>
      <c r="C70">
        <f t="shared" si="8"/>
        <v>0.57068017459999998</v>
      </c>
      <c r="D70">
        <f t="shared" si="9"/>
        <v>0.43605567470619039</v>
      </c>
      <c r="E70">
        <v>70</v>
      </c>
      <c r="G70">
        <f t="shared" si="10"/>
        <v>0.57068017869999998</v>
      </c>
      <c r="H70">
        <f t="shared" si="11"/>
        <v>0.70530467949340303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8CA0-7EF9-471C-852B-377216241130}">
  <sheetPr codeName="XLSTAT_20220111_114934_1_HID"/>
  <dimension ref="A1:H70"/>
  <sheetViews>
    <sheetView workbookViewId="0">
      <selection activeCell="E1" sqref="E1"/>
    </sheetView>
  </sheetViews>
  <sheetFormatPr baseColWidth="10" defaultRowHeight="14.5" x14ac:dyDescent="0.35"/>
  <sheetData>
    <row r="1" spans="1:8" x14ac:dyDescent="0.35">
      <c r="A1">
        <v>1</v>
      </c>
      <c r="C1">
        <f t="shared" ref="C1:C32" si="0">0.4304439887+(A1-1)*0.0023337434</f>
        <v>0.4304439887</v>
      </c>
      <c r="D1">
        <f t="shared" ref="D1:D32" si="1">0+1*C1-0.110247735874818*(1.00406504065041+(C1-0.462869733342018)^2/0.221751983691479)^0.5</f>
        <v>0.31971186835450416</v>
      </c>
      <c r="E1">
        <v>1</v>
      </c>
      <c r="G1">
        <f t="shared" ref="G1:G32" si="2">0.3462767165+(E1-1)*0.003553559</f>
        <v>0.34627671650000003</v>
      </c>
      <c r="H1">
        <f t="shared" ref="H1:H32" si="3">0+1*G1+0.110247735874818*(1.00406504065041+(G1-0.462869733342018)^2/0.221751983691479)^0.5</f>
        <v>0.460070723856768</v>
      </c>
    </row>
    <row r="2" spans="1:8" x14ac:dyDescent="0.35">
      <c r="A2">
        <v>2</v>
      </c>
      <c r="C2">
        <f t="shared" si="0"/>
        <v>0.43277773209999998</v>
      </c>
      <c r="D2">
        <f t="shared" si="1"/>
        <v>0.32208172740786239</v>
      </c>
      <c r="E2">
        <v>2</v>
      </c>
      <c r="G2">
        <f t="shared" si="2"/>
        <v>0.34983027550000001</v>
      </c>
      <c r="H2">
        <f t="shared" si="3"/>
        <v>0.46342758718629457</v>
      </c>
    </row>
    <row r="3" spans="1:8" x14ac:dyDescent="0.35">
      <c r="A3">
        <v>3</v>
      </c>
      <c r="C3">
        <f t="shared" si="0"/>
        <v>0.43511147550000001</v>
      </c>
      <c r="D3">
        <f t="shared" si="1"/>
        <v>0.32444890061697085</v>
      </c>
      <c r="E3">
        <v>3</v>
      </c>
      <c r="G3">
        <f t="shared" si="2"/>
        <v>0.35338383450000005</v>
      </c>
      <c r="H3">
        <f t="shared" si="3"/>
        <v>0.46679021276063948</v>
      </c>
    </row>
    <row r="4" spans="1:8" x14ac:dyDescent="0.35">
      <c r="A4">
        <v>4</v>
      </c>
      <c r="C4">
        <f t="shared" si="0"/>
        <v>0.43744521889999999</v>
      </c>
      <c r="D4">
        <f t="shared" si="1"/>
        <v>0.32681338554707107</v>
      </c>
      <c r="E4">
        <v>4</v>
      </c>
      <c r="G4">
        <f t="shared" si="2"/>
        <v>0.35693739350000003</v>
      </c>
      <c r="H4">
        <f t="shared" si="3"/>
        <v>0.47015862973171751</v>
      </c>
    </row>
    <row r="5" spans="1:8" x14ac:dyDescent="0.35">
      <c r="A5">
        <v>5</v>
      </c>
      <c r="C5">
        <f t="shared" si="0"/>
        <v>0.43977896230000002</v>
      </c>
      <c r="D5">
        <f t="shared" si="1"/>
        <v>0.3291751799565994</v>
      </c>
      <c r="E5">
        <v>5</v>
      </c>
      <c r="G5">
        <f t="shared" si="2"/>
        <v>0.36049095250000002</v>
      </c>
      <c r="H5">
        <f t="shared" si="3"/>
        <v>0.47353286655528581</v>
      </c>
    </row>
    <row r="6" spans="1:8" x14ac:dyDescent="0.35">
      <c r="A6">
        <v>6</v>
      </c>
      <c r="C6">
        <f t="shared" si="0"/>
        <v>0.4421127057</v>
      </c>
      <c r="D6">
        <f t="shared" si="1"/>
        <v>0.33153428179800032</v>
      </c>
      <c r="E6">
        <v>6</v>
      </c>
      <c r="G6">
        <f t="shared" si="2"/>
        <v>0.3640445115</v>
      </c>
      <c r="H6">
        <f t="shared" si="3"/>
        <v>0.47691295097059749</v>
      </c>
    </row>
    <row r="7" spans="1:8" x14ac:dyDescent="0.35">
      <c r="A7">
        <v>7</v>
      </c>
      <c r="C7">
        <f t="shared" si="0"/>
        <v>0.44444644909999997</v>
      </c>
      <c r="D7">
        <f t="shared" si="1"/>
        <v>0.3338906892184712</v>
      </c>
      <c r="E7">
        <v>7</v>
      </c>
      <c r="G7">
        <f t="shared" si="2"/>
        <v>0.36759807050000004</v>
      </c>
      <c r="H7">
        <f t="shared" si="3"/>
        <v>0.48029890998034441</v>
      </c>
    </row>
    <row r="8" spans="1:8" x14ac:dyDescent="0.35">
      <c r="A8">
        <v>8</v>
      </c>
      <c r="C8">
        <f t="shared" si="0"/>
        <v>0.44678019250000001</v>
      </c>
      <c r="D8">
        <f t="shared" si="1"/>
        <v>0.33624440056063737</v>
      </c>
      <c r="E8">
        <v>8</v>
      </c>
      <c r="G8">
        <f t="shared" si="2"/>
        <v>0.37115162950000002</v>
      </c>
      <c r="H8">
        <f t="shared" si="3"/>
        <v>0.48369076983091702</v>
      </c>
    </row>
    <row r="9" spans="1:8" x14ac:dyDescent="0.35">
      <c r="A9">
        <v>9</v>
      </c>
      <c r="C9">
        <f t="shared" si="0"/>
        <v>0.44911393589999998</v>
      </c>
      <c r="D9">
        <f t="shared" si="1"/>
        <v>0.33859541436315621</v>
      </c>
      <c r="E9">
        <v>9</v>
      </c>
      <c r="G9">
        <f t="shared" si="2"/>
        <v>0.37470518850000001</v>
      </c>
      <c r="H9">
        <f t="shared" si="3"/>
        <v>0.48708855599301654</v>
      </c>
    </row>
    <row r="10" spans="1:8" x14ac:dyDescent="0.35">
      <c r="A10">
        <v>10</v>
      </c>
      <c r="C10">
        <f t="shared" si="0"/>
        <v>0.45144767930000002</v>
      </c>
      <c r="D10">
        <f t="shared" si="1"/>
        <v>0.34094372936125156</v>
      </c>
      <c r="E10">
        <v>10</v>
      </c>
      <c r="G10">
        <f t="shared" si="2"/>
        <v>0.37825874750000005</v>
      </c>
      <c r="H10">
        <f t="shared" si="3"/>
        <v>0.49049229314264675</v>
      </c>
    </row>
    <row r="11" spans="1:8" x14ac:dyDescent="0.35">
      <c r="A11">
        <v>11</v>
      </c>
      <c r="C11">
        <f t="shared" si="0"/>
        <v>0.45378142269999999</v>
      </c>
      <c r="D11">
        <f t="shared" si="1"/>
        <v>0.34328934448717535</v>
      </c>
      <c r="E11">
        <v>11</v>
      </c>
      <c r="G11">
        <f t="shared" si="2"/>
        <v>0.38181230650000003</v>
      </c>
      <c r="H11">
        <f t="shared" si="3"/>
        <v>0.49390200514251931</v>
      </c>
    </row>
    <row r="12" spans="1:8" x14ac:dyDescent="0.35">
      <c r="A12">
        <v>12</v>
      </c>
      <c r="C12">
        <f t="shared" si="0"/>
        <v>0.45611516610000002</v>
      </c>
      <c r="D12">
        <f t="shared" si="1"/>
        <v>0.34563225887059917</v>
      </c>
      <c r="E12">
        <v>12</v>
      </c>
      <c r="G12">
        <f t="shared" si="2"/>
        <v>0.38536586550000002</v>
      </c>
      <c r="H12">
        <f t="shared" si="3"/>
        <v>0.49731771502390298</v>
      </c>
    </row>
    <row r="13" spans="1:8" x14ac:dyDescent="0.35">
      <c r="A13">
        <v>13</v>
      </c>
      <c r="C13">
        <f t="shared" si="0"/>
        <v>0.4584489095</v>
      </c>
      <c r="D13">
        <f t="shared" si="1"/>
        <v>0.34797247183893243</v>
      </c>
      <c r="E13">
        <v>13</v>
      </c>
      <c r="G13">
        <f t="shared" si="2"/>
        <v>0.38891942450000005</v>
      </c>
      <c r="H13">
        <f t="shared" si="3"/>
        <v>0.50073944496894607</v>
      </c>
    </row>
    <row r="14" spans="1:8" x14ac:dyDescent="0.35">
      <c r="A14">
        <v>14</v>
      </c>
      <c r="C14">
        <f t="shared" si="0"/>
        <v>0.46078265289999998</v>
      </c>
      <c r="D14">
        <f t="shared" si="1"/>
        <v>0.35030998291756948</v>
      </c>
      <c r="E14">
        <v>14</v>
      </c>
      <c r="G14">
        <f t="shared" si="2"/>
        <v>0.39247298350000004</v>
      </c>
      <c r="H14">
        <f t="shared" si="3"/>
        <v>0.50416721629350425</v>
      </c>
    </row>
    <row r="15" spans="1:8" x14ac:dyDescent="0.35">
      <c r="A15">
        <v>15</v>
      </c>
      <c r="C15">
        <f t="shared" si="0"/>
        <v>0.46311639630000001</v>
      </c>
      <c r="D15">
        <f t="shared" si="1"/>
        <v>0.35264479183006325</v>
      </c>
      <c r="E15">
        <v>15</v>
      </c>
      <c r="G15">
        <f t="shared" si="2"/>
        <v>0.39602654250000002</v>
      </c>
      <c r="H15">
        <f t="shared" si="3"/>
        <v>0.50760104943050177</v>
      </c>
    </row>
    <row r="16" spans="1:8" x14ac:dyDescent="0.35">
      <c r="A16">
        <v>16</v>
      </c>
      <c r="C16">
        <f t="shared" si="0"/>
        <v>0.46545013969999999</v>
      </c>
      <c r="D16">
        <f t="shared" si="1"/>
        <v>0.3549768984982265</v>
      </c>
      <c r="E16">
        <v>16</v>
      </c>
      <c r="G16">
        <f t="shared" si="2"/>
        <v>0.39958010150000001</v>
      </c>
      <c r="H16">
        <f t="shared" si="3"/>
        <v>0.51104096391385689</v>
      </c>
    </row>
    <row r="17" spans="1:8" x14ac:dyDescent="0.35">
      <c r="A17">
        <v>17</v>
      </c>
      <c r="C17">
        <f t="shared" si="0"/>
        <v>0.46778388310000002</v>
      </c>
      <c r="D17">
        <f t="shared" si="1"/>
        <v>0.35730630304216116</v>
      </c>
      <c r="E17">
        <v>17</v>
      </c>
      <c r="G17">
        <f t="shared" si="2"/>
        <v>0.40313366050000005</v>
      </c>
      <c r="H17">
        <f t="shared" si="3"/>
        <v>0.51448697836299839</v>
      </c>
    </row>
    <row r="18" spans="1:8" x14ac:dyDescent="0.35">
      <c r="A18">
        <v>18</v>
      </c>
      <c r="C18">
        <f t="shared" si="0"/>
        <v>0.4701176265</v>
      </c>
      <c r="D18">
        <f t="shared" si="1"/>
        <v>0.35963300578021351</v>
      </c>
      <c r="E18">
        <v>18</v>
      </c>
      <c r="G18">
        <f t="shared" si="2"/>
        <v>0.40668721950000003</v>
      </c>
      <c r="H18">
        <f t="shared" si="3"/>
        <v>0.51793911046800234</v>
      </c>
    </row>
    <row r="19" spans="1:8" x14ac:dyDescent="0.35">
      <c r="A19">
        <v>19</v>
      </c>
      <c r="C19">
        <f t="shared" si="0"/>
        <v>0.47245136990000003</v>
      </c>
      <c r="D19">
        <f t="shared" si="1"/>
        <v>0.36195700722885804</v>
      </c>
      <c r="E19">
        <v>19</v>
      </c>
      <c r="G19">
        <f t="shared" si="2"/>
        <v>0.41024077850000001</v>
      </c>
      <c r="H19">
        <f t="shared" si="3"/>
        <v>0.5213973769753748</v>
      </c>
    </row>
    <row r="20" spans="1:8" x14ac:dyDescent="0.35">
      <c r="A20">
        <v>20</v>
      </c>
      <c r="C20">
        <f t="shared" si="0"/>
        <v>0.47478511330000001</v>
      </c>
      <c r="D20">
        <f t="shared" si="1"/>
        <v>0.36427830810250755</v>
      </c>
      <c r="E20">
        <v>20</v>
      </c>
      <c r="G20">
        <f t="shared" si="2"/>
        <v>0.41379433750000005</v>
      </c>
      <c r="H20">
        <f t="shared" si="3"/>
        <v>0.52486179367450769</v>
      </c>
    </row>
    <row r="21" spans="1:8" x14ac:dyDescent="0.35">
      <c r="A21">
        <v>21</v>
      </c>
      <c r="C21">
        <f t="shared" si="0"/>
        <v>0.47711885669999998</v>
      </c>
      <c r="D21">
        <f t="shared" si="1"/>
        <v>0.36659690931325178</v>
      </c>
      <c r="E21">
        <v>21</v>
      </c>
      <c r="G21">
        <f t="shared" si="2"/>
        <v>0.41734789650000004</v>
      </c>
      <c r="H21">
        <f t="shared" si="3"/>
        <v>0.52833237538483213</v>
      </c>
    </row>
    <row r="22" spans="1:8" x14ac:dyDescent="0.35">
      <c r="A22">
        <v>22</v>
      </c>
      <c r="C22">
        <f t="shared" si="0"/>
        <v>0.47945260010000001</v>
      </c>
      <c r="D22">
        <f t="shared" si="1"/>
        <v>0.36891281197052311</v>
      </c>
      <c r="E22">
        <v>22</v>
      </c>
      <c r="G22">
        <f t="shared" si="2"/>
        <v>0.42090145550000002</v>
      </c>
      <c r="H22">
        <f t="shared" si="3"/>
        <v>0.53180913594369339</v>
      </c>
    </row>
    <row r="23" spans="1:8" x14ac:dyDescent="0.35">
      <c r="A23">
        <v>23</v>
      </c>
      <c r="C23">
        <f t="shared" si="0"/>
        <v>0.48178634349999999</v>
      </c>
      <c r="D23">
        <f t="shared" si="1"/>
        <v>0.37122601738069061</v>
      </c>
      <c r="E23">
        <v>23</v>
      </c>
      <c r="G23">
        <f t="shared" si="2"/>
        <v>0.42445501450000001</v>
      </c>
      <c r="H23">
        <f t="shared" si="3"/>
        <v>0.53529208819496965</v>
      </c>
    </row>
    <row r="24" spans="1:8" x14ac:dyDescent="0.35">
      <c r="A24">
        <v>24</v>
      </c>
      <c r="C24">
        <f t="shared" si="0"/>
        <v>0.48412008689999997</v>
      </c>
      <c r="D24">
        <f t="shared" si="1"/>
        <v>0.37353652704658252</v>
      </c>
      <c r="E24">
        <v>24</v>
      </c>
      <c r="G24">
        <f t="shared" si="2"/>
        <v>0.42800857350000004</v>
      </c>
      <c r="H24">
        <f t="shared" si="3"/>
        <v>0.53878124397845761</v>
      </c>
    </row>
    <row r="25" spans="1:8" x14ac:dyDescent="0.35">
      <c r="A25">
        <v>25</v>
      </c>
      <c r="C25">
        <f t="shared" si="0"/>
        <v>0.4864538303</v>
      </c>
      <c r="D25">
        <f t="shared" si="1"/>
        <v>0.37584434266693767</v>
      </c>
      <c r="E25">
        <v>25</v>
      </c>
      <c r="G25">
        <f t="shared" si="2"/>
        <v>0.43156213250000003</v>
      </c>
      <c r="H25">
        <f t="shared" si="3"/>
        <v>0.54227661412004313</v>
      </c>
    </row>
    <row r="26" spans="1:8" x14ac:dyDescent="0.35">
      <c r="A26">
        <v>26</v>
      </c>
      <c r="C26">
        <f t="shared" si="0"/>
        <v>0.48878757369999998</v>
      </c>
      <c r="D26">
        <f t="shared" si="1"/>
        <v>0.37814946613578548</v>
      </c>
      <c r="E26">
        <v>26</v>
      </c>
      <c r="G26">
        <f t="shared" si="2"/>
        <v>0.43511569150000001</v>
      </c>
      <c r="H26">
        <f t="shared" si="3"/>
        <v>0.54577820842267732</v>
      </c>
    </row>
    <row r="27" spans="1:8" x14ac:dyDescent="0.35">
      <c r="A27">
        <v>27</v>
      </c>
      <c r="C27">
        <f t="shared" si="0"/>
        <v>0.49112131710000001</v>
      </c>
      <c r="D27">
        <f t="shared" si="1"/>
        <v>0.38045189954175707</v>
      </c>
      <c r="E27">
        <v>27</v>
      </c>
      <c r="G27">
        <f t="shared" si="2"/>
        <v>0.43866925050000005</v>
      </c>
      <c r="H27">
        <f t="shared" si="3"/>
        <v>0.54928603565817535</v>
      </c>
    </row>
    <row r="28" spans="1:8" x14ac:dyDescent="0.35">
      <c r="A28">
        <v>28</v>
      </c>
      <c r="C28">
        <f t="shared" si="0"/>
        <v>0.49345506049999999</v>
      </c>
      <c r="D28">
        <f t="shared" si="1"/>
        <v>0.38275164516732535</v>
      </c>
      <c r="E28">
        <v>28</v>
      </c>
      <c r="G28">
        <f t="shared" si="2"/>
        <v>0.44222280950000004</v>
      </c>
      <c r="H28">
        <f t="shared" si="3"/>
        <v>0.55280010355985243</v>
      </c>
    </row>
    <row r="29" spans="1:8" x14ac:dyDescent="0.35">
      <c r="A29">
        <v>29</v>
      </c>
      <c r="C29">
        <f t="shared" si="0"/>
        <v>0.49578880390000002</v>
      </c>
      <c r="D29">
        <f t="shared" si="1"/>
        <v>0.38504870548797721</v>
      </c>
      <c r="E29">
        <v>29</v>
      </c>
      <c r="G29">
        <f t="shared" si="2"/>
        <v>0.44577636850000002</v>
      </c>
      <c r="H29">
        <f t="shared" si="3"/>
        <v>0.55632041881601346</v>
      </c>
    </row>
    <row r="30" spans="1:8" x14ac:dyDescent="0.35">
      <c r="A30">
        <v>30</v>
      </c>
      <c r="C30">
        <f t="shared" si="0"/>
        <v>0.4981225473</v>
      </c>
      <c r="D30">
        <f t="shared" si="1"/>
        <v>0.3873430831713166</v>
      </c>
      <c r="E30">
        <v>30</v>
      </c>
      <c r="G30">
        <f t="shared" si="2"/>
        <v>0.4493299275</v>
      </c>
      <c r="H30">
        <f t="shared" si="3"/>
        <v>0.55984698706430724</v>
      </c>
    </row>
    <row r="31" spans="1:8" x14ac:dyDescent="0.35">
      <c r="A31">
        <v>31</v>
      </c>
      <c r="C31">
        <f t="shared" si="0"/>
        <v>0.50045629069999997</v>
      </c>
      <c r="D31">
        <f t="shared" si="1"/>
        <v>0.38963478107610111</v>
      </c>
      <c r="E31">
        <v>31</v>
      </c>
      <c r="G31">
        <f t="shared" si="2"/>
        <v>0.45288348650000004</v>
      </c>
      <c r="H31">
        <f t="shared" si="3"/>
        <v>0.56337981288695749</v>
      </c>
    </row>
    <row r="32" spans="1:8" x14ac:dyDescent="0.35">
      <c r="A32">
        <v>32</v>
      </c>
      <c r="C32">
        <f t="shared" si="0"/>
        <v>0.50279003410000001</v>
      </c>
      <c r="D32">
        <f t="shared" si="1"/>
        <v>0.39192380225121087</v>
      </c>
      <c r="E32">
        <v>32</v>
      </c>
      <c r="G32">
        <f t="shared" si="2"/>
        <v>0.45643704550000003</v>
      </c>
      <c r="H32">
        <f t="shared" si="3"/>
        <v>0.56691889980687937</v>
      </c>
    </row>
    <row r="33" spans="1:8" x14ac:dyDescent="0.35">
      <c r="A33">
        <v>33</v>
      </c>
      <c r="C33">
        <f t="shared" ref="C33:C64" si="4">0.4304439887+(A33-1)*0.0023337434</f>
        <v>0.50512377750000004</v>
      </c>
      <c r="D33">
        <f t="shared" ref="D33:D64" si="5">0+1*C33-0.110247735874818*(1.00406504065041+(C33-0.462869733342018)^2/0.221751983691479)^0.5</f>
        <v>0.39421014993455195</v>
      </c>
      <c r="E33">
        <v>33</v>
      </c>
      <c r="G33">
        <f t="shared" ref="G33:G64" si="6">0.3462767165+(E33-1)*0.003553559</f>
        <v>0.45999060450000001</v>
      </c>
      <c r="H33">
        <f t="shared" ref="H33:H64" si="7">0+1*G33+0.110247735874818*(1.00406504065041+(G33-0.462869733342018)^2/0.221751983691479)^0.5</f>
        <v>0.57046425028468972</v>
      </c>
    </row>
    <row r="34" spans="1:8" x14ac:dyDescent="0.35">
      <c r="A34">
        <v>34</v>
      </c>
      <c r="C34">
        <f t="shared" si="4"/>
        <v>0.50745752089999996</v>
      </c>
      <c r="D34">
        <f t="shared" si="5"/>
        <v>0.39649382755189488</v>
      </c>
      <c r="E34">
        <v>34</v>
      </c>
      <c r="G34">
        <f t="shared" si="6"/>
        <v>0.46354416350000005</v>
      </c>
      <c r="H34">
        <f t="shared" si="7"/>
        <v>0.57401586571661634</v>
      </c>
    </row>
    <row r="35" spans="1:8" x14ac:dyDescent="0.35">
      <c r="A35">
        <v>35</v>
      </c>
      <c r="C35">
        <f t="shared" si="4"/>
        <v>0.50979126429999999</v>
      </c>
      <c r="D35">
        <f t="shared" si="5"/>
        <v>0.39877483871564978</v>
      </c>
      <c r="E35">
        <v>35</v>
      </c>
      <c r="G35">
        <f t="shared" si="6"/>
        <v>0.46709772250000003</v>
      </c>
      <c r="H35">
        <f t="shared" si="7"/>
        <v>0.57757374643331094</v>
      </c>
    </row>
    <row r="36" spans="1:8" x14ac:dyDescent="0.35">
      <c r="A36">
        <v>36</v>
      </c>
      <c r="C36">
        <f t="shared" si="4"/>
        <v>0.51212500770000002</v>
      </c>
      <c r="D36">
        <f t="shared" si="5"/>
        <v>0.40105318722357691</v>
      </c>
      <c r="E36">
        <v>36</v>
      </c>
      <c r="G36">
        <f t="shared" si="6"/>
        <v>0.47065128150000002</v>
      </c>
      <c r="H36">
        <f t="shared" si="7"/>
        <v>0.58113789169956809</v>
      </c>
    </row>
    <row r="37" spans="1:8" x14ac:dyDescent="0.35">
      <c r="A37">
        <v>37</v>
      </c>
      <c r="C37">
        <f t="shared" si="4"/>
        <v>0.51445875110000006</v>
      </c>
      <c r="D37">
        <f t="shared" si="5"/>
        <v>0.40332887705743736</v>
      </c>
      <c r="E37">
        <v>37</v>
      </c>
      <c r="G37">
        <f t="shared" si="6"/>
        <v>0.4742048405</v>
      </c>
      <c r="H37">
        <f t="shared" si="7"/>
        <v>0.58470829971495042</v>
      </c>
    </row>
    <row r="38" spans="1:8" x14ac:dyDescent="0.35">
      <c r="A38">
        <v>38</v>
      </c>
      <c r="C38">
        <f t="shared" si="4"/>
        <v>0.51679249449999998</v>
      </c>
      <c r="D38">
        <f t="shared" si="5"/>
        <v>0.40560191238158116</v>
      </c>
      <c r="E38">
        <v>38</v>
      </c>
      <c r="G38">
        <f t="shared" si="6"/>
        <v>0.47775839949999999</v>
      </c>
      <c r="H38">
        <f t="shared" si="7"/>
        <v>0.58828496761531868</v>
      </c>
    </row>
    <row r="39" spans="1:8" x14ac:dyDescent="0.35">
      <c r="A39">
        <v>39</v>
      </c>
      <c r="C39">
        <f t="shared" si="4"/>
        <v>0.51912623790000001</v>
      </c>
      <c r="D39">
        <f t="shared" si="5"/>
        <v>0.40787229754147725</v>
      </c>
      <c r="E39">
        <v>39</v>
      </c>
      <c r="G39">
        <f t="shared" si="6"/>
        <v>0.48131195850000003</v>
      </c>
      <c r="H39">
        <f t="shared" si="7"/>
        <v>0.59186789147526486</v>
      </c>
    </row>
    <row r="40" spans="1:8" x14ac:dyDescent="0.35">
      <c r="A40">
        <v>40</v>
      </c>
      <c r="C40">
        <f t="shared" si="4"/>
        <v>0.52145998130000004</v>
      </c>
      <c r="D40">
        <f t="shared" si="5"/>
        <v>0.4101400370621836</v>
      </c>
      <c r="E40">
        <v>40</v>
      </c>
      <c r="G40">
        <f t="shared" si="6"/>
        <v>0.48486551750000006</v>
      </c>
      <c r="H40">
        <f t="shared" si="7"/>
        <v>0.59545706631144135</v>
      </c>
    </row>
    <row r="41" spans="1:8" x14ac:dyDescent="0.35">
      <c r="A41">
        <v>41</v>
      </c>
      <c r="C41">
        <f t="shared" si="4"/>
        <v>0.52379372469999996</v>
      </c>
      <c r="D41">
        <f t="shared" si="5"/>
        <v>0.4124051356467614</v>
      </c>
      <c r="E41">
        <v>41</v>
      </c>
      <c r="G41">
        <f t="shared" si="6"/>
        <v>0.48841907650000005</v>
      </c>
      <c r="H41">
        <f t="shared" si="7"/>
        <v>0.59905248608678197</v>
      </c>
    </row>
    <row r="42" spans="1:8" x14ac:dyDescent="0.35">
      <c r="A42">
        <v>42</v>
      </c>
      <c r="C42">
        <f t="shared" si="4"/>
        <v>0.5261274681</v>
      </c>
      <c r="D42">
        <f t="shared" si="5"/>
        <v>0.41466759817463233</v>
      </c>
      <c r="E42">
        <v>42</v>
      </c>
      <c r="G42">
        <f t="shared" si="6"/>
        <v>0.49197263550000003</v>
      </c>
      <c r="H42">
        <f t="shared" si="7"/>
        <v>0.60265414371560477</v>
      </c>
    </row>
    <row r="43" spans="1:8" x14ac:dyDescent="0.35">
      <c r="A43">
        <v>43</v>
      </c>
      <c r="C43">
        <f t="shared" si="4"/>
        <v>0.52846121150000003</v>
      </c>
      <c r="D43">
        <f t="shared" si="5"/>
        <v>0.41692742969988172</v>
      </c>
      <c r="E43">
        <v>43</v>
      </c>
      <c r="G43">
        <f t="shared" si="6"/>
        <v>0.49552619450000002</v>
      </c>
      <c r="H43">
        <f t="shared" si="7"/>
        <v>0.60626203106958743</v>
      </c>
    </row>
    <row r="44" spans="1:8" x14ac:dyDescent="0.35">
      <c r="A44">
        <v>44</v>
      </c>
      <c r="C44">
        <f t="shared" si="4"/>
        <v>0.53079495489999995</v>
      </c>
      <c r="D44">
        <f t="shared" si="5"/>
        <v>0.41918463544950813</v>
      </c>
      <c r="E44">
        <v>44</v>
      </c>
      <c r="G44">
        <f t="shared" si="6"/>
        <v>0.4990797535</v>
      </c>
      <c r="H44">
        <f t="shared" si="7"/>
        <v>0.60987613898460347</v>
      </c>
    </row>
    <row r="45" spans="1:8" x14ac:dyDescent="0.35">
      <c r="A45">
        <v>45</v>
      </c>
      <c r="C45">
        <f t="shared" si="4"/>
        <v>0.53312869829999998</v>
      </c>
      <c r="D45">
        <f t="shared" si="5"/>
        <v>0.42143922082162172</v>
      </c>
      <c r="E45">
        <v>45</v>
      </c>
      <c r="G45">
        <f t="shared" si="6"/>
        <v>0.50263331249999998</v>
      </c>
      <c r="H45">
        <f t="shared" si="7"/>
        <v>0.6134964572684054</v>
      </c>
    </row>
    <row r="46" spans="1:8" x14ac:dyDescent="0.35">
      <c r="A46">
        <v>46</v>
      </c>
      <c r="C46">
        <f t="shared" si="4"/>
        <v>0.53546244170000001</v>
      </c>
      <c r="D46">
        <f t="shared" si="5"/>
        <v>0.42369119138359079</v>
      </c>
      <c r="E46">
        <v>46</v>
      </c>
      <c r="G46">
        <f t="shared" si="6"/>
        <v>0.50618687149999997</v>
      </c>
      <c r="H46">
        <f t="shared" si="7"/>
        <v>0.61712297470914046</v>
      </c>
    </row>
    <row r="47" spans="1:8" x14ac:dyDescent="0.35">
      <c r="A47">
        <v>47</v>
      </c>
      <c r="C47">
        <f t="shared" si="4"/>
        <v>0.53779618509999993</v>
      </c>
      <c r="D47">
        <f t="shared" si="5"/>
        <v>0.42594055287014054</v>
      </c>
      <c r="E47">
        <v>47</v>
      </c>
      <c r="G47">
        <f t="shared" si="6"/>
        <v>0.50974043050000006</v>
      </c>
      <c r="H47">
        <f t="shared" si="7"/>
        <v>0.62075567908468243</v>
      </c>
    </row>
    <row r="48" spans="1:8" x14ac:dyDescent="0.35">
      <c r="A48">
        <v>48</v>
      </c>
      <c r="C48">
        <f t="shared" si="4"/>
        <v>0.54012992849999997</v>
      </c>
      <c r="D48">
        <f t="shared" si="5"/>
        <v>0.42818731118140407</v>
      </c>
      <c r="E48">
        <v>48</v>
      </c>
      <c r="G48">
        <f t="shared" si="6"/>
        <v>0.51329398950000005</v>
      </c>
      <c r="H48">
        <f t="shared" si="7"/>
        <v>0.6243945571727606</v>
      </c>
    </row>
    <row r="49" spans="1:8" x14ac:dyDescent="0.35">
      <c r="A49">
        <v>49</v>
      </c>
      <c r="C49">
        <f t="shared" si="4"/>
        <v>0.5424636719</v>
      </c>
      <c r="D49">
        <f t="shared" si="5"/>
        <v>0.43043147238092611</v>
      </c>
      <c r="E49">
        <v>49</v>
      </c>
      <c r="G49">
        <f t="shared" si="6"/>
        <v>0.51684754850000003</v>
      </c>
      <c r="H49">
        <f t="shared" si="7"/>
        <v>0.62803959476186866</v>
      </c>
    </row>
    <row r="50" spans="1:8" x14ac:dyDescent="0.35">
      <c r="A50">
        <v>50</v>
      </c>
      <c r="C50">
        <f t="shared" si="4"/>
        <v>0.54479741530000003</v>
      </c>
      <c r="D50">
        <f t="shared" si="5"/>
        <v>0.43267304269362405</v>
      </c>
      <c r="E50">
        <v>50</v>
      </c>
      <c r="G50">
        <f t="shared" si="6"/>
        <v>0.52040110750000002</v>
      </c>
      <c r="H50">
        <f t="shared" si="7"/>
        <v>0.6316907766629305</v>
      </c>
    </row>
    <row r="51" spans="1:8" x14ac:dyDescent="0.35">
      <c r="A51">
        <v>51</v>
      </c>
      <c r="C51">
        <f t="shared" si="4"/>
        <v>0.54713115869999995</v>
      </c>
      <c r="D51">
        <f t="shared" si="5"/>
        <v>0.43491202850370403</v>
      </c>
      <c r="E51">
        <v>51</v>
      </c>
      <c r="G51">
        <f t="shared" si="6"/>
        <v>0.5239546665</v>
      </c>
      <c r="H51">
        <f t="shared" si="7"/>
        <v>0.63534808672170162</v>
      </c>
    </row>
    <row r="52" spans="1:8" x14ac:dyDescent="0.35">
      <c r="A52">
        <v>52</v>
      </c>
      <c r="C52">
        <f t="shared" si="4"/>
        <v>0.54946490209999999</v>
      </c>
      <c r="D52">
        <f t="shared" si="5"/>
        <v>0.43714843635253764</v>
      </c>
      <c r="E52">
        <v>52</v>
      </c>
      <c r="G52">
        <f t="shared" si="6"/>
        <v>0.52750822549999998</v>
      </c>
      <c r="H52">
        <f t="shared" si="7"/>
        <v>0.63901150783188365</v>
      </c>
    </row>
    <row r="53" spans="1:8" x14ac:dyDescent="0.35">
      <c r="A53">
        <v>53</v>
      </c>
      <c r="C53">
        <f t="shared" si="4"/>
        <v>0.55179864550000002</v>
      </c>
      <c r="D53">
        <f t="shared" si="5"/>
        <v>0.43938227293649629</v>
      </c>
      <c r="E53">
        <v>53</v>
      </c>
      <c r="G53">
        <f t="shared" si="6"/>
        <v>0.53106178450000008</v>
      </c>
      <c r="H53">
        <f t="shared" si="7"/>
        <v>0.64268102194892729</v>
      </c>
    </row>
    <row r="54" spans="1:8" x14ac:dyDescent="0.35">
      <c r="A54">
        <v>54</v>
      </c>
      <c r="C54">
        <f t="shared" si="4"/>
        <v>0.55413238890000005</v>
      </c>
      <c r="D54">
        <f t="shared" si="5"/>
        <v>0.44161354510474965</v>
      </c>
      <c r="E54">
        <v>54</v>
      </c>
      <c r="G54">
        <f t="shared" si="6"/>
        <v>0.53461534350000006</v>
      </c>
      <c r="H54">
        <f t="shared" si="7"/>
        <v>0.64635661010449719</v>
      </c>
    </row>
    <row r="55" spans="1:8" x14ac:dyDescent="0.35">
      <c r="A55">
        <v>55</v>
      </c>
      <c r="C55">
        <f t="shared" si="4"/>
        <v>0.55646613229999997</v>
      </c>
      <c r="D55">
        <f t="shared" si="5"/>
        <v>0.44384225985702563</v>
      </c>
      <c r="E55">
        <v>55</v>
      </c>
      <c r="G55">
        <f t="shared" si="6"/>
        <v>0.53816890250000005</v>
      </c>
      <c r="H55">
        <f t="shared" si="7"/>
        <v>0.65003825242157465</v>
      </c>
    </row>
    <row r="56" spans="1:8" x14ac:dyDescent="0.35">
      <c r="A56">
        <v>56</v>
      </c>
      <c r="C56">
        <f t="shared" si="4"/>
        <v>0.5587998757</v>
      </c>
      <c r="D56">
        <f t="shared" si="5"/>
        <v>0.44606842434133676</v>
      </c>
      <c r="E56">
        <v>56</v>
      </c>
      <c r="G56">
        <f t="shared" si="6"/>
        <v>0.54172246150000003</v>
      </c>
      <c r="H56">
        <f t="shared" si="7"/>
        <v>0.65372592813016817</v>
      </c>
    </row>
    <row r="57" spans="1:8" x14ac:dyDescent="0.35">
      <c r="A57">
        <v>57</v>
      </c>
      <c r="C57">
        <f t="shared" si="4"/>
        <v>0.56113361910000004</v>
      </c>
      <c r="D57">
        <f t="shared" si="5"/>
        <v>0.44829204585167159</v>
      </c>
      <c r="E57">
        <v>57</v>
      </c>
      <c r="G57">
        <f t="shared" si="6"/>
        <v>0.54527602050000001</v>
      </c>
      <c r="H57">
        <f t="shared" si="7"/>
        <v>0.65741961558360595</v>
      </c>
    </row>
    <row r="58" spans="1:8" x14ac:dyDescent="0.35">
      <c r="A58">
        <v>58</v>
      </c>
      <c r="C58">
        <f t="shared" si="4"/>
        <v>0.56346736249999996</v>
      </c>
      <c r="D58">
        <f t="shared" si="5"/>
        <v>0.45051313182565567</v>
      </c>
      <c r="E58">
        <v>58</v>
      </c>
      <c r="G58">
        <f t="shared" si="6"/>
        <v>0.5488295795</v>
      </c>
      <c r="H58">
        <f t="shared" si="7"/>
        <v>0.66111929227538035</v>
      </c>
    </row>
    <row r="59" spans="1:8" x14ac:dyDescent="0.35">
      <c r="A59">
        <v>59</v>
      </c>
      <c r="C59">
        <f t="shared" si="4"/>
        <v>0.56580110589999999</v>
      </c>
      <c r="D59">
        <f t="shared" si="5"/>
        <v>0.45273168984218182</v>
      </c>
      <c r="E59">
        <v>59</v>
      </c>
      <c r="G59">
        <f t="shared" si="6"/>
        <v>0.55238313849999998</v>
      </c>
      <c r="H59">
        <f t="shared" si="7"/>
        <v>0.66482493485651573</v>
      </c>
    </row>
    <row r="60" spans="1:8" x14ac:dyDescent="0.35">
      <c r="A60">
        <v>60</v>
      </c>
      <c r="C60">
        <f t="shared" si="4"/>
        <v>0.56813484930000002</v>
      </c>
      <c r="D60">
        <f t="shared" si="5"/>
        <v>0.45494772761901142</v>
      </c>
      <c r="E60">
        <v>60</v>
      </c>
      <c r="G60">
        <f t="shared" si="6"/>
        <v>0.55593669749999997</v>
      </c>
      <c r="H60">
        <f t="shared" si="7"/>
        <v>0.66853651915342882</v>
      </c>
    </row>
    <row r="61" spans="1:8" x14ac:dyDescent="0.35">
      <c r="A61">
        <v>61</v>
      </c>
      <c r="C61">
        <f t="shared" si="4"/>
        <v>0.57046859269999994</v>
      </c>
      <c r="D61">
        <f t="shared" si="5"/>
        <v>0.45716125301034988</v>
      </c>
      <c r="E61">
        <v>61</v>
      </c>
      <c r="G61">
        <f t="shared" si="6"/>
        <v>0.55949025650000006</v>
      </c>
      <c r="H61">
        <f t="shared" si="7"/>
        <v>0.67225402018625202</v>
      </c>
    </row>
    <row r="62" spans="1:8" x14ac:dyDescent="0.35">
      <c r="A62">
        <v>62</v>
      </c>
      <c r="C62">
        <f t="shared" si="4"/>
        <v>0.57280233609999998</v>
      </c>
      <c r="D62">
        <f t="shared" si="5"/>
        <v>0.4593722740043964</v>
      </c>
      <c r="E62">
        <v>62</v>
      </c>
      <c r="G62">
        <f t="shared" si="6"/>
        <v>0.56304381550000004</v>
      </c>
      <c r="H62">
        <f t="shared" si="7"/>
        <v>0.67597741218758844</v>
      </c>
    </row>
    <row r="63" spans="1:8" x14ac:dyDescent="0.35">
      <c r="A63">
        <v>63</v>
      </c>
      <c r="C63">
        <f t="shared" si="4"/>
        <v>0.57513607950000001</v>
      </c>
      <c r="D63">
        <f t="shared" si="5"/>
        <v>0.46158079872086966</v>
      </c>
      <c r="E63">
        <v>63</v>
      </c>
      <c r="G63">
        <f t="shared" si="6"/>
        <v>0.56659737450000003</v>
      </c>
      <c r="H63">
        <f t="shared" si="7"/>
        <v>0.67970666862166773</v>
      </c>
    </row>
    <row r="64" spans="1:8" x14ac:dyDescent="0.35">
      <c r="A64">
        <v>64</v>
      </c>
      <c r="C64">
        <f t="shared" si="4"/>
        <v>0.57746982289999993</v>
      </c>
      <c r="D64">
        <f t="shared" si="5"/>
        <v>0.46378683540851251</v>
      </c>
      <c r="E64">
        <v>64</v>
      </c>
      <c r="G64">
        <f t="shared" si="6"/>
        <v>0.57015093350000001</v>
      </c>
      <c r="H64">
        <f t="shared" si="7"/>
        <v>0.68344176220387209</v>
      </c>
    </row>
    <row r="65" spans="1:8" x14ac:dyDescent="0.35">
      <c r="A65">
        <v>65</v>
      </c>
      <c r="C65">
        <f t="shared" ref="C65:C70" si="8">0.4304439887+(A65-1)*0.0023337434</f>
        <v>0.57980356629999996</v>
      </c>
      <c r="D65">
        <f t="shared" ref="D65:D70" si="9">0+1*C65-0.110247735874818*(1.00406504065041+(C65-0.462869733342018)^2/0.221751983691479)^0.5</f>
        <v>0.4659903924425764</v>
      </c>
      <c r="E65">
        <v>65</v>
      </c>
      <c r="G65">
        <f t="shared" ref="G65:G70" si="10">0.3462767165+(E65-1)*0.003553559</f>
        <v>0.5737044925</v>
      </c>
      <c r="H65">
        <f t="shared" ref="H65:H70" si="11">0+1*G65+0.110247735874818*(1.00406504065041+(G65-0.462869733342018)^2/0.221751983691479)^0.5</f>
        <v>0.68718266492059954</v>
      </c>
    </row>
    <row r="66" spans="1:8" x14ac:dyDescent="0.35">
      <c r="A66">
        <v>66</v>
      </c>
      <c r="C66">
        <f t="shared" si="8"/>
        <v>0.58213730969999999</v>
      </c>
      <c r="D66">
        <f t="shared" si="9"/>
        <v>0.46819147832228569</v>
      </c>
      <c r="E66">
        <v>66</v>
      </c>
      <c r="G66">
        <f t="shared" si="10"/>
        <v>0.57725805150000009</v>
      </c>
      <c r="H66">
        <f t="shared" si="11"/>
        <v>0.6909293480494354</v>
      </c>
    </row>
    <row r="67" spans="1:8" x14ac:dyDescent="0.35">
      <c r="A67">
        <v>67</v>
      </c>
      <c r="C67">
        <f t="shared" si="8"/>
        <v>0.58447105310000003</v>
      </c>
      <c r="D67">
        <f t="shared" si="9"/>
        <v>0.47039010166828749</v>
      </c>
      <c r="E67">
        <v>67</v>
      </c>
      <c r="G67">
        <f t="shared" si="10"/>
        <v>0.58081161050000008</v>
      </c>
      <c r="H67">
        <f t="shared" si="11"/>
        <v>0.69468178217959775</v>
      </c>
    </row>
    <row r="68" spans="1:8" x14ac:dyDescent="0.35">
      <c r="A68">
        <v>68</v>
      </c>
      <c r="C68">
        <f t="shared" si="8"/>
        <v>0.58680479649999995</v>
      </c>
      <c r="D68">
        <f t="shared" si="9"/>
        <v>0.47258627122008345</v>
      </c>
      <c r="E68">
        <v>68</v>
      </c>
      <c r="G68">
        <f t="shared" si="10"/>
        <v>0.58436516950000006</v>
      </c>
      <c r="H68">
        <f t="shared" si="11"/>
        <v>0.69843993723263031</v>
      </c>
    </row>
    <row r="69" spans="1:8" x14ac:dyDescent="0.35">
      <c r="A69">
        <v>69</v>
      </c>
      <c r="C69">
        <f t="shared" si="8"/>
        <v>0.58913853989999998</v>
      </c>
      <c r="D69">
        <f t="shared" si="9"/>
        <v>0.47477999583345021</v>
      </c>
      <c r="E69">
        <v>69</v>
      </c>
      <c r="G69">
        <f t="shared" si="10"/>
        <v>0.58791872850000004</v>
      </c>
      <c r="H69">
        <f t="shared" si="11"/>
        <v>0.70220378248330573</v>
      </c>
    </row>
    <row r="70" spans="1:8" x14ac:dyDescent="0.35">
      <c r="A70">
        <v>70</v>
      </c>
      <c r="C70">
        <f t="shared" si="8"/>
        <v>0.59147228330000001</v>
      </c>
      <c r="D70">
        <f t="shared" si="9"/>
        <v>0.4769712844778457</v>
      </c>
      <c r="E70">
        <v>70</v>
      </c>
      <c r="G70">
        <f t="shared" si="10"/>
        <v>0.59147228750000003</v>
      </c>
      <c r="H70">
        <f t="shared" si="11"/>
        <v>0.70597328658071445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XLSTAT_20220111_140947_1_HID</vt:lpstr>
      <vt:lpstr>XLSTAT_20220111_115245_1_HID</vt:lpstr>
      <vt:lpstr>XLSTAT_20220111_114934_1_HID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ManipEcranTactile</cp:lastModifiedBy>
  <dcterms:created xsi:type="dcterms:W3CDTF">2021-11-24T14:16:31Z</dcterms:created>
  <dcterms:modified xsi:type="dcterms:W3CDTF">2022-03-21T10:25:25Z</dcterms:modified>
</cp:coreProperties>
</file>