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53" documentId="13_ncr:1_{3C124AC1-4E03-4877-A1C2-0F61F0AC5211}" xr6:coauthVersionLast="47" xr6:coauthVersionMax="47" xr10:uidLastSave="{C3D0BBD0-D9E9-42F4-945B-4B2D6520D703}"/>
  <bookViews>
    <workbookView minimized="1" xWindow="2040" yWindow="3250" windowWidth="13700" windowHeight="781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AF2" i="2"/>
  <c r="AF3" i="2" l="1"/>
  <c r="AF6" i="2"/>
  <c r="AE3" i="2"/>
  <c r="AE6" i="2"/>
  <c r="AD3" i="2"/>
  <c r="AD6" i="2"/>
  <c r="AB3" i="2"/>
  <c r="AB6" i="2"/>
  <c r="R3" i="2"/>
  <c r="Q3" i="2"/>
  <c r="R6" i="2"/>
  <c r="Q6" i="2"/>
  <c r="P6" i="2"/>
  <c r="S6" i="2" l="1"/>
  <c r="S3" i="2"/>
  <c r="D17" i="2" l="1"/>
  <c r="D23" i="2"/>
  <c r="D14" i="2"/>
  <c r="D21" i="2"/>
  <c r="D16" i="2"/>
  <c r="D8" i="2"/>
  <c r="D7" i="2"/>
  <c r="D28" i="2"/>
  <c r="D15" i="2"/>
  <c r="D20" i="2"/>
  <c r="D19" i="2"/>
  <c r="D26" i="2"/>
  <c r="D10" i="2"/>
  <c r="D13" i="2"/>
  <c r="D9" i="2"/>
  <c r="D4" i="2"/>
  <c r="D12" i="2"/>
  <c r="D11" i="2"/>
  <c r="D27" i="2"/>
  <c r="D22" i="2"/>
  <c r="D25" i="2"/>
  <c r="D18" i="2"/>
  <c r="D24" i="2"/>
  <c r="D5" i="2"/>
  <c r="H6" i="2" l="1"/>
  <c r="H3" i="2"/>
  <c r="C10" i="3" l="1"/>
  <c r="Z4" i="3" l="1"/>
  <c r="AA4" i="3"/>
  <c r="Y4" i="3"/>
  <c r="X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5" i="1"/>
  <c r="E5" i="1" s="1"/>
  <c r="C5" i="1"/>
  <c r="B5" i="1"/>
  <c r="B6" i="2"/>
  <c r="D6" i="2" s="1"/>
  <c r="AA10" i="3"/>
  <c r="Z10" i="3"/>
  <c r="Y10" i="3"/>
  <c r="X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3" i="2"/>
  <c r="D3" i="2" s="1"/>
  <c r="D11" i="1"/>
  <c r="C11" i="1"/>
  <c r="E11" i="1" s="1"/>
</calcChain>
</file>

<file path=xl/sharedStrings.xml><?xml version="1.0" encoding="utf-8"?>
<sst xmlns="http://schemas.openxmlformats.org/spreadsheetml/2006/main" count="285" uniqueCount="84">
  <si>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</si>
  <si>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</si>
  <si>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</si>
  <si>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</si>
  <si>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</si>
  <si>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</si>
  <si>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</si>
  <si>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</si>
  <si>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</si>
  <si>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</si>
  <si>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</si>
  <si>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</si>
  <si>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</si>
  <si>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</si>
  <si>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</si>
  <si>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</si>
  <si>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</si>
  <si>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</si>
  <si>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</si>
  <si>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</si>
  <si>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</si>
  <si>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</si>
  <si>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</si>
  <si>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</si>
  <si>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</si>
  <si>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</si>
  <si>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</si>
  <si>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</si>
  <si>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</si>
  <si>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</si>
  <si>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</si>
  <si>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</si>
  <si>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</si>
  <si>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</si>
  <si>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</si>
  <si>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</si>
  <si>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</si>
  <si>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</si>
  <si>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</si>
  <si>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</si>
  <si>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</si>
  <si>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</si>
  <si>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</si>
  <si>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</si>
  <si>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</si>
  <si>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</si>
  <si>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</si>
  <si>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</si>
  <si>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</si>
  <si>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</si>
  <si>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</si>
  <si>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</si>
  <si>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</si>
  <si>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</si>
  <si>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</si>
  <si>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</si>
  <si>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</si>
  <si>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</si>
  <si>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</si>
  <si>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</si>
  <si>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</si>
  <si>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</si>
  <si>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</si>
  <si>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</si>
  <si>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</si>
  <si>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</si>
  <si>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</si>
  <si>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</si>
  <si>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</si>
  <si>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</si>
  <si>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</si>
  <si>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</si>
  <si>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</si>
  <si>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</si>
  <si>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</si>
  <si>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</si>
  <si>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</si>
  <si>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</si>
  <si>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</si>
  <si>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</si>
  <si>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</si>
  <si>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</si>
  <si>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</si>
  <si>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différence Taplen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</si>
</sst>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9" borderId="2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164" fontId="0" fillId="0" borderId="0" xfId="0" applyNumberFormat="1" applyFill="1"/>
    <xf numFmtId="0" fontId="0" fillId="6" borderId="0" xfId="0" applyFill="1" applyAlignment="1">
      <alignment wrapText="1"/>
    </xf>
    <xf numFmtId="0" fontId="0" fillId="0" borderId="3" xfId="0" applyFill="1" applyBorder="1"/>
    <xf numFmtId="2" fontId="0" fillId="0" borderId="0" xfId="0" applyNumberFormat="1" applyBorder="1" applyAlignment="1">
      <alignment wrapText="1"/>
    </xf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13" borderId="0" xfId="0" applyFill="1" applyBorder="1"/>
    <xf numFmtId="0" fontId="0" fillId="0" borderId="1" xfId="0" applyFill="1" applyBorder="1" applyAlignment="1">
      <alignment wrapText="1"/>
    </xf>
    <xf numFmtId="2" fontId="0" fillId="3" borderId="3" xfId="0" applyNumberFormat="1" applyFill="1" applyBorder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BPS!$E$2:$E$6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27</c:v>
                </c:pt>
              </c:numCache>
            </c:numRef>
          </c:xVal>
          <c:yVal>
            <c:numRef>
              <c:f>BPS!$M$2:$M$6</c:f>
              <c:numCache>
                <c:formatCode>General</c:formatCode>
                <c:ptCount val="5"/>
                <c:pt idx="0">
                  <c:v>0.38</c:v>
                </c:pt>
                <c:pt idx="1">
                  <c:v>0.47</c:v>
                </c:pt>
                <c:pt idx="2">
                  <c:v>0.33</c:v>
                </c:pt>
                <c:pt idx="3">
                  <c:v>0.38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BPS!$E$2:$E$6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27</c:v>
                </c:pt>
              </c:numCache>
            </c:numRef>
          </c:xVal>
          <c:yVal>
            <c:numRef>
              <c:f>BPS!$J$2:$J$6</c:f>
              <c:numCache>
                <c:formatCode>General</c:formatCode>
                <c:ptCount val="5"/>
                <c:pt idx="1">
                  <c:v>0.81</c:v>
                </c:pt>
                <c:pt idx="2">
                  <c:v>0.49</c:v>
                </c:pt>
                <c:pt idx="3">
                  <c:v>0.64</c:v>
                </c:pt>
                <c:pt idx="4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 GoNoGo /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6198600174978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BPS!$J$2:$J$6</c:f>
              <c:numCache>
                <c:formatCode>General</c:formatCode>
                <c:ptCount val="5"/>
                <c:pt idx="1">
                  <c:v>0.81</c:v>
                </c:pt>
                <c:pt idx="2">
                  <c:v>0.49</c:v>
                </c:pt>
                <c:pt idx="3">
                  <c:v>0.64</c:v>
                </c:pt>
                <c:pt idx="4">
                  <c:v>0.66</c:v>
                </c:pt>
              </c:numCache>
            </c:numRef>
          </c:xVal>
          <c:yVal>
            <c:numRef>
              <c:f>BPS!$M$2:$M$6</c:f>
              <c:numCache>
                <c:formatCode>General</c:formatCode>
                <c:ptCount val="5"/>
                <c:pt idx="0">
                  <c:v>0.38</c:v>
                </c:pt>
                <c:pt idx="1">
                  <c:v>0.47</c:v>
                </c:pt>
                <c:pt idx="2">
                  <c:v>0.33</c:v>
                </c:pt>
                <c:pt idx="3">
                  <c:v>0.38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0-4E5A-9087-BBEDBBD4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944"/>
        <c:axId val="1559951616"/>
      </c:scatterChart>
      <c:valAx>
        <c:axId val="1559954944"/>
        <c:scaling>
          <c:orientation val="minMax"/>
          <c:min val="0.55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1616"/>
        <c:crosses val="autoZero"/>
        <c:crossBetween val="midCat"/>
      </c:valAx>
      <c:valAx>
        <c:axId val="1559951616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BPS!$C$2:$C$28</c:f>
              <c:numCache>
                <c:formatCode>General</c:formatCode>
                <c:ptCount val="27"/>
                <c:pt idx="1">
                  <c:v>808.85</c:v>
                </c:pt>
                <c:pt idx="2">
                  <c:v>555.07000000000005</c:v>
                </c:pt>
                <c:pt idx="3">
                  <c:v>727.68</c:v>
                </c:pt>
                <c:pt idx="4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xVal>
          <c:yVal>
            <c:numRef>
              <c:f>BPS!$AA$2:$AA$28</c:f>
              <c:numCache>
                <c:formatCode>General</c:formatCode>
                <c:ptCount val="27"/>
                <c:pt idx="1">
                  <c:v>0.30681818181818182</c:v>
                </c:pt>
                <c:pt idx="2">
                  <c:v>0.5</c:v>
                </c:pt>
                <c:pt idx="3">
                  <c:v>0.5</c:v>
                </c:pt>
                <c:pt idx="4">
                  <c:v>9.4318181818181829E-2</c:v>
                </c:pt>
                <c:pt idx="5">
                  <c:v>0.2</c:v>
                </c:pt>
                <c:pt idx="6">
                  <c:v>0.8</c:v>
                </c:pt>
                <c:pt idx="7">
                  <c:v>0.6</c:v>
                </c:pt>
                <c:pt idx="8">
                  <c:v>0.1</c:v>
                </c:pt>
                <c:pt idx="9">
                  <c:v>0.9</c:v>
                </c:pt>
                <c:pt idx="10">
                  <c:v>0.8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0.2</c:v>
                </c:pt>
                <c:pt idx="15">
                  <c:v>0.6</c:v>
                </c:pt>
                <c:pt idx="16">
                  <c:v>0.1</c:v>
                </c:pt>
                <c:pt idx="17">
                  <c:v>0.7</c:v>
                </c:pt>
                <c:pt idx="18">
                  <c:v>0.2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0.1</c:v>
                </c:pt>
                <c:pt idx="23">
                  <c:v>0.5</c:v>
                </c:pt>
                <c:pt idx="24">
                  <c:v>0.8</c:v>
                </c:pt>
                <c:pt idx="25">
                  <c:v>0.5</c:v>
                </c:pt>
                <c:pt idx="2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49256342957134E-2"/>
                  <c:y val="0.3926778944298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BPS!$B$2:$B$6</c:f>
              <c:numCache>
                <c:formatCode>General</c:formatCode>
                <c:ptCount val="5"/>
                <c:pt idx="0">
                  <c:v>107</c:v>
                </c:pt>
                <c:pt idx="1">
                  <c:v>121</c:v>
                </c:pt>
                <c:pt idx="2">
                  <c:v>104</c:v>
                </c:pt>
                <c:pt idx="3">
                  <c:v>103</c:v>
                </c:pt>
                <c:pt idx="4">
                  <c:v>107</c:v>
                </c:pt>
              </c:numCache>
            </c:numRef>
          </c:xVal>
          <c:yVal>
            <c:numRef>
              <c:f>BPS!$K$2:$K$6</c:f>
              <c:numCache>
                <c:formatCode>General</c:formatCode>
                <c:ptCount val="5"/>
                <c:pt idx="0">
                  <c:v>0.27</c:v>
                </c:pt>
                <c:pt idx="1">
                  <c:v>0.28999999999999998</c:v>
                </c:pt>
                <c:pt idx="2">
                  <c:v>0.08</c:v>
                </c:pt>
                <c:pt idx="3">
                  <c:v>0.06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BPS!$B$2:$B$28</c:f>
              <c:numCache>
                <c:formatCode>General</c:formatCode>
                <c:ptCount val="27"/>
                <c:pt idx="0">
                  <c:v>107</c:v>
                </c:pt>
                <c:pt idx="1">
                  <c:v>121</c:v>
                </c:pt>
                <c:pt idx="2">
                  <c:v>104</c:v>
                </c:pt>
                <c:pt idx="3">
                  <c:v>103</c:v>
                </c:pt>
                <c:pt idx="4">
                  <c:v>107</c:v>
                </c:pt>
                <c:pt idx="5">
                  <c:v>112</c:v>
                </c:pt>
                <c:pt idx="6">
                  <c:v>129</c:v>
                </c:pt>
                <c:pt idx="7">
                  <c:v>116</c:v>
                </c:pt>
                <c:pt idx="8">
                  <c:v>92</c:v>
                </c:pt>
                <c:pt idx="9">
                  <c:v>112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  <c:pt idx="26">
                  <c:v>113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1">
                  <c:v>0.13</c:v>
                </c:pt>
                <c:pt idx="2">
                  <c:v>0.2987388657769145</c:v>
                </c:pt>
                <c:pt idx="3">
                  <c:v>0.19488530843536417</c:v>
                </c:pt>
                <c:pt idx="4">
                  <c:v>0.10500000000000001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94925634295714"/>
                  <c:y val="0.42480351414406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BPS!$B$2:$B$6</c:f>
              <c:numCache>
                <c:formatCode>General</c:formatCode>
                <c:ptCount val="5"/>
                <c:pt idx="0">
                  <c:v>107</c:v>
                </c:pt>
                <c:pt idx="1">
                  <c:v>121</c:v>
                </c:pt>
                <c:pt idx="2">
                  <c:v>104</c:v>
                </c:pt>
                <c:pt idx="3">
                  <c:v>103</c:v>
                </c:pt>
                <c:pt idx="4">
                  <c:v>107</c:v>
                </c:pt>
              </c:numCache>
            </c:numRef>
          </c:xVal>
          <c:yVal>
            <c:numRef>
              <c:f>BPS!$N$2:$N$6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BPS!$K$2:$K$5</c:f>
              <c:numCache>
                <c:formatCode>General</c:formatCode>
                <c:ptCount val="4"/>
                <c:pt idx="0">
                  <c:v>0.27</c:v>
                </c:pt>
                <c:pt idx="1">
                  <c:v>0.28999999999999998</c:v>
                </c:pt>
                <c:pt idx="2">
                  <c:v>0.08</c:v>
                </c:pt>
                <c:pt idx="3">
                  <c:v>0.06</c:v>
                </c:pt>
              </c:numCache>
            </c:numRef>
          </c:xVal>
          <c:yVal>
            <c:numRef>
              <c:f>BPS!$N$2:$N$5</c:f>
              <c:numCache>
                <c:formatCode>General</c:formatCode>
                <c:ptCount val="4"/>
                <c:pt idx="0">
                  <c:v>0.17</c:v>
                </c:pt>
                <c:pt idx="1">
                  <c:v>0.19</c:v>
                </c:pt>
                <c:pt idx="2">
                  <c:v>0.01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BPS!$J$3:$J$6</c:f>
              <c:numCache>
                <c:formatCode>General</c:formatCode>
                <c:ptCount val="4"/>
                <c:pt idx="0">
                  <c:v>0.81</c:v>
                </c:pt>
                <c:pt idx="1">
                  <c:v>0.49</c:v>
                </c:pt>
                <c:pt idx="2">
                  <c:v>0.64</c:v>
                </c:pt>
                <c:pt idx="3">
                  <c:v>0.66</c:v>
                </c:pt>
              </c:numCache>
            </c:numRef>
          </c:xVal>
          <c:yVal>
            <c:numRef>
              <c:f>BPS!$M$3:$M$6</c:f>
              <c:numCache>
                <c:formatCode>General</c:formatCode>
                <c:ptCount val="4"/>
                <c:pt idx="0">
                  <c:v>0.47</c:v>
                </c:pt>
                <c:pt idx="1">
                  <c:v>0.33</c:v>
                </c:pt>
                <c:pt idx="2">
                  <c:v>0.38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Perso!$AB$2:$AB$21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EC-4B06-BA0C-35580946F39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EC-4B06-BA0C-35580946F39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0">
                  <c:v>104</c:v>
                </c:pt>
                <c:pt idx="1">
                  <c:v>103</c:v>
                </c:pt>
                <c:pt idx="2">
                  <c:v>107</c:v>
                </c:pt>
                <c:pt idx="3">
                  <c:v>112</c:v>
                </c:pt>
                <c:pt idx="4">
                  <c:v>129</c:v>
                </c:pt>
                <c:pt idx="5">
                  <c:v>116</c:v>
                </c:pt>
                <c:pt idx="6">
                  <c:v>92</c:v>
                </c:pt>
                <c:pt idx="7">
                  <c:v>112</c:v>
                </c:pt>
                <c:pt idx="8">
                  <c:v>96</c:v>
                </c:pt>
                <c:pt idx="9">
                  <c:v>119</c:v>
                </c:pt>
                <c:pt idx="10">
                  <c:v>126</c:v>
                </c:pt>
                <c:pt idx="11">
                  <c:v>113</c:v>
                </c:pt>
                <c:pt idx="12">
                  <c:v>91</c:v>
                </c:pt>
                <c:pt idx="13">
                  <c:v>120</c:v>
                </c:pt>
                <c:pt idx="14">
                  <c:v>95</c:v>
                </c:pt>
                <c:pt idx="15">
                  <c:v>93</c:v>
                </c:pt>
                <c:pt idx="16">
                  <c:v>77</c:v>
                </c:pt>
                <c:pt idx="17">
                  <c:v>139</c:v>
                </c:pt>
                <c:pt idx="18">
                  <c:v>85</c:v>
                </c:pt>
                <c:pt idx="19">
                  <c:v>123</c:v>
                </c:pt>
                <c:pt idx="20">
                  <c:v>104</c:v>
                </c:pt>
                <c:pt idx="21">
                  <c:v>104</c:v>
                </c:pt>
                <c:pt idx="22">
                  <c:v>137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0">
                  <c:v>555.07000000000005</c:v>
                </c:pt>
                <c:pt idx="1">
                  <c:v>727.68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1627.89</c:v>
                </c:pt>
                <c:pt idx="9">
                  <c:v>440.17</c:v>
                </c:pt>
                <c:pt idx="10">
                  <c:v>1411.91</c:v>
                </c:pt>
                <c:pt idx="11">
                  <c:v>1183.1199999999999</c:v>
                </c:pt>
                <c:pt idx="12">
                  <c:v>641.14</c:v>
                </c:pt>
                <c:pt idx="13">
                  <c:v>1127.92</c:v>
                </c:pt>
                <c:pt idx="14">
                  <c:v>803.62</c:v>
                </c:pt>
                <c:pt idx="15">
                  <c:v>939.92</c:v>
                </c:pt>
                <c:pt idx="16">
                  <c:v>771.81</c:v>
                </c:pt>
                <c:pt idx="17">
                  <c:v>1266.79</c:v>
                </c:pt>
                <c:pt idx="18">
                  <c:v>828.46</c:v>
                </c:pt>
                <c:pt idx="19">
                  <c:v>1250.0999999999999</c:v>
                </c:pt>
                <c:pt idx="20">
                  <c:v>757.59</c:v>
                </c:pt>
                <c:pt idx="21">
                  <c:v>1394.13</c:v>
                </c:pt>
                <c:pt idx="22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107</c:v>
                </c:pt>
                <c:pt idx="1">
                  <c:v>121</c:v>
                </c:pt>
                <c:pt idx="2">
                  <c:v>104</c:v>
                </c:pt>
                <c:pt idx="3">
                  <c:v>103</c:v>
                </c:pt>
                <c:pt idx="4">
                  <c:v>107</c:v>
                </c:pt>
                <c:pt idx="5">
                  <c:v>112</c:v>
                </c:pt>
                <c:pt idx="6">
                  <c:v>129</c:v>
                </c:pt>
                <c:pt idx="7">
                  <c:v>116</c:v>
                </c:pt>
                <c:pt idx="8">
                  <c:v>92</c:v>
                </c:pt>
                <c:pt idx="9">
                  <c:v>112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53</c:v>
                </c:pt>
                <c:pt idx="1">
                  <c:v>59</c:v>
                </c:pt>
                <c:pt idx="2">
                  <c:v>67</c:v>
                </c:pt>
                <c:pt idx="3">
                  <c:v>56</c:v>
                </c:pt>
                <c:pt idx="4">
                  <c:v>77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9A-48D5-A0E5-91E52D9D687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1">
                  <c:v>808.85</c:v>
                </c:pt>
                <c:pt idx="2">
                  <c:v>555.07000000000005</c:v>
                </c:pt>
                <c:pt idx="3">
                  <c:v>727.68</c:v>
                </c:pt>
                <c:pt idx="4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53</c:v>
                </c:pt>
                <c:pt idx="1">
                  <c:v>59</c:v>
                </c:pt>
                <c:pt idx="2">
                  <c:v>67</c:v>
                </c:pt>
                <c:pt idx="3">
                  <c:v>56</c:v>
                </c:pt>
                <c:pt idx="4">
                  <c:v>77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BPS!$C$2:$C$6</c:f>
              <c:numCache>
                <c:formatCode>General</c:formatCode>
                <c:ptCount val="5"/>
                <c:pt idx="1">
                  <c:v>808.85</c:v>
                </c:pt>
                <c:pt idx="2">
                  <c:v>555.07000000000005</c:v>
                </c:pt>
                <c:pt idx="3">
                  <c:v>727.68</c:v>
                </c:pt>
                <c:pt idx="4">
                  <c:v>1244.5</c:v>
                </c:pt>
              </c:numCache>
            </c:numRef>
          </c:xVal>
          <c:yVal>
            <c:numRef>
              <c:f>BPS!$M$2:$M$6</c:f>
              <c:numCache>
                <c:formatCode>General</c:formatCode>
                <c:ptCount val="5"/>
                <c:pt idx="0">
                  <c:v>0.38</c:v>
                </c:pt>
                <c:pt idx="1">
                  <c:v>0.47</c:v>
                </c:pt>
                <c:pt idx="2">
                  <c:v>0.33</c:v>
                </c:pt>
                <c:pt idx="3">
                  <c:v>0.38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BPS!$W$2:$W$28</c:f>
              <c:numCache>
                <c:formatCode>0.00</c:formatCode>
                <c:ptCount val="27"/>
                <c:pt idx="1">
                  <c:v>0.20468925804491239</c:v>
                </c:pt>
                <c:pt idx="2">
                  <c:v>0.27350535299813195</c:v>
                </c:pt>
                <c:pt idx="3">
                  <c:v>0.19138101152556758</c:v>
                </c:pt>
                <c:pt idx="4">
                  <c:v>0.190758013619762</c:v>
                </c:pt>
                <c:pt idx="5">
                  <c:v>0.16120051973703725</c:v>
                </c:pt>
                <c:pt idx="6">
                  <c:v>0.20957825775177399</c:v>
                </c:pt>
                <c:pt idx="7">
                  <c:v>0.16367528245775095</c:v>
                </c:pt>
                <c:pt idx="8">
                  <c:v>0.21888721500826658</c:v>
                </c:pt>
                <c:pt idx="9">
                  <c:v>0.21727317430719298</c:v>
                </c:pt>
                <c:pt idx="10">
                  <c:v>0.12324555806812812</c:v>
                </c:pt>
                <c:pt idx="11">
                  <c:v>0.32061713896859978</c:v>
                </c:pt>
                <c:pt idx="12">
                  <c:v>0.1820505295355927</c:v>
                </c:pt>
                <c:pt idx="13">
                  <c:v>0.3284283146246485</c:v>
                </c:pt>
                <c:pt idx="14">
                  <c:v>0.19490930490111669</c:v>
                </c:pt>
                <c:pt idx="15">
                  <c:v>0.12621224612068394</c:v>
                </c:pt>
                <c:pt idx="16">
                  <c:v>0.20154512681321413</c:v>
                </c:pt>
                <c:pt idx="17">
                  <c:v>0.22856813817382998</c:v>
                </c:pt>
                <c:pt idx="18">
                  <c:v>0.23816499013968034</c:v>
                </c:pt>
                <c:pt idx="19">
                  <c:v>0.19790189859608504</c:v>
                </c:pt>
                <c:pt idx="20">
                  <c:v>0.19022303663769691</c:v>
                </c:pt>
                <c:pt idx="21">
                  <c:v>0.18744790301058986</c:v>
                </c:pt>
                <c:pt idx="22">
                  <c:v>0.21375035241977705</c:v>
                </c:pt>
                <c:pt idx="23">
                  <c:v>9.5966856645818693E-2</c:v>
                </c:pt>
                <c:pt idx="24">
                  <c:v>0.18196207714477017</c:v>
                </c:pt>
                <c:pt idx="25">
                  <c:v>0.1976714267340858</c:v>
                </c:pt>
                <c:pt idx="26">
                  <c:v>0.20730231433161003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1">
                  <c:v>0.13</c:v>
                </c:pt>
                <c:pt idx="2">
                  <c:v>0.2987388657769145</c:v>
                </c:pt>
                <c:pt idx="3">
                  <c:v>0.19488530843536417</c:v>
                </c:pt>
                <c:pt idx="4">
                  <c:v>0.10500000000000001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138340</xdr:colOff>
      <xdr:row>29</xdr:row>
      <xdr:rowOff>4536</xdr:rowOff>
    </xdr:from>
    <xdr:to>
      <xdr:col>3</xdr:col>
      <xdr:colOff>954769</xdr:colOff>
      <xdr:row>38</xdr:row>
      <xdr:rowOff>140608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57</xdr:row>
      <xdr:rowOff>142875</xdr:rowOff>
    </xdr:from>
    <xdr:to>
      <xdr:col>12</xdr:col>
      <xdr:colOff>40218</xdr:colOff>
      <xdr:row>72</xdr:row>
      <xdr:rowOff>128058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30</xdr:row>
      <xdr:rowOff>21167</xdr:rowOff>
    </xdr:from>
    <xdr:to>
      <xdr:col>6</xdr:col>
      <xdr:colOff>38058</xdr:colOff>
      <xdr:row>42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650875</xdr:colOff>
      <xdr:row>29</xdr:row>
      <xdr:rowOff>92941</xdr:rowOff>
    </xdr:from>
    <xdr:to>
      <xdr:col>17</xdr:col>
      <xdr:colOff>80818</xdr:colOff>
      <xdr:row>42</xdr:row>
      <xdr:rowOff>16328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23813</xdr:colOff>
      <xdr:row>29</xdr:row>
      <xdr:rowOff>80963</xdr:rowOff>
    </xdr:from>
    <xdr:to>
      <xdr:col>25</xdr:col>
      <xdr:colOff>23813</xdr:colOff>
      <xdr:row>43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461433</xdr:colOff>
      <xdr:row>43</xdr:row>
      <xdr:rowOff>37042</xdr:rowOff>
    </xdr:from>
    <xdr:to>
      <xdr:col>6</xdr:col>
      <xdr:colOff>101600</xdr:colOff>
      <xdr:row>55</xdr:row>
      <xdr:rowOff>84667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69850</xdr:colOff>
      <xdr:row>29</xdr:row>
      <xdr:rowOff>174624</xdr:rowOff>
    </xdr:from>
    <xdr:to>
      <xdr:col>11</xdr:col>
      <xdr:colOff>387350</xdr:colOff>
      <xdr:row>42</xdr:row>
      <xdr:rowOff>11641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228600</xdr:colOff>
      <xdr:row>72</xdr:row>
      <xdr:rowOff>5291</xdr:rowOff>
    </xdr:from>
    <xdr:to>
      <xdr:col>24</xdr:col>
      <xdr:colOff>597958</xdr:colOff>
      <xdr:row>84</xdr:row>
      <xdr:rowOff>164043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685800</xdr:colOff>
      <xdr:row>45</xdr:row>
      <xdr:rowOff>19050</xdr:rowOff>
    </xdr:from>
    <xdr:to>
      <xdr:col>24</xdr:col>
      <xdr:colOff>685800</xdr:colOff>
      <xdr:row>59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DD8DC9-87AF-49D7-B7EE-A6C10DDC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153460</xdr:colOff>
      <xdr:row>43</xdr:row>
      <xdr:rowOff>63499</xdr:rowOff>
    </xdr:from>
    <xdr:to>
      <xdr:col>11</xdr:col>
      <xdr:colOff>444501</xdr:colOff>
      <xdr:row>55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629709</xdr:colOff>
      <xdr:row>60</xdr:row>
      <xdr:rowOff>83609</xdr:rowOff>
    </xdr:from>
    <xdr:to>
      <xdr:col>31</xdr:col>
      <xdr:colOff>47625</xdr:colOff>
      <xdr:row>73</xdr:row>
      <xdr:rowOff>47625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407459</xdr:colOff>
      <xdr:row>56</xdr:row>
      <xdr:rowOff>184150</xdr:rowOff>
    </xdr:from>
    <xdr:to>
      <xdr:col>6</xdr:col>
      <xdr:colOff>137584</xdr:colOff>
      <xdr:row>72</xdr:row>
      <xdr:rowOff>48683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182563</xdr:colOff>
      <xdr:row>59</xdr:row>
      <xdr:rowOff>144463</xdr:rowOff>
    </xdr:from>
    <xdr:to>
      <xdr:col>24</xdr:col>
      <xdr:colOff>381000</xdr:colOff>
      <xdr:row>71</xdr:row>
      <xdr:rowOff>142875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214313</xdr:colOff>
      <xdr:row>28</xdr:row>
      <xdr:rowOff>112713</xdr:rowOff>
    </xdr:from>
    <xdr:to>
      <xdr:col>31</xdr:col>
      <xdr:colOff>214313</xdr:colOff>
      <xdr:row>42</xdr:row>
      <xdr:rowOff>188913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452438</xdr:colOff>
      <xdr:row>45</xdr:row>
      <xdr:rowOff>17463</xdr:rowOff>
    </xdr:from>
    <xdr:to>
      <xdr:col>31</xdr:col>
      <xdr:colOff>452438</xdr:colOff>
      <xdr:row>59</xdr:row>
      <xdr:rowOff>93663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27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27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27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27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F28" totalsRowShown="0">
  <autoFilter ref="A1:AF28" xr:uid="{B661E332-EF35-486A-B43B-60BA9CFEE286}"/>
  <sortState xmlns:xlrd2="http://schemas.microsoft.com/office/spreadsheetml/2017/richdata2" ref="A2:AF28">
    <sortCondition ref="O1:O28"/>
  </sortState>
  <tableColumns count="32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25" xr3:uid="{C580C8BD-EA92-4DE1-A52F-BA803282E97E}" name="différence Taplen"/>
    <tableColumn id="13" xr3:uid="{16FAAFBD-3517-466B-A7B5-461A2984E740}" name="CV taplen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7" totalsRowShown="0" headerRowDxfId="27">
  <autoFilter ref="A1:AB27" xr:uid="{C81F56A9-6CA7-46DA-AC43-658C5ED33BBA}"/>
  <sortState xmlns:xlrd2="http://schemas.microsoft.com/office/spreadsheetml/2017/richdata2" ref="A2:AB27">
    <sortCondition ref="A1:A27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N8" sqref="N8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F29"/>
  <sheetViews>
    <sheetView tabSelected="1" zoomScale="40" zoomScaleNormal="40" workbookViewId="0">
      <pane xSplit="1" topLeftCell="B1" activePane="topRight" state="frozen"/>
      <selection pane="topRight" activeCell="O54" sqref="O54"/>
    </sheetView>
  </sheetViews>
  <sheetFormatPr baseColWidth="10" defaultRowHeight="14.5" x14ac:dyDescent="0.35"/>
  <cols>
    <col min="4" max="4" width="14.81640625" customWidth="1"/>
    <col min="9" max="9" width="10.1796875" bestFit="1" customWidth="1"/>
    <col min="14" max="14" width="14.453125" bestFit="1" customWidth="1"/>
    <col min="29" max="29" width="10.90625" style="26"/>
  </cols>
  <sheetData>
    <row r="1" spans="1:32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83</v>
      </c>
      <c r="O1" t="s">
        <v>69</v>
      </c>
      <c r="P1" t="s">
        <v>75</v>
      </c>
      <c r="Q1" t="s">
        <v>76</v>
      </c>
      <c r="R1" t="s">
        <v>77</v>
      </c>
      <c r="S1" t="s">
        <v>81</v>
      </c>
      <c r="T1" t="s">
        <v>78</v>
      </c>
      <c r="U1" t="s">
        <v>70</v>
      </c>
      <c r="V1" t="s">
        <v>71</v>
      </c>
      <c r="W1" t="s">
        <v>72</v>
      </c>
      <c r="X1" t="s">
        <v>74</v>
      </c>
      <c r="Y1" t="s">
        <v>73</v>
      </c>
      <c r="Z1" t="s">
        <v>80</v>
      </c>
      <c r="AA1" t="s">
        <v>24</v>
      </c>
      <c r="AB1" s="32" t="s">
        <v>19</v>
      </c>
      <c r="AC1" s="27" t="s">
        <v>7</v>
      </c>
      <c r="AD1" t="s">
        <v>82</v>
      </c>
      <c r="AE1" s="32" t="s">
        <v>9</v>
      </c>
      <c r="AF1" s="37" t="s">
        <v>6</v>
      </c>
    </row>
    <row r="2" spans="1:32" x14ac:dyDescent="0.35">
      <c r="A2" s="8" t="s">
        <v>67</v>
      </c>
      <c r="B2" s="8">
        <f>3+5+2+5+5+5+5+3+5+5+5+2+3+2+2+2+4+2+5+5+5+2+4+6+5+6+2+2</f>
        <v>107</v>
      </c>
      <c r="C2" s="8"/>
      <c r="D2" s="15"/>
      <c r="E2" s="8">
        <v>19</v>
      </c>
      <c r="F2" s="8">
        <v>17</v>
      </c>
      <c r="G2" s="8">
        <v>17</v>
      </c>
      <c r="H2" s="8">
        <v>53</v>
      </c>
      <c r="I2" s="8"/>
      <c r="J2" s="8"/>
      <c r="K2" s="8">
        <v>0.27</v>
      </c>
      <c r="L2" s="8"/>
      <c r="M2" s="16">
        <v>0.38</v>
      </c>
      <c r="N2" s="16">
        <v>0.17</v>
      </c>
      <c r="O2" s="8">
        <v>0.09</v>
      </c>
      <c r="X2" s="2"/>
      <c r="Y2" s="3"/>
      <c r="AB2" s="8"/>
      <c r="AC2" s="33"/>
      <c r="AD2" s="8"/>
      <c r="AE2" s="35"/>
      <c r="AF2" s="41">
        <f>0.32/0.88</f>
        <v>0.36363636363636365</v>
      </c>
    </row>
    <row r="3" spans="1:32" x14ac:dyDescent="0.35">
      <c r="A3" s="8" t="s">
        <v>3</v>
      </c>
      <c r="B3">
        <f>3+7+4+2+5+4+7+5+7+4+4+4+4+1+3+1+2+3+7+4+2+7+7+4+5+7+4+4</f>
        <v>121</v>
      </c>
      <c r="C3">
        <v>808.85</v>
      </c>
      <c r="D3">
        <f>ABS(C3-(6.1511*B3+348.6))</f>
        <v>284.03309999999999</v>
      </c>
      <c r="E3">
        <v>15</v>
      </c>
      <c r="F3">
        <v>22</v>
      </c>
      <c r="G3">
        <v>22</v>
      </c>
      <c r="H3">
        <f>SUM(E3:G3)</f>
        <v>59</v>
      </c>
      <c r="I3">
        <v>0.2</v>
      </c>
      <c r="J3">
        <v>0.81</v>
      </c>
      <c r="K3">
        <v>0.28999999999999998</v>
      </c>
      <c r="L3">
        <v>0</v>
      </c>
      <c r="M3" s="11">
        <v>0.47</v>
      </c>
      <c r="N3" s="11">
        <v>0.19</v>
      </c>
      <c r="O3">
        <v>0.1</v>
      </c>
      <c r="P3">
        <v>15</v>
      </c>
      <c r="Q3">
        <f>3+4+4+4+0+1+1+0+1+4+0</f>
        <v>22</v>
      </c>
      <c r="R3">
        <f>3+0+3+1+3+4+0+1+3+0+3+1</f>
        <v>22</v>
      </c>
      <c r="S3">
        <f>SUM(P3:R3)</f>
        <v>59</v>
      </c>
      <c r="T3">
        <v>808.85</v>
      </c>
      <c r="W3" s="2">
        <v>0.20468925804491239</v>
      </c>
      <c r="X3" s="2">
        <v>0.13</v>
      </c>
      <c r="Y3" s="8" t="s">
        <v>3</v>
      </c>
      <c r="Z3" t="s">
        <v>3</v>
      </c>
      <c r="AA3">
        <v>0.30681818181818182</v>
      </c>
      <c r="AB3" s="34">
        <f>43/88</f>
        <v>0.48863636363636365</v>
      </c>
      <c r="AC3" s="29">
        <v>0.89772727272727271</v>
      </c>
      <c r="AD3" s="34">
        <f>39/88</f>
        <v>0.44318181818181818</v>
      </c>
      <c r="AE3" s="34">
        <f>75/88</f>
        <v>0.85227272727272729</v>
      </c>
      <c r="AF3" s="36">
        <f>38/88</f>
        <v>0.43181818181818182</v>
      </c>
    </row>
    <row r="4" spans="1:32" x14ac:dyDescent="0.35">
      <c r="A4" s="39" t="s">
        <v>48</v>
      </c>
      <c r="B4" s="12">
        <v>104</v>
      </c>
      <c r="C4" s="12">
        <v>555.07000000000005</v>
      </c>
      <c r="D4">
        <f>ABS(C4-(6.1511*B4+348.6))</f>
        <v>433.24439999999993</v>
      </c>
      <c r="E4">
        <v>17</v>
      </c>
      <c r="F4">
        <v>26</v>
      </c>
      <c r="G4">
        <v>24</v>
      </c>
      <c r="H4" s="12">
        <v>67</v>
      </c>
      <c r="I4">
        <v>0.27</v>
      </c>
      <c r="J4">
        <v>0.49</v>
      </c>
      <c r="K4">
        <v>0.08</v>
      </c>
      <c r="L4">
        <v>0</v>
      </c>
      <c r="M4">
        <v>0.33</v>
      </c>
      <c r="N4">
        <v>0.01</v>
      </c>
      <c r="O4">
        <v>0.14000000000000001</v>
      </c>
      <c r="P4">
        <v>17</v>
      </c>
      <c r="Q4">
        <v>26</v>
      </c>
      <c r="R4">
        <v>24</v>
      </c>
      <c r="S4">
        <v>67</v>
      </c>
      <c r="T4">
        <v>555.07000000000005</v>
      </c>
      <c r="U4">
        <v>0.42523776151081644</v>
      </c>
      <c r="V4">
        <v>0.31884878539456574</v>
      </c>
      <c r="W4" s="2">
        <v>0.27350535299813195</v>
      </c>
      <c r="X4" s="2">
        <v>0.2987388657769145</v>
      </c>
      <c r="Y4" s="8" t="s">
        <v>48</v>
      </c>
      <c r="Z4" t="s">
        <v>48</v>
      </c>
      <c r="AA4">
        <v>0.5</v>
      </c>
      <c r="AB4" s="21">
        <v>0.7</v>
      </c>
      <c r="AC4" s="28">
        <v>0.8</v>
      </c>
      <c r="AD4" s="21">
        <v>0.4</v>
      </c>
      <c r="AE4" s="21">
        <v>0.7</v>
      </c>
      <c r="AF4" s="5">
        <v>0.9</v>
      </c>
    </row>
    <row r="5" spans="1:32" x14ac:dyDescent="0.35">
      <c r="A5" s="14" t="s">
        <v>59</v>
      </c>
      <c r="B5" s="8">
        <v>103</v>
      </c>
      <c r="C5">
        <v>727.68</v>
      </c>
      <c r="D5" s="8">
        <f>ABS(C5-(6.1511*B5+348.6))</f>
        <v>254.48329999999999</v>
      </c>
      <c r="E5">
        <v>17</v>
      </c>
      <c r="F5">
        <v>17</v>
      </c>
      <c r="G5">
        <v>22</v>
      </c>
      <c r="H5">
        <v>56</v>
      </c>
      <c r="I5">
        <v>0.19</v>
      </c>
      <c r="J5">
        <v>0.64</v>
      </c>
      <c r="K5">
        <v>0.06</v>
      </c>
      <c r="L5">
        <v>0</v>
      </c>
      <c r="M5">
        <v>0.38</v>
      </c>
      <c r="N5">
        <v>0</v>
      </c>
      <c r="O5">
        <v>0.23</v>
      </c>
      <c r="P5">
        <v>17</v>
      </c>
      <c r="Q5">
        <v>17</v>
      </c>
      <c r="R5">
        <v>22</v>
      </c>
      <c r="S5">
        <v>56</v>
      </c>
      <c r="T5">
        <v>727.68</v>
      </c>
      <c r="U5">
        <v>0.48697176452987984</v>
      </c>
      <c r="V5">
        <v>0.43788391930139975</v>
      </c>
      <c r="W5" s="2">
        <v>0.19138101152556758</v>
      </c>
      <c r="X5" s="2">
        <v>0.19488530843536417</v>
      </c>
      <c r="Y5" s="13" t="s">
        <v>59</v>
      </c>
      <c r="Z5" t="s">
        <v>59</v>
      </c>
      <c r="AA5">
        <v>0.5</v>
      </c>
      <c r="AB5" s="3">
        <v>0.7</v>
      </c>
      <c r="AC5" s="28">
        <v>0.7</v>
      </c>
      <c r="AD5" s="3">
        <v>0.3</v>
      </c>
      <c r="AE5" s="3">
        <v>0.3</v>
      </c>
      <c r="AF5" s="4">
        <v>0.4</v>
      </c>
    </row>
    <row r="6" spans="1:32" x14ac:dyDescent="0.35">
      <c r="A6" s="17" t="s">
        <v>28</v>
      </c>
      <c r="B6">
        <f>3+6+2+2+4+2+6+4+5+4+3+3+5+3+7+2+4+5+2+6+5+2+4+4+2+5+6+1</f>
        <v>107</v>
      </c>
      <c r="C6">
        <v>1244.5</v>
      </c>
      <c r="D6">
        <f>ABS(C6-(6.1511*B6+348.6))</f>
        <v>237.73230000000001</v>
      </c>
      <c r="E6">
        <v>27</v>
      </c>
      <c r="F6">
        <v>27</v>
      </c>
      <c r="G6">
        <v>23</v>
      </c>
      <c r="H6">
        <f>SUM(E6:G6)</f>
        <v>77</v>
      </c>
      <c r="I6">
        <v>0.19</v>
      </c>
      <c r="J6">
        <v>0.66</v>
      </c>
      <c r="K6">
        <v>0.18</v>
      </c>
      <c r="M6" s="11">
        <v>0.36</v>
      </c>
      <c r="N6" s="11"/>
      <c r="P6">
        <f>2+3+3+2+2+2+3+1+4+3+2</f>
        <v>27</v>
      </c>
      <c r="Q6">
        <f>2+3+2+2+4+2+3+2+2+3+2</f>
        <v>27</v>
      </c>
      <c r="R6">
        <f>3+2+1+4+3+1+1+1+1+1+2+3</f>
        <v>23</v>
      </c>
      <c r="S6">
        <f>SUM(P6:R6)</f>
        <v>77</v>
      </c>
      <c r="T6">
        <v>1244.5</v>
      </c>
      <c r="U6">
        <v>0.53721600055204066</v>
      </c>
      <c r="V6">
        <v>0.51825781535814563</v>
      </c>
      <c r="W6" s="2">
        <v>0.190758013619762</v>
      </c>
      <c r="X6" s="2">
        <v>0.10500000000000001</v>
      </c>
      <c r="Y6" s="3" t="s">
        <v>28</v>
      </c>
      <c r="Z6" t="s">
        <v>28</v>
      </c>
      <c r="AA6">
        <v>9.4318181818181829E-2</v>
      </c>
      <c r="AB6" s="20">
        <f>3.7/88</f>
        <v>4.2045454545454546E-2</v>
      </c>
      <c r="AC6" s="40">
        <v>3.2954545454545452E-2</v>
      </c>
      <c r="AD6" s="20">
        <f>1.6/88</f>
        <v>1.8181818181818184E-2</v>
      </c>
      <c r="AE6" s="20">
        <f>7.6/88</f>
        <v>8.6363636363636365E-2</v>
      </c>
      <c r="AF6" s="36">
        <f>0.2/88</f>
        <v>2.2727272727272731E-3</v>
      </c>
    </row>
    <row r="7" spans="1:32" x14ac:dyDescent="0.35">
      <c r="A7" s="4" t="s">
        <v>39</v>
      </c>
      <c r="B7">
        <v>112</v>
      </c>
      <c r="C7">
        <v>952.27</v>
      </c>
      <c r="D7">
        <f>ABS(C7-(6.1511*B7+348.6))</f>
        <v>85.253200000000106</v>
      </c>
      <c r="E7">
        <v>21</v>
      </c>
      <c r="F7">
        <v>34</v>
      </c>
      <c r="G7">
        <v>24</v>
      </c>
      <c r="H7">
        <v>79</v>
      </c>
      <c r="I7">
        <v>0.16</v>
      </c>
      <c r="P7">
        <v>21</v>
      </c>
      <c r="Q7">
        <v>34</v>
      </c>
      <c r="R7">
        <v>24</v>
      </c>
      <c r="S7">
        <v>79</v>
      </c>
      <c r="T7">
        <v>952.27</v>
      </c>
      <c r="W7" s="2">
        <v>0.16120051973703725</v>
      </c>
      <c r="X7" s="2">
        <v>9.5000000000000001E-2</v>
      </c>
      <c r="Y7" s="4" t="s">
        <v>39</v>
      </c>
      <c r="Z7" t="s">
        <v>39</v>
      </c>
      <c r="AA7">
        <v>0.2</v>
      </c>
      <c r="AB7" s="5">
        <v>0.8</v>
      </c>
      <c r="AC7" s="30">
        <v>0.8</v>
      </c>
      <c r="AD7" s="5">
        <v>0.5</v>
      </c>
      <c r="AE7" s="5">
        <v>0.4</v>
      </c>
      <c r="AF7" s="5">
        <v>0.7</v>
      </c>
    </row>
    <row r="8" spans="1:32" x14ac:dyDescent="0.35">
      <c r="A8" s="3" t="s">
        <v>38</v>
      </c>
      <c r="B8">
        <v>129</v>
      </c>
      <c r="C8">
        <v>1012.32</v>
      </c>
      <c r="D8">
        <f>ABS(C8-(6.1511*B8+348.6))</f>
        <v>129.77189999999985</v>
      </c>
      <c r="E8">
        <v>27</v>
      </c>
      <c r="F8">
        <v>26</v>
      </c>
      <c r="G8">
        <v>20</v>
      </c>
      <c r="H8">
        <v>73</v>
      </c>
      <c r="I8">
        <v>0.21</v>
      </c>
      <c r="P8">
        <v>27</v>
      </c>
      <c r="Q8">
        <v>26</v>
      </c>
      <c r="R8">
        <v>20</v>
      </c>
      <c r="S8">
        <v>73</v>
      </c>
      <c r="T8">
        <v>1012.32</v>
      </c>
      <c r="W8" s="2">
        <v>0.20957825775177399</v>
      </c>
      <c r="X8" s="2">
        <v>0.16499999999999998</v>
      </c>
      <c r="Y8" s="3" t="s">
        <v>38</v>
      </c>
      <c r="Z8" t="s">
        <v>38</v>
      </c>
      <c r="AA8">
        <v>0.8</v>
      </c>
      <c r="AB8" s="6">
        <v>0.8</v>
      </c>
      <c r="AC8" s="30">
        <v>0.9</v>
      </c>
      <c r="AD8" s="6">
        <v>0.8</v>
      </c>
      <c r="AE8" s="6">
        <v>0.9</v>
      </c>
      <c r="AF8" s="5">
        <v>0.7</v>
      </c>
    </row>
    <row r="9" spans="1:32" x14ac:dyDescent="0.35">
      <c r="A9" s="18" t="s">
        <v>47</v>
      </c>
      <c r="B9">
        <v>116</v>
      </c>
      <c r="C9">
        <v>724.29</v>
      </c>
      <c r="D9">
        <f>ABS(C9-(6.1511*B9+348.6))</f>
        <v>337.83759999999984</v>
      </c>
      <c r="E9">
        <v>13</v>
      </c>
      <c r="F9">
        <v>13</v>
      </c>
      <c r="G9">
        <v>10</v>
      </c>
      <c r="H9">
        <v>36</v>
      </c>
      <c r="I9">
        <v>0.16</v>
      </c>
      <c r="P9">
        <v>13</v>
      </c>
      <c r="Q9">
        <v>13</v>
      </c>
      <c r="R9">
        <v>10</v>
      </c>
      <c r="S9">
        <v>36</v>
      </c>
      <c r="T9">
        <v>724.29</v>
      </c>
      <c r="W9" s="2">
        <v>0.16367528245775095</v>
      </c>
      <c r="X9" s="2">
        <v>0.2</v>
      </c>
      <c r="Y9" s="4" t="s">
        <v>47</v>
      </c>
      <c r="Z9" t="s">
        <v>47</v>
      </c>
      <c r="AA9">
        <v>0.6</v>
      </c>
      <c r="AB9" s="5">
        <v>0.9</v>
      </c>
      <c r="AC9" s="30">
        <v>0.4</v>
      </c>
      <c r="AD9" s="5">
        <v>0.3</v>
      </c>
      <c r="AE9" s="5">
        <v>0.5</v>
      </c>
      <c r="AF9" s="5">
        <v>0.5</v>
      </c>
    </row>
    <row r="10" spans="1:32" x14ac:dyDescent="0.35">
      <c r="A10" s="4" t="s">
        <v>45</v>
      </c>
      <c r="B10">
        <v>92</v>
      </c>
      <c r="C10">
        <v>1129.94</v>
      </c>
      <c r="D10">
        <f>ABS(C10-(6.1511*B10+348.6))</f>
        <v>215.43880000000001</v>
      </c>
      <c r="E10">
        <v>12</v>
      </c>
      <c r="F10">
        <v>15</v>
      </c>
      <c r="G10">
        <v>13</v>
      </c>
      <c r="H10">
        <v>40</v>
      </c>
      <c r="I10">
        <v>0.22</v>
      </c>
      <c r="P10">
        <v>12</v>
      </c>
      <c r="Q10">
        <v>15</v>
      </c>
      <c r="R10">
        <v>13</v>
      </c>
      <c r="S10">
        <v>40</v>
      </c>
      <c r="T10">
        <v>1129.94</v>
      </c>
      <c r="W10" s="2">
        <v>0.21888721500826658</v>
      </c>
      <c r="X10" s="2">
        <v>0.16</v>
      </c>
      <c r="Y10" s="4" t="s">
        <v>45</v>
      </c>
      <c r="Z10" t="s">
        <v>45</v>
      </c>
      <c r="AA10">
        <v>0.1</v>
      </c>
      <c r="AB10" s="5">
        <v>0.7</v>
      </c>
      <c r="AC10" s="30">
        <v>1</v>
      </c>
      <c r="AD10" s="5">
        <v>0.1</v>
      </c>
      <c r="AE10" s="5">
        <v>0.1</v>
      </c>
      <c r="AF10" s="5">
        <v>0.1</v>
      </c>
    </row>
    <row r="11" spans="1:32" x14ac:dyDescent="0.35">
      <c r="A11" s="3" t="s">
        <v>50</v>
      </c>
      <c r="B11">
        <v>112</v>
      </c>
      <c r="C11">
        <v>1264.3399999999999</v>
      </c>
      <c r="D11">
        <f>ABS(C11-(6.1511*B11+348.6))</f>
        <v>226.81679999999983</v>
      </c>
      <c r="E11">
        <v>18</v>
      </c>
      <c r="F11">
        <v>20</v>
      </c>
      <c r="G11">
        <v>14</v>
      </c>
      <c r="H11">
        <v>52</v>
      </c>
      <c r="I11">
        <v>0.22</v>
      </c>
      <c r="P11">
        <v>18</v>
      </c>
      <c r="Q11">
        <v>20</v>
      </c>
      <c r="R11">
        <v>14</v>
      </c>
      <c r="S11">
        <v>52</v>
      </c>
      <c r="T11">
        <v>1264.3399999999999</v>
      </c>
      <c r="W11" s="2">
        <v>0.21727317430719298</v>
      </c>
      <c r="X11" s="2">
        <v>0.14000000000000001</v>
      </c>
      <c r="Y11" s="3" t="s">
        <v>50</v>
      </c>
      <c r="Z11" t="s">
        <v>50</v>
      </c>
      <c r="AA11">
        <v>0.9</v>
      </c>
      <c r="AB11" s="6">
        <v>0.9</v>
      </c>
      <c r="AC11" s="30">
        <v>0.6</v>
      </c>
      <c r="AD11" s="6">
        <v>0.8</v>
      </c>
      <c r="AE11" s="6">
        <v>0.4</v>
      </c>
      <c r="AF11" s="5">
        <v>0.9</v>
      </c>
    </row>
    <row r="12" spans="1:32" x14ac:dyDescent="0.35">
      <c r="A12" s="24" t="s">
        <v>49</v>
      </c>
      <c r="B12" s="9">
        <v>96</v>
      </c>
      <c r="C12" s="9">
        <v>1627.89</v>
      </c>
      <c r="D12">
        <f>ABS(C12-(6.1511*B12+348.6))</f>
        <v>688.78440000000012</v>
      </c>
      <c r="E12">
        <v>15</v>
      </c>
      <c r="F12">
        <v>17</v>
      </c>
      <c r="G12">
        <v>19</v>
      </c>
      <c r="H12" s="9">
        <v>51</v>
      </c>
      <c r="I12">
        <v>0.12</v>
      </c>
      <c r="P12">
        <v>15</v>
      </c>
      <c r="Q12">
        <v>17</v>
      </c>
      <c r="R12">
        <v>19</v>
      </c>
      <c r="S12">
        <v>51</v>
      </c>
      <c r="T12">
        <v>1627.89</v>
      </c>
      <c r="W12" s="2">
        <v>0.12324555806812812</v>
      </c>
      <c r="X12" s="2">
        <v>0.08</v>
      </c>
      <c r="Y12" s="4" t="s">
        <v>49</v>
      </c>
      <c r="Z12" t="s">
        <v>49</v>
      </c>
      <c r="AA12">
        <v>0.8</v>
      </c>
      <c r="AB12" s="5">
        <v>0.5</v>
      </c>
      <c r="AC12" s="30">
        <v>0.2</v>
      </c>
      <c r="AD12" s="5">
        <v>0.2</v>
      </c>
      <c r="AE12" s="5">
        <v>0.5</v>
      </c>
      <c r="AF12" s="5">
        <v>0.2</v>
      </c>
    </row>
    <row r="13" spans="1:32" x14ac:dyDescent="0.35">
      <c r="A13" s="23" t="s">
        <v>46</v>
      </c>
      <c r="B13" s="10">
        <v>119</v>
      </c>
      <c r="C13" s="10">
        <v>440.17</v>
      </c>
      <c r="D13">
        <f>ABS(C13-(6.1511*B13+348.6))</f>
        <v>640.41089999999986</v>
      </c>
      <c r="E13">
        <v>14</v>
      </c>
      <c r="F13">
        <v>18</v>
      </c>
      <c r="G13">
        <v>23</v>
      </c>
      <c r="H13" s="10">
        <v>55</v>
      </c>
      <c r="I13">
        <v>0.32</v>
      </c>
      <c r="P13">
        <v>14</v>
      </c>
      <c r="Q13">
        <v>18</v>
      </c>
      <c r="R13">
        <v>23</v>
      </c>
      <c r="S13">
        <v>55</v>
      </c>
      <c r="T13">
        <v>440.17</v>
      </c>
      <c r="W13" s="2">
        <v>0.32061713896859978</v>
      </c>
      <c r="X13" s="2">
        <v>0.2635723605504261</v>
      </c>
      <c r="Y13" s="3" t="s">
        <v>46</v>
      </c>
      <c r="Z13" t="s">
        <v>46</v>
      </c>
      <c r="AA13">
        <v>0.4</v>
      </c>
      <c r="AB13" s="6">
        <v>0.8</v>
      </c>
      <c r="AC13" s="30">
        <v>0.5</v>
      </c>
      <c r="AD13" s="6">
        <v>0.2</v>
      </c>
      <c r="AE13" s="6">
        <v>0.3</v>
      </c>
      <c r="AF13" s="5">
        <v>0.2</v>
      </c>
    </row>
    <row r="14" spans="1:32" x14ac:dyDescent="0.35">
      <c r="A14" s="4" t="s">
        <v>35</v>
      </c>
      <c r="B14">
        <v>126</v>
      </c>
      <c r="C14">
        <v>1411.91</v>
      </c>
      <c r="D14">
        <f>ABS(C14-(6.1511*B14+348.6))</f>
        <v>288.27140000000009</v>
      </c>
      <c r="E14">
        <v>18</v>
      </c>
      <c r="F14">
        <v>21</v>
      </c>
      <c r="G14">
        <v>24</v>
      </c>
      <c r="H14">
        <v>63</v>
      </c>
      <c r="I14">
        <v>0.18</v>
      </c>
      <c r="P14">
        <v>18</v>
      </c>
      <c r="Q14">
        <v>21</v>
      </c>
      <c r="R14">
        <v>24</v>
      </c>
      <c r="S14">
        <v>63</v>
      </c>
      <c r="T14">
        <v>1411.91</v>
      </c>
      <c r="W14" s="2">
        <v>0.1820505295355927</v>
      </c>
      <c r="X14" s="2">
        <v>5.3769617948418891E-2</v>
      </c>
      <c r="Y14" s="4" t="s">
        <v>35</v>
      </c>
      <c r="Z14" t="s">
        <v>35</v>
      </c>
      <c r="AA14">
        <v>0.5</v>
      </c>
      <c r="AB14" s="5">
        <v>0.9</v>
      </c>
      <c r="AC14" s="30">
        <v>0.8</v>
      </c>
      <c r="AD14" s="5">
        <v>0.2</v>
      </c>
      <c r="AE14" s="5">
        <v>0.5</v>
      </c>
      <c r="AF14" s="5">
        <v>0.3</v>
      </c>
    </row>
    <row r="15" spans="1:32" x14ac:dyDescent="0.35">
      <c r="A15" s="14" t="s">
        <v>41</v>
      </c>
      <c r="B15">
        <v>113</v>
      </c>
      <c r="C15">
        <v>1183.1199999999999</v>
      </c>
      <c r="D15">
        <f>ABS(C15-(6.1511*B15+348.6))</f>
        <v>139.44569999999976</v>
      </c>
      <c r="E15">
        <v>28</v>
      </c>
      <c r="F15">
        <v>24</v>
      </c>
      <c r="G15">
        <v>19</v>
      </c>
      <c r="H15">
        <v>71</v>
      </c>
      <c r="I15">
        <v>0.32</v>
      </c>
      <c r="P15">
        <v>28</v>
      </c>
      <c r="Q15">
        <v>24</v>
      </c>
      <c r="R15">
        <v>19</v>
      </c>
      <c r="S15">
        <v>71</v>
      </c>
      <c r="T15">
        <v>1183.1199999999999</v>
      </c>
      <c r="W15" s="2">
        <v>0.3284283146246485</v>
      </c>
      <c r="X15" s="2">
        <v>0.16840344988893338</v>
      </c>
      <c r="Y15" s="4" t="s">
        <v>41</v>
      </c>
      <c r="Z15" t="s">
        <v>41</v>
      </c>
      <c r="AA15">
        <v>0.4</v>
      </c>
      <c r="AB15" s="5">
        <v>0.9</v>
      </c>
      <c r="AC15" s="30">
        <v>0.8</v>
      </c>
      <c r="AD15" s="5">
        <v>0.8</v>
      </c>
      <c r="AE15" s="5">
        <v>0.6</v>
      </c>
      <c r="AF15" s="5">
        <v>0.6</v>
      </c>
    </row>
    <row r="16" spans="1:32" x14ac:dyDescent="0.35">
      <c r="A16" s="4" t="s">
        <v>37</v>
      </c>
      <c r="B16">
        <v>91</v>
      </c>
      <c r="C16">
        <v>641.14</v>
      </c>
      <c r="D16">
        <f>ABS(C16-(6.1511*B16+348.6))</f>
        <v>267.21010000000001</v>
      </c>
      <c r="E16">
        <v>21</v>
      </c>
      <c r="F16">
        <v>16</v>
      </c>
      <c r="G16">
        <v>14</v>
      </c>
      <c r="H16">
        <v>51</v>
      </c>
      <c r="I16">
        <v>0.19</v>
      </c>
      <c r="P16">
        <v>21</v>
      </c>
      <c r="Q16">
        <v>16</v>
      </c>
      <c r="R16">
        <v>14</v>
      </c>
      <c r="S16">
        <v>51</v>
      </c>
      <c r="T16">
        <v>641.14</v>
      </c>
      <c r="W16" s="2">
        <v>0.19490930490111669</v>
      </c>
      <c r="X16" s="2">
        <v>0.27130752388374324</v>
      </c>
      <c r="Y16" s="4" t="s">
        <v>37</v>
      </c>
      <c r="Z16" t="s">
        <v>37</v>
      </c>
      <c r="AA16">
        <v>0.2</v>
      </c>
      <c r="AB16" s="5">
        <v>0.8</v>
      </c>
      <c r="AC16" s="30">
        <v>0.9</v>
      </c>
      <c r="AD16" s="5">
        <v>0.3</v>
      </c>
      <c r="AE16" s="5">
        <v>0.3</v>
      </c>
      <c r="AF16" s="5">
        <v>0.3</v>
      </c>
    </row>
    <row r="17" spans="1:32" x14ac:dyDescent="0.35">
      <c r="A17" s="3" t="s">
        <v>33</v>
      </c>
      <c r="B17">
        <v>120</v>
      </c>
      <c r="C17">
        <v>1127.92</v>
      </c>
      <c r="D17">
        <f>ABS(C17-(6.1511*B17+348.6))</f>
        <v>41.188000000000102</v>
      </c>
      <c r="E17">
        <v>12</v>
      </c>
      <c r="F17">
        <v>18</v>
      </c>
      <c r="G17">
        <v>26</v>
      </c>
      <c r="H17">
        <v>56</v>
      </c>
      <c r="I17">
        <v>0.12</v>
      </c>
      <c r="P17">
        <v>12</v>
      </c>
      <c r="Q17">
        <v>18</v>
      </c>
      <c r="R17">
        <v>26</v>
      </c>
      <c r="S17">
        <v>56</v>
      </c>
      <c r="T17">
        <v>1127.92</v>
      </c>
      <c r="W17" s="2">
        <v>0.12621224612068394</v>
      </c>
      <c r="X17" s="2">
        <v>0.155</v>
      </c>
      <c r="Y17" s="3" t="s">
        <v>33</v>
      </c>
      <c r="Z17" t="s">
        <v>33</v>
      </c>
      <c r="AA17">
        <v>0.6</v>
      </c>
      <c r="AB17" s="5">
        <v>0.7</v>
      </c>
      <c r="AC17" s="30">
        <v>0.4</v>
      </c>
      <c r="AD17" s="5">
        <v>0.2</v>
      </c>
      <c r="AE17" s="5">
        <v>0.3</v>
      </c>
      <c r="AF17" s="5">
        <v>0.3</v>
      </c>
    </row>
    <row r="18" spans="1:32" x14ac:dyDescent="0.35">
      <c r="A18" s="14" t="s">
        <v>57</v>
      </c>
      <c r="B18">
        <v>95</v>
      </c>
      <c r="C18">
        <v>803.62</v>
      </c>
      <c r="D18">
        <f>ABS(C18-(6.1511*B18+348.6))</f>
        <v>129.33449999999993</v>
      </c>
      <c r="E18">
        <v>15</v>
      </c>
      <c r="F18">
        <v>14</v>
      </c>
      <c r="G18">
        <v>18</v>
      </c>
      <c r="H18">
        <v>47</v>
      </c>
      <c r="I18">
        <v>0.2</v>
      </c>
      <c r="P18">
        <v>15</v>
      </c>
      <c r="Q18">
        <v>14</v>
      </c>
      <c r="R18">
        <v>18</v>
      </c>
      <c r="S18">
        <v>47</v>
      </c>
      <c r="T18">
        <v>803.62</v>
      </c>
      <c r="W18" s="2">
        <v>0.20154512681321413</v>
      </c>
      <c r="X18" s="2">
        <v>0.1475549402808192</v>
      </c>
      <c r="Y18" s="4" t="s">
        <v>57</v>
      </c>
      <c r="Z18" t="s">
        <v>57</v>
      </c>
      <c r="AA18">
        <v>0.1</v>
      </c>
      <c r="AB18" s="3">
        <v>1</v>
      </c>
      <c r="AC18" s="30">
        <v>0.9</v>
      </c>
      <c r="AD18" s="3">
        <v>0.6</v>
      </c>
      <c r="AE18" s="3">
        <v>0.1</v>
      </c>
      <c r="AF18" s="4">
        <v>0.8</v>
      </c>
    </row>
    <row r="19" spans="1:32" x14ac:dyDescent="0.35">
      <c r="A19" s="18" t="s">
        <v>43</v>
      </c>
      <c r="B19">
        <v>93</v>
      </c>
      <c r="C19">
        <v>939.92</v>
      </c>
      <c r="D19">
        <f>ABS(C19-(6.1511*B19+348.6))</f>
        <v>19.267699999999991</v>
      </c>
      <c r="E19">
        <v>16</v>
      </c>
      <c r="F19">
        <v>11</v>
      </c>
      <c r="G19">
        <v>15</v>
      </c>
      <c r="H19">
        <v>42</v>
      </c>
      <c r="I19">
        <v>0.23</v>
      </c>
      <c r="P19">
        <v>16</v>
      </c>
      <c r="Q19">
        <v>11</v>
      </c>
      <c r="R19">
        <v>15</v>
      </c>
      <c r="S19">
        <v>42</v>
      </c>
      <c r="T19">
        <v>939.92</v>
      </c>
      <c r="W19" s="2">
        <v>0.22856813817382998</v>
      </c>
      <c r="X19" s="2">
        <v>0.215</v>
      </c>
      <c r="Y19" s="4" t="s">
        <v>43</v>
      </c>
      <c r="Z19" t="s">
        <v>43</v>
      </c>
      <c r="AA19">
        <v>0.7</v>
      </c>
      <c r="AB19" s="5">
        <v>0.6</v>
      </c>
      <c r="AC19" s="30">
        <v>0.6</v>
      </c>
      <c r="AD19" s="5">
        <v>0.1</v>
      </c>
      <c r="AE19" s="5">
        <v>0.1</v>
      </c>
      <c r="AF19" s="5">
        <v>0.3</v>
      </c>
    </row>
    <row r="20" spans="1:32" x14ac:dyDescent="0.35">
      <c r="A20" s="3" t="s">
        <v>42</v>
      </c>
      <c r="B20">
        <v>77</v>
      </c>
      <c r="C20">
        <v>771.81</v>
      </c>
      <c r="D20">
        <f>ABS(C20-(6.1511*B20+348.6))</f>
        <v>50.42470000000003</v>
      </c>
      <c r="E20">
        <v>14</v>
      </c>
      <c r="F20">
        <v>16</v>
      </c>
      <c r="G20">
        <v>17</v>
      </c>
      <c r="H20">
        <v>47</v>
      </c>
      <c r="I20">
        <v>0.24</v>
      </c>
      <c r="P20">
        <v>14</v>
      </c>
      <c r="Q20">
        <v>16</v>
      </c>
      <c r="R20">
        <v>17</v>
      </c>
      <c r="S20">
        <v>47</v>
      </c>
      <c r="T20">
        <v>771.81</v>
      </c>
      <c r="W20" s="2">
        <v>0.23816499013968034</v>
      </c>
      <c r="X20" s="2">
        <v>0.22618618391532119</v>
      </c>
      <c r="Y20" s="3" t="s">
        <v>42</v>
      </c>
      <c r="Z20" t="s">
        <v>42</v>
      </c>
      <c r="AA20">
        <v>0.2</v>
      </c>
      <c r="AB20" s="6">
        <v>0.6</v>
      </c>
      <c r="AC20" s="30">
        <v>0.8</v>
      </c>
      <c r="AD20" s="6">
        <v>0.3</v>
      </c>
      <c r="AE20" s="6">
        <v>0.6</v>
      </c>
      <c r="AF20" s="5">
        <v>0.5</v>
      </c>
    </row>
    <row r="21" spans="1:32" x14ac:dyDescent="0.35">
      <c r="A21" s="3" t="s">
        <v>36</v>
      </c>
      <c r="B21">
        <v>139</v>
      </c>
      <c r="C21">
        <v>1266.79</v>
      </c>
      <c r="D21">
        <f>ABS(C21-(6.1511*B21+348.6))</f>
        <v>63.1871000000001</v>
      </c>
      <c r="E21">
        <v>24</v>
      </c>
      <c r="F21">
        <v>25</v>
      </c>
      <c r="G21">
        <v>22</v>
      </c>
      <c r="H21">
        <v>71</v>
      </c>
      <c r="I21">
        <v>0.2</v>
      </c>
      <c r="P21">
        <v>24</v>
      </c>
      <c r="Q21">
        <v>25</v>
      </c>
      <c r="R21">
        <v>22</v>
      </c>
      <c r="S21">
        <v>71</v>
      </c>
      <c r="T21">
        <v>1266.79</v>
      </c>
      <c r="W21" s="2">
        <v>0.19790189859608504</v>
      </c>
      <c r="X21" s="2">
        <v>0.12574829784647523</v>
      </c>
      <c r="Y21" s="3" t="s">
        <v>36</v>
      </c>
      <c r="Z21" t="s">
        <v>36</v>
      </c>
      <c r="AA21">
        <v>0.5</v>
      </c>
      <c r="AB21" s="6">
        <v>0.8</v>
      </c>
      <c r="AC21" s="30">
        <v>0.9</v>
      </c>
      <c r="AD21" s="6">
        <v>0.6</v>
      </c>
      <c r="AE21" s="6">
        <v>0.6</v>
      </c>
      <c r="AF21" s="5">
        <v>0.6</v>
      </c>
    </row>
    <row r="22" spans="1:32" x14ac:dyDescent="0.35">
      <c r="A22" s="14" t="s">
        <v>55</v>
      </c>
      <c r="B22">
        <v>85</v>
      </c>
      <c r="C22">
        <v>828.46</v>
      </c>
      <c r="D22">
        <f>ABS(C22-(6.1511*B22+348.6))</f>
        <v>42.983499999999935</v>
      </c>
      <c r="E22">
        <v>18</v>
      </c>
      <c r="F22">
        <v>14</v>
      </c>
      <c r="G22">
        <v>5</v>
      </c>
      <c r="H22">
        <v>37</v>
      </c>
      <c r="I22">
        <v>0.19</v>
      </c>
      <c r="P22">
        <v>18</v>
      </c>
      <c r="Q22">
        <v>14</v>
      </c>
      <c r="R22">
        <v>5</v>
      </c>
      <c r="S22">
        <v>37</v>
      </c>
      <c r="T22">
        <v>828.46</v>
      </c>
      <c r="W22" s="2">
        <v>0.19022303663769691</v>
      </c>
      <c r="X22" s="2">
        <v>0.20500000000000002</v>
      </c>
      <c r="Y22" s="4" t="s">
        <v>55</v>
      </c>
      <c r="Z22" t="s">
        <v>55</v>
      </c>
      <c r="AA22">
        <v>0.5</v>
      </c>
      <c r="AB22" s="3">
        <v>0.6</v>
      </c>
      <c r="AC22" s="30">
        <v>0.7</v>
      </c>
      <c r="AD22" s="3">
        <v>0.2</v>
      </c>
      <c r="AE22" s="3">
        <v>0.6</v>
      </c>
      <c r="AF22" s="4">
        <v>0.2</v>
      </c>
    </row>
    <row r="23" spans="1:32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  <c r="P23">
        <v>21</v>
      </c>
      <c r="Q23">
        <v>23</v>
      </c>
      <c r="R23">
        <v>14</v>
      </c>
      <c r="S23">
        <v>58</v>
      </c>
      <c r="T23">
        <v>1250.0999999999999</v>
      </c>
      <c r="W23" s="2">
        <v>0.18744790301058986</v>
      </c>
      <c r="X23" s="2">
        <v>0.16</v>
      </c>
      <c r="Y23" s="3" t="s">
        <v>34</v>
      </c>
      <c r="Z23" t="s">
        <v>34</v>
      </c>
      <c r="AA23">
        <v>0.5</v>
      </c>
      <c r="AB23" s="6">
        <v>0.4</v>
      </c>
      <c r="AC23" s="30">
        <v>0.7</v>
      </c>
      <c r="AD23" s="6">
        <v>0.7</v>
      </c>
      <c r="AE23" s="6">
        <v>0.9</v>
      </c>
      <c r="AF23" s="5">
        <v>0.9</v>
      </c>
    </row>
    <row r="24" spans="1:32" x14ac:dyDescent="0.35">
      <c r="A24" s="3" t="s">
        <v>58</v>
      </c>
      <c r="B24">
        <v>104</v>
      </c>
      <c r="C24">
        <v>757.59</v>
      </c>
      <c r="D24">
        <f>ABS(C24-(6.1511*B24+348.6))</f>
        <v>230.72439999999995</v>
      </c>
      <c r="E24">
        <v>21</v>
      </c>
      <c r="F24">
        <v>22</v>
      </c>
      <c r="G24">
        <v>20</v>
      </c>
      <c r="H24">
        <v>63</v>
      </c>
      <c r="I24">
        <v>0.21</v>
      </c>
      <c r="P24">
        <v>21</v>
      </c>
      <c r="Q24">
        <v>22</v>
      </c>
      <c r="R24">
        <v>20</v>
      </c>
      <c r="S24">
        <v>63</v>
      </c>
      <c r="T24">
        <v>757.59</v>
      </c>
      <c r="W24" s="2">
        <v>0.21375035241977705</v>
      </c>
      <c r="X24" s="2">
        <v>0.22</v>
      </c>
      <c r="Y24" s="3" t="s">
        <v>58</v>
      </c>
      <c r="Z24" t="s">
        <v>58</v>
      </c>
      <c r="AA24">
        <v>0.1</v>
      </c>
      <c r="AB24" s="4">
        <v>0.9</v>
      </c>
      <c r="AC24" s="30">
        <v>0.9</v>
      </c>
      <c r="AD24" s="4">
        <v>0.3</v>
      </c>
      <c r="AE24" s="4">
        <v>0.6</v>
      </c>
      <c r="AF24" s="4">
        <v>0.2</v>
      </c>
    </row>
    <row r="25" spans="1:32" x14ac:dyDescent="0.35">
      <c r="A25" s="3" t="s">
        <v>56</v>
      </c>
      <c r="B25" s="11">
        <v>104</v>
      </c>
      <c r="C25" s="11">
        <v>1394.13</v>
      </c>
      <c r="D25">
        <f>ABS(C25-(6.1511*B25+348.6))</f>
        <v>405.81560000000013</v>
      </c>
      <c r="E25">
        <v>17</v>
      </c>
      <c r="F25">
        <v>10</v>
      </c>
      <c r="G25">
        <v>10</v>
      </c>
      <c r="H25" s="11">
        <v>37</v>
      </c>
      <c r="I25">
        <v>0.09</v>
      </c>
      <c r="P25">
        <v>17</v>
      </c>
      <c r="Q25">
        <v>10</v>
      </c>
      <c r="R25">
        <v>10</v>
      </c>
      <c r="S25">
        <v>37</v>
      </c>
      <c r="T25">
        <v>1394.13</v>
      </c>
      <c r="W25" s="2">
        <v>9.5966856645818693E-2</v>
      </c>
      <c r="X25" s="2">
        <v>0.125</v>
      </c>
      <c r="Y25" s="3" t="s">
        <v>56</v>
      </c>
      <c r="Z25" t="s">
        <v>56</v>
      </c>
      <c r="AA25">
        <v>0.5</v>
      </c>
      <c r="AB25" s="4">
        <v>0.9</v>
      </c>
      <c r="AC25" s="30">
        <v>0.7</v>
      </c>
      <c r="AD25" s="4">
        <v>0.5</v>
      </c>
      <c r="AE25" s="4">
        <v>0.3</v>
      </c>
      <c r="AF25" s="4">
        <v>0.2</v>
      </c>
    </row>
    <row r="26" spans="1:32" x14ac:dyDescent="0.35">
      <c r="A26" s="3" t="s">
        <v>44</v>
      </c>
      <c r="B26">
        <v>137</v>
      </c>
      <c r="C26">
        <v>1333.71</v>
      </c>
      <c r="D26">
        <f>ABS(C26-(6.1511*B26+348.6))</f>
        <v>142.40930000000003</v>
      </c>
      <c r="E26">
        <v>17</v>
      </c>
      <c r="F26">
        <v>22</v>
      </c>
      <c r="G26">
        <v>15</v>
      </c>
      <c r="H26">
        <v>54</v>
      </c>
      <c r="I26">
        <v>0.18</v>
      </c>
      <c r="P26">
        <v>17</v>
      </c>
      <c r="Q26">
        <v>22</v>
      </c>
      <c r="R26">
        <v>15</v>
      </c>
      <c r="S26">
        <v>54</v>
      </c>
      <c r="T26">
        <v>1333.71</v>
      </c>
      <c r="W26" s="2">
        <v>0.18196207714477017</v>
      </c>
      <c r="X26" s="2">
        <v>0.125</v>
      </c>
      <c r="Y26" s="3" t="s">
        <v>44</v>
      </c>
      <c r="Z26" t="s">
        <v>44</v>
      </c>
      <c r="AA26">
        <v>0.8</v>
      </c>
      <c r="AB26" s="6">
        <v>0.6</v>
      </c>
      <c r="AC26" s="30">
        <v>0.9</v>
      </c>
      <c r="AD26" s="6">
        <v>0.6</v>
      </c>
      <c r="AE26" s="6">
        <v>0.8</v>
      </c>
      <c r="AF26" s="5">
        <v>0.4</v>
      </c>
    </row>
    <row r="27" spans="1:32" x14ac:dyDescent="0.35">
      <c r="A27" s="3" t="s">
        <v>54</v>
      </c>
      <c r="B27">
        <v>132</v>
      </c>
      <c r="C27">
        <v>1200.1400000000001</v>
      </c>
      <c r="D27">
        <f>ABS(C27-(6.1511*B27+348.6))</f>
        <v>39.594800000000077</v>
      </c>
      <c r="E27">
        <v>26</v>
      </c>
      <c r="F27">
        <v>20</v>
      </c>
      <c r="G27">
        <v>22</v>
      </c>
      <c r="H27">
        <v>68</v>
      </c>
      <c r="I27">
        <v>0.2</v>
      </c>
      <c r="P27">
        <v>26</v>
      </c>
      <c r="Q27">
        <v>20</v>
      </c>
      <c r="R27">
        <v>22</v>
      </c>
      <c r="S27">
        <v>68</v>
      </c>
      <c r="T27">
        <v>1200.1400000000001</v>
      </c>
      <c r="W27" s="2">
        <v>0.1976714267340858</v>
      </c>
      <c r="X27" s="2">
        <v>0.10840508583399006</v>
      </c>
      <c r="Y27" s="3" t="s">
        <v>54</v>
      </c>
      <c r="Z27" t="s">
        <v>54</v>
      </c>
      <c r="AA27">
        <v>0.5</v>
      </c>
      <c r="AB27" s="4">
        <v>0.9</v>
      </c>
      <c r="AC27" s="30">
        <v>0.8</v>
      </c>
      <c r="AD27" s="4">
        <v>0.2</v>
      </c>
      <c r="AE27" s="4">
        <v>0.6</v>
      </c>
      <c r="AF27" s="4">
        <v>0.6</v>
      </c>
    </row>
    <row r="28" spans="1:32" x14ac:dyDescent="0.35">
      <c r="A28" s="25" t="s">
        <v>40</v>
      </c>
      <c r="B28">
        <v>113</v>
      </c>
      <c r="C28">
        <v>1276.5</v>
      </c>
      <c r="D28">
        <f>ABS(C28-(6.1511*B28+348.6))</f>
        <v>232.82569999999987</v>
      </c>
      <c r="E28">
        <v>27</v>
      </c>
      <c r="F28">
        <v>25</v>
      </c>
      <c r="G28">
        <v>6</v>
      </c>
      <c r="H28">
        <v>58</v>
      </c>
      <c r="I28">
        <v>0.2</v>
      </c>
      <c r="P28">
        <v>27</v>
      </c>
      <c r="Q28">
        <v>25</v>
      </c>
      <c r="R28">
        <v>6</v>
      </c>
      <c r="S28">
        <v>58</v>
      </c>
      <c r="T28">
        <v>1276.5</v>
      </c>
      <c r="W28" s="2">
        <v>0.20730231433161003</v>
      </c>
      <c r="X28" s="2">
        <v>0.11</v>
      </c>
      <c r="Y28" s="3" t="s">
        <v>40</v>
      </c>
      <c r="Z28" t="s">
        <v>40</v>
      </c>
      <c r="AA28">
        <v>0.2</v>
      </c>
      <c r="AB28" s="6">
        <v>0.6</v>
      </c>
      <c r="AC28" s="30">
        <v>0.8</v>
      </c>
      <c r="AD28" s="6">
        <v>0.4</v>
      </c>
      <c r="AE28" s="6">
        <v>0.7</v>
      </c>
      <c r="AF28" s="38">
        <v>0.3</v>
      </c>
    </row>
    <row r="29" spans="1:32" x14ac:dyDescent="0.35">
      <c r="AB29" s="7"/>
      <c r="AC29" s="31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4"/>
  <sheetViews>
    <sheetView zoomScale="55" zoomScaleNormal="55" workbookViewId="0">
      <selection activeCell="X25" sqref="X25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80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13" t="s">
        <v>59</v>
      </c>
      <c r="X2" s="8">
        <v>0.5</v>
      </c>
      <c r="Y2" s="8">
        <v>0.4</v>
      </c>
      <c r="Z2" s="8">
        <v>0.3</v>
      </c>
      <c r="AA2" s="8">
        <v>0.3</v>
      </c>
      <c r="AB2">
        <v>727.68</v>
      </c>
    </row>
    <row r="3" spans="1:28" x14ac:dyDescent="0.35">
      <c r="A3" s="8" t="s">
        <v>48</v>
      </c>
      <c r="B3" s="8">
        <v>0.38</v>
      </c>
      <c r="C3" s="21">
        <v>0.4</v>
      </c>
      <c r="D3" s="21">
        <v>0.9</v>
      </c>
      <c r="E3" s="21">
        <v>0.8</v>
      </c>
      <c r="F3" s="21">
        <v>0.7</v>
      </c>
      <c r="G3" s="21">
        <v>0.7</v>
      </c>
      <c r="H3" s="21">
        <v>0.2</v>
      </c>
      <c r="I3" s="21">
        <v>0.8</v>
      </c>
      <c r="J3" s="21">
        <v>0.7</v>
      </c>
      <c r="K3" s="21">
        <v>0.2</v>
      </c>
      <c r="L3" s="21">
        <v>0.3</v>
      </c>
      <c r="M3" s="21">
        <v>0.3</v>
      </c>
      <c r="N3" s="21">
        <v>0.7</v>
      </c>
      <c r="O3" s="21">
        <v>0.5</v>
      </c>
      <c r="P3" s="21">
        <v>0.4</v>
      </c>
      <c r="Q3" s="21">
        <v>0.7</v>
      </c>
      <c r="R3" s="8" t="s">
        <v>48</v>
      </c>
      <c r="S3" s="21">
        <v>0.2</v>
      </c>
      <c r="T3" s="21">
        <v>1</v>
      </c>
      <c r="U3" s="21">
        <v>0.5</v>
      </c>
      <c r="V3" s="21">
        <v>0.2</v>
      </c>
      <c r="W3" s="8" t="s">
        <v>48</v>
      </c>
      <c r="X3" s="21">
        <v>0.5</v>
      </c>
      <c r="Y3" s="21">
        <v>0.3</v>
      </c>
      <c r="Z3" s="21">
        <v>0.4</v>
      </c>
      <c r="AA3" s="21">
        <v>0.2</v>
      </c>
      <c r="AB3">
        <v>555.07000000000005</v>
      </c>
    </row>
    <row r="4" spans="1:28" x14ac:dyDescent="0.35">
      <c r="A4" s="22" t="s">
        <v>28</v>
      </c>
      <c r="B4" s="22"/>
      <c r="C4" s="20">
        <f>1.6/88</f>
        <v>1.8181818181818184E-2</v>
      </c>
      <c r="D4" s="20">
        <f>0.2/88</f>
        <v>2.2727272727272731E-3</v>
      </c>
      <c r="E4" s="20">
        <f>2.9/88</f>
        <v>3.2954545454545452E-2</v>
      </c>
      <c r="F4" s="20">
        <f>7.6/88</f>
        <v>8.6363636363636365E-2</v>
      </c>
      <c r="G4" s="20">
        <f>7.6/88</f>
        <v>8.6363636363636365E-2</v>
      </c>
      <c r="H4" s="20">
        <f>3.2/88</f>
        <v>3.6363636363636369E-2</v>
      </c>
      <c r="I4" s="20">
        <f>4.6/88</f>
        <v>5.2272727272727269E-2</v>
      </c>
      <c r="J4" s="20">
        <f>4.6/88</f>
        <v>5.2272727272727269E-2</v>
      </c>
      <c r="K4" s="20">
        <f>4.7/88</f>
        <v>5.3409090909090913E-2</v>
      </c>
      <c r="L4" s="20">
        <f>7.3/88</f>
        <v>8.2954545454545447E-2</v>
      </c>
      <c r="M4" s="20">
        <f>6.7/88</f>
        <v>7.6136363636363641E-2</v>
      </c>
      <c r="N4" s="20">
        <f>6.8/88</f>
        <v>7.7272727272727271E-2</v>
      </c>
      <c r="O4" s="20">
        <f>2.5/88</f>
        <v>2.8409090909090908E-2</v>
      </c>
      <c r="P4" s="20">
        <f>2.9/88</f>
        <v>3.2954545454545452E-2</v>
      </c>
      <c r="Q4" s="20">
        <f>3.7/88</f>
        <v>4.2045454545454546E-2</v>
      </c>
      <c r="R4" s="22" t="s">
        <v>28</v>
      </c>
      <c r="S4" s="20">
        <f>3/88</f>
        <v>3.4090909090909088E-2</v>
      </c>
      <c r="T4" s="20">
        <f>8.5/88</f>
        <v>9.6590909090909088E-2</v>
      </c>
      <c r="U4" s="20">
        <f>4.4/88</f>
        <v>0.05</v>
      </c>
      <c r="V4" s="20">
        <f>4.5/88</f>
        <v>5.113636363636364E-2</v>
      </c>
      <c r="W4" s="22" t="s">
        <v>28</v>
      </c>
      <c r="X4" s="20">
        <f>8.3/88</f>
        <v>9.4318181818181829E-2</v>
      </c>
      <c r="Y4" s="20">
        <f>5.4/88</f>
        <v>6.136363636363637E-2</v>
      </c>
      <c r="Z4" s="20">
        <f>7.8/88</f>
        <v>8.8636363636363638E-2</v>
      </c>
      <c r="AA4" s="20">
        <f>1.3/88</f>
        <v>1.4772727272727272E-2</v>
      </c>
      <c r="AB4">
        <v>1244.5</v>
      </c>
    </row>
    <row r="5" spans="1:28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4" t="s">
        <v>39</v>
      </c>
      <c r="X5" s="5">
        <v>0.2</v>
      </c>
      <c r="Y5" s="5">
        <v>0.3</v>
      </c>
      <c r="Z5" s="5">
        <v>0.8</v>
      </c>
      <c r="AA5" s="5">
        <v>0.1</v>
      </c>
      <c r="AB5">
        <v>952.27</v>
      </c>
    </row>
    <row r="6" spans="1:28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3" t="s">
        <v>38</v>
      </c>
      <c r="X6" s="6">
        <v>0.8</v>
      </c>
      <c r="Y6" s="6">
        <v>0.4</v>
      </c>
      <c r="Z6" s="6">
        <v>1</v>
      </c>
      <c r="AA6" s="6">
        <v>0.3</v>
      </c>
      <c r="AB6">
        <v>1012.32</v>
      </c>
    </row>
    <row r="7" spans="1:28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18" t="s">
        <v>47</v>
      </c>
      <c r="X7" s="5">
        <v>0.6</v>
      </c>
      <c r="Y7" s="5">
        <v>0.6</v>
      </c>
      <c r="Z7" s="5">
        <v>0.3</v>
      </c>
      <c r="AA7" s="5">
        <v>0.4</v>
      </c>
      <c r="AB7">
        <v>724.29</v>
      </c>
    </row>
    <row r="8" spans="1:28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4" t="s">
        <v>45</v>
      </c>
      <c r="X8" s="5">
        <v>0.1</v>
      </c>
      <c r="Y8" s="5">
        <v>0.1</v>
      </c>
      <c r="Z8" s="5">
        <v>0.1</v>
      </c>
      <c r="AA8" s="5">
        <v>0.1</v>
      </c>
      <c r="AB8">
        <v>1129.94</v>
      </c>
    </row>
    <row r="9" spans="1:28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3" t="s">
        <v>50</v>
      </c>
      <c r="X9" s="6">
        <v>0.9</v>
      </c>
      <c r="Y9" s="6">
        <v>0.2</v>
      </c>
      <c r="Z9" s="6">
        <v>0.1</v>
      </c>
      <c r="AA9" s="6">
        <v>0.3</v>
      </c>
      <c r="AB9">
        <v>1264.3399999999999</v>
      </c>
    </row>
    <row r="10" spans="1:28" x14ac:dyDescent="0.35">
      <c r="A10" s="19" t="s">
        <v>3</v>
      </c>
      <c r="B10" s="19"/>
      <c r="C10" s="20">
        <f>39/88</f>
        <v>0.44318181818181818</v>
      </c>
      <c r="D10" s="20">
        <f>38/88</f>
        <v>0.43181818181818182</v>
      </c>
      <c r="E10" s="20">
        <f>79/88</f>
        <v>0.89772727272727271</v>
      </c>
      <c r="F10" s="20">
        <f>65/88</f>
        <v>0.73863636363636365</v>
      </c>
      <c r="G10" s="20">
        <f>75/88</f>
        <v>0.85227272727272729</v>
      </c>
      <c r="H10" s="20">
        <f>20/88</f>
        <v>0.22727272727272727</v>
      </c>
      <c r="I10" s="20">
        <f>46/88</f>
        <v>0.52272727272727271</v>
      </c>
      <c r="J10" s="20">
        <f>69/88</f>
        <v>0.78409090909090906</v>
      </c>
      <c r="K10" s="20">
        <f>22/88</f>
        <v>0.25</v>
      </c>
      <c r="L10" s="20">
        <f>21/88</f>
        <v>0.23863636363636365</v>
      </c>
      <c r="M10" s="20">
        <f>33/88</f>
        <v>0.375</v>
      </c>
      <c r="N10" s="20">
        <f>63/88</f>
        <v>0.71590909090909094</v>
      </c>
      <c r="O10" s="20">
        <f>38/88</f>
        <v>0.43181818181818182</v>
      </c>
      <c r="P10" s="20">
        <f>35/88</f>
        <v>0.39772727272727271</v>
      </c>
      <c r="Q10" s="20">
        <f>43/88</f>
        <v>0.48863636363636365</v>
      </c>
      <c r="R10" s="19" t="s">
        <v>3</v>
      </c>
      <c r="S10" s="20">
        <f>18/88</f>
        <v>0.20454545454545456</v>
      </c>
      <c r="T10" s="20">
        <f>36/88</f>
        <v>0.40909090909090912</v>
      </c>
      <c r="U10" s="20">
        <f>8/88</f>
        <v>9.0909090909090912E-2</v>
      </c>
      <c r="V10" s="20">
        <f>8/88</f>
        <v>9.0909090909090912E-2</v>
      </c>
      <c r="W10" s="19" t="s">
        <v>3</v>
      </c>
      <c r="X10" s="20">
        <f>27/88</f>
        <v>0.30681818181818182</v>
      </c>
      <c r="Y10" s="20">
        <f>25/88</f>
        <v>0.28409090909090912</v>
      </c>
      <c r="Z10" s="20">
        <f>57/88</f>
        <v>0.64772727272727271</v>
      </c>
      <c r="AA10" s="20">
        <f>5/88</f>
        <v>5.6818181818181816E-2</v>
      </c>
      <c r="AB10">
        <v>808.85</v>
      </c>
    </row>
    <row r="11" spans="1:28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4" t="s">
        <v>49</v>
      </c>
      <c r="X11" s="5">
        <v>0.8</v>
      </c>
      <c r="Y11" s="5">
        <v>0.3</v>
      </c>
      <c r="Z11" s="5">
        <v>0.2</v>
      </c>
      <c r="AA11" s="5">
        <v>0.2</v>
      </c>
      <c r="AB11">
        <v>1627.89</v>
      </c>
    </row>
    <row r="12" spans="1:28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3" t="s">
        <v>46</v>
      </c>
      <c r="X12" s="6">
        <v>0.4</v>
      </c>
      <c r="Y12" s="6">
        <v>0.3</v>
      </c>
      <c r="Z12" s="6">
        <v>0.2</v>
      </c>
      <c r="AA12" s="6">
        <v>0.1</v>
      </c>
      <c r="AB12">
        <v>440.17</v>
      </c>
    </row>
    <row r="13" spans="1:28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4" t="s">
        <v>35</v>
      </c>
      <c r="X13" s="5">
        <v>0.5</v>
      </c>
      <c r="Y13" s="5">
        <v>0.3</v>
      </c>
      <c r="Z13" s="5">
        <v>0.2</v>
      </c>
      <c r="AA13" s="5">
        <v>0.3</v>
      </c>
      <c r="AB13">
        <v>1411.91</v>
      </c>
    </row>
    <row r="14" spans="1:28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4" t="s">
        <v>41</v>
      </c>
      <c r="X14" s="5">
        <v>0.4</v>
      </c>
      <c r="Y14" s="5">
        <v>0.3</v>
      </c>
      <c r="Z14" s="5">
        <v>0.8</v>
      </c>
      <c r="AA14" s="5">
        <v>0.2</v>
      </c>
      <c r="AB14">
        <v>1183.1199999999999</v>
      </c>
    </row>
    <row r="15" spans="1:28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4" t="s">
        <v>37</v>
      </c>
      <c r="X15" s="5">
        <v>0.2</v>
      </c>
      <c r="Y15" s="5">
        <v>0.2</v>
      </c>
      <c r="Z15" s="5">
        <v>0.4</v>
      </c>
      <c r="AA15" s="5">
        <v>0.2</v>
      </c>
      <c r="AB15">
        <v>641.14</v>
      </c>
    </row>
    <row r="16" spans="1:28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3" t="s">
        <v>33</v>
      </c>
      <c r="X16" s="5">
        <v>0.6</v>
      </c>
      <c r="Y16" s="5">
        <v>0.3</v>
      </c>
      <c r="Z16" s="5">
        <v>0.2</v>
      </c>
      <c r="AA16" s="5">
        <v>0.1</v>
      </c>
      <c r="AB16">
        <v>1127.92</v>
      </c>
    </row>
    <row r="17" spans="1:28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4" t="s">
        <v>57</v>
      </c>
      <c r="X17" s="3">
        <v>0.1</v>
      </c>
      <c r="Y17" s="3">
        <v>0.3</v>
      </c>
      <c r="Z17" s="3">
        <v>0.4</v>
      </c>
      <c r="AA17" s="3">
        <v>0.2</v>
      </c>
      <c r="AB17">
        <v>803.62</v>
      </c>
    </row>
    <row r="18" spans="1:28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18" t="s">
        <v>43</v>
      </c>
      <c r="X18" s="5">
        <v>0.7</v>
      </c>
      <c r="Y18" s="5">
        <v>0.1</v>
      </c>
      <c r="Z18" s="5">
        <v>0.4</v>
      </c>
      <c r="AA18" s="5">
        <v>0.1</v>
      </c>
      <c r="AB18">
        <v>939.92</v>
      </c>
    </row>
    <row r="19" spans="1:28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3" t="s">
        <v>42</v>
      </c>
      <c r="X19" s="6">
        <v>0.2</v>
      </c>
      <c r="Y19" s="6">
        <v>0.2</v>
      </c>
      <c r="Z19" s="6">
        <v>0.5</v>
      </c>
      <c r="AA19" s="6">
        <v>0.1</v>
      </c>
      <c r="AB19">
        <v>771.81</v>
      </c>
    </row>
    <row r="20" spans="1:28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3" t="s">
        <v>36</v>
      </c>
      <c r="X20" s="6">
        <v>0.5</v>
      </c>
      <c r="Y20" s="6">
        <v>0.2</v>
      </c>
      <c r="Z20" s="6">
        <v>0.8</v>
      </c>
      <c r="AA20" s="6">
        <v>0.4</v>
      </c>
      <c r="AB20">
        <v>1266.79</v>
      </c>
    </row>
    <row r="21" spans="1:28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4" t="s">
        <v>55</v>
      </c>
      <c r="X21" s="3">
        <v>0.5</v>
      </c>
      <c r="Y21" s="3">
        <v>0.3</v>
      </c>
      <c r="Z21" s="3">
        <v>0.2</v>
      </c>
      <c r="AA21" s="3">
        <v>0.1</v>
      </c>
      <c r="AB21">
        <v>828.46</v>
      </c>
    </row>
    <row r="22" spans="1:28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3" t="s">
        <v>34</v>
      </c>
      <c r="X22" s="6">
        <v>0.5</v>
      </c>
      <c r="Y22" s="6">
        <v>0.3</v>
      </c>
      <c r="Z22" s="6">
        <v>0.7</v>
      </c>
      <c r="AA22" s="6">
        <v>0.5</v>
      </c>
      <c r="AB22">
        <v>1250.0999999999999</v>
      </c>
    </row>
    <row r="23" spans="1:28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3" t="s">
        <v>58</v>
      </c>
      <c r="X23" s="4">
        <v>0.1</v>
      </c>
      <c r="Y23" s="4">
        <v>0.2</v>
      </c>
      <c r="Z23" s="4">
        <v>0.4</v>
      </c>
      <c r="AA23" s="4">
        <v>0.2</v>
      </c>
      <c r="AB23">
        <v>757.59</v>
      </c>
    </row>
    <row r="24" spans="1:28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3" t="s">
        <v>56</v>
      </c>
      <c r="X24" s="4">
        <v>0.5</v>
      </c>
      <c r="Y24" s="4">
        <v>0.1</v>
      </c>
      <c r="Z24" s="4">
        <v>0.1</v>
      </c>
      <c r="AA24" s="4">
        <v>0.1</v>
      </c>
      <c r="AB24">
        <v>1394.13</v>
      </c>
    </row>
    <row r="25" spans="1:28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3" t="s">
        <v>44</v>
      </c>
      <c r="X25" s="6">
        <v>0.8</v>
      </c>
      <c r="Y25" s="6">
        <v>0.6</v>
      </c>
      <c r="Z25" s="6">
        <v>0.8</v>
      </c>
      <c r="AA25" s="6">
        <v>0.4</v>
      </c>
      <c r="AB25">
        <v>1333.71</v>
      </c>
    </row>
    <row r="26" spans="1:28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3" t="s">
        <v>54</v>
      </c>
      <c r="X26" s="4">
        <v>0.5</v>
      </c>
      <c r="Y26" s="4">
        <v>0.3</v>
      </c>
      <c r="Z26" s="4">
        <v>0.9</v>
      </c>
      <c r="AA26" s="4">
        <v>0.1</v>
      </c>
      <c r="AB26">
        <v>1200.1400000000001</v>
      </c>
    </row>
    <row r="27" spans="1:28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17" t="s">
        <v>40</v>
      </c>
      <c r="X27" s="6">
        <v>0.2</v>
      </c>
      <c r="Y27" s="6">
        <v>0.3</v>
      </c>
      <c r="Z27" s="6">
        <v>0.5</v>
      </c>
      <c r="AA27" s="6">
        <v>0.3</v>
      </c>
      <c r="AB27">
        <v>1276.5</v>
      </c>
    </row>
    <row r="28" spans="1:28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8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8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2022-03-28T13:32:03Z</dcterms:modified>
</cp:coreProperties>
</file>