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ba5e4d6c31477a/Documents/GitHub/psych/"/>
    </mc:Choice>
  </mc:AlternateContent>
  <xr:revisionPtr revIDLastSave="17" documentId="13_ncr:1_{38504D24-3DB1-4E50-8AB5-D1EE90F5BB36}" xr6:coauthVersionLast="47" xr6:coauthVersionMax="47" xr10:uidLastSave="{233991A2-8A11-424C-B12A-94141949778E}"/>
  <bookViews>
    <workbookView xWindow="1360" yWindow="2570" windowWidth="13700" windowHeight="7810" xr2:uid="{D0728949-F5FC-4153-B8D7-E6580D1002E6}"/>
  </bookViews>
  <sheets>
    <sheet name="Feuil1" sheetId="1" r:id="rId1"/>
    <sheet name="XLSTAT_20220111_122427_1_HID" sheetId="19" state="hidden" r:id="rId2"/>
    <sheet name="XLSTAT_20220111_122120_1_HID" sheetId="17" state="hidden" r:id="rId3"/>
    <sheet name="XLSTAT_20220111_113307_1_HID" sheetId="13" state="hidden" r:id="rId4"/>
  </sheets>
  <definedNames>
    <definedName name="xdata1" localSheetId="3" hidden="1">XLSTAT_20220111_113307_1_HID!$C$1:$C$70</definedName>
    <definedName name="xdata1" localSheetId="2" hidden="1">XLSTAT_20220111_122120_1_HID!$C$1:$C$70</definedName>
    <definedName name="xdata1" localSheetId="1" hidden="1">XLSTAT_20220111_122427_1_HID!$C$1:$C$70</definedName>
    <definedName name="xdata1" hidden="1">#REF!</definedName>
    <definedName name="xdata2" localSheetId="3" hidden="1">XLSTAT_20220111_113307_1_HID!$G$1:$G$70</definedName>
    <definedName name="xdata2" localSheetId="2" hidden="1">XLSTAT_20220111_122120_1_HID!$G$1:$G$70</definedName>
    <definedName name="xdata2" localSheetId="1" hidden="1">XLSTAT_20220111_122427_1_HID!$G$1:$G$70</definedName>
    <definedName name="xdata2" hidden="1">#REF!</definedName>
    <definedName name="ydata1" localSheetId="3" hidden="1">XLSTAT_20220111_113307_1_HID!$D$1:$D$70</definedName>
    <definedName name="ydata1" localSheetId="2" hidden="1">XLSTAT_20220111_122120_1_HID!$D$1:$D$70</definedName>
    <definedName name="ydata1" localSheetId="1" hidden="1">XLSTAT_20220111_122427_1_HID!$D$1:$D$70</definedName>
    <definedName name="ydata1" hidden="1">#REF!</definedName>
    <definedName name="ydata2" localSheetId="3" hidden="1">XLSTAT_20220111_113307_1_HID!$H$1:$H$70</definedName>
    <definedName name="ydata2" localSheetId="2" hidden="1">XLSTAT_20220111_122120_1_HID!$H$1:$H$70</definedName>
    <definedName name="ydata2" localSheetId="1" hidden="1">XLSTAT_20220111_122427_1_HID!$H$1:$H$70</definedName>
    <definedName name="ydata2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8" i="1" l="1"/>
  <c r="AD2" i="1"/>
  <c r="AD3" i="1"/>
  <c r="AD4" i="1"/>
  <c r="AD5" i="1"/>
  <c r="AD6" i="1"/>
  <c r="AD7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C2" i="1"/>
  <c r="AC18" i="1"/>
  <c r="AC6" i="1"/>
  <c r="AC5" i="1"/>
  <c r="AC20" i="1"/>
  <c r="AC25" i="1"/>
  <c r="AC11" i="1"/>
  <c r="AC13" i="1"/>
  <c r="AC29" i="1"/>
  <c r="AC3" i="1"/>
  <c r="AC17" i="1"/>
  <c r="AC8" i="1"/>
  <c r="AC16" i="1"/>
  <c r="AC27" i="1"/>
  <c r="AC15" i="1"/>
  <c r="AC10" i="1"/>
  <c r="AC23" i="1"/>
  <c r="AC24" i="1"/>
  <c r="AC9" i="1"/>
  <c r="AC19" i="1"/>
  <c r="AC4" i="1"/>
  <c r="AC14" i="1"/>
  <c r="AC12" i="1"/>
  <c r="AC28" i="1"/>
  <c r="AC21" i="1"/>
  <c r="AC26" i="1"/>
  <c r="AC7" i="1"/>
  <c r="AC31" i="1"/>
  <c r="AC30" i="1"/>
  <c r="AC22" i="1"/>
  <c r="E42" i="1"/>
  <c r="E41" i="1"/>
  <c r="E40" i="1"/>
  <c r="E39" i="1"/>
  <c r="E38" i="1"/>
  <c r="E37" i="1"/>
  <c r="E36" i="1"/>
  <c r="E35" i="1"/>
  <c r="E34" i="1"/>
  <c r="E33" i="1"/>
  <c r="E32" i="1"/>
  <c r="S49" i="1"/>
  <c r="Z42" i="1"/>
  <c r="Z41" i="1"/>
  <c r="Z40" i="1"/>
  <c r="Z39" i="1"/>
  <c r="Z38" i="1"/>
  <c r="Z37" i="1"/>
  <c r="Z36" i="1"/>
  <c r="Z35" i="1"/>
  <c r="Z34" i="1"/>
  <c r="Z33" i="1"/>
  <c r="Z32" i="1"/>
  <c r="Y42" i="1"/>
  <c r="Y41" i="1"/>
  <c r="Y40" i="1"/>
  <c r="Y39" i="1"/>
  <c r="Y38" i="1"/>
  <c r="Y37" i="1"/>
  <c r="Y36" i="1"/>
  <c r="Y35" i="1"/>
  <c r="Y34" i="1"/>
  <c r="Y33" i="1"/>
  <c r="Y32" i="1"/>
  <c r="X42" i="1"/>
  <c r="X41" i="1"/>
  <c r="X40" i="1"/>
  <c r="X39" i="1"/>
  <c r="X38" i="1"/>
  <c r="X37" i="1"/>
  <c r="X36" i="1"/>
  <c r="X35" i="1"/>
  <c r="X34" i="1"/>
  <c r="X33" i="1"/>
  <c r="X32" i="1"/>
  <c r="W42" i="1"/>
  <c r="W41" i="1"/>
  <c r="W40" i="1"/>
  <c r="W39" i="1"/>
  <c r="W38" i="1"/>
  <c r="W37" i="1"/>
  <c r="W36" i="1"/>
  <c r="W35" i="1"/>
  <c r="W34" i="1"/>
  <c r="W33" i="1"/>
  <c r="W32" i="1"/>
  <c r="V42" i="1"/>
  <c r="V41" i="1"/>
  <c r="V40" i="1"/>
  <c r="V39" i="1"/>
  <c r="V38" i="1"/>
  <c r="V37" i="1"/>
  <c r="V36" i="1"/>
  <c r="V35" i="1"/>
  <c r="V34" i="1"/>
  <c r="V33" i="1"/>
  <c r="V32" i="1"/>
  <c r="U42" i="1"/>
  <c r="U41" i="1"/>
  <c r="U40" i="1"/>
  <c r="U39" i="1"/>
  <c r="U38" i="1"/>
  <c r="U37" i="1"/>
  <c r="U36" i="1"/>
  <c r="U35" i="1"/>
  <c r="U34" i="1"/>
  <c r="U33" i="1"/>
  <c r="U32" i="1"/>
  <c r="T42" i="1"/>
  <c r="T41" i="1"/>
  <c r="T40" i="1"/>
  <c r="T39" i="1"/>
  <c r="T38" i="1"/>
  <c r="T37" i="1"/>
  <c r="T36" i="1"/>
  <c r="T35" i="1"/>
  <c r="T34" i="1"/>
  <c r="T33" i="1"/>
  <c r="T32" i="1"/>
  <c r="S42" i="1"/>
  <c r="S41" i="1"/>
  <c r="S40" i="1"/>
  <c r="S39" i="1"/>
  <c r="S38" i="1"/>
  <c r="S37" i="1"/>
  <c r="S36" i="1"/>
  <c r="S35" i="1"/>
  <c r="S34" i="1"/>
  <c r="S33" i="1"/>
  <c r="S32" i="1"/>
  <c r="R42" i="1"/>
  <c r="R41" i="1"/>
  <c r="R40" i="1"/>
  <c r="R39" i="1"/>
  <c r="R38" i="1"/>
  <c r="R37" i="1"/>
  <c r="R36" i="1"/>
  <c r="R35" i="1"/>
  <c r="R34" i="1"/>
  <c r="R33" i="1"/>
  <c r="R32" i="1"/>
  <c r="Q42" i="1"/>
  <c r="Q41" i="1"/>
  <c r="Q40" i="1"/>
  <c r="Q39" i="1"/>
  <c r="Q38" i="1"/>
  <c r="Q37" i="1"/>
  <c r="Q36" i="1"/>
  <c r="Q35" i="1"/>
  <c r="Q34" i="1"/>
  <c r="Q33" i="1"/>
  <c r="Q32" i="1"/>
  <c r="P42" i="1"/>
  <c r="P41" i="1"/>
  <c r="P40" i="1"/>
  <c r="P39" i="1"/>
  <c r="P38" i="1"/>
  <c r="P37" i="1"/>
  <c r="P36" i="1"/>
  <c r="P35" i="1"/>
  <c r="P34" i="1"/>
  <c r="P33" i="1"/>
  <c r="P32" i="1"/>
  <c r="O42" i="1"/>
  <c r="O41" i="1"/>
  <c r="O40" i="1"/>
  <c r="O39" i="1"/>
  <c r="O38" i="1"/>
  <c r="O37" i="1"/>
  <c r="O36" i="1"/>
  <c r="O35" i="1"/>
  <c r="O34" i="1"/>
  <c r="O33" i="1"/>
  <c r="O32" i="1"/>
  <c r="H1" i="19"/>
  <c r="H2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G1" i="19"/>
  <c r="G2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D1" i="19"/>
  <c r="D2" i="19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C1" i="19"/>
  <c r="C2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H1" i="17"/>
  <c r="H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G1" i="17"/>
  <c r="G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D1" i="17"/>
  <c r="D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C1" i="17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H1" i="13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G1" i="13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D1" i="13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C1" i="13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N42" i="1" l="1"/>
  <c r="M42" i="1"/>
  <c r="L42" i="1"/>
  <c r="K42" i="1"/>
  <c r="N41" i="1"/>
  <c r="M41" i="1"/>
  <c r="L41" i="1"/>
  <c r="K41" i="1"/>
  <c r="N40" i="1"/>
  <c r="M40" i="1"/>
  <c r="L40" i="1"/>
  <c r="K40" i="1"/>
  <c r="N39" i="1"/>
  <c r="M39" i="1"/>
  <c r="L39" i="1"/>
  <c r="K39" i="1"/>
  <c r="N38" i="1"/>
  <c r="M38" i="1"/>
  <c r="L38" i="1"/>
  <c r="K38" i="1"/>
  <c r="N37" i="1"/>
  <c r="M37" i="1"/>
  <c r="L37" i="1"/>
  <c r="K37" i="1"/>
  <c r="N36" i="1"/>
  <c r="M36" i="1"/>
  <c r="L36" i="1"/>
  <c r="K36" i="1"/>
  <c r="N35" i="1"/>
  <c r="M35" i="1"/>
  <c r="L35" i="1"/>
  <c r="K35" i="1"/>
  <c r="N34" i="1"/>
  <c r="M34" i="1"/>
  <c r="L34" i="1"/>
  <c r="K34" i="1"/>
  <c r="N33" i="1"/>
  <c r="M33" i="1"/>
  <c r="L33" i="1"/>
  <c r="K33" i="1"/>
  <c r="N32" i="1"/>
  <c r="M32" i="1"/>
  <c r="L32" i="1"/>
  <c r="K32" i="1"/>
  <c r="J42" i="1"/>
  <c r="I42" i="1"/>
  <c r="H42" i="1"/>
  <c r="G42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F42" i="1"/>
  <c r="D42" i="1"/>
  <c r="C42" i="1"/>
  <c r="AC42" i="1" s="1"/>
  <c r="B42" i="1"/>
  <c r="F41" i="1"/>
  <c r="D41" i="1"/>
  <c r="C41" i="1"/>
  <c r="AC41" i="1" s="1"/>
  <c r="B41" i="1"/>
  <c r="F40" i="1"/>
  <c r="D40" i="1"/>
  <c r="C40" i="1"/>
  <c r="AC40" i="1" s="1"/>
  <c r="B40" i="1"/>
  <c r="F39" i="1"/>
  <c r="D39" i="1"/>
  <c r="C39" i="1"/>
  <c r="AC39" i="1" s="1"/>
  <c r="B39" i="1"/>
  <c r="F38" i="1"/>
  <c r="D38" i="1"/>
  <c r="C38" i="1"/>
  <c r="AC38" i="1" s="1"/>
  <c r="B38" i="1"/>
  <c r="F37" i="1"/>
  <c r="D37" i="1"/>
  <c r="C37" i="1"/>
  <c r="AC37" i="1" s="1"/>
  <c r="B37" i="1"/>
  <c r="F36" i="1"/>
  <c r="D36" i="1"/>
  <c r="C36" i="1"/>
  <c r="AC36" i="1" s="1"/>
  <c r="B36" i="1"/>
  <c r="F35" i="1"/>
  <c r="D35" i="1"/>
  <c r="C35" i="1"/>
  <c r="AC35" i="1" s="1"/>
  <c r="B35" i="1"/>
  <c r="F34" i="1"/>
  <c r="D34" i="1"/>
  <c r="C34" i="1"/>
  <c r="AC34" i="1" s="1"/>
  <c r="B34" i="1"/>
  <c r="F33" i="1"/>
  <c r="D33" i="1"/>
  <c r="C33" i="1"/>
  <c r="AC33" i="1" s="1"/>
  <c r="B33" i="1"/>
  <c r="F32" i="1"/>
  <c r="D32" i="1"/>
  <c r="C32" i="1"/>
  <c r="AC32" i="1" s="1"/>
  <c r="B32" i="1"/>
</calcChain>
</file>

<file path=xl/sharedStrings.xml><?xml version="1.0" encoding="utf-8"?>
<sst xmlns="http://schemas.openxmlformats.org/spreadsheetml/2006/main" count="113" uniqueCount="72">
  <si>
    <t>CVs</t>
  </si>
  <si>
    <t>MDDN</t>
  </si>
  <si>
    <t>VMDN</t>
  </si>
  <si>
    <t>TPVDN</t>
  </si>
  <si>
    <t>AMPDN</t>
  </si>
  <si>
    <t>sub-04AM</t>
  </si>
  <si>
    <t>sub-11VP</t>
  </si>
  <si>
    <t>sub-12CB</t>
  </si>
  <si>
    <t>sub-13CB</t>
  </si>
  <si>
    <t>sub-14LG</t>
  </si>
  <si>
    <t>sub-15AV</t>
  </si>
  <si>
    <t>sub-16CG</t>
  </si>
  <si>
    <t>sub-17TS</t>
  </si>
  <si>
    <t>sub-18JE</t>
  </si>
  <si>
    <t>sub-19AW</t>
  </si>
  <si>
    <t>sub-20EP</t>
  </si>
  <si>
    <t>sub-22ML</t>
  </si>
  <si>
    <t>sub-23TJ</t>
  </si>
  <si>
    <t>sub-28AP</t>
  </si>
  <si>
    <t>sub-29BL</t>
  </si>
  <si>
    <t>sub-30AC</t>
  </si>
  <si>
    <t>sub-31LB</t>
  </si>
  <si>
    <t>sub-33MW</t>
  </si>
  <si>
    <t>sub-34GB</t>
  </si>
  <si>
    <t>sub-35AF</t>
  </si>
  <si>
    <t>sub-36LM</t>
  </si>
  <si>
    <t>sub-37NC</t>
  </si>
  <si>
    <t>sub-38LB</t>
  </si>
  <si>
    <t>sub-39TF</t>
  </si>
  <si>
    <t>sub-40BK</t>
  </si>
  <si>
    <t>sub-41SM</t>
  </si>
  <si>
    <t>sub-42LL</t>
  </si>
  <si>
    <t>sub-43GM</t>
  </si>
  <si>
    <t>sub-45LG</t>
  </si>
  <si>
    <t>sub-46ZZ</t>
  </si>
  <si>
    <t>sub-48NO</t>
  </si>
  <si>
    <t>sub-49SA</t>
  </si>
  <si>
    <t>sub-50MA</t>
  </si>
  <si>
    <t>sub-51EM</t>
  </si>
  <si>
    <t>sub-52FA</t>
  </si>
  <si>
    <t>sub-53AT</t>
  </si>
  <si>
    <t>sub-54EL</t>
  </si>
  <si>
    <t>sub-55CE</t>
  </si>
  <si>
    <t>sub-56YO</t>
  </si>
  <si>
    <t>sub-57KE</t>
  </si>
  <si>
    <t>sub-58GA</t>
  </si>
  <si>
    <t>MDDS</t>
  </si>
  <si>
    <t>VMDS</t>
  </si>
  <si>
    <t>TPVDS</t>
  </si>
  <si>
    <t>AMPDS</t>
  </si>
  <si>
    <t>MDDF</t>
  </si>
  <si>
    <t>VMDF</t>
  </si>
  <si>
    <t>TPVDF</t>
  </si>
  <si>
    <t>AMPDF</t>
  </si>
  <si>
    <t>MDUN</t>
  </si>
  <si>
    <t>VMUN</t>
  </si>
  <si>
    <t>TPVUN</t>
  </si>
  <si>
    <t>AMPUN</t>
  </si>
  <si>
    <t>MDUS</t>
  </si>
  <si>
    <t>VMUS</t>
  </si>
  <si>
    <t>TPVUS</t>
  </si>
  <si>
    <t>AMPUS</t>
  </si>
  <si>
    <t>MDUF</t>
  </si>
  <si>
    <t>VMUF</t>
  </si>
  <si>
    <t>TPVUF</t>
  </si>
  <si>
    <t>AMPUF</t>
  </si>
  <si>
    <t>TPVUN2</t>
  </si>
  <si>
    <t>TPVDNCV</t>
  </si>
  <si>
    <t>TPVUNCV</t>
  </si>
  <si>
    <t>Moy CV Vmax normal</t>
  </si>
  <si>
    <t>Colonne1</t>
  </si>
  <si>
    <t>Moy CV TPV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</si>
</sst>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theme="9"/>
      </patternFill>
    </fill>
    <fill>
      <patternFill patternType="solid">
        <fgColor theme="8"/>
        <bgColor theme="9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2" fontId="0" fillId="0" borderId="2" xfId="0" applyNumberFormat="1" applyBorder="1"/>
    <xf numFmtId="0" fontId="1" fillId="2" borderId="2" xfId="0" applyFont="1" applyFill="1" applyBorder="1"/>
    <xf numFmtId="2" fontId="0" fillId="0" borderId="0" xfId="0" applyNumberFormat="1" applyBorder="1"/>
    <xf numFmtId="0" fontId="1" fillId="2" borderId="0" xfId="0" applyFont="1" applyFill="1"/>
    <xf numFmtId="0" fontId="0" fillId="0" borderId="0" xfId="0" applyBorder="1"/>
    <xf numFmtId="0" fontId="0" fillId="3" borderId="3" xfId="0" applyFill="1" applyBorder="1"/>
    <xf numFmtId="0" fontId="0" fillId="0" borderId="3" xfId="0" applyBorder="1"/>
    <xf numFmtId="0" fontId="0" fillId="4" borderId="3" xfId="0" applyFill="1" applyBorder="1"/>
    <xf numFmtId="0" fontId="0" fillId="5" borderId="3" xfId="0" applyFill="1" applyBorder="1"/>
    <xf numFmtId="0" fontId="1" fillId="6" borderId="1" xfId="0" applyFont="1" applyFill="1" applyBorder="1"/>
    <xf numFmtId="0" fontId="1" fillId="6" borderId="0" xfId="0" applyFont="1" applyFill="1"/>
    <xf numFmtId="0" fontId="1" fillId="7" borderId="1" xfId="0" applyFont="1" applyFill="1" applyBorder="1"/>
    <xf numFmtId="0" fontId="1" fillId="7" borderId="0" xfId="0" applyFont="1" applyFill="1"/>
    <xf numFmtId="2" fontId="0" fillId="3" borderId="2" xfId="0" applyNumberFormat="1" applyFill="1" applyBorder="1"/>
    <xf numFmtId="2" fontId="0" fillId="4" borderId="2" xfId="0" applyNumberFormat="1" applyFill="1" applyBorder="1"/>
    <xf numFmtId="2" fontId="0" fillId="5" borderId="2" xfId="0" applyNumberFormat="1" applyFill="1" applyBorder="1"/>
    <xf numFmtId="2" fontId="0" fillId="3" borderId="0" xfId="0" applyNumberFormat="1" applyFill="1" applyBorder="1"/>
  </cellXfs>
  <cellStyles count="1">
    <cellStyle name="Normal" xfId="0" builtinId="0"/>
  </cellStyles>
  <dxfs count="63">
    <dxf>
      <numFmt numFmtId="2" formatCode="0.00"/>
    </dxf>
    <dxf>
      <border diagonalUp="0" diagonalDown="0">
        <left/>
        <right/>
        <top style="thin">
          <color theme="9"/>
        </top>
        <bottom/>
      </border>
    </dxf>
    <dxf>
      <border diagonalUp="0" diagonalDown="0">
        <left/>
        <right/>
        <top style="thin">
          <color theme="9"/>
        </top>
        <bottom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</border>
    </dxf>
    <dxf>
      <border diagonalUp="0" diagonalDown="0">
        <left/>
        <right/>
        <top style="thin">
          <color theme="9"/>
        </top>
        <bottom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164" formatCode="0.00000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165" formatCode="0.0000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CB5640-AE81-40CB-8DB7-0DA08342D85B}" name="Tableau1" displayName="Tableau1" ref="A1:AE42" headerRowDxfId="62" tableBorderDxfId="61">
  <autoFilter ref="A1:AE42" xr:uid="{10CB5640-AE81-40CB-8DB7-0DA08342D85B}"/>
  <sortState xmlns:xlrd2="http://schemas.microsoft.com/office/spreadsheetml/2017/richdata2" ref="A2:AC42">
    <sortCondition ref="A1:A42"/>
  </sortState>
  <tableColumns count="31">
    <tableColumn id="1" xr3:uid="{4541354E-6653-4628-914B-DB3A4315C3B4}" name="CVs" totalsRowLabel="Total" dataDxfId="60"/>
    <tableColumn id="2" xr3:uid="{23F33844-831C-406D-99D7-A74C81110285}" name="MDDN" totalsRowFunction="custom" dataDxfId="59" totalsRowDxfId="58">
      <totalsRowFormula>_xlfn.STDEV.P(Tableau1[MDDN])</totalsRowFormula>
    </tableColumn>
    <tableColumn id="4" xr3:uid="{C5B41201-90C6-4D45-9E64-CE726CAD53F3}" name="VMDN" totalsRowFunction="custom" dataDxfId="57" totalsRowDxfId="56">
      <totalsRowFormula>_xlfn.STDEV.P(Tableau1[VMDN])</totalsRowFormula>
    </tableColumn>
    <tableColumn id="6" xr3:uid="{2E41D599-3C32-4A76-99B4-D0BBD1865D60}" name="TPVDN" totalsRowFunction="custom" dataDxfId="55" totalsRowDxfId="54">
      <totalsRowFormula>_xlfn.STDEV.P(Tableau1[TPVDN])</totalsRowFormula>
    </tableColumn>
    <tableColumn id="26" xr3:uid="{A6BE6168-E2FF-40F4-90B2-0E6349322BA1}" name="TPVUN" dataDxfId="53" totalsRowDxfId="52"/>
    <tableColumn id="8" xr3:uid="{F0B937C2-F58D-486B-81DC-9F31D4B1A6B4}" name="AMPDN" totalsRowFunction="custom" dataDxfId="51" totalsRowDxfId="50">
      <totalsRowFormula>_xlfn.STDEV.P(Tableau1[AMPDN])</totalsRowFormula>
    </tableColumn>
    <tableColumn id="10" xr3:uid="{8D089BFD-3BBC-4015-AD9E-6921C06B130B}" name="MDDS" totalsRowFunction="custom" dataDxfId="49" totalsRowDxfId="48">
      <totalsRowFormula>_xlfn.STDEV.P(Tableau1[MDDS])</totalsRowFormula>
    </tableColumn>
    <tableColumn id="12" xr3:uid="{CE4F15D1-C34A-43B8-BA1E-49AF6AA2A401}" name="VMDS" totalsRowFunction="custom" dataDxfId="47" totalsRowDxfId="46">
      <totalsRowFormula>_xlfn.STDEV.P(Tableau1[VMDS])</totalsRowFormula>
    </tableColumn>
    <tableColumn id="14" xr3:uid="{E625D6B1-7046-40AE-8272-7E2F1D889AC1}" name="TPVDS" totalsRowFunction="custom" dataDxfId="45" totalsRowDxfId="44">
      <totalsRowFormula>_xlfn.STDEV.P(Tableau1[TPVDS])</totalsRowFormula>
    </tableColumn>
    <tableColumn id="16" xr3:uid="{40F7295A-3D20-4577-9F09-DDA68D7B3C36}" name="AMPDS" totalsRowFunction="custom" dataDxfId="43" totalsRowDxfId="42">
      <totalsRowFormula>_xlfn.STDEV.P(Tableau1[AMPDS])</totalsRowFormula>
    </tableColumn>
    <tableColumn id="18" xr3:uid="{85AB0390-0380-4A19-A81A-9D95F390854C}" name="MDDF" totalsRowFunction="custom" dataDxfId="41" totalsRowDxfId="40">
      <totalsRowFormula>_xlfn.STDEV.P(Tableau1[MDDF])</totalsRowFormula>
    </tableColumn>
    <tableColumn id="20" xr3:uid="{D711D048-C692-45FB-A131-E036F444ABEE}" name="VMDF" totalsRowFunction="custom" dataDxfId="39" totalsRowDxfId="38">
      <totalsRowFormula>_xlfn.STDEV.P(Tableau1[VMDF])</totalsRowFormula>
    </tableColumn>
    <tableColumn id="22" xr3:uid="{B89A831B-7C22-4C42-BA63-04828CB57F0C}" name="TPVDF" totalsRowFunction="custom" dataDxfId="37" totalsRowDxfId="36">
      <totalsRowFormula>_xlfn.STDEV.P(Tableau1[TPVDF])</totalsRowFormula>
    </tableColumn>
    <tableColumn id="24" xr3:uid="{95717A84-9E46-43F8-ABD9-0115829E2686}" name="AMPDF" totalsRowFunction="custom" dataDxfId="35" totalsRowDxfId="34">
      <totalsRowFormula>_xlfn.STDEV.P(Tableau1[AMPDF])</totalsRowFormula>
    </tableColumn>
    <tableColumn id="3" xr3:uid="{D067E37E-EB5A-4C60-92A7-237249C3A57D}" name="MDUN" totalsRowFunction="custom" dataDxfId="33" totalsRowDxfId="32">
      <totalsRowFormula>_xlfn.STDEV.P(Tableau1[VMDN])</totalsRowFormula>
    </tableColumn>
    <tableColumn id="5" xr3:uid="{5A80AC0C-6E10-466A-B5C7-ED7AAE57E4CD}" name="VMUN" dataDxfId="31" totalsRowDxfId="30"/>
    <tableColumn id="7" xr3:uid="{2A7BC2BF-D381-4A3C-BC5C-9C432152024D}" name="TPVUN2" dataDxfId="29" totalsRowDxfId="28"/>
    <tableColumn id="9" xr3:uid="{F3984A8F-B9FB-478F-990C-D091F01A4B80}" name="AMPUN" dataDxfId="27" totalsRowDxfId="26"/>
    <tableColumn id="11" xr3:uid="{E63F1694-F5C7-4CAA-9640-AFBA53789847}" name="MDUS" dataDxfId="25" totalsRowDxfId="24"/>
    <tableColumn id="13" xr3:uid="{80FD7302-F2C1-4961-8C4E-EBCB22516673}" name="VMUS" dataDxfId="23" totalsRowDxfId="22"/>
    <tableColumn id="15" xr3:uid="{184E1065-3379-4FD2-B80C-37855F5270E7}" name="TPVUS" dataDxfId="21" totalsRowDxfId="20"/>
    <tableColumn id="17" xr3:uid="{464892F5-766B-4D97-A3B9-CB6A7374FC08}" name="AMPUS" dataDxfId="19" totalsRowDxfId="18"/>
    <tableColumn id="19" xr3:uid="{B0E01646-210D-48D3-8F22-CEC67B152BEC}" name="MDUF" dataDxfId="17" totalsRowDxfId="16"/>
    <tableColumn id="21" xr3:uid="{DF19DB53-6146-4D07-A96A-4F41A7C41B2A}" name="VMUF" dataDxfId="15" totalsRowDxfId="14"/>
    <tableColumn id="23" xr3:uid="{20AFE51F-B4C2-4A30-9FCD-8345C6B1C4F9}" name="TPVUF" dataDxfId="13" totalsRowDxfId="12"/>
    <tableColumn id="25" xr3:uid="{CDDCCB10-99E5-4D2F-967B-40A593D76DA6}" name="AMPUF" dataDxfId="11" totalsRowDxfId="10"/>
    <tableColumn id="27" xr3:uid="{C32D8E59-772A-489C-B939-906EBF4D8963}" name="TPVDNCV" dataDxfId="9" totalsRowDxfId="8"/>
    <tableColumn id="28" xr3:uid="{4B2DDAF2-2D02-419F-847C-C5A607EC825C}" name="TPVUNCV" dataDxfId="7" totalsRowDxfId="6"/>
    <tableColumn id="29" xr3:uid="{AC8EDAF0-D483-4A6B-8022-45566E52849E}" name="Moy CV Vmax normal" dataDxfId="4" totalsRowDxfId="5">
      <calculatedColumnFormula>AVERAGE(C2,P2)</calculatedColumnFormula>
    </tableColumn>
    <tableColumn id="32" xr3:uid="{B2A3DC88-24F2-4002-8674-D29C16995065}" name="Moy CV TPV normal" dataDxfId="0" totalsRowDxfId="1">
      <calculatedColumnFormula>AVERAGE(Tableau1[[#This Row],[TPVDN]:[TPVUN]])</calculatedColumnFormula>
    </tableColumn>
    <tableColumn id="30" xr3:uid="{ACCFE326-AD3C-4281-8AB1-F5263F8287BB}" name="Colonne1" dataDxfId="3" totalsRowDxfId="2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11666-E1E5-4CDF-BFCB-4E7420022029}">
  <sheetPr codeName="Feuil1"/>
  <dimension ref="A1:AE49"/>
  <sheetViews>
    <sheetView tabSelected="1" topLeftCell="Z1" zoomScale="90" zoomScaleNormal="90" workbookViewId="0">
      <selection activeCell="AD9" sqref="AD9"/>
    </sheetView>
  </sheetViews>
  <sheetFormatPr baseColWidth="10" defaultRowHeight="14.5" x14ac:dyDescent="0.35"/>
  <cols>
    <col min="2" max="2" width="11.81640625" bestFit="1" customWidth="1"/>
    <col min="5" max="5" width="11.81640625" bestFit="1" customWidth="1"/>
  </cols>
  <sheetData>
    <row r="1" spans="1:31" x14ac:dyDescent="0.35">
      <c r="A1" s="3" t="s">
        <v>0</v>
      </c>
      <c r="B1" s="1" t="s">
        <v>1</v>
      </c>
      <c r="C1" s="11" t="s">
        <v>2</v>
      </c>
      <c r="D1" s="13" t="s">
        <v>3</v>
      </c>
      <c r="E1" s="14" t="s">
        <v>56</v>
      </c>
      <c r="F1" s="1" t="s">
        <v>4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52</v>
      </c>
      <c r="N1" s="1" t="s">
        <v>53</v>
      </c>
      <c r="O1" s="5" t="s">
        <v>54</v>
      </c>
      <c r="P1" s="12" t="s">
        <v>55</v>
      </c>
      <c r="Q1" s="5" t="s">
        <v>66</v>
      </c>
      <c r="R1" s="5" t="s">
        <v>57</v>
      </c>
      <c r="S1" s="5" t="s">
        <v>58</v>
      </c>
      <c r="T1" s="5" t="s">
        <v>59</v>
      </c>
      <c r="U1" s="5" t="s">
        <v>60</v>
      </c>
      <c r="V1" s="5" t="s">
        <v>61</v>
      </c>
      <c r="W1" s="5" t="s">
        <v>62</v>
      </c>
      <c r="X1" s="5" t="s">
        <v>63</v>
      </c>
      <c r="Y1" s="5" t="s">
        <v>64</v>
      </c>
      <c r="Z1" s="5" t="s">
        <v>65</v>
      </c>
      <c r="AA1" s="1" t="s">
        <v>67</v>
      </c>
      <c r="AB1" s="1" t="s">
        <v>68</v>
      </c>
      <c r="AC1" s="5" t="s">
        <v>69</v>
      </c>
      <c r="AD1" s="5" t="s">
        <v>71</v>
      </c>
      <c r="AE1" s="5" t="s">
        <v>70</v>
      </c>
    </row>
    <row r="2" spans="1:31" x14ac:dyDescent="0.35">
      <c r="A2" s="7" t="s">
        <v>5</v>
      </c>
      <c r="B2" s="2">
        <v>0.11867646827127819</v>
      </c>
      <c r="C2" s="2">
        <v>0.14527166235490216</v>
      </c>
      <c r="D2" s="6">
        <v>0.11</v>
      </c>
      <c r="E2" s="4">
        <v>0.1</v>
      </c>
      <c r="F2" s="2">
        <v>2.3273065563159695E-2</v>
      </c>
      <c r="G2" s="2">
        <v>0.16344853243069116</v>
      </c>
      <c r="H2" s="2">
        <v>0.18233182507907178</v>
      </c>
      <c r="I2" s="2">
        <v>0.14885506947242053</v>
      </c>
      <c r="J2" s="2">
        <v>2.2867318380358485E-2</v>
      </c>
      <c r="K2" s="2">
        <v>5.2138032314586642E-2</v>
      </c>
      <c r="L2" s="2">
        <v>6.5332629176681228E-2</v>
      </c>
      <c r="M2" s="2">
        <v>2.9634907995989467E-2</v>
      </c>
      <c r="N2" s="2">
        <v>2.9646361249156521E-2</v>
      </c>
      <c r="O2" s="4">
        <v>0.18608236824041507</v>
      </c>
      <c r="P2" s="4">
        <v>0.23624436488462089</v>
      </c>
      <c r="Q2" s="4">
        <v>0.1</v>
      </c>
      <c r="R2" s="4">
        <v>2.2563180463774774E-2</v>
      </c>
      <c r="S2" s="4">
        <v>0.15436895344194565</v>
      </c>
      <c r="T2" s="4">
        <v>0.16961407018174765</v>
      </c>
      <c r="U2" s="4">
        <v>0.35779682670959834</v>
      </c>
      <c r="V2" s="4">
        <v>2.3364847739487236E-2</v>
      </c>
      <c r="W2" s="4">
        <v>0.13012802969687731</v>
      </c>
      <c r="X2" s="4">
        <v>0.10633249921838596</v>
      </c>
      <c r="Y2" s="4">
        <v>5.828030916997292E-2</v>
      </c>
      <c r="Z2" s="4">
        <v>3.1454267762858729E-2</v>
      </c>
      <c r="AA2" s="4">
        <v>0.54953747452026191</v>
      </c>
      <c r="AB2" s="4">
        <v>0.52817749867082353</v>
      </c>
      <c r="AC2" s="4">
        <f>AVERAGE(C2,P2)</f>
        <v>0.19075801361976152</v>
      </c>
      <c r="AD2" s="4">
        <f>AVERAGE(Tableau1[[#This Row],[TPVDN]:[TPVUN]])</f>
        <v>0.10500000000000001</v>
      </c>
      <c r="AE2" s="18" t="s">
        <v>5</v>
      </c>
    </row>
    <row r="3" spans="1:31" x14ac:dyDescent="0.35">
      <c r="A3" s="8" t="s">
        <v>6</v>
      </c>
      <c r="B3" s="2">
        <v>0.15340990165027077</v>
      </c>
      <c r="C3" s="2">
        <v>0.15701345487152196</v>
      </c>
      <c r="D3">
        <v>0.08</v>
      </c>
      <c r="E3" s="4">
        <v>0.11</v>
      </c>
      <c r="F3" s="2">
        <v>1.9192598043533269E-2</v>
      </c>
      <c r="G3" s="2">
        <v>0.13281464130957424</v>
      </c>
      <c r="H3" s="2">
        <v>0.10118653119315832</v>
      </c>
      <c r="I3" s="2">
        <v>0.16138093403082129</v>
      </c>
      <c r="J3" s="2">
        <v>1.98089030227439E-2</v>
      </c>
      <c r="K3" s="2">
        <v>0.1630981726658122</v>
      </c>
      <c r="L3" s="2">
        <v>0.13582923170351496</v>
      </c>
      <c r="M3" s="2">
        <v>9.2541304152120293E-2</v>
      </c>
      <c r="N3" s="2">
        <v>2.7341211325444943E-2</v>
      </c>
      <c r="O3" s="2">
        <v>0.17562873294393497</v>
      </c>
      <c r="P3" s="2">
        <v>0.16538758460255251</v>
      </c>
      <c r="Q3" s="4">
        <v>0.11</v>
      </c>
      <c r="R3" s="2">
        <v>1.974944562397284E-2</v>
      </c>
      <c r="S3" s="2">
        <v>0.17394211083346636</v>
      </c>
      <c r="T3" s="2">
        <v>0.19786104508459512</v>
      </c>
      <c r="U3" s="2">
        <v>0.18137925493350535</v>
      </c>
      <c r="V3" s="2">
        <v>2.132286543213173E-2</v>
      </c>
      <c r="W3" s="2">
        <v>0.13038939569520985</v>
      </c>
      <c r="X3" s="2">
        <v>0.1198112804865544</v>
      </c>
      <c r="Y3" s="2">
        <v>9.93791145249662E-2</v>
      </c>
      <c r="Z3" s="2">
        <v>1.3846581841388287E-2</v>
      </c>
      <c r="AA3" s="2">
        <v>0.49209855241056666</v>
      </c>
      <c r="AB3" s="2">
        <v>0.42156025681691034</v>
      </c>
      <c r="AC3" s="4">
        <f>AVERAGE(C3,P3)</f>
        <v>0.16120051973703725</v>
      </c>
      <c r="AD3" s="4">
        <f>AVERAGE(Tableau1[[#This Row],[TPVDN]:[TPVUN]])</f>
        <v>9.5000000000000001E-2</v>
      </c>
      <c r="AE3" s="2" t="s">
        <v>6</v>
      </c>
    </row>
    <row r="4" spans="1:31" x14ac:dyDescent="0.35">
      <c r="A4" s="8" t="s">
        <v>7</v>
      </c>
      <c r="B4" s="2">
        <v>0.19165597597782577</v>
      </c>
      <c r="C4" s="2">
        <v>0.2262714762689218</v>
      </c>
      <c r="D4">
        <v>0.18</v>
      </c>
      <c r="E4" s="4">
        <v>0.15</v>
      </c>
      <c r="F4" s="2">
        <v>2.801421569557349E-2</v>
      </c>
      <c r="G4" s="2">
        <v>0.24241100316487779</v>
      </c>
      <c r="H4" s="2">
        <v>0.28921231947276355</v>
      </c>
      <c r="I4" s="2">
        <v>0.2682908825733975</v>
      </c>
      <c r="J4" s="2">
        <v>2.1388315321061644E-2</v>
      </c>
      <c r="K4" s="2">
        <v>2.9880667421270192E-2</v>
      </c>
      <c r="L4" s="2">
        <v>3.7712561340338818E-2</v>
      </c>
      <c r="M4" s="2">
        <v>6.0910023838813415E-2</v>
      </c>
      <c r="N4" s="2">
        <v>2.4930491313241272E-2</v>
      </c>
      <c r="O4" s="2">
        <v>0.15075529312767388</v>
      </c>
      <c r="P4" s="2">
        <v>0.19288503923462619</v>
      </c>
      <c r="Q4" s="4">
        <v>0.15</v>
      </c>
      <c r="R4" s="2">
        <v>1.7936230190540282E-2</v>
      </c>
      <c r="S4" s="2">
        <v>0.26831911881079601</v>
      </c>
      <c r="T4" s="2">
        <v>0.41329315015927698</v>
      </c>
      <c r="U4" s="2">
        <v>0.16623146642728293</v>
      </c>
      <c r="V4" s="2">
        <v>2.0385344067698957E-2</v>
      </c>
      <c r="W4" s="2">
        <v>0.15102539617978342</v>
      </c>
      <c r="X4" s="2">
        <v>0.10955499614840634</v>
      </c>
      <c r="Y4" s="2">
        <v>6.401113741663006E-2</v>
      </c>
      <c r="Z4" s="2">
        <v>2.4941283884826901E-2</v>
      </c>
      <c r="AA4" s="2">
        <v>0.49324730229554214</v>
      </c>
      <c r="AB4" s="2">
        <v>0.45551764231840475</v>
      </c>
      <c r="AC4" s="4">
        <f>AVERAGE(C4,P4)</f>
        <v>0.20957825775177399</v>
      </c>
      <c r="AD4" s="4">
        <f>AVERAGE(Tableau1[[#This Row],[TPVDN]:[TPVUN]])</f>
        <v>0.16499999999999998</v>
      </c>
      <c r="AE4" s="2" t="s">
        <v>7</v>
      </c>
    </row>
    <row r="5" spans="1:31" x14ac:dyDescent="0.35">
      <c r="A5" s="9" t="s">
        <v>8</v>
      </c>
      <c r="B5" s="4">
        <v>0.15274554692205153</v>
      </c>
      <c r="C5" s="4">
        <v>0.2066590302857369</v>
      </c>
      <c r="D5" s="6">
        <v>0.22</v>
      </c>
      <c r="E5" s="4">
        <v>0.2</v>
      </c>
      <c r="F5" s="4">
        <v>2.2785208686493641E-2</v>
      </c>
      <c r="G5" s="2">
        <v>0.15554412853033717</v>
      </c>
      <c r="H5" s="2">
        <v>0.31130986027030066</v>
      </c>
      <c r="I5" s="2">
        <v>0.37336685661769159</v>
      </c>
      <c r="J5" s="2">
        <v>2.9862468589351768E-2</v>
      </c>
      <c r="K5" s="2">
        <v>8.8233924581161541E-2</v>
      </c>
      <c r="L5" s="2">
        <v>9.0012893019764895E-2</v>
      </c>
      <c r="M5" s="2">
        <v>8.1361836106977531E-2</v>
      </c>
      <c r="N5" s="2">
        <v>2.6629819797745376E-2</v>
      </c>
      <c r="O5" s="4">
        <v>0.18533154642837738</v>
      </c>
      <c r="P5" s="4">
        <v>0.24189601143783868</v>
      </c>
      <c r="Q5" s="4">
        <v>0.2</v>
      </c>
      <c r="R5" s="4">
        <v>2.4963735449184385E-2</v>
      </c>
      <c r="S5" s="2">
        <v>0.15788459387315112</v>
      </c>
      <c r="T5" s="2">
        <v>0.28060272047752172</v>
      </c>
      <c r="U5" s="2">
        <v>0.23149642531783313</v>
      </c>
      <c r="V5" s="2">
        <v>2.4498955007745196E-2</v>
      </c>
      <c r="W5" s="2">
        <v>9.6119262885949214E-2</v>
      </c>
      <c r="X5" s="2">
        <v>9.6232246208153988E-2</v>
      </c>
      <c r="Y5" s="2">
        <v>7.9644473849767E-2</v>
      </c>
      <c r="Z5" s="2">
        <v>3.207086483782802E-2</v>
      </c>
      <c r="AA5" s="2">
        <v>0.50488554364909199</v>
      </c>
      <c r="AB5" s="2">
        <v>0.36509381711779876</v>
      </c>
      <c r="AC5" s="4">
        <f>AVERAGE(C5,P5)</f>
        <v>0.22427752086178779</v>
      </c>
      <c r="AD5" s="4">
        <f>AVERAGE(Tableau1[[#This Row],[TPVDN]:[TPVUN]])</f>
        <v>0.21000000000000002</v>
      </c>
      <c r="AE5" s="16" t="s">
        <v>8</v>
      </c>
    </row>
    <row r="6" spans="1:31" x14ac:dyDescent="0.35">
      <c r="A6" s="9" t="s">
        <v>9</v>
      </c>
      <c r="B6" s="2">
        <v>0.1110575242377692</v>
      </c>
      <c r="C6" s="2">
        <v>0.16834914548924995</v>
      </c>
      <c r="D6" s="6">
        <v>0.18</v>
      </c>
      <c r="E6" s="4">
        <v>0.22</v>
      </c>
      <c r="F6" s="2">
        <v>4.8157807532090008E-2</v>
      </c>
      <c r="G6" s="2">
        <v>0.18504115544828437</v>
      </c>
      <c r="H6" s="2">
        <v>0.32454837728782326</v>
      </c>
      <c r="I6" s="2">
        <v>0.49021094876063881</v>
      </c>
      <c r="J6" s="2">
        <v>5.3658218263533723E-2</v>
      </c>
      <c r="K6" s="2">
        <v>0.17113355584217108</v>
      </c>
      <c r="L6" s="2">
        <v>0.16152930370990101</v>
      </c>
      <c r="M6" s="2">
        <v>0.13084865810249974</v>
      </c>
      <c r="N6" s="2">
        <v>3.6364725753219751E-2</v>
      </c>
      <c r="O6" s="2">
        <v>0.15307521795841694</v>
      </c>
      <c r="P6" s="2">
        <v>0.15900141942625196</v>
      </c>
      <c r="Q6" s="4">
        <v>0.22</v>
      </c>
      <c r="R6" s="2">
        <v>2.9044903842923346E-2</v>
      </c>
      <c r="S6" s="2">
        <v>0.2333218177257001</v>
      </c>
      <c r="T6" s="2">
        <v>0.38859832909406988</v>
      </c>
      <c r="U6" s="2">
        <v>0.32844772869394273</v>
      </c>
      <c r="V6" s="2">
        <v>2.5591184533151401E-2</v>
      </c>
      <c r="W6" s="2">
        <v>0.22242657444978997</v>
      </c>
      <c r="X6" s="2">
        <v>0.13768511243430107</v>
      </c>
      <c r="Y6" s="2">
        <v>0.16898407359220546</v>
      </c>
      <c r="Z6" s="2">
        <v>3.1410909762234353E-2</v>
      </c>
      <c r="AA6" s="2">
        <v>0.4894636665620733</v>
      </c>
      <c r="AB6" s="2">
        <v>0.35551966837009663</v>
      </c>
      <c r="AC6" s="4">
        <f>AVERAGE(C6,P6)</f>
        <v>0.16367528245775095</v>
      </c>
      <c r="AD6" s="4">
        <f>AVERAGE(Tableau1[[#This Row],[TPVDN]:[TPVUN]])</f>
        <v>0.2</v>
      </c>
      <c r="AE6" s="16" t="s">
        <v>9</v>
      </c>
    </row>
    <row r="7" spans="1:31" x14ac:dyDescent="0.35">
      <c r="A7" s="8" t="s">
        <v>10</v>
      </c>
      <c r="B7" s="2">
        <v>0.14816598425085437</v>
      </c>
      <c r="C7" s="2">
        <v>0.19117901720641295</v>
      </c>
      <c r="D7" s="6">
        <v>0.15</v>
      </c>
      <c r="E7" s="4">
        <v>0.17</v>
      </c>
      <c r="F7" s="2">
        <v>5.1529709414832946E-2</v>
      </c>
      <c r="G7" s="2">
        <v>0.19663127926015517</v>
      </c>
      <c r="H7" s="2">
        <v>0.37110379783608571</v>
      </c>
      <c r="I7" s="2">
        <v>0.39461934152110051</v>
      </c>
      <c r="J7" s="2">
        <v>4.8268989077070036E-2</v>
      </c>
      <c r="K7" s="2">
        <v>6.0417717912467105E-2</v>
      </c>
      <c r="L7" s="2">
        <v>7.7675879184097504E-2</v>
      </c>
      <c r="M7" s="2">
        <v>8.5988931825019543E-2</v>
      </c>
      <c r="N7" s="2">
        <v>5.3901948226688291E-2</v>
      </c>
      <c r="O7" s="2">
        <v>0.27088773230269164</v>
      </c>
      <c r="P7" s="2">
        <v>0.24659541281012023</v>
      </c>
      <c r="Q7" s="4">
        <v>0.17</v>
      </c>
      <c r="R7" s="2">
        <v>3.3113485208014319E-2</v>
      </c>
      <c r="S7" s="2">
        <v>0.22419933226757902</v>
      </c>
      <c r="T7" s="2">
        <v>0.28488853079548376</v>
      </c>
      <c r="U7" s="2">
        <v>0.29302209763896353</v>
      </c>
      <c r="V7" s="2">
        <v>2.5881281698620109E-2</v>
      </c>
      <c r="W7" s="2">
        <v>0.12835133856434924</v>
      </c>
      <c r="X7" s="2">
        <v>0.11091805921836015</v>
      </c>
      <c r="Y7" s="2">
        <v>9.7258489911760504E-2</v>
      </c>
      <c r="Z7" s="2">
        <v>3.3012573834016665E-2</v>
      </c>
      <c r="AA7" s="2">
        <v>0.52981663969416437</v>
      </c>
      <c r="AB7" s="2">
        <v>0.47743451507809159</v>
      </c>
      <c r="AC7" s="4">
        <f>AVERAGE(C7,P7)</f>
        <v>0.21888721500826658</v>
      </c>
      <c r="AD7" s="4">
        <f>AVERAGE(Tableau1[[#This Row],[TPVDN]:[TPVUN]])</f>
        <v>0.16</v>
      </c>
      <c r="AE7" s="2" t="s">
        <v>10</v>
      </c>
    </row>
    <row r="8" spans="1:31" x14ac:dyDescent="0.35">
      <c r="A8" s="8" t="s">
        <v>11</v>
      </c>
      <c r="B8" s="4">
        <v>0.11964086750484688</v>
      </c>
      <c r="C8" s="4">
        <v>0.19660788174443145</v>
      </c>
      <c r="D8" s="6">
        <v>0.21</v>
      </c>
      <c r="E8" s="4">
        <v>0.25</v>
      </c>
      <c r="F8" s="4">
        <v>4.8588317369783619E-2</v>
      </c>
      <c r="G8" s="2">
        <v>0.2425763074039187</v>
      </c>
      <c r="H8" s="2">
        <v>0.41203569329973899</v>
      </c>
      <c r="I8" s="2">
        <v>0.3122974325187739</v>
      </c>
      <c r="J8" s="2">
        <v>0.04</v>
      </c>
      <c r="K8" s="2">
        <v>0.23235766104139605</v>
      </c>
      <c r="L8" s="2">
        <v>0.3491317425856964</v>
      </c>
      <c r="M8" s="2">
        <v>0.15104249896005423</v>
      </c>
      <c r="N8" s="2">
        <v>0.04</v>
      </c>
      <c r="O8" s="4">
        <v>0.13340175468206913</v>
      </c>
      <c r="P8" s="4">
        <v>0.20904272653454473</v>
      </c>
      <c r="Q8" s="4">
        <v>0.25</v>
      </c>
      <c r="R8" s="4">
        <v>2.9880003954371782E-2</v>
      </c>
      <c r="S8" s="2">
        <v>0.27069858542065217</v>
      </c>
      <c r="T8" s="2">
        <v>0.45986961886495009</v>
      </c>
      <c r="U8" s="2">
        <v>0.40583429062693221</v>
      </c>
      <c r="V8" s="2">
        <v>0.03</v>
      </c>
      <c r="W8" s="2">
        <v>0.45876439117952539</v>
      </c>
      <c r="X8" s="2">
        <v>0.51268389888192256</v>
      </c>
      <c r="Y8" s="2">
        <v>0.20289844783834571</v>
      </c>
      <c r="Z8" s="2">
        <v>0.06</v>
      </c>
      <c r="AA8" s="2">
        <v>0.59169455184219233</v>
      </c>
      <c r="AB8" s="2">
        <v>0.42561676720726604</v>
      </c>
      <c r="AC8" s="4">
        <f>AVERAGE(C8,P8)</f>
        <v>0.20282530413948807</v>
      </c>
      <c r="AD8" s="4">
        <f>AVERAGE(Tableau1[[#This Row],[TPVDN]:[TPVUN]])</f>
        <v>0.22999999999999998</v>
      </c>
      <c r="AE8" s="2" t="s">
        <v>11</v>
      </c>
    </row>
    <row r="9" spans="1:31" x14ac:dyDescent="0.35">
      <c r="A9" s="8" t="s">
        <v>12</v>
      </c>
      <c r="B9" s="4">
        <v>0.15149763085654014</v>
      </c>
      <c r="C9" s="4">
        <v>0.20178488779656578</v>
      </c>
      <c r="D9" s="6">
        <v>0.2</v>
      </c>
      <c r="E9" s="4">
        <v>0.26</v>
      </c>
      <c r="F9" s="4">
        <v>3.6159005539386259E-2</v>
      </c>
      <c r="G9" s="2">
        <v>0.12043219387919599</v>
      </c>
      <c r="H9" s="2">
        <v>0.11912120337958436</v>
      </c>
      <c r="I9" s="2">
        <v>0.32848573056935931</v>
      </c>
      <c r="J9" s="2">
        <v>2.3647892365730613E-2</v>
      </c>
      <c r="K9" s="2">
        <v>0.19001362269480984</v>
      </c>
      <c r="L9" s="2">
        <v>0.13118542727565347</v>
      </c>
      <c r="M9" s="2">
        <v>0.16507052842010267</v>
      </c>
      <c r="N9" s="2">
        <v>2.2817093038258438E-2</v>
      </c>
      <c r="O9" s="4">
        <v>0.15503913216708651</v>
      </c>
      <c r="P9" s="4">
        <v>0.22062718545127247</v>
      </c>
      <c r="Q9" s="4">
        <v>0.26</v>
      </c>
      <c r="R9" s="4">
        <v>3.2332278643948532E-2</v>
      </c>
      <c r="S9" s="2">
        <v>0.10010705874125303</v>
      </c>
      <c r="T9" s="2">
        <v>0.1847202494228749</v>
      </c>
      <c r="U9" s="2">
        <v>0.33140685074690002</v>
      </c>
      <c r="V9" s="2">
        <v>2.9760384093416838E-2</v>
      </c>
      <c r="W9" s="2">
        <v>0.107902844104398</v>
      </c>
      <c r="X9" s="2">
        <v>0.10694744672690147</v>
      </c>
      <c r="Y9" s="2">
        <v>0.14461787936572457</v>
      </c>
      <c r="Z9" s="2">
        <v>2.4061604985413269E-2</v>
      </c>
      <c r="AA9" s="2">
        <v>0.53190506423675565</v>
      </c>
      <c r="AB9" s="2">
        <v>0.44803872299573638</v>
      </c>
      <c r="AC9" s="4">
        <f>AVERAGE(C9,P9)</f>
        <v>0.21120603662391912</v>
      </c>
      <c r="AD9" s="4">
        <f>AVERAGE(Tableau1[[#This Row],[TPVDN]:[TPVUN]])</f>
        <v>0.23</v>
      </c>
      <c r="AE9" s="2" t="s">
        <v>12</v>
      </c>
    </row>
    <row r="10" spans="1:31" x14ac:dyDescent="0.35">
      <c r="A10" s="8" t="s">
        <v>13</v>
      </c>
      <c r="B10" s="2">
        <v>0.10642772590553633</v>
      </c>
      <c r="C10" s="2">
        <v>0.11414793192288804</v>
      </c>
      <c r="D10" s="6">
        <v>0.08</v>
      </c>
      <c r="E10" s="4">
        <v>0.1</v>
      </c>
      <c r="F10" s="2">
        <v>2.9906225773947311E-2</v>
      </c>
      <c r="G10" s="2">
        <v>0.13406097204062786</v>
      </c>
      <c r="H10" s="2">
        <v>0.13684534665010498</v>
      </c>
      <c r="I10" s="2">
        <v>8.9803213599654694E-2</v>
      </c>
      <c r="J10" s="2">
        <v>2.9881298926039988E-2</v>
      </c>
      <c r="K10" s="2">
        <v>8.414008459038913E-2</v>
      </c>
      <c r="L10" s="2">
        <v>8.5947601827608619E-2</v>
      </c>
      <c r="M10" s="2">
        <v>0.10049753259465359</v>
      </c>
      <c r="N10" s="2">
        <v>2.7036273723462696E-2</v>
      </c>
      <c r="O10" s="2">
        <v>7.7987005922792049E-2</v>
      </c>
      <c r="P10" s="2">
        <v>7.5214783271503813E-2</v>
      </c>
      <c r="Q10" s="4">
        <v>0.1</v>
      </c>
      <c r="R10" s="2">
        <v>2.2020274829657703E-2</v>
      </c>
      <c r="S10" s="2">
        <v>8.8598122195552478E-2</v>
      </c>
      <c r="T10" s="2">
        <v>8.9722815694158048E-2</v>
      </c>
      <c r="U10" s="2">
        <v>0.10080614506807352</v>
      </c>
      <c r="V10" s="2">
        <v>1.6834125774393222E-2</v>
      </c>
      <c r="W10" s="2">
        <v>0.11549535679732537</v>
      </c>
      <c r="X10" s="2">
        <v>0.10543537999638415</v>
      </c>
      <c r="Y10" s="2">
        <v>9.7272723851995993E-2</v>
      </c>
      <c r="Z10" s="2">
        <v>2.4034406604477643E-2</v>
      </c>
      <c r="AA10" s="2">
        <v>0.50813152374502901</v>
      </c>
      <c r="AB10" s="2">
        <v>0.43206186073815261</v>
      </c>
      <c r="AC10" s="4">
        <f>AVERAGE(C10,P10)</f>
        <v>9.4681357597195925E-2</v>
      </c>
      <c r="AD10" s="4">
        <f>AVERAGE(Tableau1[[#This Row],[TPVDN]:[TPVUN]])</f>
        <v>0.09</v>
      </c>
      <c r="AE10" s="2" t="s">
        <v>13</v>
      </c>
    </row>
    <row r="11" spans="1:31" x14ac:dyDescent="0.35">
      <c r="A11" s="9" t="s">
        <v>14</v>
      </c>
      <c r="B11" s="4">
        <v>0.16179066630079139</v>
      </c>
      <c r="C11" s="4">
        <v>0.14152741895848842</v>
      </c>
      <c r="D11" s="6">
        <v>0.27</v>
      </c>
      <c r="E11" s="4">
        <v>0.24</v>
      </c>
      <c r="F11" s="4">
        <v>3.4151089557244281E-2</v>
      </c>
      <c r="G11" s="2">
        <v>0.19289678721029652</v>
      </c>
      <c r="H11" s="2">
        <v>0.23551646838022472</v>
      </c>
      <c r="I11" s="2">
        <v>0.29908202494915392</v>
      </c>
      <c r="J11" s="2">
        <v>3.2779234852994867E-2</v>
      </c>
      <c r="K11" s="2">
        <v>0.36282054923459078</v>
      </c>
      <c r="L11" s="2">
        <v>0.25219377550257066</v>
      </c>
      <c r="M11" s="2">
        <v>0.16314496839365578</v>
      </c>
      <c r="N11" s="2">
        <v>4.5269799304917917E-2</v>
      </c>
      <c r="O11" s="4">
        <v>0.20566182530896224</v>
      </c>
      <c r="P11" s="4">
        <v>0.2119016625062238</v>
      </c>
      <c r="Q11" s="4">
        <v>0.24</v>
      </c>
      <c r="R11" s="4">
        <v>2.5212001471544197E-2</v>
      </c>
      <c r="S11" s="2">
        <v>0.17008577974828232</v>
      </c>
      <c r="T11" s="2">
        <v>0.30423466715184844</v>
      </c>
      <c r="U11" s="2">
        <v>0.37901339944320378</v>
      </c>
      <c r="V11" s="2">
        <v>3.258325781856012E-2</v>
      </c>
      <c r="W11" s="2">
        <v>0.1802054509017651</v>
      </c>
      <c r="X11" s="2">
        <v>0.16327301960866483</v>
      </c>
      <c r="Y11" s="2">
        <v>0.10319558545137196</v>
      </c>
      <c r="Z11" s="2">
        <v>4.1575359305531773E-2</v>
      </c>
      <c r="AA11" s="2">
        <v>0.44345749711391835</v>
      </c>
      <c r="AB11" s="2">
        <v>0.38250911510000207</v>
      </c>
      <c r="AC11" s="4">
        <f>AVERAGE(C11,P11)</f>
        <v>0.1767145407323561</v>
      </c>
      <c r="AD11" s="4">
        <f>AVERAGE(Tableau1[[#This Row],[TPVDN]:[TPVUN]])</f>
        <v>0.255</v>
      </c>
      <c r="AE11" s="16" t="s">
        <v>14</v>
      </c>
    </row>
    <row r="12" spans="1:31" x14ac:dyDescent="0.35">
      <c r="A12" s="8" t="s">
        <v>15</v>
      </c>
      <c r="B12" s="2">
        <v>0.27374724547009799</v>
      </c>
      <c r="C12" s="2">
        <v>0.24179751456480647</v>
      </c>
      <c r="D12" s="6">
        <v>0.15</v>
      </c>
      <c r="E12" s="4">
        <v>0.13</v>
      </c>
      <c r="F12" s="2">
        <v>3.6132415264721926E-2</v>
      </c>
      <c r="G12" s="2">
        <v>0.28648556608118458</v>
      </c>
      <c r="H12" s="2">
        <v>0.37733032809823541</v>
      </c>
      <c r="I12" s="2">
        <v>0.13815449260225288</v>
      </c>
      <c r="J12" s="2">
        <v>4.3649124801301314E-2</v>
      </c>
      <c r="K12" s="2">
        <v>3.4269878567218644E-2</v>
      </c>
      <c r="L12" s="2">
        <v>4.1295926299588351E-2</v>
      </c>
      <c r="M12" s="2">
        <v>9.0386207780765906E-2</v>
      </c>
      <c r="N12" s="2">
        <v>3.8715674597279162E-2</v>
      </c>
      <c r="O12" s="2">
        <v>0.20020116867502244</v>
      </c>
      <c r="P12" s="2">
        <v>0.19274883404957949</v>
      </c>
      <c r="Q12" s="4">
        <v>0.13</v>
      </c>
      <c r="R12" s="2">
        <v>2.9223231716846539E-2</v>
      </c>
      <c r="S12" s="2">
        <v>0.21988218710004301</v>
      </c>
      <c r="T12" s="2">
        <v>0.28081104250896016</v>
      </c>
      <c r="U12" s="2">
        <v>0.23340813939927105</v>
      </c>
      <c r="V12" s="2">
        <v>2.3486250671264267E-2</v>
      </c>
      <c r="W12" s="2">
        <v>6.5334728398019307E-2</v>
      </c>
      <c r="X12" s="2">
        <v>6.1371828252519349E-2</v>
      </c>
      <c r="Y12" s="2">
        <v>9.7369924225894897E-2</v>
      </c>
      <c r="Z12" s="2">
        <v>2.9288299282530166E-2</v>
      </c>
      <c r="AA12" s="2">
        <v>0.51476003796521419</v>
      </c>
      <c r="AB12" s="2">
        <v>0.45837618953085268</v>
      </c>
      <c r="AC12" s="4">
        <f>AVERAGE(C12,P12)</f>
        <v>0.21727317430719298</v>
      </c>
      <c r="AD12" s="4">
        <f>AVERAGE(Tableau1[[#This Row],[TPVDN]:[TPVUN]])</f>
        <v>0.14000000000000001</v>
      </c>
      <c r="AE12" s="2" t="s">
        <v>15</v>
      </c>
    </row>
    <row r="13" spans="1:31" x14ac:dyDescent="0.35">
      <c r="A13" s="8" t="s">
        <v>16</v>
      </c>
      <c r="B13" s="2">
        <v>0.15337121032531675</v>
      </c>
      <c r="C13" s="2">
        <v>0.18611914101556726</v>
      </c>
      <c r="D13" s="6">
        <v>0.14000000000000001</v>
      </c>
      <c r="E13" s="4">
        <v>0.12</v>
      </c>
      <c r="F13" s="2">
        <v>3.6030340014190303E-2</v>
      </c>
      <c r="G13" s="2">
        <v>0.13867690486751993</v>
      </c>
      <c r="H13" s="2">
        <v>0.22619962600652321</v>
      </c>
      <c r="I13" s="2">
        <v>0.30309420729679021</v>
      </c>
      <c r="J13" s="2">
        <v>2.8706343984508539E-2</v>
      </c>
      <c r="K13" s="2">
        <v>0.23551249139731631</v>
      </c>
      <c r="L13" s="2">
        <v>0.17179540401108234</v>
      </c>
      <c r="M13" s="2">
        <v>9.4140413820808094E-2</v>
      </c>
      <c r="N13" s="2">
        <v>3.7909196744580209E-2</v>
      </c>
      <c r="O13" s="2">
        <v>0.17833248931696769</v>
      </c>
      <c r="P13" s="2">
        <v>0.22325937507425755</v>
      </c>
      <c r="Q13" s="4">
        <v>0.12</v>
      </c>
      <c r="R13" s="2">
        <v>2.4186578517040494E-2</v>
      </c>
      <c r="S13" s="2">
        <v>0.12999871320661499</v>
      </c>
      <c r="T13" s="2">
        <v>0.22708931639714977</v>
      </c>
      <c r="U13" s="2">
        <v>0.21541572340878021</v>
      </c>
      <c r="V13" s="2">
        <v>3.2557710026535042E-2</v>
      </c>
      <c r="W13" s="2">
        <v>7.6981305173727824E-2</v>
      </c>
      <c r="X13" s="2">
        <v>0.15950407556211052</v>
      </c>
      <c r="Y13" s="2">
        <v>5.0798886499191759E-2</v>
      </c>
      <c r="Z13" s="2">
        <v>0.12784236963636739</v>
      </c>
      <c r="AA13" s="2">
        <v>0.51740056483859143</v>
      </c>
      <c r="AB13" s="2">
        <v>0.41655559516672025</v>
      </c>
      <c r="AC13" s="4">
        <f>AVERAGE(C13,P13)</f>
        <v>0.20468925804491239</v>
      </c>
      <c r="AD13" s="4">
        <f>AVERAGE(Tableau1[[#This Row],[TPVDN]:[TPVUN]])</f>
        <v>0.13</v>
      </c>
      <c r="AE13" s="2" t="s">
        <v>16</v>
      </c>
    </row>
    <row r="14" spans="1:31" x14ac:dyDescent="0.35">
      <c r="A14" s="8" t="s">
        <v>17</v>
      </c>
      <c r="B14" s="2">
        <v>0.16602317610725956</v>
      </c>
      <c r="C14" s="2">
        <v>0.1283684660286612</v>
      </c>
      <c r="D14">
        <v>7.0000000000000007E-2</v>
      </c>
      <c r="E14" s="4">
        <v>0.09</v>
      </c>
      <c r="F14" s="2">
        <v>3.0171822573526432E-2</v>
      </c>
      <c r="G14" s="2">
        <v>0.15416480652161368</v>
      </c>
      <c r="H14" s="2">
        <v>0.19540553017389981</v>
      </c>
      <c r="I14" s="2">
        <v>0.10490344709818639</v>
      </c>
      <c r="J14" s="2">
        <v>2.9457245498428299E-2</v>
      </c>
      <c r="K14" s="2">
        <v>0.11834369093784736</v>
      </c>
      <c r="L14" s="2">
        <v>7.7990160642974676E-2</v>
      </c>
      <c r="M14" s="2">
        <v>8.8827464033602074E-2</v>
      </c>
      <c r="N14" s="2">
        <v>3.7174956651340595E-2</v>
      </c>
      <c r="O14" s="2">
        <v>0.12210889941002355</v>
      </c>
      <c r="P14" s="2">
        <v>0.11812265010759505</v>
      </c>
      <c r="Q14" s="4">
        <v>0.09</v>
      </c>
      <c r="R14" s="2">
        <v>2.4678244021335134E-2</v>
      </c>
      <c r="S14" s="2">
        <v>0.13862102602280363</v>
      </c>
      <c r="T14" s="2">
        <v>0.21425405737871742</v>
      </c>
      <c r="U14" s="2">
        <v>0.11252548632271855</v>
      </c>
      <c r="V14" s="2">
        <v>3.4134429418212625E-2</v>
      </c>
      <c r="W14" s="2">
        <v>3.4891741857724444E-2</v>
      </c>
      <c r="X14" s="2">
        <v>5.0068304775852494E-2</v>
      </c>
      <c r="Y14" s="2">
        <v>2.8234289125701355E-2</v>
      </c>
      <c r="Z14" s="2">
        <v>3.3776428208252086E-2</v>
      </c>
      <c r="AA14" s="2">
        <v>0.50561761963073315</v>
      </c>
      <c r="AB14" s="2">
        <v>0.45685498538289737</v>
      </c>
      <c r="AC14" s="4">
        <f>AVERAGE(C14,P14)</f>
        <v>0.12324555806812812</v>
      </c>
      <c r="AD14" s="4">
        <f>AVERAGE(Tableau1[[#This Row],[TPVDN]:[TPVUN]])</f>
        <v>0.08</v>
      </c>
      <c r="AE14" s="2" t="s">
        <v>17</v>
      </c>
    </row>
    <row r="15" spans="1:31" x14ac:dyDescent="0.35">
      <c r="A15" s="8" t="s">
        <v>18</v>
      </c>
      <c r="B15" s="2">
        <v>0.10116467148075076</v>
      </c>
      <c r="C15" s="2">
        <v>0.12634330898093032</v>
      </c>
      <c r="D15">
        <v>0.18</v>
      </c>
      <c r="E15" s="4">
        <v>0.13</v>
      </c>
      <c r="F15" s="2">
        <v>2.4669049571193518E-2</v>
      </c>
      <c r="G15" s="2">
        <v>0.16133025582868735</v>
      </c>
      <c r="H15" s="2">
        <v>0.23656425619082871</v>
      </c>
      <c r="I15" s="2">
        <v>0.36567297646257485</v>
      </c>
      <c r="J15" s="2">
        <v>1.4022073040255024E-2</v>
      </c>
      <c r="K15" s="2">
        <v>0.14612276409786981</v>
      </c>
      <c r="L15" s="2">
        <v>0.12095009927358036</v>
      </c>
      <c r="M15" s="2">
        <v>4.8238930619189234E-2</v>
      </c>
      <c r="N15" s="2">
        <v>3.0581380480741965E-2</v>
      </c>
      <c r="O15" s="2">
        <v>0.1060089751402884</v>
      </c>
      <c r="P15" s="2">
        <v>0.12608118326043757</v>
      </c>
      <c r="Q15" s="4">
        <v>0.13</v>
      </c>
      <c r="R15" s="2">
        <v>1.9366164215716977E-2</v>
      </c>
      <c r="S15" s="2">
        <v>0.1288345893990111</v>
      </c>
      <c r="T15" s="2">
        <v>0.19992948264082552</v>
      </c>
      <c r="U15" s="2">
        <v>0.15293151101061261</v>
      </c>
      <c r="V15" s="2">
        <v>1.927792017447668E-2</v>
      </c>
      <c r="W15" s="2">
        <v>5.721153806081658E-2</v>
      </c>
      <c r="X15" s="2">
        <v>7.4613884439275413E-2</v>
      </c>
      <c r="Y15" s="2">
        <v>4.5183227335809949E-2</v>
      </c>
      <c r="Z15" s="2">
        <v>2.7977188407071009E-2</v>
      </c>
      <c r="AA15" s="2">
        <v>0.50252491853913783</v>
      </c>
      <c r="AB15" s="2">
        <v>0.43110869648881006</v>
      </c>
      <c r="AC15" s="4">
        <f>AVERAGE(C15,P15)</f>
        <v>0.12621224612068394</v>
      </c>
      <c r="AD15" s="4">
        <f>AVERAGE(Tableau1[[#This Row],[TPVDN]:[TPVUN]])</f>
        <v>0.155</v>
      </c>
      <c r="AE15" s="2" t="s">
        <v>18</v>
      </c>
    </row>
    <row r="16" spans="1:31" x14ac:dyDescent="0.35">
      <c r="A16" s="9" t="s">
        <v>19</v>
      </c>
      <c r="B16" s="2">
        <v>0.12353053568365514</v>
      </c>
      <c r="C16" s="2">
        <v>0.15383107138289498</v>
      </c>
      <c r="D16" s="6">
        <v>0.2</v>
      </c>
      <c r="E16" s="4">
        <v>0.26</v>
      </c>
      <c r="F16" s="2">
        <v>2.6280883222384251E-2</v>
      </c>
      <c r="G16" s="2">
        <v>0.20847108808212816</v>
      </c>
      <c r="H16" s="2">
        <v>0.19397596054305632</v>
      </c>
      <c r="I16" s="2">
        <v>0.21152224060845998</v>
      </c>
      <c r="J16" s="2">
        <v>4.0740748805687982E-2</v>
      </c>
      <c r="K16" s="2">
        <v>0.16014440810022779</v>
      </c>
      <c r="L16" s="2">
        <v>0.1455363394511531</v>
      </c>
      <c r="M16" s="2">
        <v>0.13672913077636195</v>
      </c>
      <c r="N16" s="2">
        <v>4.2082039573076255E-2</v>
      </c>
      <c r="O16" s="2">
        <v>0.14631547018656221</v>
      </c>
      <c r="P16" s="2">
        <v>0.15942157111115846</v>
      </c>
      <c r="Q16" s="4">
        <v>0.26</v>
      </c>
      <c r="R16" s="2">
        <v>4.2949485033026681E-2</v>
      </c>
      <c r="S16" s="2">
        <v>0.15091604118295826</v>
      </c>
      <c r="T16" s="2">
        <v>0.21748324294894972</v>
      </c>
      <c r="U16" s="2">
        <v>0.28001276133065373</v>
      </c>
      <c r="V16" s="2">
        <v>4.3686299189594074E-2</v>
      </c>
      <c r="W16" s="2">
        <v>0.1386485191572937</v>
      </c>
      <c r="X16" s="2">
        <v>0.12240390238988957</v>
      </c>
      <c r="Y16" s="2">
        <v>0.1293022137952578</v>
      </c>
      <c r="Z16" s="2">
        <v>2.5540895808989068E-2</v>
      </c>
      <c r="AA16" s="2">
        <v>0.46622168204074715</v>
      </c>
      <c r="AB16" s="2">
        <v>0.42779494001538854</v>
      </c>
      <c r="AC16" s="4">
        <f>AVERAGE(C16,P16)</f>
        <v>0.15662632124702672</v>
      </c>
      <c r="AD16" s="4">
        <f>AVERAGE(Tableau1[[#This Row],[TPVDN]:[TPVUN]])</f>
        <v>0.23</v>
      </c>
      <c r="AE16" s="16" t="s">
        <v>19</v>
      </c>
    </row>
    <row r="17" spans="1:31" x14ac:dyDescent="0.35">
      <c r="A17" s="8" t="s">
        <v>20</v>
      </c>
      <c r="B17" s="4">
        <v>0.17445442187899637</v>
      </c>
      <c r="C17" s="4">
        <v>0.22579864916568518</v>
      </c>
      <c r="D17" s="6">
        <v>0.15</v>
      </c>
      <c r="E17" s="4">
        <v>0.23</v>
      </c>
      <c r="F17" s="4">
        <v>7.7187106542442513E-2</v>
      </c>
      <c r="G17" s="2">
        <v>0.19366146175183105</v>
      </c>
      <c r="H17" s="2">
        <v>0.39785643778873758</v>
      </c>
      <c r="I17" s="2">
        <v>0.23344917025851661</v>
      </c>
      <c r="J17" s="2">
        <v>8.3549056611682146E-2</v>
      </c>
      <c r="K17" s="2">
        <v>0.2745594547242271</v>
      </c>
      <c r="L17" s="2">
        <v>0.21751935444508511</v>
      </c>
      <c r="M17" s="2">
        <v>8.7185923417827202E-2</v>
      </c>
      <c r="N17" s="2">
        <v>9.9230362152486984E-2</v>
      </c>
      <c r="O17" s="4">
        <v>0.16602999828256218</v>
      </c>
      <c r="P17" s="4">
        <v>0.1772916044607431</v>
      </c>
      <c r="Q17" s="4">
        <v>0.23</v>
      </c>
      <c r="R17" s="4">
        <v>2.4890567930088842E-2</v>
      </c>
      <c r="S17" s="2">
        <v>0.1080726693524411</v>
      </c>
      <c r="T17" s="2">
        <v>6.2181331429005282E-2</v>
      </c>
      <c r="U17" s="2">
        <v>0.2498107649997722</v>
      </c>
      <c r="V17" s="2">
        <v>2.0264559126412524E-2</v>
      </c>
      <c r="W17" s="2">
        <v>0.47682881225228552</v>
      </c>
      <c r="X17" s="2">
        <v>0.19326758813774697</v>
      </c>
      <c r="Y17" s="2">
        <v>8.528430171701927E-2</v>
      </c>
      <c r="Z17" s="2">
        <v>6.4339296547117605E-2</v>
      </c>
      <c r="AA17" s="2">
        <v>0.49686658564259273</v>
      </c>
      <c r="AB17" s="2">
        <v>0.42496536432654591</v>
      </c>
      <c r="AC17" s="4">
        <f>AVERAGE(C17,P17)</f>
        <v>0.20154512681321413</v>
      </c>
      <c r="AD17" s="4">
        <f>AVERAGE(Tableau1[[#This Row],[TPVDN]:[TPVUN]])</f>
        <v>0.19</v>
      </c>
      <c r="AE17" s="2" t="s">
        <v>20</v>
      </c>
    </row>
    <row r="18" spans="1:31" x14ac:dyDescent="0.35">
      <c r="A18" s="9" t="s">
        <v>21</v>
      </c>
      <c r="B18" s="2">
        <v>0.21762934324221608</v>
      </c>
      <c r="C18" s="2">
        <v>0.25264182564624926</v>
      </c>
      <c r="D18" s="6">
        <v>0.24</v>
      </c>
      <c r="E18" s="4">
        <v>0.19</v>
      </c>
      <c r="F18" s="2">
        <v>3.4264906833577503E-2</v>
      </c>
      <c r="G18" s="2">
        <v>0.20476119917703542</v>
      </c>
      <c r="H18" s="2">
        <v>0.25526502621694935</v>
      </c>
      <c r="I18" s="2">
        <v>0.35030326222332742</v>
      </c>
      <c r="J18" s="2">
        <v>3.3972339970980522E-2</v>
      </c>
      <c r="K18" s="2">
        <v>6.8555106452904899E-2</v>
      </c>
      <c r="L18" s="2">
        <v>7.85700308520903E-2</v>
      </c>
      <c r="M18" s="2">
        <v>9.6148398094360918E-2</v>
      </c>
      <c r="N18" s="2">
        <v>3.9675624432014722E-2</v>
      </c>
      <c r="O18" s="2">
        <v>0.16681084713565328</v>
      </c>
      <c r="P18" s="2">
        <v>0.2044944507014107</v>
      </c>
      <c r="Q18" s="4">
        <v>0.19</v>
      </c>
      <c r="R18" s="2">
        <v>4.3799279086079702E-2</v>
      </c>
      <c r="S18" s="2">
        <v>0.1328350468863416</v>
      </c>
      <c r="T18" s="2">
        <v>0.2118056154427051</v>
      </c>
      <c r="U18" s="2">
        <v>0.17378547797582675</v>
      </c>
      <c r="V18" s="2">
        <v>3.0499241863742959E-2</v>
      </c>
      <c r="W18" s="2">
        <v>9.7215485424030496E-2</v>
      </c>
      <c r="X18" s="2">
        <v>0.1073385402473353</v>
      </c>
      <c r="Y18" s="2">
        <v>5.7110370016989265E-2</v>
      </c>
      <c r="Z18" s="2">
        <v>4.6773228764677051E-2</v>
      </c>
      <c r="AA18" s="2">
        <v>0.47284395496530618</v>
      </c>
      <c r="AB18" s="2">
        <v>0.39856754271288286</v>
      </c>
      <c r="AC18" s="4">
        <f>AVERAGE(C18,P18)</f>
        <v>0.22856813817382998</v>
      </c>
      <c r="AD18" s="4">
        <f>AVERAGE(Tableau1[[#This Row],[TPVDN]:[TPVUN]])</f>
        <v>0.215</v>
      </c>
      <c r="AE18" s="16" t="s">
        <v>21</v>
      </c>
    </row>
    <row r="19" spans="1:31" x14ac:dyDescent="0.35">
      <c r="A19" s="8" t="s">
        <v>22</v>
      </c>
      <c r="B19" s="2">
        <v>0.14548436366844336</v>
      </c>
      <c r="C19" s="2">
        <v>0.15279851871866978</v>
      </c>
      <c r="D19" s="6">
        <v>0.11</v>
      </c>
      <c r="E19" s="4">
        <v>0.15</v>
      </c>
      <c r="F19" s="2">
        <v>2.9195116624057275E-2</v>
      </c>
      <c r="G19" s="2">
        <v>0.13477832222628872</v>
      </c>
      <c r="H19" s="2">
        <v>0.20052858366269355</v>
      </c>
      <c r="I19" s="2">
        <v>0.13269534036718941</v>
      </c>
      <c r="J19" s="2">
        <v>3.5745839533904603E-2</v>
      </c>
      <c r="K19" s="2">
        <v>7.9547658468704707E-2</v>
      </c>
      <c r="L19" s="2">
        <v>9.7586026502260961E-2</v>
      </c>
      <c r="M19" s="2">
        <v>9.7350080966978267E-2</v>
      </c>
      <c r="N19" s="2">
        <v>3.4167702815016923E-2</v>
      </c>
      <c r="O19" s="2">
        <v>0.16170203218058513</v>
      </c>
      <c r="P19" s="2">
        <v>0.17927899255004426</v>
      </c>
      <c r="Q19" s="4">
        <v>0.15</v>
      </c>
      <c r="R19" s="2">
        <v>3.9674181312250874E-2</v>
      </c>
      <c r="S19" s="2">
        <v>0.20511766947641505</v>
      </c>
      <c r="T19" s="2">
        <v>0.18816235959421626</v>
      </c>
      <c r="U19" s="2">
        <v>0.16468579828651447</v>
      </c>
      <c r="V19" s="2">
        <v>3.1193102981616597E-2</v>
      </c>
      <c r="W19" s="2">
        <v>9.3573723578708107E-2</v>
      </c>
      <c r="X19" s="2">
        <v>0.10152629974364416</v>
      </c>
      <c r="Y19" s="2">
        <v>6.1641384167960826E-2</v>
      </c>
      <c r="Z19" s="2">
        <v>2.8478982101069274E-2</v>
      </c>
      <c r="AA19" s="2">
        <v>0.55360083692891293</v>
      </c>
      <c r="AB19" s="2">
        <v>0.45308892689751323</v>
      </c>
      <c r="AC19" s="4">
        <f>AVERAGE(C19,P19)</f>
        <v>0.16603875563435702</v>
      </c>
      <c r="AD19" s="4">
        <f>AVERAGE(Tableau1[[#This Row],[TPVDN]:[TPVUN]])</f>
        <v>0.13</v>
      </c>
      <c r="AE19" s="2" t="s">
        <v>22</v>
      </c>
    </row>
    <row r="20" spans="1:31" x14ac:dyDescent="0.35">
      <c r="A20" s="9" t="s">
        <v>23</v>
      </c>
      <c r="B20" s="2">
        <v>0.20817304536597406</v>
      </c>
      <c r="C20" s="2">
        <v>0.28079015908772903</v>
      </c>
      <c r="D20" s="6">
        <v>0.24</v>
      </c>
      <c r="E20" s="4">
        <v>0.17</v>
      </c>
      <c r="F20" s="2">
        <v>5.7418942154586317E-2</v>
      </c>
      <c r="G20" s="2">
        <v>0.17670586391323409</v>
      </c>
      <c r="H20" s="2">
        <v>0.32509508509413387</v>
      </c>
      <c r="I20" s="2">
        <v>0.30096246556061468</v>
      </c>
      <c r="J20" s="2">
        <v>4.3336040613158794E-2</v>
      </c>
      <c r="K20" s="2">
        <v>0.25442610159248003</v>
      </c>
      <c r="L20" s="2">
        <v>0.21002823241632401</v>
      </c>
      <c r="M20" s="2">
        <v>0.22082362795101604</v>
      </c>
      <c r="N20" s="2">
        <v>4.5291938881698524E-2</v>
      </c>
      <c r="O20" s="2">
        <v>0.23380682993539095</v>
      </c>
      <c r="P20" s="2">
        <v>0.22529826329044908</v>
      </c>
      <c r="Q20" s="4">
        <v>0.17</v>
      </c>
      <c r="R20" s="2">
        <v>5.2035914202667503E-2</v>
      </c>
      <c r="S20" s="2">
        <v>0.20953640351532826</v>
      </c>
      <c r="T20" s="2">
        <v>0.27916513585250319</v>
      </c>
      <c r="U20" s="2">
        <v>0.24663072923371898</v>
      </c>
      <c r="V20" s="2">
        <v>2.7800601078405453E-2</v>
      </c>
      <c r="W20" s="2">
        <v>0.20351635693378373</v>
      </c>
      <c r="X20" s="2">
        <v>0.15156294099323708</v>
      </c>
      <c r="Y20" s="2">
        <v>0.11200254814410079</v>
      </c>
      <c r="Z20" s="2">
        <v>5.1981142457739188E-2</v>
      </c>
      <c r="AA20" s="2">
        <v>0.42547713256049563</v>
      </c>
      <c r="AB20" s="2">
        <v>0.36905610037703962</v>
      </c>
      <c r="AC20" s="4">
        <f>AVERAGE(C20,P20)</f>
        <v>0.25304421118908904</v>
      </c>
      <c r="AD20" s="4">
        <f>AVERAGE(Tableau1[[#This Row],[TPVDN]:[TPVUN]])</f>
        <v>0.20500000000000002</v>
      </c>
      <c r="AE20" s="16" t="s">
        <v>23</v>
      </c>
    </row>
    <row r="21" spans="1:31" x14ac:dyDescent="0.35">
      <c r="A21" s="8" t="s">
        <v>24</v>
      </c>
      <c r="B21" s="4">
        <v>0.20271196882114867</v>
      </c>
      <c r="C21" s="4">
        <v>0.20699642197017742</v>
      </c>
      <c r="D21" s="6">
        <v>0.27</v>
      </c>
      <c r="E21" s="4">
        <v>0.19</v>
      </c>
      <c r="F21" s="4">
        <v>4.1289731228207727E-2</v>
      </c>
      <c r="G21" s="2">
        <v>0.29982593981995109</v>
      </c>
      <c r="H21" s="2">
        <v>0.43081975566321007</v>
      </c>
      <c r="I21" s="2">
        <v>0.36816922011278558</v>
      </c>
      <c r="J21" s="2">
        <v>4.7137420744720132E-2</v>
      </c>
      <c r="K21" s="2">
        <v>0.17592478910361931</v>
      </c>
      <c r="L21" s="2">
        <v>0.12757715011773565</v>
      </c>
      <c r="M21" s="2">
        <v>0.15288293994273996</v>
      </c>
      <c r="N21" s="2">
        <v>6.0565097630212381E-2</v>
      </c>
      <c r="O21" s="4">
        <v>0.20482773227131917</v>
      </c>
      <c r="P21" s="4">
        <v>0.18880737522199267</v>
      </c>
      <c r="Q21" s="4">
        <v>0.19</v>
      </c>
      <c r="R21" s="4">
        <v>3.5263158129071451E-2</v>
      </c>
      <c r="S21" s="2">
        <v>0.30807948302977645</v>
      </c>
      <c r="T21" s="2">
        <v>0.42686558350867676</v>
      </c>
      <c r="U21" s="2">
        <v>0.19847287695238472</v>
      </c>
      <c r="V21" s="2">
        <v>3.0852529020827767E-2</v>
      </c>
      <c r="W21" s="2">
        <v>4.3486587541495758E-2</v>
      </c>
      <c r="X21" s="2">
        <v>7.0180827563614781E-2</v>
      </c>
      <c r="Y21" s="2">
        <v>5.5291617107718835E-2</v>
      </c>
      <c r="Z21" s="2">
        <v>4.9592899054872894E-2</v>
      </c>
      <c r="AA21" s="2">
        <v>0.49810445815654064</v>
      </c>
      <c r="AB21" s="2">
        <v>0.47172945044482917</v>
      </c>
      <c r="AC21" s="4">
        <f>AVERAGE(C21,P21)</f>
        <v>0.19790189859608504</v>
      </c>
      <c r="AD21" s="4">
        <f>AVERAGE(Tableau1[[#This Row],[TPVDN]:[TPVUN]])</f>
        <v>0.23</v>
      </c>
      <c r="AE21" s="2" t="s">
        <v>24</v>
      </c>
    </row>
    <row r="22" spans="1:31" x14ac:dyDescent="0.35">
      <c r="A22" s="7" t="s">
        <v>25</v>
      </c>
      <c r="B22" s="2">
        <v>0.14899674825714068</v>
      </c>
      <c r="C22" s="2">
        <v>0.23362972017556696</v>
      </c>
      <c r="D22" s="6">
        <v>0.13</v>
      </c>
      <c r="E22" s="4">
        <v>0.08</v>
      </c>
      <c r="F22" s="2">
        <v>3.664353197217611E-2</v>
      </c>
      <c r="G22" s="2">
        <v>8.4715019649746495E-2</v>
      </c>
      <c r="H22" s="2">
        <v>0.15469643435148397</v>
      </c>
      <c r="I22" s="2">
        <v>0.24720606420907665</v>
      </c>
      <c r="J22" s="2">
        <v>4.9090304105581864E-2</v>
      </c>
      <c r="K22" s="2">
        <v>3.861016493662401E-2</v>
      </c>
      <c r="L22" s="2">
        <v>5.0985962267693342E-2</v>
      </c>
      <c r="M22" s="2">
        <v>8.0591407076408161E-2</v>
      </c>
      <c r="N22" s="2">
        <v>4.3085858826444667E-2</v>
      </c>
      <c r="O22" s="2">
        <v>0.14473159804773023</v>
      </c>
      <c r="P22" s="2">
        <v>0.16258771415855922</v>
      </c>
      <c r="Q22" s="4">
        <v>0.08</v>
      </c>
      <c r="R22" s="2">
        <v>3.040691138300999E-2</v>
      </c>
      <c r="S22" s="2">
        <v>7.7584851839440555E-2</v>
      </c>
      <c r="T22" s="2">
        <v>9.2597772972829812E-2</v>
      </c>
      <c r="U22" s="2">
        <v>0.19692961999770972</v>
      </c>
      <c r="V22" s="2">
        <v>3.3114006918227891E-2</v>
      </c>
      <c r="W22" s="2">
        <v>5.0551777837583571E-2</v>
      </c>
      <c r="X22" s="2">
        <v>7.5894665658763127E-2</v>
      </c>
      <c r="Y22" s="2">
        <v>8.0646410787771849E-2</v>
      </c>
      <c r="Z22" s="2">
        <v>4.3577778743636261E-2</v>
      </c>
      <c r="AA22" s="2">
        <v>0.58771529662529198</v>
      </c>
      <c r="AB22" s="2">
        <v>0.54653922567344349</v>
      </c>
      <c r="AC22" s="4">
        <f>AVERAGE(C22,P22)</f>
        <v>0.19810871716706308</v>
      </c>
      <c r="AD22" s="4">
        <f>AVERAGE(Tableau1[[#This Row],[TPVDN]:[TPVUN]])</f>
        <v>0.10500000000000001</v>
      </c>
      <c r="AE22" s="15" t="s">
        <v>25</v>
      </c>
    </row>
    <row r="23" spans="1:31" x14ac:dyDescent="0.35">
      <c r="A23" s="8" t="s">
        <v>26</v>
      </c>
      <c r="B23" s="4">
        <v>0.11699147581943871</v>
      </c>
      <c r="C23" s="4">
        <v>0.18186579775092965</v>
      </c>
      <c r="D23" s="6">
        <v>0.2</v>
      </c>
      <c r="E23" s="4">
        <v>0.21</v>
      </c>
      <c r="F23" s="4">
        <v>2.9655156573203542E-2</v>
      </c>
      <c r="G23" s="2">
        <v>0.19394612169896619</v>
      </c>
      <c r="H23" s="2">
        <v>0.19735017947694494</v>
      </c>
      <c r="I23" s="2">
        <v>0.34393663036771172</v>
      </c>
      <c r="J23" s="2">
        <v>2.9063884871369666E-2</v>
      </c>
      <c r="K23" s="2">
        <v>0.11371289162507425</v>
      </c>
      <c r="L23" s="2">
        <v>9.7122364623417043E-2</v>
      </c>
      <c r="M23" s="2">
        <v>6.460453648417723E-2</v>
      </c>
      <c r="N23" s="2">
        <v>3.232475753171167E-2</v>
      </c>
      <c r="O23" s="4">
        <v>0.17386072843740941</v>
      </c>
      <c r="P23" s="4">
        <v>0.19858027552446417</v>
      </c>
      <c r="Q23" s="4">
        <v>0.21</v>
      </c>
      <c r="R23" s="4">
        <v>1.7461543913347404E-2</v>
      </c>
      <c r="S23" s="2">
        <v>0.15015065945020598</v>
      </c>
      <c r="T23" s="2">
        <v>0.18587156353670772</v>
      </c>
      <c r="U23" s="2">
        <v>0.18357450536600525</v>
      </c>
      <c r="V23" s="2">
        <v>1.6594026982335728E-2</v>
      </c>
      <c r="W23" s="2">
        <v>0.14030483595570378</v>
      </c>
      <c r="X23" s="2">
        <v>0.12158076738302838</v>
      </c>
      <c r="Y23" s="2">
        <v>8.5514425886783221E-2</v>
      </c>
      <c r="Z23" s="2">
        <v>2.3031452907470568E-2</v>
      </c>
      <c r="AA23" s="2">
        <v>0.55038428047825905</v>
      </c>
      <c r="AB23" s="2">
        <v>0.43800607394578134</v>
      </c>
      <c r="AC23" s="4">
        <f>AVERAGE(C23,P23)</f>
        <v>0.19022303663769691</v>
      </c>
      <c r="AD23" s="4">
        <f>AVERAGE(Tableau1[[#This Row],[TPVDN]:[TPVUN]])</f>
        <v>0.20500000000000002</v>
      </c>
      <c r="AE23" s="2" t="s">
        <v>26</v>
      </c>
    </row>
    <row r="24" spans="1:31" x14ac:dyDescent="0.35">
      <c r="A24" s="8" t="s">
        <v>27</v>
      </c>
      <c r="B24" s="2">
        <v>0.14531038753187764</v>
      </c>
      <c r="C24" s="2">
        <v>0.2301658995306036</v>
      </c>
      <c r="D24" s="6">
        <v>0.17</v>
      </c>
      <c r="E24" s="4">
        <v>0.15</v>
      </c>
      <c r="F24" s="2">
        <v>7.492719028310145E-2</v>
      </c>
      <c r="G24" s="2">
        <v>0.17434526284453641</v>
      </c>
      <c r="H24" s="2">
        <v>0.17449690661136011</v>
      </c>
      <c r="I24" s="2">
        <v>0.16616967760706752</v>
      </c>
      <c r="J24" s="2">
        <v>7.9436997315181973E-2</v>
      </c>
      <c r="K24" s="2">
        <v>0.10870227599851069</v>
      </c>
      <c r="L24" s="2">
        <v>0.13196166294871078</v>
      </c>
      <c r="M24" s="2">
        <v>0.11648872399543495</v>
      </c>
      <c r="N24" s="2">
        <v>0.11921661543353611</v>
      </c>
      <c r="O24" s="2">
        <v>0.10746940112536021</v>
      </c>
      <c r="P24" s="2">
        <v>0.14472990649057613</v>
      </c>
      <c r="Q24" s="4">
        <v>0.15</v>
      </c>
      <c r="R24" s="2">
        <v>7.1458736392874089E-2</v>
      </c>
      <c r="S24" s="2">
        <v>0.18440538725620417</v>
      </c>
      <c r="T24" s="2">
        <v>0.19767132628951861</v>
      </c>
      <c r="U24" s="2">
        <v>0.24352122900034626</v>
      </c>
      <c r="V24" s="2">
        <v>4.3674805164215416E-2</v>
      </c>
      <c r="W24" s="2">
        <v>8.836912030130642E-2</v>
      </c>
      <c r="X24" s="2">
        <v>9.9474981649191982E-2</v>
      </c>
      <c r="Y24" s="2">
        <v>0.10642815803272258</v>
      </c>
      <c r="Z24" s="2">
        <v>7.2346019273689888E-2</v>
      </c>
      <c r="AA24" s="2">
        <v>0.50185888146647506</v>
      </c>
      <c r="AB24" s="2">
        <v>0.44624828553651169</v>
      </c>
      <c r="AC24" s="4">
        <f>AVERAGE(C24,P24)</f>
        <v>0.18744790301058986</v>
      </c>
      <c r="AD24" s="4">
        <f>AVERAGE(Tableau1[[#This Row],[TPVDN]:[TPVUN]])</f>
        <v>0.16</v>
      </c>
      <c r="AE24" s="2" t="s">
        <v>27</v>
      </c>
    </row>
    <row r="25" spans="1:31" x14ac:dyDescent="0.35">
      <c r="A25" s="9" t="s">
        <v>28</v>
      </c>
      <c r="B25" s="2">
        <v>0.21917174855740337</v>
      </c>
      <c r="C25" s="2">
        <v>0.15880335207569521</v>
      </c>
      <c r="D25">
        <v>0.16</v>
      </c>
      <c r="E25" s="4">
        <v>0.17</v>
      </c>
      <c r="F25" s="2">
        <v>6.2383690423333957E-2</v>
      </c>
      <c r="G25" s="2">
        <v>0.24368019814506825</v>
      </c>
      <c r="H25" s="2">
        <v>0.21833761016685815</v>
      </c>
      <c r="I25" s="2">
        <v>0.19955581687174798</v>
      </c>
      <c r="J25" s="2">
        <v>8.8620554317202727E-2</v>
      </c>
      <c r="K25" s="2">
        <v>0.1820689614270338</v>
      </c>
      <c r="L25" s="2">
        <v>0.19282352836016378</v>
      </c>
      <c r="M25" s="2">
        <v>0.16015183426819363</v>
      </c>
      <c r="N25" s="2">
        <v>0.10282965978736183</v>
      </c>
      <c r="O25" s="2">
        <v>0.19111069919325469</v>
      </c>
      <c r="P25" s="2">
        <v>0.16539995163035021</v>
      </c>
      <c r="Q25" s="4">
        <v>0.17</v>
      </c>
      <c r="R25" s="2">
        <v>4.7218783991809322E-2</v>
      </c>
      <c r="S25" s="2">
        <v>0.27176426734196069</v>
      </c>
      <c r="T25" s="2">
        <v>0.23216351526660864</v>
      </c>
      <c r="U25" s="2">
        <v>0.25457242854926532</v>
      </c>
      <c r="V25" s="2">
        <v>6.2132267113239874E-2</v>
      </c>
      <c r="W25" s="2">
        <v>9.1085389201139261E-2</v>
      </c>
      <c r="X25" s="2">
        <v>0.14082473895848921</v>
      </c>
      <c r="Y25" s="2">
        <v>0.11432449524773239</v>
      </c>
      <c r="Z25" s="2">
        <v>8.1930876127533053E-2</v>
      </c>
      <c r="AA25" s="2">
        <v>0.46582334044054513</v>
      </c>
      <c r="AB25" s="2">
        <v>0.37040630815051878</v>
      </c>
      <c r="AC25" s="4">
        <f>AVERAGE(C25,P25)</f>
        <v>0.16210165185302272</v>
      </c>
      <c r="AD25" s="4">
        <f>AVERAGE(Tableau1[[#This Row],[TPVDN]:[TPVUN]])</f>
        <v>0.16500000000000001</v>
      </c>
      <c r="AE25" s="16" t="s">
        <v>28</v>
      </c>
    </row>
    <row r="26" spans="1:31" x14ac:dyDescent="0.35">
      <c r="A26" s="10" t="s">
        <v>29</v>
      </c>
      <c r="B26" s="2">
        <v>0.14729051045485311</v>
      </c>
      <c r="C26" s="2">
        <v>0.20021306101823091</v>
      </c>
      <c r="D26" s="6">
        <v>0.25</v>
      </c>
      <c r="E26" s="4">
        <v>0.19</v>
      </c>
      <c r="F26" s="2">
        <v>3.121591950625743E-2</v>
      </c>
      <c r="G26" s="2">
        <v>8.3436665559187606E-2</v>
      </c>
      <c r="H26" s="2">
        <v>8.4865014414850851E-2</v>
      </c>
      <c r="I26" s="2">
        <v>0.22544244243595232</v>
      </c>
      <c r="J26" s="2">
        <v>2.9595708249554174E-2</v>
      </c>
      <c r="K26" s="2">
        <v>4.9743999514028699E-2</v>
      </c>
      <c r="L26" s="2">
        <v>5.1703528034380879E-2</v>
      </c>
      <c r="M26" s="2">
        <v>7.7874211724836592E-2</v>
      </c>
      <c r="N26" s="2">
        <v>3.1653327337051992E-2</v>
      </c>
      <c r="O26" s="2">
        <v>0.17814603326961934</v>
      </c>
      <c r="P26" s="2">
        <v>0.22728764382132319</v>
      </c>
      <c r="Q26" s="4">
        <v>0.19</v>
      </c>
      <c r="R26" s="2">
        <v>2.5336677548458607E-2</v>
      </c>
      <c r="S26" s="2">
        <v>0.10817599002393384</v>
      </c>
      <c r="T26" s="2">
        <v>0.15849798389129005</v>
      </c>
      <c r="U26" s="2">
        <v>0.46082402281556922</v>
      </c>
      <c r="V26" s="2">
        <v>2.513128981455133E-2</v>
      </c>
      <c r="W26" s="2">
        <v>4.3843316110514605E-2</v>
      </c>
      <c r="X26" s="2">
        <v>5.3959912455781599E-2</v>
      </c>
      <c r="Y26" s="2">
        <v>4.586708963362357E-2</v>
      </c>
      <c r="Z26" s="2">
        <v>2.8265139462476434E-2</v>
      </c>
      <c r="AA26" s="2">
        <v>0.47104516806907304</v>
      </c>
      <c r="AB26" s="2">
        <v>0.47563500279625009</v>
      </c>
      <c r="AC26" s="4">
        <f>AVERAGE(C26,P26)</f>
        <v>0.21375035241977705</v>
      </c>
      <c r="AD26" s="4">
        <f>AVERAGE(Tableau1[[#This Row],[TPVDN]:[TPVUN]])</f>
        <v>0.22</v>
      </c>
      <c r="AE26" s="17" t="s">
        <v>29</v>
      </c>
    </row>
    <row r="27" spans="1:31" x14ac:dyDescent="0.35">
      <c r="A27" s="8" t="s">
        <v>30</v>
      </c>
      <c r="B27" s="2">
        <v>0.12465941855496798</v>
      </c>
      <c r="C27" s="2">
        <v>9.7444238924367821E-2</v>
      </c>
      <c r="D27">
        <v>0.16</v>
      </c>
      <c r="E27" s="4">
        <v>0.09</v>
      </c>
      <c r="F27" s="2">
        <v>2.9576071960562004E-2</v>
      </c>
      <c r="G27" s="2">
        <v>0.12605777136961105</v>
      </c>
      <c r="H27" s="2">
        <v>6.7404081190447981E-2</v>
      </c>
      <c r="I27" s="2">
        <v>0.10697008106918161</v>
      </c>
      <c r="J27" s="2">
        <v>2.8243324020882882E-2</v>
      </c>
      <c r="K27" s="2">
        <v>6.8894513114995726E-2</v>
      </c>
      <c r="L27" s="2">
        <v>7.0217286540258855E-2</v>
      </c>
      <c r="M27" s="2">
        <v>0.10247594495849943</v>
      </c>
      <c r="N27" s="2">
        <v>3.1850998291023482E-2</v>
      </c>
      <c r="O27" s="2">
        <v>0.11083455500789484</v>
      </c>
      <c r="P27" s="2">
        <v>9.4489474367269566E-2</v>
      </c>
      <c r="Q27" s="4">
        <v>0.09</v>
      </c>
      <c r="R27" s="2">
        <v>5.7380045180546693E-2</v>
      </c>
      <c r="S27" s="2">
        <v>6.2233370967209954E-2</v>
      </c>
      <c r="T27" s="2">
        <v>7.3390855104592617E-2</v>
      </c>
      <c r="U27" s="2">
        <v>0.14471751436904348</v>
      </c>
      <c r="V27" s="2">
        <v>5.5631584758497638E-2</v>
      </c>
      <c r="W27" s="2">
        <v>0.15561087366466245</v>
      </c>
      <c r="X27" s="2">
        <v>0.24232836427444346</v>
      </c>
      <c r="Y27" s="2">
        <v>0.14085532707878301</v>
      </c>
      <c r="Z27" s="2">
        <v>0.06</v>
      </c>
      <c r="AA27" s="2">
        <v>0.51076967054769962</v>
      </c>
      <c r="AB27" s="2">
        <v>0.43080615323632065</v>
      </c>
      <c r="AC27" s="4">
        <f>AVERAGE(C27,P27)</f>
        <v>9.5966856645818693E-2</v>
      </c>
      <c r="AD27" s="4">
        <f>AVERAGE(Tableau1[[#This Row],[TPVDN]:[TPVUN]])</f>
        <v>0.125</v>
      </c>
      <c r="AE27" s="2" t="s">
        <v>30</v>
      </c>
    </row>
    <row r="28" spans="1:31" x14ac:dyDescent="0.35">
      <c r="A28" s="8" t="s">
        <v>31</v>
      </c>
      <c r="B28" s="2">
        <v>0.23034397032349083</v>
      </c>
      <c r="C28" s="2">
        <v>0.26005526919326155</v>
      </c>
      <c r="D28" s="6">
        <v>0.16</v>
      </c>
      <c r="E28" s="4">
        <v>0.12</v>
      </c>
      <c r="F28" s="2">
        <v>3.5744706746061623E-2</v>
      </c>
      <c r="G28" s="2">
        <v>0.18319706970014885</v>
      </c>
      <c r="H28" s="2">
        <v>0.23201390263452387</v>
      </c>
      <c r="I28" s="2">
        <v>0.25335655409366153</v>
      </c>
      <c r="J28" s="2">
        <v>2.0078783682567512E-2</v>
      </c>
      <c r="K28" s="2">
        <v>4.7149362475568529E-2</v>
      </c>
      <c r="L28" s="2">
        <v>6.0710936750508156E-2</v>
      </c>
      <c r="M28" s="2">
        <v>8.0100658696529534E-2</v>
      </c>
      <c r="N28" s="2">
        <v>2.8370000566911645E-2</v>
      </c>
      <c r="O28" s="2">
        <v>0.18181858158261718</v>
      </c>
      <c r="P28" s="2">
        <v>0.19026132625532519</v>
      </c>
      <c r="Q28" s="4">
        <v>0.12</v>
      </c>
      <c r="R28" s="2">
        <v>2.4892950971143805E-2</v>
      </c>
      <c r="S28" s="2">
        <v>0.20527060584311951</v>
      </c>
      <c r="T28" s="2">
        <v>0.28542422500582099</v>
      </c>
      <c r="U28" s="2">
        <v>0.15124127789027297</v>
      </c>
      <c r="V28" s="2">
        <v>2.3576035995881296E-2</v>
      </c>
      <c r="W28" s="2">
        <v>7.3137195108586489E-2</v>
      </c>
      <c r="X28" s="2">
        <v>7.674718561364724E-2</v>
      </c>
      <c r="Y28" s="2">
        <v>8.2323010659086177E-2</v>
      </c>
      <c r="Z28" s="2">
        <v>2.6544740696846914E-2</v>
      </c>
      <c r="AA28" s="2">
        <v>0.53911527836802575</v>
      </c>
      <c r="AB28" s="2">
        <v>0.4648631100663505</v>
      </c>
      <c r="AC28" s="4">
        <f>AVERAGE(C28,P28)</f>
        <v>0.22515829772429335</v>
      </c>
      <c r="AD28" s="4">
        <f>AVERAGE(Tableau1[[#This Row],[TPVDN]:[TPVUN]])</f>
        <v>0.14000000000000001</v>
      </c>
      <c r="AE28" s="2" t="s">
        <v>31</v>
      </c>
    </row>
    <row r="29" spans="1:31" x14ac:dyDescent="0.35">
      <c r="A29" s="8" t="s">
        <v>32</v>
      </c>
      <c r="B29" s="2">
        <v>0.17520422044409703</v>
      </c>
      <c r="C29" s="2">
        <v>0.20114099369945901</v>
      </c>
      <c r="D29" s="6">
        <v>0.14000000000000001</v>
      </c>
      <c r="E29" s="4">
        <v>0.11</v>
      </c>
      <c r="F29" s="2">
        <v>2.0375696032410334E-2</v>
      </c>
      <c r="G29" s="2">
        <v>0.15825288461156659</v>
      </c>
      <c r="H29" s="2">
        <v>0.19074787146282041</v>
      </c>
      <c r="I29" s="2">
        <v>0.18627505841705502</v>
      </c>
      <c r="J29" s="2">
        <v>2.402306857209853E-2</v>
      </c>
      <c r="K29" s="2">
        <v>0.22859989439350198</v>
      </c>
      <c r="L29" s="2">
        <v>0.2095564130277543</v>
      </c>
      <c r="M29" s="2">
        <v>7.9996424250491083E-2</v>
      </c>
      <c r="N29" s="2">
        <v>3.1706269300800172E-2</v>
      </c>
      <c r="O29" s="2">
        <v>0.14563997340419974</v>
      </c>
      <c r="P29" s="2">
        <v>0.16278316059008133</v>
      </c>
      <c r="Q29" s="4">
        <v>0.11</v>
      </c>
      <c r="R29" s="2">
        <v>2.4273098527403988E-2</v>
      </c>
      <c r="S29" s="2">
        <v>0.11663359378114482</v>
      </c>
      <c r="T29" s="2">
        <v>0.11322071301124551</v>
      </c>
      <c r="U29" s="2">
        <v>0.21314756562937945</v>
      </c>
      <c r="V29" s="2">
        <v>1.732263597974339E-2</v>
      </c>
      <c r="W29" s="2">
        <v>0.17231127948547975</v>
      </c>
      <c r="X29" s="2">
        <v>0.17471183828782968</v>
      </c>
      <c r="Y29" s="2">
        <v>0.10764286265322999</v>
      </c>
      <c r="Z29" s="2">
        <v>3.9797791523267963E-2</v>
      </c>
      <c r="AA29" s="2">
        <v>0.55226510564642151</v>
      </c>
      <c r="AB29" s="2">
        <v>0.41845574081640963</v>
      </c>
      <c r="AC29" s="4">
        <f>AVERAGE(C29,P29)</f>
        <v>0.18196207714477017</v>
      </c>
      <c r="AD29" s="4">
        <f>AVERAGE(Tableau1[[#This Row],[TPVDN]:[TPVUN]])</f>
        <v>0.125</v>
      </c>
      <c r="AE29" s="2" t="s">
        <v>32</v>
      </c>
    </row>
    <row r="30" spans="1:31" x14ac:dyDescent="0.35">
      <c r="A30" s="7" t="s">
        <v>33</v>
      </c>
      <c r="B30" s="2">
        <v>0.20507823580386347</v>
      </c>
      <c r="C30" s="2">
        <v>0.19776373432816785</v>
      </c>
      <c r="D30" s="6">
        <v>0.09</v>
      </c>
      <c r="E30" s="4">
        <v>0.13</v>
      </c>
      <c r="F30" s="2">
        <v>4.9417502255155003E-2</v>
      </c>
      <c r="G30" s="2">
        <v>0.38593100035578376</v>
      </c>
      <c r="H30" s="2">
        <v>0.35476193549005441</v>
      </c>
      <c r="I30" s="2">
        <v>0.16668091058940865</v>
      </c>
      <c r="J30" s="2">
        <v>3.5396209704852834E-2</v>
      </c>
      <c r="K30" s="2">
        <v>9.980058063996769E-2</v>
      </c>
      <c r="L30" s="2">
        <v>0.10583845085399363</v>
      </c>
      <c r="M30" s="2">
        <v>7.5587095539871724E-2</v>
      </c>
      <c r="N30" s="2">
        <v>5.4502755524131384E-2</v>
      </c>
      <c r="O30" s="2">
        <v>0.25266853128768646</v>
      </c>
      <c r="P30" s="2">
        <v>0.21684089433505221</v>
      </c>
      <c r="Q30" s="4">
        <v>0.13</v>
      </c>
      <c r="R30" s="2">
        <v>3.0348323495677103E-2</v>
      </c>
      <c r="S30" s="2">
        <v>0.31686309917776723</v>
      </c>
      <c r="T30" s="2">
        <v>0.30784555225756599</v>
      </c>
      <c r="U30" s="2">
        <v>0.11658869877060749</v>
      </c>
      <c r="V30" s="2">
        <v>5.0972320689744846E-2</v>
      </c>
      <c r="W30" s="2">
        <v>0.10650021147524447</v>
      </c>
      <c r="X30" s="2">
        <v>0.1243614949898663</v>
      </c>
      <c r="Y30" s="2">
        <v>0.11494684785976866</v>
      </c>
      <c r="Z30" s="2">
        <v>5.711730910354771E-2</v>
      </c>
      <c r="AA30" s="2">
        <v>0.61790600821640562</v>
      </c>
      <c r="AB30" s="2">
        <v>0.51656090640147201</v>
      </c>
      <c r="AC30" s="4">
        <f>AVERAGE(C30,P30)</f>
        <v>0.20730231433161003</v>
      </c>
      <c r="AD30" s="4">
        <f>AVERAGE(Tableau1[[#This Row],[TPVDN]:[TPVUN]])</f>
        <v>0.11</v>
      </c>
      <c r="AE30" s="15" t="s">
        <v>33</v>
      </c>
    </row>
    <row r="31" spans="1:31" x14ac:dyDescent="0.35">
      <c r="A31" s="8" t="s">
        <v>34</v>
      </c>
      <c r="B31" s="2">
        <v>9.5831904509189131E-2</v>
      </c>
      <c r="C31" s="2">
        <v>9.2974843012404038E-2</v>
      </c>
      <c r="D31" s="2">
        <v>4.0838729054896473E-2</v>
      </c>
      <c r="E31" s="2">
        <v>2.3084810474060174E-2</v>
      </c>
      <c r="F31" s="2">
        <v>2.9819678026031988E-2</v>
      </c>
      <c r="G31" s="2">
        <v>0.11236080165676628</v>
      </c>
      <c r="H31" s="2">
        <v>0.13479892318403958</v>
      </c>
      <c r="I31" s="2">
        <v>9.2680860049217634E-2</v>
      </c>
      <c r="J31" s="2">
        <v>3.1560865124620828E-2</v>
      </c>
      <c r="K31" s="2">
        <v>4.5960926558291218E-2</v>
      </c>
      <c r="L31" s="2">
        <v>5.355560052841811E-2</v>
      </c>
      <c r="M31" s="2">
        <v>1.8228968134293564E-2</v>
      </c>
      <c r="N31" s="2">
        <v>2.5404391904719759E-2</v>
      </c>
      <c r="O31" s="2">
        <v>7.272143329838357E-2</v>
      </c>
      <c r="P31" s="2">
        <v>7.9395215266046024E-2</v>
      </c>
      <c r="Q31" s="2">
        <v>2.3084810474060174E-2</v>
      </c>
      <c r="R31" s="2">
        <v>3.0436756515296089E-2</v>
      </c>
      <c r="S31" s="2">
        <v>0.13445305586542117</v>
      </c>
      <c r="T31" s="2">
        <v>0.15835042894779214</v>
      </c>
      <c r="U31" s="2">
        <v>0.1119784204642181</v>
      </c>
      <c r="V31" s="2">
        <v>3.457920090537063E-2</v>
      </c>
      <c r="W31" s="2">
        <v>4.1418891277090406E-2</v>
      </c>
      <c r="X31" s="2">
        <v>5.4893348429881375E-2</v>
      </c>
      <c r="Y31" s="2">
        <v>1.8932319745665872E-2</v>
      </c>
      <c r="Z31" s="2">
        <v>3.0981337040459311E-2</v>
      </c>
      <c r="AA31" s="2">
        <v>0.49131735187928294</v>
      </c>
      <c r="AB31" s="2">
        <v>0.49065414347288544</v>
      </c>
      <c r="AC31" s="4">
        <f>AVERAGE(C31,P31)</f>
        <v>8.6185029139225031E-2</v>
      </c>
      <c r="AD31" s="4">
        <f>AVERAGE(Tableau1[[#This Row],[TPVDN]:[TPVUN]])</f>
        <v>3.1961769764478322E-2</v>
      </c>
      <c r="AE31" s="2" t="s">
        <v>34</v>
      </c>
    </row>
    <row r="32" spans="1:31" x14ac:dyDescent="0.35">
      <c r="A32" s="8" t="s">
        <v>35</v>
      </c>
      <c r="B32" s="2">
        <f>0.12/0.98</f>
        <v>0.12244897959183673</v>
      </c>
      <c r="C32" s="2">
        <f>104.13/1059.91</f>
        <v>9.8244190544480178E-2</v>
      </c>
      <c r="D32" s="2">
        <f>0.04/0.47</f>
        <v>8.5106382978723416E-2</v>
      </c>
      <c r="E32" s="2">
        <f>0.06/0.47</f>
        <v>0.1276595744680851</v>
      </c>
      <c r="F32" s="2">
        <f>11.62/576.94</f>
        <v>2.0140742538218875E-2</v>
      </c>
      <c r="G32" s="2">
        <f>0.12/1.41</f>
        <v>8.5106382978723402E-2</v>
      </c>
      <c r="H32" s="2">
        <f>59.97/701.65</f>
        <v>8.5469963657094E-2</v>
      </c>
      <c r="I32" s="2">
        <f>0.07/0.49</f>
        <v>0.14285714285714288</v>
      </c>
      <c r="J32" s="2">
        <f>9.66/554.06</f>
        <v>1.7434934844601669E-2</v>
      </c>
      <c r="K32" s="2">
        <f>0.05/0.45</f>
        <v>0.11111111111111112</v>
      </c>
      <c r="L32" s="2">
        <f>437.62/2422.1</f>
        <v>0.18067792411543704</v>
      </c>
      <c r="M32" s="2">
        <f>0.06/0.49</f>
        <v>0.12244897959183673</v>
      </c>
      <c r="N32" s="2">
        <f>14.9/562.48</f>
        <v>2.6489830749537761E-2</v>
      </c>
      <c r="O32" s="2">
        <f>0.09/0.79</f>
        <v>0.11392405063291139</v>
      </c>
      <c r="P32" s="2">
        <f>107.91/1281.75</f>
        <v>8.4189584552369801E-2</v>
      </c>
      <c r="Q32" s="2">
        <f>0.06/0.47</f>
        <v>0.1276595744680851</v>
      </c>
      <c r="R32" s="2">
        <f>8.64/550.88</f>
        <v>1.5683996514667443E-2</v>
      </c>
      <c r="S32" s="2">
        <f>0.14/1.17</f>
        <v>0.11965811965811968</v>
      </c>
      <c r="T32" s="2">
        <f>159.98/810.64</f>
        <v>0.19735024178426921</v>
      </c>
      <c r="U32" s="2">
        <f>0.05/0.45</f>
        <v>0.11111111111111112</v>
      </c>
      <c r="V32" s="2">
        <f>7.54/521.45</f>
        <v>1.44596797391888E-2</v>
      </c>
      <c r="W32" s="2">
        <f>0.04/0.42</f>
        <v>9.5238095238095247E-2</v>
      </c>
      <c r="X32" s="2">
        <f>400.54/2400.12</f>
        <v>0.16688332250054166</v>
      </c>
      <c r="Y32" s="2">
        <f>0.09/0.51</f>
        <v>0.1764705882352941</v>
      </c>
      <c r="Z32" s="2">
        <f>14.73/538.58</f>
        <v>2.7349697352296778E-2</v>
      </c>
      <c r="AA32" s="2">
        <v>0.473501425456749</v>
      </c>
      <c r="AB32" s="2">
        <v>0.46839130693631997</v>
      </c>
      <c r="AC32" s="4">
        <f>AVERAGE(C32,P32)</f>
        <v>9.1216887548424996E-2</v>
      </c>
      <c r="AD32" s="4">
        <f>AVERAGE(Tableau1[[#This Row],[TPVDN]:[TPVUN]])</f>
        <v>0.10638297872340426</v>
      </c>
      <c r="AE32" s="2" t="s">
        <v>35</v>
      </c>
    </row>
    <row r="33" spans="1:31" x14ac:dyDescent="0.35">
      <c r="A33" s="8" t="s">
        <v>36</v>
      </c>
      <c r="B33" s="2">
        <f>0.1/0.81</f>
        <v>0.12345679012345678</v>
      </c>
      <c r="C33" s="2">
        <f>201.95/1391.07</f>
        <v>0.14517601558512511</v>
      </c>
      <c r="D33" s="2">
        <f>0.06/0.44</f>
        <v>0.13636363636363635</v>
      </c>
      <c r="E33" s="2">
        <f>0.06/0.49</f>
        <v>0.12244897959183673</v>
      </c>
      <c r="F33" s="2">
        <f>17.14/591.94</f>
        <v>2.8955637395681993E-2</v>
      </c>
      <c r="G33" s="2">
        <f>0.2/1.6</f>
        <v>0.125</v>
      </c>
      <c r="H33" s="2">
        <f>108.77/657.6</f>
        <v>0.16540450121654501</v>
      </c>
      <c r="I33" s="2">
        <f>0.09/0.34</f>
        <v>0.26470588235294112</v>
      </c>
      <c r="J33" s="2">
        <f>16.27/563.46</f>
        <v>2.8875164164270752E-2</v>
      </c>
      <c r="K33" s="2">
        <f>0.03/0.4</f>
        <v>7.4999999999999997E-2</v>
      </c>
      <c r="L33" s="2">
        <f>233.84/2780.09</f>
        <v>8.4112384850850153E-2</v>
      </c>
      <c r="M33" s="2">
        <f>0.02/0.41</f>
        <v>4.878048780487805E-2</v>
      </c>
      <c r="N33" s="2">
        <f>12.38/599.23</f>
        <v>2.0659846803397695E-2</v>
      </c>
      <c r="O33" s="2">
        <f>0.13/0.8</f>
        <v>0.16250000000000001</v>
      </c>
      <c r="P33" s="2">
        <f>350.46/1446.75</f>
        <v>0.24223950233281491</v>
      </c>
      <c r="Q33" s="2">
        <f>0.06/0.49</f>
        <v>0.12244897959183673</v>
      </c>
      <c r="R33" s="2">
        <f>9.51/576.71</f>
        <v>1.6490090340032251E-2</v>
      </c>
      <c r="S33" s="2">
        <f>0.14/1.42</f>
        <v>9.8591549295774655E-2</v>
      </c>
      <c r="T33" s="2">
        <f>112.81/681.91</f>
        <v>0.16543238843835698</v>
      </c>
      <c r="U33" s="2">
        <f>0.06/0.51</f>
        <v>0.11764705882352941</v>
      </c>
      <c r="V33" s="2">
        <f>11.39/538.33</f>
        <v>2.1158025746289451E-2</v>
      </c>
      <c r="W33" s="2">
        <f>0.03/0.42</f>
        <v>7.1428571428571425E-2</v>
      </c>
      <c r="X33" s="2">
        <f>180.4/2564.19</f>
        <v>7.035360094220787E-2</v>
      </c>
      <c r="Y33" s="2">
        <f>0.03/0.47</f>
        <v>6.3829787234042548E-2</v>
      </c>
      <c r="Z33" s="2">
        <f>16.53/575.97</f>
        <v>2.8699411427678526E-2</v>
      </c>
      <c r="AA33" s="2">
        <v>0.43845420100214499</v>
      </c>
      <c r="AB33" s="2">
        <v>0.48693633461812902</v>
      </c>
      <c r="AC33" s="4">
        <f>AVERAGE(C33,P33)</f>
        <v>0.19370775895897002</v>
      </c>
      <c r="AD33" s="4">
        <f>AVERAGE(Tableau1[[#This Row],[TPVDN]:[TPVUN]])</f>
        <v>0.12940630797773656</v>
      </c>
      <c r="AE33" s="2" t="s">
        <v>36</v>
      </c>
    </row>
    <row r="34" spans="1:31" x14ac:dyDescent="0.35">
      <c r="A34" s="8" t="s">
        <v>37</v>
      </c>
      <c r="B34" s="2">
        <f>0.07/0.67</f>
        <v>0.10447761194029852</v>
      </c>
      <c r="C34" s="2">
        <f>186.13/1446.34</f>
        <v>0.12869034943374311</v>
      </c>
      <c r="D34" s="2">
        <f>0.06/0.52</f>
        <v>0.11538461538461538</v>
      </c>
      <c r="E34" s="2">
        <f>0.05/0.49</f>
        <v>0.10204081632653061</v>
      </c>
      <c r="F34" s="2">
        <f>43.94/524.96</f>
        <v>8.3701615361170364E-2</v>
      </c>
      <c r="G34" s="2">
        <f>0.32/3.54</f>
        <v>9.03954802259887E-2</v>
      </c>
      <c r="H34" s="2">
        <f>34.18/270.48</f>
        <v>0.12636793847973971</v>
      </c>
      <c r="I34" s="2">
        <f>0.16/0.47</f>
        <v>0.34042553191489366</v>
      </c>
      <c r="J34" s="2">
        <f>9.38/515.79</f>
        <v>1.8185695728881911E-2</v>
      </c>
      <c r="K34" s="2">
        <f>0.03/0.35</f>
        <v>8.5714285714285715E-2</v>
      </c>
      <c r="L34" s="2">
        <f>267.9/2877.98</f>
        <v>9.3086122905649091E-2</v>
      </c>
      <c r="M34" s="2">
        <f>0.05/0.52</f>
        <v>9.6153846153846159E-2</v>
      </c>
      <c r="N34" s="2">
        <f>21.55/526.77</f>
        <v>4.0909694933272588E-2</v>
      </c>
      <c r="O34" s="2">
        <f>0.11/0.61</f>
        <v>0.18032786885245902</v>
      </c>
      <c r="P34" s="2">
        <f>235.63/1575.92</f>
        <v>0.14951901111731558</v>
      </c>
      <c r="Q34" s="2">
        <f>0.05/0.49</f>
        <v>0.10204081632653061</v>
      </c>
      <c r="R34" s="2">
        <f>9.01/530.42</f>
        <v>1.6986538969118812E-2</v>
      </c>
      <c r="S34" s="2">
        <f>0.31/2.99</f>
        <v>0.10367892976588627</v>
      </c>
      <c r="T34" s="2">
        <f>36.5/287.29</f>
        <v>0.12704932298374463</v>
      </c>
      <c r="U34" s="2">
        <f>0.13/0.53</f>
        <v>0.24528301886792453</v>
      </c>
      <c r="V34" s="2">
        <f>6.09/500.22</f>
        <v>1.2174643157010914E-2</v>
      </c>
      <c r="W34" s="2">
        <f>0.02/0.31</f>
        <v>6.4516129032258063E-2</v>
      </c>
      <c r="X34" s="2">
        <f>122.68/2958.33</f>
        <v>4.1469342500667611E-2</v>
      </c>
      <c r="Y34" s="2">
        <f>0.04/0.5</f>
        <v>0.08</v>
      </c>
      <c r="Z34" s="2">
        <f>10.6/517.51</f>
        <v>2.0482695986550985E-2</v>
      </c>
      <c r="AA34" s="2">
        <v>0.51506742415833295</v>
      </c>
      <c r="AB34" s="2">
        <v>0.486556883670961</v>
      </c>
      <c r="AC34" s="4">
        <f>AVERAGE(C34,P34)</f>
        <v>0.13910468027552936</v>
      </c>
      <c r="AD34" s="4">
        <f>AVERAGE(Tableau1[[#This Row],[TPVDN]:[TPVUN]])</f>
        <v>0.10871271585557299</v>
      </c>
      <c r="AE34" s="2" t="s">
        <v>37</v>
      </c>
    </row>
    <row r="35" spans="1:31" x14ac:dyDescent="0.35">
      <c r="A35" s="8" t="s">
        <v>38</v>
      </c>
      <c r="B35" s="2">
        <f>0.11/0.73</f>
        <v>0.15068493150684931</v>
      </c>
      <c r="C35" s="2">
        <f>169.57/1384.32</f>
        <v>0.12249335413777161</v>
      </c>
      <c r="D35" s="2">
        <f>0.04/0.48</f>
        <v>8.3333333333333343E-2</v>
      </c>
      <c r="E35" s="2">
        <f>0.07/0.42</f>
        <v>0.16666666666666669</v>
      </c>
      <c r="F35" s="2">
        <f>20.47/562.92</f>
        <v>3.6363959354792863E-2</v>
      </c>
      <c r="G35" s="2">
        <f>0.26/1.53</f>
        <v>0.16993464052287582</v>
      </c>
      <c r="H35" s="2">
        <f>105.06/609.99</f>
        <v>0.17223233167756849</v>
      </c>
      <c r="I35" s="2">
        <f>0.06/0.44</f>
        <v>0.13636363636363635</v>
      </c>
      <c r="J35" s="2">
        <f>11.86/528.69</f>
        <v>2.2432805613875804E-2</v>
      </c>
      <c r="K35" s="2">
        <f>0.03/0.39</f>
        <v>7.6923076923076913E-2</v>
      </c>
      <c r="L35" s="2">
        <f>340.8/2866.36</f>
        <v>0.11889644008428808</v>
      </c>
      <c r="M35" s="2">
        <f>0.05/0.51</f>
        <v>9.8039215686274508E-2</v>
      </c>
      <c r="N35" s="2">
        <f>24.37/567.96</f>
        <v>4.290795126417353E-2</v>
      </c>
      <c r="O35" s="2">
        <f>0.08/0.69</f>
        <v>0.11594202898550726</v>
      </c>
      <c r="P35" s="2">
        <f>135.83/1470.31</f>
        <v>9.238187865144086E-2</v>
      </c>
      <c r="Q35" s="2">
        <f>0.07/0.42</f>
        <v>0.16666666666666669</v>
      </c>
      <c r="R35" s="2">
        <f>6.18/552.65</f>
        <v>1.1182484393377363E-2</v>
      </c>
      <c r="S35" s="2">
        <f>0.25/1.42</f>
        <v>0.17605633802816903</v>
      </c>
      <c r="T35" s="2">
        <f>101.65/676.27</f>
        <v>0.15030978751090543</v>
      </c>
      <c r="U35" s="2">
        <f>0.1/0.42</f>
        <v>0.23809523809523811</v>
      </c>
      <c r="V35" s="2">
        <f>7.71/504.87</f>
        <v>1.5271257947590468E-2</v>
      </c>
      <c r="W35" s="2">
        <f>0.03/0.34</f>
        <v>8.8235294117647051E-2</v>
      </c>
      <c r="X35" s="2">
        <f>678.8/3170.98</f>
        <v>0.21406631388403582</v>
      </c>
      <c r="Y35" s="2">
        <f>0.05/0.4</f>
        <v>0.125</v>
      </c>
      <c r="Z35" s="2">
        <f>13.35/526.17</f>
        <v>2.5372028051770343E-2</v>
      </c>
      <c r="AA35" s="2">
        <v>0.48487850488327</v>
      </c>
      <c r="AB35" s="2">
        <v>0.422396341140238</v>
      </c>
      <c r="AC35" s="4">
        <f>AVERAGE(C35,P35)</f>
        <v>0.10743761639460624</v>
      </c>
      <c r="AD35" s="4">
        <f>AVERAGE(Tableau1[[#This Row],[TPVDN]:[TPVUN]])</f>
        <v>0.125</v>
      </c>
      <c r="AE35" s="2" t="s">
        <v>38</v>
      </c>
    </row>
    <row r="36" spans="1:31" x14ac:dyDescent="0.35">
      <c r="A36" s="9" t="s">
        <v>39</v>
      </c>
      <c r="B36" s="2">
        <f>0.09/1.13</f>
        <v>7.9646017699115043E-2</v>
      </c>
      <c r="C36" s="2">
        <f>100.44/846</f>
        <v>0.11872340425531915</v>
      </c>
      <c r="D36" s="2">
        <f>0.08/0.46</f>
        <v>0.17391304347826086</v>
      </c>
      <c r="E36" s="2">
        <f>0.05/0.39</f>
        <v>0.12820512820512822</v>
      </c>
      <c r="F36" s="2">
        <f>10.96/513.12</f>
        <v>2.1359526036794512E-2</v>
      </c>
      <c r="G36" s="2">
        <f>0.55/3.75</f>
        <v>0.14666666666666667</v>
      </c>
      <c r="H36" s="2">
        <f>33.99/230.13</f>
        <v>0.14769912658062836</v>
      </c>
      <c r="I36" s="2">
        <f>0.14/0.51</f>
        <v>0.27450980392156865</v>
      </c>
      <c r="J36" s="2">
        <f>12.27/485.92</f>
        <v>2.5251070135001646E-2</v>
      </c>
      <c r="K36" s="2">
        <f>0.02/0.28</f>
        <v>7.1428571428571425E-2</v>
      </c>
      <c r="L36" s="2">
        <f>274.86/3570.78</f>
        <v>7.697477861979736E-2</v>
      </c>
      <c r="M36" s="2">
        <f>0.04/0.46</f>
        <v>8.6956521739130432E-2</v>
      </c>
      <c r="N36" s="2">
        <f>12.79/498.84</f>
        <v>2.5639483601956538E-2</v>
      </c>
      <c r="O36" s="2">
        <f>0.09/0.95</f>
        <v>9.4736842105263161E-2</v>
      </c>
      <c r="P36" s="2">
        <f>157.4/981.53</f>
        <v>0.16036188399743259</v>
      </c>
      <c r="Q36" s="2">
        <f>0.05/0.39</f>
        <v>0.12820512820512822</v>
      </c>
      <c r="R36" s="2">
        <f>5.34/509.2</f>
        <v>1.0487038491751767E-2</v>
      </c>
      <c r="S36" s="2">
        <f>0.48/3.06</f>
        <v>0.15686274509803921</v>
      </c>
      <c r="T36" s="2">
        <f>49.33/275.71</f>
        <v>0.17891987958362049</v>
      </c>
      <c r="U36" s="2">
        <f>0.18/0.38</f>
        <v>0.47368421052631576</v>
      </c>
      <c r="V36" s="2">
        <f>7.41/471.42</f>
        <v>1.5718467608501971E-2</v>
      </c>
      <c r="W36" s="2">
        <f>0.03/0.26</f>
        <v>0.11538461538461538</v>
      </c>
      <c r="X36" s="2">
        <f>405.66/3648.57</f>
        <v>0.11118328550637648</v>
      </c>
      <c r="Y36" s="2">
        <f>0.04/0.42</f>
        <v>9.5238095238095247E-2</v>
      </c>
      <c r="Z36" s="2">
        <f>22.33/494.47</f>
        <v>4.5159463668169954E-2</v>
      </c>
      <c r="AA36" s="2">
        <v>0.456497571449971</v>
      </c>
      <c r="AB36" s="2">
        <v>0.39160582514590098</v>
      </c>
      <c r="AC36" s="4">
        <f>AVERAGE(C36,P36)</f>
        <v>0.13954264412637588</v>
      </c>
      <c r="AD36" s="4">
        <f>AVERAGE(Tableau1[[#This Row],[TPVDN]:[TPVUN]])</f>
        <v>0.15105908584169453</v>
      </c>
      <c r="AE36" s="16" t="s">
        <v>39</v>
      </c>
    </row>
    <row r="37" spans="1:31" x14ac:dyDescent="0.35">
      <c r="A37" s="9" t="s">
        <v>40</v>
      </c>
      <c r="B37" s="2">
        <f>0.29/1.36</f>
        <v>0.21323529411764702</v>
      </c>
      <c r="C37" s="2">
        <f>120.94/737.42</f>
        <v>0.16400423096742697</v>
      </c>
      <c r="D37" s="2">
        <f>0.08/0.42</f>
        <v>0.19047619047619049</v>
      </c>
      <c r="E37" s="2">
        <f>0.09/0.4</f>
        <v>0.22499999999999998</v>
      </c>
      <c r="F37" s="2">
        <f>18.99/540.93</f>
        <v>3.5106205978592424E-2</v>
      </c>
      <c r="G37" s="2">
        <f>0.38/2.98</f>
        <v>0.12751677852348994</v>
      </c>
      <c r="H37" s="2">
        <f>74.11/327.18</f>
        <v>0.22651140045235038</v>
      </c>
      <c r="I37" s="2">
        <f>0.17/0.28</f>
        <v>0.6071428571428571</v>
      </c>
      <c r="J37" s="2">
        <f>13.06/524.46</f>
        <v>2.4901803760057965E-2</v>
      </c>
      <c r="K37" s="2">
        <f>0.06/0.42</f>
        <v>0.14285714285714285</v>
      </c>
      <c r="L37" s="2">
        <f>279.25/2601.82</f>
        <v>0.10732871605260932</v>
      </c>
      <c r="M37" s="2">
        <f>0.07/0.45</f>
        <v>0.15555555555555556</v>
      </c>
      <c r="N37" s="2">
        <f>17.66/530.52</f>
        <v>3.3288094699540076E-2</v>
      </c>
      <c r="O37" s="2">
        <f>0.21/1.21</f>
        <v>0.17355371900826447</v>
      </c>
      <c r="P37" s="2">
        <f>166.86/881.18</f>
        <v>0.18935972219069885</v>
      </c>
      <c r="Q37" s="2">
        <f>0.09/0.4</f>
        <v>0.22499999999999998</v>
      </c>
      <c r="R37" s="2">
        <f>24.27/533.15</f>
        <v>4.5521898152489922E-2</v>
      </c>
      <c r="S37" s="2">
        <f>0.35/2.27</f>
        <v>0.1541850220264317</v>
      </c>
      <c r="T37" s="2">
        <f>32.09/396.82</f>
        <v>8.0867899803437338E-2</v>
      </c>
      <c r="U37" s="2">
        <f>0.11/0.36</f>
        <v>0.30555555555555558</v>
      </c>
      <c r="V37" s="2">
        <f>16.88/508.03</f>
        <v>3.3226384268645555E-2</v>
      </c>
      <c r="W37" s="2">
        <f>0.03/0.35</f>
        <v>8.5714285714285715E-2</v>
      </c>
      <c r="X37" s="2">
        <f>253.25/2579.4</f>
        <v>9.8181747693261989E-2</v>
      </c>
      <c r="Y37" s="2">
        <f>0.04/0.44</f>
        <v>9.0909090909090912E-2</v>
      </c>
      <c r="Z37" s="2">
        <f>16.33/491.34</f>
        <v>3.3235641307444948E-2</v>
      </c>
      <c r="AA37" s="2">
        <v>0.41774007287742199</v>
      </c>
      <c r="AB37" s="2">
        <v>0.39746560803888498</v>
      </c>
      <c r="AC37" s="4">
        <f>AVERAGE(C37,P37)</f>
        <v>0.17668197657906293</v>
      </c>
      <c r="AD37" s="4">
        <f>AVERAGE(Tableau1[[#This Row],[TPVDN]:[TPVUN]])</f>
        <v>0.20773809523809522</v>
      </c>
      <c r="AE37" s="16" t="s">
        <v>40</v>
      </c>
    </row>
    <row r="38" spans="1:31" x14ac:dyDescent="0.35">
      <c r="A38" s="8" t="s">
        <v>41</v>
      </c>
      <c r="B38" s="2">
        <f>0.06/0.71</f>
        <v>8.4507042253521125E-2</v>
      </c>
      <c r="C38" s="2">
        <f>168.75/1503.81</f>
        <v>0.11221497396612605</v>
      </c>
      <c r="D38" s="2">
        <f>0.04/0.52</f>
        <v>7.6923076923076927E-2</v>
      </c>
      <c r="E38" s="2">
        <f>0.07/0.41</f>
        <v>0.17073170731707318</v>
      </c>
      <c r="F38" s="2">
        <f>18.1/564.11</f>
        <v>3.208594068532733E-2</v>
      </c>
      <c r="G38" s="2">
        <f>0.27/3.04</f>
        <v>8.8815789473684209E-2</v>
      </c>
      <c r="H38" s="2">
        <f>53.81/293.82</f>
        <v>0.18313933700905316</v>
      </c>
      <c r="I38" s="2">
        <f>0.22/0.35</f>
        <v>0.62857142857142867</v>
      </c>
      <c r="J38" s="2">
        <f>12.3/534.75</f>
        <v>2.300140252454418E-2</v>
      </c>
      <c r="K38" s="2">
        <f>0.03/0.4</f>
        <v>7.4999999999999997E-2</v>
      </c>
      <c r="L38" s="2">
        <f>237.43/2784.72</f>
        <v>8.5261713924559751E-2</v>
      </c>
      <c r="M38" s="2">
        <f>0.03/0.52</f>
        <v>5.7692307692307689E-2</v>
      </c>
      <c r="N38" s="2">
        <f>12.29/550.02</f>
        <v>2.2344642013017706E-2</v>
      </c>
      <c r="O38" s="2">
        <f>0.05/0.67</f>
        <v>7.4626865671641784E-2</v>
      </c>
      <c r="P38" s="2">
        <f>105.73/1389.1</f>
        <v>7.6114030667338572E-2</v>
      </c>
      <c r="Q38" s="2">
        <f>0.07/0.41</f>
        <v>0.17073170731707318</v>
      </c>
      <c r="R38" s="2">
        <f>7.5/549.56</f>
        <v>1.3647281461532865E-2</v>
      </c>
      <c r="S38" s="2">
        <f>0.37/2.53</f>
        <v>0.14624505928853757</v>
      </c>
      <c r="T38" s="2">
        <f>91.71/350.03</f>
        <v>0.26200611376167759</v>
      </c>
      <c r="U38" s="2">
        <f>0.16/0.26</f>
        <v>0.61538461538461542</v>
      </c>
      <c r="V38" s="2">
        <f>6.84/527.58</f>
        <v>1.2964858410098942E-2</v>
      </c>
      <c r="W38" s="2">
        <f>0.03/0.39</f>
        <v>7.6923076923076913E-2</v>
      </c>
      <c r="X38" s="2">
        <f>229.13/2666.3</f>
        <v>8.5935566140344297E-2</v>
      </c>
      <c r="Y38" s="2">
        <f>0.02/0.43</f>
        <v>4.6511627906976744E-2</v>
      </c>
      <c r="Z38" s="2">
        <f>7.27/533.3</f>
        <v>1.3632102006375399E-2</v>
      </c>
      <c r="AA38" s="2">
        <v>0.51589917947015296</v>
      </c>
      <c r="AB38" s="2">
        <v>0.41260971320350998</v>
      </c>
      <c r="AC38" s="4">
        <f>AVERAGE(C38,P38)</f>
        <v>9.4164502316732318E-2</v>
      </c>
      <c r="AD38" s="4">
        <f>AVERAGE(Tableau1[[#This Row],[TPVDN]:[TPVUN]])</f>
        <v>0.12382739212007506</v>
      </c>
      <c r="AE38" s="2" t="s">
        <v>41</v>
      </c>
    </row>
    <row r="39" spans="1:31" x14ac:dyDescent="0.35">
      <c r="A39" s="8" t="s">
        <v>42</v>
      </c>
      <c r="B39" s="2">
        <f>0.07/0.76</f>
        <v>9.2105263157894746E-2</v>
      </c>
      <c r="C39" s="2">
        <f>112.5/1314.77</f>
        <v>8.556629676673487E-2</v>
      </c>
      <c r="D39" s="2">
        <f>0.1/0.48</f>
        <v>0.20833333333333334</v>
      </c>
      <c r="E39" s="2">
        <f>0.08/0.43</f>
        <v>0.18604651162790697</v>
      </c>
      <c r="F39" s="2">
        <f>16.81/553.2</f>
        <v>3.038684020245842E-2</v>
      </c>
      <c r="G39" s="2">
        <f>0.09/0.98</f>
        <v>9.1836734693877556E-2</v>
      </c>
      <c r="H39" s="2">
        <f>85.94/983.42</f>
        <v>8.738890809623559E-2</v>
      </c>
      <c r="I39" s="2">
        <f>0.08/0.37</f>
        <v>0.21621621621621623</v>
      </c>
      <c r="J39" s="2">
        <f>12.73/534.07</f>
        <v>2.3835826764281833E-2</v>
      </c>
      <c r="K39" s="2">
        <f>0.04/0.34</f>
        <v>0.11764705882352941</v>
      </c>
      <c r="L39" s="2">
        <f>203.38/3214.37</f>
        <v>6.3272118642222278E-2</v>
      </c>
      <c r="M39" s="2">
        <f>0.04/0.41</f>
        <v>9.7560975609756101E-2</v>
      </c>
      <c r="N39" s="2">
        <f>25.11/537.95</f>
        <v>4.6677200483316292E-2</v>
      </c>
      <c r="O39" s="2">
        <f>0.09/0.63</f>
        <v>0.14285714285714285</v>
      </c>
      <c r="P39" s="2">
        <f>301.58/1646.95</f>
        <v>0.18311424147666899</v>
      </c>
      <c r="Q39" s="2">
        <f>0.08/0.43</f>
        <v>0.18604651162790697</v>
      </c>
      <c r="R39" s="2">
        <f>12.52/541.3</f>
        <v>2.3129503048217256E-2</v>
      </c>
      <c r="S39" s="2">
        <f>0.11/0.9</f>
        <v>0.12222222222222222</v>
      </c>
      <c r="T39" s="2">
        <f>150.42/1022.28</f>
        <v>0.14714168329616151</v>
      </c>
      <c r="U39" s="2">
        <f>0.07/0.39</f>
        <v>0.17948717948717949</v>
      </c>
      <c r="V39" s="2">
        <f>12.92/524.44</f>
        <v>2.4635801998322018E-2</v>
      </c>
      <c r="W39" s="2">
        <f>0.03/0.31</f>
        <v>9.6774193548387094E-2</v>
      </c>
      <c r="X39" s="2">
        <f>258.76/3300.84</f>
        <v>7.8392166842379513E-2</v>
      </c>
      <c r="Y39" s="2">
        <f>0.03/0.36</f>
        <v>8.3333333333333329E-2</v>
      </c>
      <c r="Z39" s="2">
        <f>16.77/522.98</f>
        <v>3.2066235802516344E-2</v>
      </c>
      <c r="AA39" s="2">
        <v>0.47529889869459002</v>
      </c>
      <c r="AB39" s="2">
        <v>0.43442260447803299</v>
      </c>
      <c r="AC39" s="4">
        <f>AVERAGE(C39,P39)</f>
        <v>0.13434026912170194</v>
      </c>
      <c r="AD39" s="4">
        <f>AVERAGE(Tableau1[[#This Row],[TPVDN]:[TPVUN]])</f>
        <v>0.19718992248062017</v>
      </c>
      <c r="AE39" s="2" t="s">
        <v>42</v>
      </c>
    </row>
    <row r="40" spans="1:31" x14ac:dyDescent="0.35">
      <c r="A40" s="9" t="s">
        <v>43</v>
      </c>
      <c r="B40" s="2">
        <f>0.09/1.17</f>
        <v>7.6923076923076927E-2</v>
      </c>
      <c r="C40" s="2">
        <f>81.74/793.4</f>
        <v>0.10302495588605999</v>
      </c>
      <c r="D40" s="2">
        <f>0.1/0.45</f>
        <v>0.22222222222222224</v>
      </c>
      <c r="E40" s="2">
        <f>0.06/0.42</f>
        <v>0.14285714285714285</v>
      </c>
      <c r="F40" s="2">
        <f>12.36/535.54</f>
        <v>2.3079508533442882E-2</v>
      </c>
      <c r="G40" s="2">
        <f>0.22/1.74</f>
        <v>0.12643678160919541</v>
      </c>
      <c r="H40" s="2">
        <f>61.43/477.66</f>
        <v>0.12860612150902315</v>
      </c>
      <c r="I40" s="2">
        <f>0.12/0.48</f>
        <v>0.25</v>
      </c>
      <c r="J40" s="2">
        <f>13.66/495.44</f>
        <v>2.7571451638947198E-2</v>
      </c>
      <c r="K40" s="2">
        <f>0.02/0.37</f>
        <v>5.4054054054054057E-2</v>
      </c>
      <c r="L40" s="2">
        <f>214.78/3049.77</f>
        <v>7.0424982867560507E-2</v>
      </c>
      <c r="M40" s="2">
        <f>0.04/0.47</f>
        <v>8.5106382978723416E-2</v>
      </c>
      <c r="N40" s="2">
        <f>19.76/524.7</f>
        <v>3.7659615018105587E-2</v>
      </c>
      <c r="O40" s="2">
        <f>0.13/0.97</f>
        <v>0.13402061855670103</v>
      </c>
      <c r="P40" s="2">
        <f>141.05/978.76</f>
        <v>0.1441109158527116</v>
      </c>
      <c r="Q40" s="2">
        <f>0.06/0.42</f>
        <v>0.14285714285714285</v>
      </c>
      <c r="R40" s="2">
        <f>11.76/534.06</f>
        <v>2.2019997753061456E-2</v>
      </c>
      <c r="S40" s="2">
        <f>0.17/1.56</f>
        <v>0.10897435897435898</v>
      </c>
      <c r="T40" s="2">
        <f>68.38/552.34</f>
        <v>0.12380055762754823</v>
      </c>
      <c r="U40" s="2">
        <f>0.08/0.4</f>
        <v>0.19999999999999998</v>
      </c>
      <c r="V40" s="2">
        <f>13.2/499.11</f>
        <v>2.6447075794914947E-2</v>
      </c>
      <c r="W40" s="2">
        <f>0.03/0.37</f>
        <v>8.1081081081081086E-2</v>
      </c>
      <c r="X40" s="2">
        <f>295.9/2777.54</f>
        <v>0.10653311923500651</v>
      </c>
      <c r="Y40" s="2">
        <f>0.04/0.47</f>
        <v>8.5106382978723416E-2</v>
      </c>
      <c r="Z40" s="2">
        <f>15.82/537.08</f>
        <v>2.9455574588515675E-2</v>
      </c>
      <c r="AA40" s="2">
        <v>0.44625647170126798</v>
      </c>
      <c r="AB40" s="2">
        <v>0.41537819050896801</v>
      </c>
      <c r="AC40" s="4">
        <f>AVERAGE(C40,P40)</f>
        <v>0.1235679358693858</v>
      </c>
      <c r="AD40" s="4">
        <f>AVERAGE(Tableau1[[#This Row],[TPVDN]:[TPVUN]])</f>
        <v>0.18253968253968256</v>
      </c>
      <c r="AE40" s="16" t="s">
        <v>43</v>
      </c>
    </row>
    <row r="41" spans="1:31" x14ac:dyDescent="0.35">
      <c r="A41" s="8" t="s">
        <v>44</v>
      </c>
      <c r="B41" s="2">
        <f>0.19/1.29</f>
        <v>0.14728682170542634</v>
      </c>
      <c r="C41" s="2">
        <f>101.06/707.62</f>
        <v>0.14281676606088015</v>
      </c>
      <c r="D41" s="2">
        <f>0.06/0.46</f>
        <v>0.13043478260869565</v>
      </c>
      <c r="E41" s="2">
        <f>0.05/0.49</f>
        <v>0.10204081632653061</v>
      </c>
      <c r="F41" s="2">
        <f>18.91/469.42</f>
        <v>4.0283754420348511E-2</v>
      </c>
      <c r="G41" s="2">
        <f>0.59/3.49</f>
        <v>0.16905444126074495</v>
      </c>
      <c r="H41" s="2">
        <f>132.84/257.14</f>
        <v>0.51660574006377857</v>
      </c>
      <c r="I41" s="2">
        <f>0.23/0.41</f>
        <v>0.56097560975609762</v>
      </c>
      <c r="J41" s="2">
        <f>9.68/438.98</f>
        <v>2.2051118501981864E-2</v>
      </c>
      <c r="K41" s="2">
        <f>0.06/0.37</f>
        <v>0.16216216216216217</v>
      </c>
      <c r="L41" s="2">
        <f>329.78/2611.89</f>
        <v>0.12626105999869824</v>
      </c>
      <c r="M41" s="2">
        <f>0.08/0.49</f>
        <v>0.16326530612244899</v>
      </c>
      <c r="N41" s="2">
        <f>14.58/468.32</f>
        <v>3.1132558934062179E-2</v>
      </c>
      <c r="O41" s="2">
        <f>0.1/1.18</f>
        <v>8.4745762711864417E-2</v>
      </c>
      <c r="P41" s="2">
        <f>55.34/762.58</f>
        <v>7.2569435337931754E-2</v>
      </c>
      <c r="Q41" s="2">
        <f>0.05/0.49</f>
        <v>0.10204081632653061</v>
      </c>
      <c r="R41" s="2">
        <f>15.69/489.16</f>
        <v>3.207539455392918E-2</v>
      </c>
      <c r="S41" s="2">
        <f>0.37/3.12</f>
        <v>0.11858974358974358</v>
      </c>
      <c r="T41" s="2">
        <f>35.56/237.89</f>
        <v>0.14948085249485057</v>
      </c>
      <c r="U41" s="2">
        <f>0.16/0.41</f>
        <v>0.3902439024390244</v>
      </c>
      <c r="V41" s="2">
        <f>9.15/444.87</f>
        <v>2.0567806325443388E-2</v>
      </c>
      <c r="W41" s="2">
        <f>0.04/0.33</f>
        <v>0.12121212121212122</v>
      </c>
      <c r="X41" s="2">
        <f>413.13/2758.97</f>
        <v>0.1497406640884098</v>
      </c>
      <c r="Y41" s="2">
        <f>0.07/0.42</f>
        <v>0.16666666666666669</v>
      </c>
      <c r="Z41" s="2">
        <f>9.56/470.54</f>
        <v>2.031708250095635E-2</v>
      </c>
      <c r="AA41" s="2">
        <v>0.45640848881649199</v>
      </c>
      <c r="AB41" s="2">
        <v>0.48743998849094899</v>
      </c>
      <c r="AC41" s="4">
        <f>AVERAGE(C41,P41)</f>
        <v>0.10769310069940595</v>
      </c>
      <c r="AD41" s="4">
        <f>AVERAGE(Tableau1[[#This Row],[TPVDN]:[TPVUN]])</f>
        <v>0.11623779946761313</v>
      </c>
      <c r="AE41" s="2" t="s">
        <v>44</v>
      </c>
    </row>
    <row r="42" spans="1:31" x14ac:dyDescent="0.35">
      <c r="A42" s="8" t="s">
        <v>45</v>
      </c>
      <c r="B42" s="2">
        <f>0.1/0.82</f>
        <v>0.12195121951219513</v>
      </c>
      <c r="C42" s="2">
        <f>164.85/1220.16</f>
        <v>0.1351052321007081</v>
      </c>
      <c r="D42" s="2">
        <f>0.1/0.5</f>
        <v>0.2</v>
      </c>
      <c r="E42" s="2">
        <f>0.05/0.46</f>
        <v>0.10869565217391304</v>
      </c>
      <c r="F42" s="2">
        <f>21.51/551.46</f>
        <v>3.9005548906539005E-2</v>
      </c>
      <c r="G42" s="2">
        <f>0.16/1.14</f>
        <v>0.14035087719298248</v>
      </c>
      <c r="H42" s="2">
        <f>92.61/837.7</f>
        <v>0.11055270383192073</v>
      </c>
      <c r="I42" s="2">
        <f>0.06/0.58</f>
        <v>0.10344827586206896</v>
      </c>
      <c r="J42" s="2">
        <f>14.25/519.84</f>
        <v>2.7412280701754384E-2</v>
      </c>
      <c r="K42" s="2">
        <f>0.06/0.41</f>
        <v>0.14634146341463414</v>
      </c>
      <c r="L42" s="2">
        <f>318.3/2857.07</f>
        <v>0.11140784089994295</v>
      </c>
      <c r="M42" s="2">
        <f>0.09/0.4</f>
        <v>0.22499999999999998</v>
      </c>
      <c r="N42" s="2">
        <f>48.5/536.91</f>
        <v>9.033171295002887E-2</v>
      </c>
      <c r="O42" s="2">
        <f>0.04/0.64</f>
        <v>6.25E-2</v>
      </c>
      <c r="P42" s="2">
        <f>131.27/1506.95</f>
        <v>8.7109724941106206E-2</v>
      </c>
      <c r="Q42" s="2">
        <f>0.05/0.46</f>
        <v>0.10869565217391304</v>
      </c>
      <c r="R42" s="2">
        <f>10.27/544.7</f>
        <v>1.8854415274463004E-2</v>
      </c>
      <c r="S42" s="2">
        <f>0.06/0.94</f>
        <v>6.3829787234042548E-2</v>
      </c>
      <c r="T42" s="2">
        <f>90.07/977.57</f>
        <v>9.2136624487248978E-2</v>
      </c>
      <c r="U42" s="2">
        <f>0.1/0.55</f>
        <v>0.18181818181818182</v>
      </c>
      <c r="V42" s="2">
        <f>9.11/521.81</f>
        <v>1.7458461892259636E-2</v>
      </c>
      <c r="W42" s="2">
        <f>0.02/0.35</f>
        <v>5.7142857142857148E-2</v>
      </c>
      <c r="X42" s="2">
        <f>245.79/3228.93</f>
        <v>7.6121191849931713E-2</v>
      </c>
      <c r="Y42" s="2">
        <f>0.03/0.33</f>
        <v>9.0909090909090898E-2</v>
      </c>
      <c r="Z42" s="2">
        <f>12.78/542.1</f>
        <v>2.357498616491422E-2</v>
      </c>
      <c r="AA42" s="2">
        <v>0.50480675631976601</v>
      </c>
      <c r="AB42" s="2">
        <v>0.46197239345693097</v>
      </c>
      <c r="AC42" s="4">
        <f>AVERAGE(C42,P42)</f>
        <v>0.11110747852090716</v>
      </c>
      <c r="AD42" s="4">
        <f>AVERAGE(Tableau1[[#This Row],[TPVDN]:[TPVUN]])</f>
        <v>0.15434782608695652</v>
      </c>
      <c r="AE42" s="2" t="s">
        <v>45</v>
      </c>
    </row>
    <row r="49" spans="19:19" x14ac:dyDescent="0.35">
      <c r="S49">
        <f>21/41</f>
        <v>0.51219512195121952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F1273-ECDC-4901-AF52-849BB33A0CC1}">
  <sheetPr codeName="XLSTAT_20220111_122427_1_HID">
    <tabColor rgb="FF007800"/>
  </sheetPr>
  <dimension ref="A1:H70"/>
  <sheetViews>
    <sheetView workbookViewId="0">
      <selection activeCell="E1" sqref="E1"/>
    </sheetView>
  </sheetViews>
  <sheetFormatPr baseColWidth="10" defaultRowHeight="14.5" x14ac:dyDescent="0.35"/>
  <sheetData>
    <row r="1" spans="1:8" x14ac:dyDescent="0.35">
      <c r="A1">
        <v>1</v>
      </c>
      <c r="C1">
        <f t="shared" ref="C1:C32" si="0">0.1623137886+(A1-1)*0.0007010268</f>
        <v>0.16231378860000001</v>
      </c>
      <c r="D1">
        <f t="shared" ref="D1:D32" si="1">0+1*C1-0.203258940507499*(1.00396825396825+(C1-0.169197096797472)^2/0.0102364050594482)^0.5</f>
        <v>-4.1816973002352903E-2</v>
      </c>
      <c r="E1">
        <v>1</v>
      </c>
      <c r="G1">
        <f t="shared" ref="G1:G32" si="2">0.1302589306+(E1-1)*0.0011655899</f>
        <v>0.13025893059999999</v>
      </c>
      <c r="H1">
        <f t="shared" ref="H1:H32" si="3">0+1*G1+0.203258940507499*(1.00396825396825+(G1-0.169197096797472)^2/0.0102364050594482)^0.5</f>
        <v>0.34842734619816773</v>
      </c>
    </row>
    <row r="2" spans="1:8" x14ac:dyDescent="0.35">
      <c r="A2">
        <v>2</v>
      </c>
      <c r="C2">
        <f t="shared" si="0"/>
        <v>0.16301481540000001</v>
      </c>
      <c r="D2">
        <f t="shared" si="1"/>
        <v>-4.1025378492166198E-2</v>
      </c>
      <c r="E2">
        <v>2</v>
      </c>
      <c r="G2">
        <f t="shared" si="2"/>
        <v>0.1314245205</v>
      </c>
      <c r="H2">
        <f t="shared" si="3"/>
        <v>0.34876431216999054</v>
      </c>
    </row>
    <row r="3" spans="1:8" x14ac:dyDescent="0.35">
      <c r="A3">
        <v>3</v>
      </c>
      <c r="C3">
        <f t="shared" si="0"/>
        <v>0.16371584220000002</v>
      </c>
      <c r="D3">
        <f t="shared" si="1"/>
        <v>-4.0243468725648324E-2</v>
      </c>
      <c r="E3">
        <v>3</v>
      </c>
      <c r="G3">
        <f t="shared" si="2"/>
        <v>0.13259011039999999</v>
      </c>
      <c r="H3">
        <f t="shared" si="3"/>
        <v>0.34912343152388858</v>
      </c>
    </row>
    <row r="4" spans="1:8" x14ac:dyDescent="0.35">
      <c r="A4">
        <v>4</v>
      </c>
      <c r="C4">
        <f t="shared" si="0"/>
        <v>0.16441686900000002</v>
      </c>
      <c r="D4">
        <f t="shared" si="1"/>
        <v>-3.9471255228691271E-2</v>
      </c>
      <c r="E4">
        <v>4</v>
      </c>
      <c r="G4">
        <f t="shared" si="2"/>
        <v>0.1337557003</v>
      </c>
      <c r="H4">
        <f t="shared" si="3"/>
        <v>0.34950495268798248</v>
      </c>
    </row>
    <row r="5" spans="1:8" x14ac:dyDescent="0.35">
      <c r="A5">
        <v>5</v>
      </c>
      <c r="C5">
        <f t="shared" si="0"/>
        <v>0.1651178958</v>
      </c>
      <c r="D5">
        <f t="shared" si="1"/>
        <v>-3.8708748160596052E-2</v>
      </c>
      <c r="E5">
        <v>5</v>
      </c>
      <c r="G5">
        <f t="shared" si="2"/>
        <v>0.13492129019999999</v>
      </c>
      <c r="H5">
        <f t="shared" si="3"/>
        <v>0.34990912076315495</v>
      </c>
    </row>
    <row r="6" spans="1:8" x14ac:dyDescent="0.35">
      <c r="A6">
        <v>6</v>
      </c>
      <c r="C6">
        <f t="shared" si="0"/>
        <v>0.1658189226</v>
      </c>
      <c r="D6">
        <f t="shared" si="1"/>
        <v>-3.7955956306849808E-2</v>
      </c>
      <c r="E6">
        <v>6</v>
      </c>
      <c r="G6">
        <f t="shared" si="2"/>
        <v>0.1360868801</v>
      </c>
      <c r="H6">
        <f t="shared" si="3"/>
        <v>0.3503361772045096</v>
      </c>
    </row>
    <row r="7" spans="1:8" x14ac:dyDescent="0.35">
      <c r="A7">
        <v>7</v>
      </c>
      <c r="C7">
        <f t="shared" si="0"/>
        <v>0.16651994940000001</v>
      </c>
      <c r="D7">
        <f t="shared" si="1"/>
        <v>-3.7212887072865658E-2</v>
      </c>
      <c r="E7">
        <v>7</v>
      </c>
      <c r="G7">
        <f t="shared" si="2"/>
        <v>0.13725246999999999</v>
      </c>
      <c r="H7">
        <f t="shared" si="3"/>
        <v>0.35078635949894377</v>
      </c>
    </row>
    <row r="8" spans="1:8" x14ac:dyDescent="0.35">
      <c r="A8">
        <v>8</v>
      </c>
      <c r="C8">
        <f t="shared" si="0"/>
        <v>0.16722097620000001</v>
      </c>
      <c r="D8">
        <f t="shared" si="1"/>
        <v>-3.6479546478696001E-2</v>
      </c>
      <c r="E8">
        <v>8</v>
      </c>
      <c r="G8">
        <f t="shared" si="2"/>
        <v>0.1384180599</v>
      </c>
      <c r="H8">
        <f t="shared" si="3"/>
        <v>0.35125990083961417</v>
      </c>
    </row>
    <row r="9" spans="1:8" x14ac:dyDescent="0.35">
      <c r="A9">
        <v>9</v>
      </c>
      <c r="C9">
        <f t="shared" si="0"/>
        <v>0.16792200300000001</v>
      </c>
      <c r="D9">
        <f t="shared" si="1"/>
        <v>-3.5755939154728356E-2</v>
      </c>
      <c r="E9">
        <v>9</v>
      </c>
      <c r="G9">
        <f t="shared" si="2"/>
        <v>0.13958364979999999</v>
      </c>
      <c r="H9">
        <f t="shared" si="3"/>
        <v>0.35175702979812096</v>
      </c>
    </row>
    <row r="10" spans="1:8" x14ac:dyDescent="0.35">
      <c r="A10">
        <v>10</v>
      </c>
      <c r="C10">
        <f t="shared" si="0"/>
        <v>0.16862302980000002</v>
      </c>
      <c r="D10">
        <f t="shared" si="1"/>
        <v>-3.504206833837073E-2</v>
      </c>
      <c r="E10">
        <v>10</v>
      </c>
      <c r="G10">
        <f t="shared" si="2"/>
        <v>0.1407492397</v>
      </c>
      <c r="H10">
        <f t="shared" si="3"/>
        <v>0.35227796999528671</v>
      </c>
    </row>
    <row r="11" spans="1:8" x14ac:dyDescent="0.35">
      <c r="A11">
        <v>11</v>
      </c>
      <c r="C11">
        <f t="shared" si="0"/>
        <v>0.16932405659999999</v>
      </c>
      <c r="D11">
        <f t="shared" si="1"/>
        <v>-3.4337935871732228E-2</v>
      </c>
      <c r="E11">
        <v>11</v>
      </c>
      <c r="G11">
        <f t="shared" si="2"/>
        <v>0.14191482959999999</v>
      </c>
      <c r="H11">
        <f t="shared" si="3"/>
        <v>0.35282293977144752</v>
      </c>
    </row>
    <row r="12" spans="1:8" x14ac:dyDescent="0.35">
      <c r="A12">
        <v>12</v>
      </c>
      <c r="C12">
        <f t="shared" si="0"/>
        <v>0.1700250834</v>
      </c>
      <c r="D12">
        <f t="shared" si="1"/>
        <v>-3.3643542200302079E-2</v>
      </c>
      <c r="E12">
        <v>12</v>
      </c>
      <c r="G12">
        <f t="shared" si="2"/>
        <v>0.1430804195</v>
      </c>
      <c r="H12">
        <f t="shared" si="3"/>
        <v>0.35339215185721506</v>
      </c>
    </row>
    <row r="13" spans="1:8" x14ac:dyDescent="0.35">
      <c r="A13">
        <v>13</v>
      </c>
      <c r="C13">
        <f t="shared" si="0"/>
        <v>0.1707261102</v>
      </c>
      <c r="D13">
        <f t="shared" si="1"/>
        <v>-3.2958886372630586E-2</v>
      </c>
      <c r="E13">
        <v>13</v>
      </c>
      <c r="G13">
        <f t="shared" si="2"/>
        <v>0.14424600939999999</v>
      </c>
      <c r="H13">
        <f t="shared" si="3"/>
        <v>0.35398581304570864</v>
      </c>
    </row>
    <row r="14" spans="1:8" x14ac:dyDescent="0.35">
      <c r="A14">
        <v>14</v>
      </c>
      <c r="C14">
        <f t="shared" si="0"/>
        <v>0.17142713700000001</v>
      </c>
      <c r="D14">
        <f t="shared" si="1"/>
        <v>-3.2283966041011164E-2</v>
      </c>
      <c r="E14">
        <v>14</v>
      </c>
      <c r="G14">
        <f t="shared" si="2"/>
        <v>0.1454115993</v>
      </c>
      <c r="H14">
        <f t="shared" si="3"/>
        <v>0.35460412386728501</v>
      </c>
    </row>
    <row r="15" spans="1:8" x14ac:dyDescent="0.35">
      <c r="A15">
        <v>15</v>
      </c>
      <c r="C15">
        <f t="shared" si="0"/>
        <v>0.17212816380000001</v>
      </c>
      <c r="D15">
        <f t="shared" si="1"/>
        <v>-3.1618777463162911E-2</v>
      </c>
      <c r="E15">
        <v>15</v>
      </c>
      <c r="G15">
        <f t="shared" si="2"/>
        <v>0.14657718919999999</v>
      </c>
      <c r="H15">
        <f t="shared" si="3"/>
        <v>0.35524727826782487</v>
      </c>
    </row>
    <row r="16" spans="1:8" x14ac:dyDescent="0.35">
      <c r="A16">
        <v>16</v>
      </c>
      <c r="C16">
        <f t="shared" si="0"/>
        <v>0.17282919060000002</v>
      </c>
      <c r="D16">
        <f t="shared" si="1"/>
        <v>-3.0963315504911687E-2</v>
      </c>
      <c r="E16">
        <v>16</v>
      </c>
      <c r="G16">
        <f t="shared" si="2"/>
        <v>0.1477427791</v>
      </c>
      <c r="H16">
        <f t="shared" si="3"/>
        <v>0.35591546329165841</v>
      </c>
    </row>
    <row r="17" spans="1:8" x14ac:dyDescent="0.35">
      <c r="A17">
        <v>17</v>
      </c>
      <c r="C17">
        <f t="shared" si="0"/>
        <v>0.17353021740000002</v>
      </c>
      <c r="D17">
        <f t="shared" si="1"/>
        <v>-3.0317573643863338E-2</v>
      </c>
      <c r="E17">
        <v>17</v>
      </c>
      <c r="G17">
        <f t="shared" si="2"/>
        <v>0.14890836899999998</v>
      </c>
      <c r="H17">
        <f t="shared" si="3"/>
        <v>0.35660885877022674</v>
      </c>
    </row>
    <row r="18" spans="1:8" x14ac:dyDescent="0.35">
      <c r="A18">
        <v>18</v>
      </c>
      <c r="C18">
        <f t="shared" si="0"/>
        <v>0.17423124420000002</v>
      </c>
      <c r="D18">
        <f t="shared" si="1"/>
        <v>-2.9681543974064944E-2</v>
      </c>
      <c r="E18">
        <v>18</v>
      </c>
      <c r="G18">
        <f t="shared" si="2"/>
        <v>0.1500739589</v>
      </c>
      <c r="H18">
        <f t="shared" si="3"/>
        <v>0.35732763701759174</v>
      </c>
    </row>
    <row r="19" spans="1:8" x14ac:dyDescent="0.35">
      <c r="A19">
        <v>19</v>
      </c>
      <c r="C19">
        <f t="shared" si="0"/>
        <v>0.174932271</v>
      </c>
      <c r="D19">
        <f t="shared" si="1"/>
        <v>-2.9055217211644974E-2</v>
      </c>
      <c r="E19">
        <v>19</v>
      </c>
      <c r="G19">
        <f t="shared" si="2"/>
        <v>0.15123954879999998</v>
      </c>
      <c r="H19">
        <f t="shared" si="3"/>
        <v>0.35807196253390849</v>
      </c>
    </row>
    <row r="20" spans="1:8" x14ac:dyDescent="0.35">
      <c r="A20">
        <v>20</v>
      </c>
      <c r="C20">
        <f t="shared" si="0"/>
        <v>0.1756332978</v>
      </c>
      <c r="D20">
        <f t="shared" si="1"/>
        <v>-2.843858270142352E-2</v>
      </c>
      <c r="E20">
        <v>20</v>
      </c>
      <c r="G20">
        <f t="shared" si="2"/>
        <v>0.1524051387</v>
      </c>
      <c r="H20">
        <f t="shared" si="3"/>
        <v>0.35884199171797554</v>
      </c>
    </row>
    <row r="21" spans="1:8" x14ac:dyDescent="0.35">
      <c r="A21">
        <v>21</v>
      </c>
      <c r="C21">
        <f t="shared" si="0"/>
        <v>0.17633432460000001</v>
      </c>
      <c r="D21">
        <f t="shared" si="1"/>
        <v>-2.7831628424482002E-2</v>
      </c>
      <c r="E21">
        <v>21</v>
      </c>
      <c r="G21">
        <f t="shared" si="2"/>
        <v>0.15357072859999998</v>
      </c>
      <c r="H21">
        <f t="shared" si="3"/>
        <v>0.35963787258996732</v>
      </c>
    </row>
    <row r="22" spans="1:8" x14ac:dyDescent="0.35">
      <c r="A22">
        <v>22</v>
      </c>
      <c r="C22">
        <f t="shared" si="0"/>
        <v>0.17703535140000001</v>
      </c>
      <c r="D22">
        <f t="shared" si="1"/>
        <v>-2.7234341006678597E-2</v>
      </c>
      <c r="E22">
        <v>22</v>
      </c>
      <c r="G22">
        <f t="shared" si="2"/>
        <v>0.1547363185</v>
      </c>
      <c r="H22">
        <f t="shared" si="3"/>
        <v>0.36045974452544005</v>
      </c>
    </row>
    <row r="23" spans="1:8" x14ac:dyDescent="0.35">
      <c r="A23">
        <v>23</v>
      </c>
      <c r="C23">
        <f t="shared" si="0"/>
        <v>0.17773637820000002</v>
      </c>
      <c r="D23">
        <f t="shared" si="1"/>
        <v>-2.6646705728097103E-2</v>
      </c>
      <c r="E23">
        <v>23</v>
      </c>
      <c r="G23">
        <f t="shared" si="2"/>
        <v>0.15590190839999998</v>
      </c>
      <c r="H23">
        <f t="shared" si="3"/>
        <v>0.36130773800167826</v>
      </c>
    </row>
    <row r="24" spans="1:8" x14ac:dyDescent="0.35">
      <c r="A24">
        <v>24</v>
      </c>
      <c r="C24">
        <f t="shared" si="0"/>
        <v>0.17843740500000002</v>
      </c>
      <c r="D24">
        <f t="shared" si="1"/>
        <v>-2.6068706533412311E-2</v>
      </c>
      <c r="E24">
        <v>24</v>
      </c>
      <c r="G24">
        <f t="shared" si="2"/>
        <v>0.1570674983</v>
      </c>
      <c r="H24">
        <f t="shared" si="3"/>
        <v>0.36218197435741717</v>
      </c>
    </row>
    <row r="25" spans="1:8" x14ac:dyDescent="0.35">
      <c r="A25">
        <v>25</v>
      </c>
      <c r="C25">
        <f t="shared" si="0"/>
        <v>0.1791384318</v>
      </c>
      <c r="D25">
        <f t="shared" si="1"/>
        <v>-2.5500326043155802E-2</v>
      </c>
      <c r="E25">
        <v>25</v>
      </c>
      <c r="G25">
        <f t="shared" si="2"/>
        <v>0.15823308819999998</v>
      </c>
      <c r="H25">
        <f t="shared" si="3"/>
        <v>0.36308256556694374</v>
      </c>
    </row>
    <row r="26" spans="1:8" x14ac:dyDescent="0.35">
      <c r="A26">
        <v>26</v>
      </c>
      <c r="C26">
        <f t="shared" si="0"/>
        <v>0.1798394586</v>
      </c>
      <c r="D26">
        <f t="shared" si="1"/>
        <v>-2.4941545565863588E-2</v>
      </c>
      <c r="E26">
        <v>26</v>
      </c>
      <c r="G26">
        <f t="shared" si="2"/>
        <v>0.1593986781</v>
      </c>
      <c r="H26">
        <f t="shared" si="3"/>
        <v>0.36400961402952792</v>
      </c>
    </row>
    <row r="27" spans="1:8" x14ac:dyDescent="0.35">
      <c r="A27">
        <v>27</v>
      </c>
      <c r="C27">
        <f t="shared" si="0"/>
        <v>0.18054048540000001</v>
      </c>
      <c r="D27">
        <f t="shared" si="1"/>
        <v>-2.4392345111086067E-2</v>
      </c>
      <c r="E27">
        <v>27</v>
      </c>
      <c r="G27">
        <f t="shared" si="2"/>
        <v>0.16056426799999998</v>
      </c>
      <c r="H27">
        <f t="shared" si="3"/>
        <v>0.36496321237508933</v>
      </c>
    </row>
    <row r="28" spans="1:8" x14ac:dyDescent="0.35">
      <c r="A28">
        <v>28</v>
      </c>
      <c r="C28">
        <f t="shared" si="0"/>
        <v>0.18124151220000001</v>
      </c>
      <c r="D28">
        <f t="shared" si="1"/>
        <v>-2.3852703403239334E-2</v>
      </c>
      <c r="E28">
        <v>28</v>
      </c>
      <c r="G28">
        <f t="shared" si="2"/>
        <v>0.1617298579</v>
      </c>
      <c r="H28">
        <f t="shared" si="3"/>
        <v>0.36594344328694361</v>
      </c>
    </row>
    <row r="29" spans="1:8" x14ac:dyDescent="0.35">
      <c r="A29">
        <v>29</v>
      </c>
      <c r="C29">
        <f t="shared" si="0"/>
        <v>0.18194253900000001</v>
      </c>
      <c r="D29">
        <f t="shared" si="1"/>
        <v>-2.3322597896275915E-2</v>
      </c>
      <c r="E29">
        <v>29</v>
      </c>
      <c r="G29">
        <f t="shared" si="2"/>
        <v>0.16289544779999998</v>
      </c>
      <c r="H29">
        <f t="shared" si="3"/>
        <v>0.36695037934240671</v>
      </c>
    </row>
    <row r="30" spans="1:8" x14ac:dyDescent="0.35">
      <c r="A30">
        <v>30</v>
      </c>
      <c r="C30">
        <f t="shared" si="0"/>
        <v>0.18264356580000002</v>
      </c>
      <c r="D30">
        <f t="shared" si="1"/>
        <v>-2.280200478915187E-2</v>
      </c>
      <c r="E30">
        <v>30</v>
      </c>
      <c r="G30">
        <f t="shared" si="2"/>
        <v>0.1640610377</v>
      </c>
      <c r="H30">
        <f t="shared" si="3"/>
        <v>0.36798408287196738</v>
      </c>
    </row>
    <row r="31" spans="1:8" x14ac:dyDescent="0.35">
      <c r="A31">
        <v>31</v>
      </c>
      <c r="C31">
        <f t="shared" si="0"/>
        <v>0.18334459260000002</v>
      </c>
      <c r="D31">
        <f t="shared" si="1"/>
        <v>-2.2290899042065188E-2</v>
      </c>
      <c r="E31">
        <v>31</v>
      </c>
      <c r="G31">
        <f t="shared" si="2"/>
        <v>0.16522662759999998</v>
      </c>
      <c r="H31">
        <f t="shared" si="3"/>
        <v>0.36904460583765764</v>
      </c>
    </row>
    <row r="32" spans="1:8" x14ac:dyDescent="0.35">
      <c r="A32">
        <v>32</v>
      </c>
      <c r="C32">
        <f t="shared" si="0"/>
        <v>0.1840456194</v>
      </c>
      <c r="D32">
        <f t="shared" si="1"/>
        <v>-2.1789254393441371E-2</v>
      </c>
      <c r="E32">
        <v>32</v>
      </c>
      <c r="G32">
        <f t="shared" si="2"/>
        <v>0.16639221749999999</v>
      </c>
      <c r="H32">
        <f t="shared" si="3"/>
        <v>0.37013198973117356</v>
      </c>
    </row>
    <row r="33" spans="1:8" x14ac:dyDescent="0.35">
      <c r="A33">
        <v>33</v>
      </c>
      <c r="C33">
        <f t="shared" ref="C33:C64" si="4">0.1623137886+(A33-1)*0.0007010268</f>
        <v>0.1847466462</v>
      </c>
      <c r="D33">
        <f t="shared" ref="D33:D64" si="5">0+1*C33-0.203258940507499*(1.00396825396825+(C33-0.169197096797472)^2/0.0102364050594482)^0.5</f>
        <v>-2.1297043377638852E-2</v>
      </c>
      <c r="E33">
        <v>33</v>
      </c>
      <c r="G33">
        <f t="shared" ref="G33:G64" si="6">0.1302589306+(E33-1)*0.0011655899</f>
        <v>0.16755780739999998</v>
      </c>
      <c r="H33">
        <f t="shared" ref="H33:H64" si="7">0+1*G33+0.203258940507499*(1.00396825396825+(G33-0.169197096797472)^2/0.0102364050594482)^0.5</f>
        <v>0.37124626549220718</v>
      </c>
    </row>
    <row r="34" spans="1:8" x14ac:dyDescent="0.35">
      <c r="A34">
        <v>34</v>
      </c>
      <c r="C34">
        <f t="shared" si="4"/>
        <v>0.18544767300000001</v>
      </c>
      <c r="D34">
        <f t="shared" si="5"/>
        <v>-2.0814237343347863E-2</v>
      </c>
      <c r="E34">
        <v>34</v>
      </c>
      <c r="G34">
        <f t="shared" si="6"/>
        <v>0.16872339729999999</v>
      </c>
      <c r="H34">
        <f t="shared" si="7"/>
        <v>0.37238745344736568</v>
      </c>
    </row>
    <row r="35" spans="1:8" x14ac:dyDescent="0.35">
      <c r="A35">
        <v>35</v>
      </c>
      <c r="C35">
        <f t="shared" si="4"/>
        <v>0.18614869980000001</v>
      </c>
      <c r="D35">
        <f t="shared" si="5"/>
        <v>-2.0340806472654321E-2</v>
      </c>
      <c r="E35">
        <v>35</v>
      </c>
      <c r="G35">
        <f t="shared" si="6"/>
        <v>0.16988898719999998</v>
      </c>
      <c r="H35">
        <f t="shared" si="7"/>
        <v>0.37355556326995781</v>
      </c>
    </row>
    <row r="36" spans="1:8" x14ac:dyDescent="0.35">
      <c r="A36">
        <v>36</v>
      </c>
      <c r="C36">
        <f t="shared" si="4"/>
        <v>0.18684972660000002</v>
      </c>
      <c r="D36">
        <f t="shared" si="5"/>
        <v>-1.9876719800740433E-2</v>
      </c>
      <c r="E36">
        <v>36</v>
      </c>
      <c r="G36">
        <f t="shared" si="6"/>
        <v>0.17105457709999999</v>
      </c>
      <c r="H36">
        <f t="shared" si="7"/>
        <v>0.37475059396083282</v>
      </c>
    </row>
    <row r="37" spans="1:8" x14ac:dyDescent="0.35">
      <c r="A37">
        <v>37</v>
      </c>
      <c r="C37">
        <f t="shared" si="4"/>
        <v>0.18755075340000002</v>
      </c>
      <c r="D37">
        <f t="shared" si="5"/>
        <v>-1.9421945236192756E-2</v>
      </c>
      <c r="E37">
        <v>37</v>
      </c>
      <c r="G37">
        <f t="shared" si="6"/>
        <v>0.17222016699999998</v>
      </c>
      <c r="H37">
        <f t="shared" si="7"/>
        <v>0.37597253385035978</v>
      </c>
    </row>
    <row r="38" spans="1:8" x14ac:dyDescent="0.35">
      <c r="A38">
        <v>38</v>
      </c>
      <c r="C38">
        <f t="shared" si="4"/>
        <v>0.1882517802</v>
      </c>
      <c r="D38">
        <f t="shared" si="5"/>
        <v>-1.8976449581887433E-2</v>
      </c>
      <c r="E38">
        <v>38</v>
      </c>
      <c r="G38">
        <f t="shared" si="6"/>
        <v>0.17338575689999999</v>
      </c>
      <c r="H38">
        <f t="shared" si="7"/>
        <v>0.37722136062153983</v>
      </c>
    </row>
    <row r="39" spans="1:8" x14ac:dyDescent="0.35">
      <c r="A39">
        <v>39</v>
      </c>
      <c r="C39">
        <f t="shared" si="4"/>
        <v>0.188952807</v>
      </c>
      <c r="D39">
        <f t="shared" si="5"/>
        <v>-1.8540198556422555E-2</v>
      </c>
      <c r="E39">
        <v>39</v>
      </c>
      <c r="G39">
        <f t="shared" si="6"/>
        <v>0.17455134679999998</v>
      </c>
      <c r="H39">
        <f t="shared" si="7"/>
        <v>0.37849704135414297</v>
      </c>
    </row>
    <row r="40" spans="1:8" x14ac:dyDescent="0.35">
      <c r="A40">
        <v>40</v>
      </c>
      <c r="C40">
        <f t="shared" si="4"/>
        <v>0.1896538338</v>
      </c>
      <c r="D40">
        <f t="shared" si="5"/>
        <v>-1.8113156816066983E-2</v>
      </c>
      <c r="E40">
        <v>40</v>
      </c>
      <c r="G40">
        <f t="shared" si="6"/>
        <v>0.17571693669999999</v>
      </c>
      <c r="H40">
        <f t="shared" si="7"/>
        <v>0.37979953258966698</v>
      </c>
    </row>
    <row r="41" spans="1:8" x14ac:dyDescent="0.35">
      <c r="A41">
        <v>41</v>
      </c>
      <c r="C41">
        <f t="shared" si="4"/>
        <v>0.19035486060000001</v>
      </c>
      <c r="D41">
        <f t="shared" si="5"/>
        <v>-1.7695287977194052E-2</v>
      </c>
      <c r="E41">
        <v>41</v>
      </c>
      <c r="G41">
        <f t="shared" si="6"/>
        <v>0.17688252659999998</v>
      </c>
      <c r="H41">
        <f t="shared" si="7"/>
        <v>0.38112878041681925</v>
      </c>
    </row>
    <row r="42" spans="1:8" x14ac:dyDescent="0.35">
      <c r="A42">
        <v>42</v>
      </c>
      <c r="C42">
        <f t="shared" si="4"/>
        <v>0.19105588740000001</v>
      </c>
      <c r="D42">
        <f t="shared" si="5"/>
        <v>-1.7286554639169199E-2</v>
      </c>
      <c r="E42">
        <v>42</v>
      </c>
      <c r="G42">
        <f t="shared" si="6"/>
        <v>0.17804811649999999</v>
      </c>
      <c r="H42">
        <f t="shared" si="7"/>
        <v>0.38248472057713234</v>
      </c>
    </row>
    <row r="43" spans="1:8" x14ac:dyDescent="0.35">
      <c r="A43">
        <v>43</v>
      </c>
      <c r="C43">
        <f t="shared" si="4"/>
        <v>0.19175691420000002</v>
      </c>
      <c r="D43">
        <f t="shared" si="5"/>
        <v>-1.6886918407659463E-2</v>
      </c>
      <c r="E43">
        <v>43</v>
      </c>
      <c r="G43">
        <f t="shared" si="6"/>
        <v>0.17921370639999998</v>
      </c>
      <c r="H43">
        <f t="shared" si="7"/>
        <v>0.38386727859023045</v>
      </c>
    </row>
    <row r="44" spans="1:8" x14ac:dyDescent="0.35">
      <c r="A44">
        <v>44</v>
      </c>
      <c r="C44">
        <f t="shared" si="4"/>
        <v>0.19245794100000002</v>
      </c>
      <c r="D44">
        <f t="shared" si="5"/>
        <v>-1.6496339918333602E-2</v>
      </c>
      <c r="E44">
        <v>44</v>
      </c>
      <c r="G44">
        <f t="shared" si="6"/>
        <v>0.18037929629999999</v>
      </c>
      <c r="H44">
        <f t="shared" si="7"/>
        <v>0.38527636989818431</v>
      </c>
    </row>
    <row r="45" spans="1:8" x14ac:dyDescent="0.35">
      <c r="A45">
        <v>45</v>
      </c>
      <c r="C45">
        <f t="shared" si="4"/>
        <v>0.19315896780000003</v>
      </c>
      <c r="D45">
        <f t="shared" si="5"/>
        <v>-1.611477886092047E-2</v>
      </c>
      <c r="E45">
        <v>45</v>
      </c>
      <c r="G45">
        <f t="shared" si="6"/>
        <v>0.18154488619999998</v>
      </c>
      <c r="H45">
        <f t="shared" si="7"/>
        <v>0.38671190002830469</v>
      </c>
    </row>
    <row r="46" spans="1:8" x14ac:dyDescent="0.35">
      <c r="A46">
        <v>46</v>
      </c>
      <c r="C46">
        <f t="shared" si="4"/>
        <v>0.1938599946</v>
      </c>
      <c r="D46">
        <f t="shared" si="5"/>
        <v>-1.5742194003594445E-2</v>
      </c>
      <c r="E46">
        <v>46</v>
      </c>
      <c r="G46">
        <f t="shared" si="6"/>
        <v>0.18271047609999999</v>
      </c>
      <c r="H46">
        <f t="shared" si="7"/>
        <v>0.38817376477365551</v>
      </c>
    </row>
    <row r="47" spans="1:8" x14ac:dyDescent="0.35">
      <c r="A47">
        <v>47</v>
      </c>
      <c r="C47">
        <f t="shared" si="4"/>
        <v>0.19456102140000001</v>
      </c>
      <c r="D47">
        <f t="shared" si="5"/>
        <v>-1.5378543217655694E-2</v>
      </c>
      <c r="E47">
        <v>47</v>
      </c>
      <c r="G47">
        <f t="shared" si="6"/>
        <v>0.18387606599999998</v>
      </c>
      <c r="H47">
        <f t="shared" si="7"/>
        <v>0.38966185039049228</v>
      </c>
    </row>
    <row r="48" spans="1:8" x14ac:dyDescent="0.35">
      <c r="A48">
        <v>48</v>
      </c>
      <c r="C48">
        <f t="shared" si="4"/>
        <v>0.19526204820000001</v>
      </c>
      <c r="D48">
        <f t="shared" si="5"/>
        <v>-1.5023783502474075E-2</v>
      </c>
      <c r="E48">
        <v>48</v>
      </c>
      <c r="G48">
        <f t="shared" si="6"/>
        <v>0.18504165589999999</v>
      </c>
      <c r="H48">
        <f t="shared" si="7"/>
        <v>0.39117603381177046</v>
      </c>
    </row>
    <row r="49" spans="1:8" x14ac:dyDescent="0.35">
      <c r="A49">
        <v>49</v>
      </c>
      <c r="C49">
        <f t="shared" si="4"/>
        <v>0.19596307500000001</v>
      </c>
      <c r="D49">
        <f t="shared" si="5"/>
        <v>-1.4677871010665505E-2</v>
      </c>
      <c r="E49">
        <v>49</v>
      </c>
      <c r="G49">
        <f t="shared" si="6"/>
        <v>0.18620724579999998</v>
      </c>
      <c r="H49">
        <f t="shared" si="7"/>
        <v>0.39271618287581078</v>
      </c>
    </row>
    <row r="50" spans="1:8" x14ac:dyDescent="0.35">
      <c r="A50">
        <v>50</v>
      </c>
      <c r="C50">
        <f t="shared" si="4"/>
        <v>0.19666410180000002</v>
      </c>
      <c r="D50">
        <f t="shared" si="5"/>
        <v>-1.4340761073468739E-2</v>
      </c>
      <c r="E50">
        <v>50</v>
      </c>
      <c r="G50">
        <f t="shared" si="6"/>
        <v>0.18737283569999999</v>
      </c>
      <c r="H50">
        <f t="shared" si="7"/>
        <v>0.39428215656915722</v>
      </c>
    </row>
    <row r="51" spans="1:8" x14ac:dyDescent="0.35">
      <c r="A51">
        <v>51</v>
      </c>
      <c r="C51">
        <f t="shared" si="4"/>
        <v>0.19736512859999999</v>
      </c>
      <c r="D51">
        <f t="shared" si="5"/>
        <v>-1.4012408226293321E-2</v>
      </c>
      <c r="E51">
        <v>51</v>
      </c>
      <c r="G51">
        <f t="shared" si="6"/>
        <v>0.1885384256</v>
      </c>
      <c r="H51">
        <f t="shared" si="7"/>
        <v>0.39587380528262128</v>
      </c>
    </row>
    <row r="52" spans="1:8" x14ac:dyDescent="0.35">
      <c r="A52">
        <v>52</v>
      </c>
      <c r="C52">
        <f t="shared" si="4"/>
        <v>0.1980661554</v>
      </c>
      <c r="D52">
        <f t="shared" si="5"/>
        <v>-1.3692766234407211E-2</v>
      </c>
      <c r="E52">
        <v>52</v>
      </c>
      <c r="G52">
        <f t="shared" si="6"/>
        <v>0.18970401549999999</v>
      </c>
      <c r="H52">
        <f t="shared" si="7"/>
        <v>0.39749097107946774</v>
      </c>
    </row>
    <row r="53" spans="1:8" x14ac:dyDescent="0.35">
      <c r="A53">
        <v>53</v>
      </c>
      <c r="C53">
        <f t="shared" si="4"/>
        <v>0.1987671822</v>
      </c>
      <c r="D53">
        <f t="shared" si="5"/>
        <v>-1.3381788118734889E-2</v>
      </c>
      <c r="E53">
        <v>53</v>
      </c>
      <c r="G53">
        <f t="shared" si="6"/>
        <v>0.19086960539999998</v>
      </c>
      <c r="H53">
        <f t="shared" si="7"/>
        <v>0.39913348797467207</v>
      </c>
    </row>
    <row r="54" spans="1:8" x14ac:dyDescent="0.35">
      <c r="A54">
        <v>54</v>
      </c>
      <c r="C54">
        <f t="shared" si="4"/>
        <v>0.19946820900000001</v>
      </c>
      <c r="D54">
        <f t="shared" si="5"/>
        <v>-1.3079426181735854E-2</v>
      </c>
      <c r="E54">
        <v>54</v>
      </c>
      <c r="G54">
        <f t="shared" si="6"/>
        <v>0.19203519529999999</v>
      </c>
      <c r="H54">
        <f t="shared" si="7"/>
        <v>0.40080118222415406</v>
      </c>
    </row>
    <row r="55" spans="1:8" x14ac:dyDescent="0.35">
      <c r="A55">
        <v>55</v>
      </c>
      <c r="C55">
        <f t="shared" si="4"/>
        <v>0.20016923580000001</v>
      </c>
      <c r="D55">
        <f t="shared" si="5"/>
        <v>-1.2785632033335798E-2</v>
      </c>
      <c r="E55">
        <v>55</v>
      </c>
      <c r="G55">
        <f t="shared" si="6"/>
        <v>0.1932007852</v>
      </c>
      <c r="H55">
        <f t="shared" si="7"/>
        <v>0.40249387262288044</v>
      </c>
    </row>
    <row r="56" spans="1:8" x14ac:dyDescent="0.35">
      <c r="A56">
        <v>56</v>
      </c>
      <c r="C56">
        <f t="shared" si="4"/>
        <v>0.20087026260000002</v>
      </c>
      <c r="D56">
        <f t="shared" si="5"/>
        <v>-1.2500356616880787E-2</v>
      </c>
      <c r="E56">
        <v>56</v>
      </c>
      <c r="G56">
        <f t="shared" si="6"/>
        <v>0.19436637509999999</v>
      </c>
      <c r="H56">
        <f t="shared" si="7"/>
        <v>0.40421137081072211</v>
      </c>
    </row>
    <row r="57" spans="1:8" x14ac:dyDescent="0.35">
      <c r="A57">
        <v>57</v>
      </c>
      <c r="C57">
        <f t="shared" si="4"/>
        <v>0.20157128940000002</v>
      </c>
      <c r="D57">
        <f t="shared" si="5"/>
        <v>-1.2223550235088393E-2</v>
      </c>
      <c r="E57">
        <v>57</v>
      </c>
      <c r="G57">
        <f t="shared" si="6"/>
        <v>0.19553196499999997</v>
      </c>
      <c r="H57">
        <f t="shared" si="7"/>
        <v>0.40595348158495065</v>
      </c>
    </row>
    <row r="58" spans="1:8" x14ac:dyDescent="0.35">
      <c r="A58">
        <v>58</v>
      </c>
      <c r="C58">
        <f t="shared" si="4"/>
        <v>0.20227231620000002</v>
      </c>
      <c r="D58">
        <f t="shared" si="5"/>
        <v>-1.1955162575967432E-2</v>
      </c>
      <c r="E58">
        <v>58</v>
      </c>
      <c r="G58">
        <f t="shared" si="6"/>
        <v>0.19669755489999999</v>
      </c>
      <c r="H58">
        <f t="shared" si="7"/>
        <v>0.40772000321826424</v>
      </c>
    </row>
    <row r="59" spans="1:8" x14ac:dyDescent="0.35">
      <c r="A59">
        <v>59</v>
      </c>
      <c r="C59">
        <f t="shared" si="4"/>
        <v>0.20297334300000003</v>
      </c>
      <c r="D59">
        <f t="shared" si="5"/>
        <v>-1.1695142738681275E-2</v>
      </c>
      <c r="E59">
        <v>59</v>
      </c>
      <c r="G59">
        <f t="shared" si="6"/>
        <v>0.1978631448</v>
      </c>
      <c r="H59">
        <f t="shared" si="7"/>
        <v>0.40951072778124842</v>
      </c>
    </row>
    <row r="60" spans="1:8" x14ac:dyDescent="0.35">
      <c r="A60">
        <v>60</v>
      </c>
      <c r="C60">
        <f t="shared" si="4"/>
        <v>0.2036743698</v>
      </c>
      <c r="D60">
        <f t="shared" si="5"/>
        <v>-1.1443439259328309E-2</v>
      </c>
      <c r="E60">
        <v>60</v>
      </c>
      <c r="G60">
        <f t="shared" si="6"/>
        <v>0.19902873469999999</v>
      </c>
      <c r="H60">
        <f t="shared" si="7"/>
        <v>0.411325441468194</v>
      </c>
    </row>
    <row r="61" spans="1:8" x14ac:dyDescent="0.35">
      <c r="A61">
        <v>61</v>
      </c>
      <c r="C61">
        <f t="shared" si="4"/>
        <v>0.20437539660000001</v>
      </c>
      <c r="D61">
        <f t="shared" si="5"/>
        <v>-1.1200000136615651E-2</v>
      </c>
      <c r="E61">
        <v>61</v>
      </c>
      <c r="G61">
        <f t="shared" si="6"/>
        <v>0.20019432459999997</v>
      </c>
      <c r="H61">
        <f t="shared" si="7"/>
        <v>0.41316392492521725</v>
      </c>
    </row>
    <row r="62" spans="1:8" x14ac:dyDescent="0.35">
      <c r="A62">
        <v>62</v>
      </c>
      <c r="C62">
        <f t="shared" si="4"/>
        <v>0.20507642340000001</v>
      </c>
      <c r="D62">
        <f t="shared" si="5"/>
        <v>-1.0964772857401911E-2</v>
      </c>
      <c r="E62">
        <v>62</v>
      </c>
      <c r="G62">
        <f t="shared" si="6"/>
        <v>0.20135991449999999</v>
      </c>
      <c r="H62">
        <f t="shared" si="7"/>
        <v>0.41502595357966077</v>
      </c>
    </row>
    <row r="63" spans="1:8" x14ac:dyDescent="0.35">
      <c r="A63">
        <v>63</v>
      </c>
      <c r="C63">
        <f t="shared" si="4"/>
        <v>0.20577745020000002</v>
      </c>
      <c r="D63">
        <f t="shared" si="5"/>
        <v>-1.0737704422085659E-2</v>
      </c>
      <c r="E63">
        <v>63</v>
      </c>
      <c r="G63">
        <f t="shared" si="6"/>
        <v>0.2025255044</v>
      </c>
      <c r="H63">
        <f t="shared" si="7"/>
        <v>0.4169112979697831</v>
      </c>
    </row>
    <row r="64" spans="1:8" x14ac:dyDescent="0.35">
      <c r="A64">
        <v>64</v>
      </c>
      <c r="C64">
        <f t="shared" si="4"/>
        <v>0.20647847700000002</v>
      </c>
      <c r="D64">
        <f t="shared" si="5"/>
        <v>-1.0518741369818008E-2</v>
      </c>
      <c r="E64">
        <v>64</v>
      </c>
      <c r="G64">
        <f t="shared" si="6"/>
        <v>0.20369109429999999</v>
      </c>
      <c r="H64">
        <f t="shared" si="7"/>
        <v>0.41881972407378509</v>
      </c>
    </row>
    <row r="65" spans="1:8" x14ac:dyDescent="0.35">
      <c r="A65">
        <v>65</v>
      </c>
      <c r="C65">
        <f t="shared" ref="C65:C70" si="8">0.1623137886+(A65-1)*0.0007010268</f>
        <v>0.2071795038</v>
      </c>
      <c r="D65">
        <f t="shared" ref="D65:D70" si="9">0+1*C65-0.203258940507499*(1.00396825396825+(C65-0.169197096797472)^2/0.0102364050594482)^0.5</f>
        <v>-1.0307829803517438E-2</v>
      </c>
      <c r="E65">
        <v>65</v>
      </c>
      <c r="G65">
        <f t="shared" ref="G65:G70" si="10">0.1302589306+(E65-1)*0.0011655899</f>
        <v>0.20485668419999997</v>
      </c>
      <c r="H65">
        <f t="shared" ref="H65:H70" si="11">0+1*G65+0.203258940507499*(1.00396825396825+(G65-0.169197096797472)^2/0.0102364050594482)^0.5</f>
        <v>0.42075099363726393</v>
      </c>
    </row>
    <row r="66" spans="1:8" x14ac:dyDescent="0.35">
      <c r="A66">
        <v>66</v>
      </c>
      <c r="C66">
        <f t="shared" si="8"/>
        <v>0.2078805306</v>
      </c>
      <c r="D66">
        <f t="shared" si="9"/>
        <v>-1.0104915414666987E-2</v>
      </c>
      <c r="E66">
        <v>66</v>
      </c>
      <c r="G66">
        <f t="shared" si="10"/>
        <v>0.20602227409999999</v>
      </c>
      <c r="H66">
        <f t="shared" si="11"/>
        <v>0.42270486449822742</v>
      </c>
    </row>
    <row r="67" spans="1:8" x14ac:dyDescent="0.35">
      <c r="A67">
        <v>67</v>
      </c>
      <c r="C67">
        <f t="shared" si="8"/>
        <v>0.20858155740000001</v>
      </c>
      <c r="D67">
        <f t="shared" si="9"/>
        <v>-9.9099435078734976E-3</v>
      </c>
      <c r="E67">
        <v>67</v>
      </c>
      <c r="G67">
        <f t="shared" si="10"/>
        <v>0.207187864</v>
      </c>
      <c r="H67">
        <f t="shared" si="11"/>
        <v>0.42468109090885131</v>
      </c>
    </row>
    <row r="68" spans="1:8" x14ac:dyDescent="0.35">
      <c r="A68">
        <v>68</v>
      </c>
      <c r="C68">
        <f t="shared" si="8"/>
        <v>0.20928258420000001</v>
      </c>
      <c r="D68">
        <f t="shared" si="9"/>
        <v>-9.7228590251711988E-3</v>
      </c>
      <c r="E68">
        <v>68</v>
      </c>
      <c r="G68">
        <f t="shared" si="10"/>
        <v>0.20835345389999999</v>
      </c>
      <c r="H68">
        <f t="shared" si="11"/>
        <v>0.42667942385321067</v>
      </c>
    </row>
    <row r="69" spans="1:8" x14ac:dyDescent="0.35">
      <c r="A69">
        <v>69</v>
      </c>
      <c r="C69">
        <f t="shared" si="8"/>
        <v>0.20998361100000001</v>
      </c>
      <c r="D69">
        <f t="shared" si="9"/>
        <v>-9.5436065700509887E-3</v>
      </c>
      <c r="E69">
        <v>69</v>
      </c>
      <c r="G69">
        <f t="shared" si="10"/>
        <v>0.20951904379999997</v>
      </c>
      <c r="H69">
        <f t="shared" si="11"/>
        <v>0.42869961136026891</v>
      </c>
    </row>
    <row r="70" spans="1:8" x14ac:dyDescent="0.35">
      <c r="A70">
        <v>70</v>
      </c>
      <c r="C70">
        <f t="shared" si="8"/>
        <v>0.21068463780000002</v>
      </c>
      <c r="D70">
        <f t="shared" si="9"/>
        <v>-9.3721304311991382E-3</v>
      </c>
      <c r="E70">
        <v>70</v>
      </c>
      <c r="G70">
        <f t="shared" si="10"/>
        <v>0.21068463369999998</v>
      </c>
      <c r="H70">
        <f t="shared" si="11"/>
        <v>0.43074139881145734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EA49F-DED9-40D9-871D-1B09F06A3FE6}">
  <sheetPr codeName="XLSTAT_20220111_122120_1_HID">
    <tabColor rgb="FF007800"/>
  </sheetPr>
  <dimension ref="A1:H70"/>
  <sheetViews>
    <sheetView workbookViewId="0">
      <selection activeCell="E1" sqref="E1"/>
    </sheetView>
  </sheetViews>
  <sheetFormatPr baseColWidth="10" defaultRowHeight="14.5" x14ac:dyDescent="0.35"/>
  <sheetData>
    <row r="1" spans="1:8" x14ac:dyDescent="0.35">
      <c r="A1">
        <v>1</v>
      </c>
      <c r="C1">
        <f t="shared" ref="C1:C32" si="0">0.0935338054+(A1-1)*0.0030194809</f>
        <v>9.3533805400000003E-2</v>
      </c>
      <c r="D1">
        <f t="shared" ref="D1:D32" si="1">0+1*C1-0.161903723815366*(1.00396825396825+(C1-0.169197096797472)^2/0.990356967565873)^0.5</f>
        <v>-6.9157198391736702E-2</v>
      </c>
      <c r="E1">
        <v>1</v>
      </c>
      <c r="G1">
        <f t="shared" ref="G1:G32" si="2">0.0796895424+(E1-1)*0.0032201224</f>
        <v>7.9689542399999994E-2</v>
      </c>
      <c r="H1">
        <f t="shared" ref="H1:H32" si="3">0+1*G1+0.161903723815366*(1.00396825396825+(G1-0.169197096797472)^2/0.990356967565873)^0.5</f>
        <v>0.24256644797555771</v>
      </c>
    </row>
    <row r="2" spans="1:8" x14ac:dyDescent="0.35">
      <c r="A2">
        <v>2</v>
      </c>
      <c r="C2">
        <f t="shared" si="0"/>
        <v>9.6553286299999999E-2</v>
      </c>
      <c r="D2">
        <f t="shared" si="1"/>
        <v>-6.6101286479122903E-2</v>
      </c>
      <c r="E2">
        <v>2</v>
      </c>
      <c r="G2">
        <f t="shared" si="2"/>
        <v>8.2909664799999991E-2</v>
      </c>
      <c r="H2">
        <f t="shared" si="3"/>
        <v>0.24574056881052864</v>
      </c>
    </row>
    <row r="3" spans="1:8" x14ac:dyDescent="0.35">
      <c r="A3">
        <v>3</v>
      </c>
      <c r="C3">
        <f t="shared" si="0"/>
        <v>9.9572767200000009E-2</v>
      </c>
      <c r="D3">
        <f t="shared" si="1"/>
        <v>-6.3046850342183255E-2</v>
      </c>
      <c r="E3">
        <v>3</v>
      </c>
      <c r="G3">
        <f t="shared" si="2"/>
        <v>8.6129787199999988E-2</v>
      </c>
      <c r="H3">
        <f t="shared" si="3"/>
        <v>0.24891636261778205</v>
      </c>
    </row>
    <row r="4" spans="1:8" x14ac:dyDescent="0.35">
      <c r="A4">
        <v>4</v>
      </c>
      <c r="C4">
        <f t="shared" si="0"/>
        <v>0.10259224810000001</v>
      </c>
      <c r="D4">
        <f t="shared" si="1"/>
        <v>-5.9993890932771743E-2</v>
      </c>
      <c r="E4">
        <v>4</v>
      </c>
      <c r="G4">
        <f t="shared" si="2"/>
        <v>8.9349909599999999E-2</v>
      </c>
      <c r="H4">
        <f t="shared" si="3"/>
        <v>0.25209383076438291</v>
      </c>
    </row>
    <row r="5" spans="1:8" x14ac:dyDescent="0.35">
      <c r="A5">
        <v>5</v>
      </c>
      <c r="C5">
        <f t="shared" si="0"/>
        <v>0.105611729</v>
      </c>
      <c r="D5">
        <f t="shared" si="1"/>
        <v>-5.6942409163297666E-2</v>
      </c>
      <c r="E5">
        <v>5</v>
      </c>
      <c r="G5">
        <f t="shared" si="2"/>
        <v>9.2570031999999997E-2</v>
      </c>
      <c r="H5">
        <f t="shared" si="3"/>
        <v>0.25527297456716724</v>
      </c>
    </row>
    <row r="6" spans="1:8" x14ac:dyDescent="0.35">
      <c r="A6">
        <v>6</v>
      </c>
      <c r="C6">
        <f t="shared" si="0"/>
        <v>0.1086312099</v>
      </c>
      <c r="D6">
        <f t="shared" si="1"/>
        <v>-5.3892405906602103E-2</v>
      </c>
      <c r="E6">
        <v>6</v>
      </c>
      <c r="G6">
        <f t="shared" si="2"/>
        <v>9.5790154399999994E-2</v>
      </c>
      <c r="H6">
        <f t="shared" si="3"/>
        <v>0.25845379529254042</v>
      </c>
    </row>
    <row r="7" spans="1:8" x14ac:dyDescent="0.35">
      <c r="A7">
        <v>7</v>
      </c>
      <c r="C7">
        <f t="shared" si="0"/>
        <v>0.11165069080000001</v>
      </c>
      <c r="D7">
        <f t="shared" si="1"/>
        <v>-5.0843881995839529E-2</v>
      </c>
      <c r="E7">
        <v>7</v>
      </c>
      <c r="G7">
        <f t="shared" si="2"/>
        <v>9.9010276799999991E-2</v>
      </c>
      <c r="H7">
        <f t="shared" si="3"/>
        <v>0.26163629415628337</v>
      </c>
    </row>
    <row r="8" spans="1:8" x14ac:dyDescent="0.35">
      <c r="A8">
        <v>8</v>
      </c>
      <c r="C8">
        <f t="shared" si="0"/>
        <v>0.1146701717</v>
      </c>
      <c r="D8">
        <f t="shared" si="1"/>
        <v>-4.7796838224364799E-2</v>
      </c>
      <c r="E8">
        <v>8</v>
      </c>
      <c r="G8">
        <f t="shared" si="2"/>
        <v>0.10223039919999999</v>
      </c>
      <c r="H8">
        <f t="shared" si="3"/>
        <v>0.2648204723233657</v>
      </c>
    </row>
    <row r="9" spans="1:8" x14ac:dyDescent="0.35">
      <c r="A9">
        <v>9</v>
      </c>
      <c r="C9">
        <f t="shared" si="0"/>
        <v>0.1176896526</v>
      </c>
      <c r="D9">
        <f t="shared" si="1"/>
        <v>-4.4751275345625063E-2</v>
      </c>
      <c r="E9">
        <v>9</v>
      </c>
      <c r="G9">
        <f t="shared" si="2"/>
        <v>0.10545052159999999</v>
      </c>
      <c r="H9">
        <f t="shared" si="3"/>
        <v>0.26800633090776671</v>
      </c>
    </row>
    <row r="10" spans="1:8" x14ac:dyDescent="0.35">
      <c r="A10">
        <v>10</v>
      </c>
      <c r="C10">
        <f t="shared" si="0"/>
        <v>0.12070913350000001</v>
      </c>
      <c r="D10">
        <f t="shared" si="1"/>
        <v>-4.170719407305748E-2</v>
      </c>
      <c r="E10">
        <v>10</v>
      </c>
      <c r="G10">
        <f t="shared" si="2"/>
        <v>0.108670644</v>
      </c>
      <c r="H10">
        <f t="shared" si="3"/>
        <v>0.27119387097230402</v>
      </c>
    </row>
    <row r="11" spans="1:8" x14ac:dyDescent="0.35">
      <c r="A11">
        <v>11</v>
      </c>
      <c r="C11">
        <f t="shared" si="0"/>
        <v>0.12372861440000001</v>
      </c>
      <c r="D11">
        <f t="shared" si="1"/>
        <v>-3.866459507999194E-2</v>
      </c>
      <c r="E11">
        <v>11</v>
      </c>
      <c r="G11">
        <f t="shared" si="2"/>
        <v>0.11189076639999999</v>
      </c>
      <c r="H11">
        <f t="shared" si="3"/>
        <v>0.27438309352846918</v>
      </c>
    </row>
    <row r="12" spans="1:8" x14ac:dyDescent="0.35">
      <c r="A12">
        <v>12</v>
      </c>
      <c r="C12">
        <f t="shared" si="0"/>
        <v>0.1267480953</v>
      </c>
      <c r="D12">
        <f t="shared" si="1"/>
        <v>-3.5623478999559061E-2</v>
      </c>
      <c r="E12">
        <v>12</v>
      </c>
      <c r="G12">
        <f t="shared" si="2"/>
        <v>0.11511088879999999</v>
      </c>
      <c r="H12">
        <f t="shared" si="3"/>
        <v>0.27757399953627221</v>
      </c>
    </row>
    <row r="13" spans="1:8" x14ac:dyDescent="0.35">
      <c r="A13">
        <v>13</v>
      </c>
      <c r="C13">
        <f t="shared" si="0"/>
        <v>0.12976757620000001</v>
      </c>
      <c r="D13">
        <f t="shared" si="1"/>
        <v>-3.2583846424603907E-2</v>
      </c>
      <c r="E13">
        <v>13</v>
      </c>
      <c r="G13">
        <f t="shared" si="2"/>
        <v>0.11833101119999999</v>
      </c>
      <c r="H13">
        <f t="shared" si="3"/>
        <v>0.28076658990409259</v>
      </c>
    </row>
    <row r="14" spans="1:8" x14ac:dyDescent="0.35">
      <c r="A14">
        <v>14</v>
      </c>
      <c r="C14">
        <f t="shared" si="0"/>
        <v>0.13278705709999999</v>
      </c>
      <c r="D14">
        <f t="shared" si="1"/>
        <v>-2.9545697907605112E-2</v>
      </c>
      <c r="E14">
        <v>14</v>
      </c>
      <c r="G14">
        <f t="shared" si="2"/>
        <v>0.1215511336</v>
      </c>
      <c r="H14">
        <f t="shared" si="3"/>
        <v>0.28396086548853883</v>
      </c>
    </row>
    <row r="15" spans="1:8" x14ac:dyDescent="0.35">
      <c r="A15">
        <v>15</v>
      </c>
      <c r="C15">
        <f t="shared" si="0"/>
        <v>0.135806538</v>
      </c>
      <c r="D15">
        <f t="shared" si="1"/>
        <v>-2.6509033960599032E-2</v>
      </c>
      <c r="E15">
        <v>15</v>
      </c>
      <c r="G15">
        <f t="shared" si="2"/>
        <v>0.124771256</v>
      </c>
      <c r="H15">
        <f t="shared" si="3"/>
        <v>0.28715682709431567</v>
      </c>
    </row>
    <row r="16" spans="1:8" x14ac:dyDescent="0.35">
      <c r="A16">
        <v>16</v>
      </c>
      <c r="C16">
        <f t="shared" si="0"/>
        <v>0.13882601890000001</v>
      </c>
      <c r="D16">
        <f t="shared" si="1"/>
        <v>-2.347385505510971E-2</v>
      </c>
      <c r="E16">
        <v>16</v>
      </c>
      <c r="G16">
        <f t="shared" si="2"/>
        <v>0.12799137839999999</v>
      </c>
      <c r="H16">
        <f t="shared" si="3"/>
        <v>0.29035447547409943</v>
      </c>
    </row>
    <row r="17" spans="1:8" x14ac:dyDescent="0.35">
      <c r="A17">
        <v>17</v>
      </c>
      <c r="C17">
        <f t="shared" si="0"/>
        <v>0.1418454998</v>
      </c>
      <c r="D17">
        <f t="shared" si="1"/>
        <v>-2.0440161622084591E-2</v>
      </c>
      <c r="E17">
        <v>17</v>
      </c>
      <c r="G17">
        <f t="shared" si="2"/>
        <v>0.13121150079999999</v>
      </c>
      <c r="H17">
        <f t="shared" si="3"/>
        <v>0.29355381132842084</v>
      </c>
    </row>
    <row r="18" spans="1:8" x14ac:dyDescent="0.35">
      <c r="A18">
        <v>18</v>
      </c>
      <c r="C18">
        <f t="shared" si="0"/>
        <v>0.14486498070000001</v>
      </c>
      <c r="D18">
        <f t="shared" si="1"/>
        <v>-1.7407954051834956E-2</v>
      </c>
      <c r="E18">
        <v>18</v>
      </c>
      <c r="G18">
        <f t="shared" si="2"/>
        <v>0.13443162319999999</v>
      </c>
      <c r="H18">
        <f t="shared" si="3"/>
        <v>0.29675483530555624</v>
      </c>
    </row>
    <row r="19" spans="1:8" x14ac:dyDescent="0.35">
      <c r="A19">
        <v>19</v>
      </c>
      <c r="C19">
        <f t="shared" si="0"/>
        <v>0.14788446160000002</v>
      </c>
      <c r="D19">
        <f t="shared" si="1"/>
        <v>-1.4377232693982861E-2</v>
      </c>
      <c r="E19">
        <v>19</v>
      </c>
      <c r="G19">
        <f t="shared" si="2"/>
        <v>0.13765174559999999</v>
      </c>
      <c r="H19">
        <f t="shared" si="3"/>
        <v>0.29995754800142671</v>
      </c>
    </row>
    <row r="20" spans="1:8" x14ac:dyDescent="0.35">
      <c r="A20">
        <v>20</v>
      </c>
      <c r="C20">
        <f t="shared" si="0"/>
        <v>0.1509039425</v>
      </c>
      <c r="D20">
        <f t="shared" si="1"/>
        <v>-1.1347997857412973E-2</v>
      </c>
      <c r="E20">
        <v>20</v>
      </c>
      <c r="G20">
        <f t="shared" si="2"/>
        <v>0.14087186799999998</v>
      </c>
      <c r="H20">
        <f t="shared" si="3"/>
        <v>0.30316194995950535</v>
      </c>
    </row>
    <row r="21" spans="1:8" x14ac:dyDescent="0.35">
      <c r="A21">
        <v>21</v>
      </c>
      <c r="C21">
        <f t="shared" si="0"/>
        <v>0.15392342340000001</v>
      </c>
      <c r="D21">
        <f t="shared" si="1"/>
        <v>-8.3202498102299405E-3</v>
      </c>
      <c r="E21">
        <v>21</v>
      </c>
      <c r="G21">
        <f t="shared" si="2"/>
        <v>0.14409199039999998</v>
      </c>
      <c r="H21">
        <f t="shared" si="3"/>
        <v>0.30636804167073228</v>
      </c>
    </row>
    <row r="22" spans="1:8" x14ac:dyDescent="0.35">
      <c r="A22">
        <v>22</v>
      </c>
      <c r="C22">
        <f t="shared" si="0"/>
        <v>0.15694290430000002</v>
      </c>
      <c r="D22">
        <f t="shared" si="1"/>
        <v>-5.2939887797219254E-3</v>
      </c>
      <c r="E22">
        <v>22</v>
      </c>
      <c r="G22">
        <f t="shared" si="2"/>
        <v>0.14731211280000001</v>
      </c>
      <c r="H22">
        <f t="shared" si="3"/>
        <v>0.30957582357343849</v>
      </c>
    </row>
    <row r="23" spans="1:8" x14ac:dyDescent="0.35">
      <c r="A23">
        <v>23</v>
      </c>
      <c r="C23">
        <f t="shared" si="0"/>
        <v>0.1599623852</v>
      </c>
      <c r="D23">
        <f t="shared" si="1"/>
        <v>-2.2692149523292349E-3</v>
      </c>
      <c r="E23">
        <v>23</v>
      </c>
      <c r="G23">
        <f t="shared" si="2"/>
        <v>0.15053223519999998</v>
      </c>
      <c r="H23">
        <f t="shared" si="3"/>
        <v>0.3127852960532771</v>
      </c>
    </row>
    <row r="24" spans="1:8" x14ac:dyDescent="0.35">
      <c r="A24">
        <v>24</v>
      </c>
      <c r="C24">
        <f t="shared" si="0"/>
        <v>0.16298186609999998</v>
      </c>
      <c r="D24">
        <f t="shared" si="1"/>
        <v>7.5407152638137798E-4</v>
      </c>
      <c r="E24">
        <v>24</v>
      </c>
      <c r="G24">
        <f t="shared" si="2"/>
        <v>0.1537523576</v>
      </c>
      <c r="H24">
        <f t="shared" si="3"/>
        <v>0.31599645944316357</v>
      </c>
    </row>
    <row r="25" spans="1:8" x14ac:dyDescent="0.35">
      <c r="A25">
        <v>25</v>
      </c>
      <c r="C25">
        <f t="shared" si="0"/>
        <v>0.16600134700000002</v>
      </c>
      <c r="D25">
        <f t="shared" si="1"/>
        <v>3.7758705517367819E-3</v>
      </c>
      <c r="E25">
        <v>25</v>
      </c>
      <c r="G25">
        <f t="shared" si="2"/>
        <v>0.15697247999999997</v>
      </c>
      <c r="H25">
        <f t="shared" si="3"/>
        <v>0.31920931402322283</v>
      </c>
    </row>
    <row r="26" spans="1:8" x14ac:dyDescent="0.35">
      <c r="A26">
        <v>26</v>
      </c>
      <c r="C26">
        <f t="shared" si="0"/>
        <v>0.1690208279</v>
      </c>
      <c r="D26">
        <f t="shared" si="1"/>
        <v>6.7961820599714562E-3</v>
      </c>
      <c r="E26">
        <v>26</v>
      </c>
      <c r="G26">
        <f t="shared" si="2"/>
        <v>0.16019260239999999</v>
      </c>
      <c r="H26">
        <f t="shared" si="3"/>
        <v>0.3224238600207468</v>
      </c>
    </row>
    <row r="27" spans="1:8" x14ac:dyDescent="0.35">
      <c r="A27">
        <v>27</v>
      </c>
      <c r="C27">
        <f t="shared" si="0"/>
        <v>0.17204030879999999</v>
      </c>
      <c r="D27">
        <f t="shared" si="1"/>
        <v>9.8150060282369E-3</v>
      </c>
      <c r="E27">
        <v>27</v>
      </c>
      <c r="G27">
        <f t="shared" si="2"/>
        <v>0.16341272479999999</v>
      </c>
      <c r="H27">
        <f t="shared" si="3"/>
        <v>0.32564009761015755</v>
      </c>
    </row>
    <row r="28" spans="1:8" x14ac:dyDescent="0.35">
      <c r="A28">
        <v>28</v>
      </c>
      <c r="C28">
        <f t="shared" si="0"/>
        <v>0.17505978970000002</v>
      </c>
      <c r="D28">
        <f t="shared" si="1"/>
        <v>1.2832342474604158E-2</v>
      </c>
      <c r="E28">
        <v>28</v>
      </c>
      <c r="G28">
        <f t="shared" si="2"/>
        <v>0.16663284719999999</v>
      </c>
      <c r="H28">
        <f t="shared" si="3"/>
        <v>0.32885802691298105</v>
      </c>
    </row>
    <row r="29" spans="1:8" x14ac:dyDescent="0.35">
      <c r="A29">
        <v>29</v>
      </c>
      <c r="C29">
        <f t="shared" si="0"/>
        <v>0.17807927060000001</v>
      </c>
      <c r="D29">
        <f t="shared" si="1"/>
        <v>1.5848191458061711E-2</v>
      </c>
      <c r="E29">
        <v>29</v>
      </c>
      <c r="G29">
        <f t="shared" si="2"/>
        <v>0.16985296959999999</v>
      </c>
      <c r="H29">
        <f t="shared" si="3"/>
        <v>0.33207764799782746</v>
      </c>
    </row>
    <row r="30" spans="1:8" x14ac:dyDescent="0.35">
      <c r="A30">
        <v>30</v>
      </c>
      <c r="C30">
        <f t="shared" si="0"/>
        <v>0.18109875149999999</v>
      </c>
      <c r="D30">
        <f t="shared" si="1"/>
        <v>1.8862553078507316E-2</v>
      </c>
      <c r="E30">
        <v>30</v>
      </c>
      <c r="G30">
        <f t="shared" si="2"/>
        <v>0.17307309199999998</v>
      </c>
      <c r="H30">
        <f t="shared" si="3"/>
        <v>0.33529896088038069</v>
      </c>
    </row>
    <row r="31" spans="1:8" x14ac:dyDescent="0.35">
      <c r="A31">
        <v>31</v>
      </c>
      <c r="C31">
        <f t="shared" si="0"/>
        <v>0.1841182324</v>
      </c>
      <c r="D31">
        <f t="shared" si="1"/>
        <v>2.1875427476734155E-2</v>
      </c>
      <c r="E31">
        <v>31</v>
      </c>
      <c r="G31">
        <f t="shared" si="2"/>
        <v>0.17629321440000001</v>
      </c>
      <c r="H31">
        <f t="shared" si="3"/>
        <v>0.33852196552339608</v>
      </c>
    </row>
    <row r="32" spans="1:8" x14ac:dyDescent="0.35">
      <c r="A32">
        <v>32</v>
      </c>
      <c r="C32">
        <f t="shared" si="0"/>
        <v>0.18713771330000001</v>
      </c>
      <c r="D32">
        <f t="shared" si="1"/>
        <v>2.4886814834411491E-2</v>
      </c>
      <c r="E32">
        <v>32</v>
      </c>
      <c r="G32">
        <f t="shared" si="2"/>
        <v>0.17951333679999998</v>
      </c>
      <c r="H32">
        <f t="shared" si="3"/>
        <v>0.34174666183670604</v>
      </c>
    </row>
    <row r="33" spans="1:8" x14ac:dyDescent="0.35">
      <c r="A33">
        <v>33</v>
      </c>
      <c r="C33">
        <f t="shared" ref="C33:C64" si="4">0.0935338054+(A33-1)*0.0030194809</f>
        <v>0.19015719419999999</v>
      </c>
      <c r="D33">
        <f t="shared" ref="D33:D64" si="5">0+1*C33-0.161903723815366*(1.00396825396825+(C33-0.169197096797472)^2/0.990356967565873)^0.5</f>
        <v>2.78967153740598E-2</v>
      </c>
      <c r="E33">
        <v>33</v>
      </c>
      <c r="G33">
        <f t="shared" ref="G33:G64" si="6">0.0796895424+(E33-1)*0.0032201224</f>
        <v>0.1827334592</v>
      </c>
      <c r="H33">
        <f t="shared" ref="H33:H64" si="7">0+1*G33+0.161903723815366*(1.00396825396825+(G33-0.169197096797472)^2/0.990356967565873)^0.5</f>
        <v>0.34497304967723419</v>
      </c>
    </row>
    <row r="34" spans="1:8" x14ac:dyDescent="0.35">
      <c r="A34">
        <v>34</v>
      </c>
      <c r="C34">
        <f t="shared" si="4"/>
        <v>0.1931766751</v>
      </c>
      <c r="D34">
        <f t="shared" si="5"/>
        <v>3.090512935902015E-2</v>
      </c>
      <c r="E34">
        <v>34</v>
      </c>
      <c r="G34">
        <f t="shared" si="6"/>
        <v>0.18595358159999997</v>
      </c>
      <c r="H34">
        <f t="shared" si="7"/>
        <v>0.34820112884901744</v>
      </c>
    </row>
    <row r="35" spans="1:8" x14ac:dyDescent="0.35">
      <c r="A35">
        <v>35</v>
      </c>
      <c r="C35">
        <f t="shared" si="4"/>
        <v>0.19619615600000001</v>
      </c>
      <c r="D35">
        <f t="shared" si="5"/>
        <v>3.3912057093417991E-2</v>
      </c>
      <c r="E35">
        <v>35</v>
      </c>
      <c r="G35">
        <f t="shared" si="6"/>
        <v>0.189173704</v>
      </c>
      <c r="H35">
        <f t="shared" si="7"/>
        <v>0.35143089910323744</v>
      </c>
    </row>
    <row r="36" spans="1:8" x14ac:dyDescent="0.35">
      <c r="A36">
        <v>36</v>
      </c>
      <c r="C36">
        <f t="shared" si="4"/>
        <v>0.19921563689999999</v>
      </c>
      <c r="D36">
        <f t="shared" si="5"/>
        <v>3.6917498922121345E-2</v>
      </c>
      <c r="E36">
        <v>36</v>
      </c>
      <c r="G36">
        <f t="shared" si="6"/>
        <v>0.1923938264</v>
      </c>
      <c r="H36">
        <f t="shared" si="7"/>
        <v>0.35466236013825858</v>
      </c>
    </row>
    <row r="37" spans="1:8" x14ac:dyDescent="0.35">
      <c r="A37">
        <v>37</v>
      </c>
      <c r="C37">
        <f t="shared" si="4"/>
        <v>0.2022351178</v>
      </c>
      <c r="D37">
        <f t="shared" si="5"/>
        <v>3.9921455230693625E-2</v>
      </c>
      <c r="E37">
        <v>37</v>
      </c>
      <c r="G37">
        <f t="shared" si="6"/>
        <v>0.19561394879999999</v>
      </c>
      <c r="H37">
        <f t="shared" si="7"/>
        <v>0.3578955115996757</v>
      </c>
    </row>
    <row r="38" spans="1:8" x14ac:dyDescent="0.35">
      <c r="A38">
        <v>38</v>
      </c>
      <c r="C38">
        <f t="shared" si="4"/>
        <v>0.20525459870000001</v>
      </c>
      <c r="D38">
        <f t="shared" si="5"/>
        <v>4.2923926445340793E-2</v>
      </c>
      <c r="E38">
        <v>38</v>
      </c>
      <c r="G38">
        <f t="shared" si="6"/>
        <v>0.19883407119999999</v>
      </c>
      <c r="H38">
        <f t="shared" si="7"/>
        <v>0.36113035308036895</v>
      </c>
    </row>
    <row r="39" spans="1:8" x14ac:dyDescent="0.35">
      <c r="A39">
        <v>39</v>
      </c>
      <c r="C39">
        <f t="shared" si="4"/>
        <v>0.20827407959999999</v>
      </c>
      <c r="D39">
        <f t="shared" si="5"/>
        <v>4.592491303285251E-2</v>
      </c>
      <c r="E39">
        <v>39</v>
      </c>
      <c r="G39">
        <f t="shared" si="6"/>
        <v>0.20205419359999999</v>
      </c>
      <c r="H39">
        <f t="shared" si="7"/>
        <v>0.36436688412056795</v>
      </c>
    </row>
    <row r="40" spans="1:8" x14ac:dyDescent="0.35">
      <c r="A40">
        <v>40</v>
      </c>
      <c r="C40">
        <f t="shared" si="4"/>
        <v>0.2112935605</v>
      </c>
      <c r="D40">
        <f t="shared" si="5"/>
        <v>4.8924415500538748E-2</v>
      </c>
      <c r="E40">
        <v>40</v>
      </c>
      <c r="G40">
        <f t="shared" si="6"/>
        <v>0.20527431600000001</v>
      </c>
      <c r="H40">
        <f t="shared" si="7"/>
        <v>0.36760510420792303</v>
      </c>
    </row>
    <row r="41" spans="1:8" x14ac:dyDescent="0.35">
      <c r="A41">
        <v>41</v>
      </c>
      <c r="C41">
        <f t="shared" si="4"/>
        <v>0.21431304140000002</v>
      </c>
      <c r="D41">
        <f t="shared" si="5"/>
        <v>5.1922434396160039E-2</v>
      </c>
      <c r="E41">
        <v>41</v>
      </c>
      <c r="G41">
        <f t="shared" si="6"/>
        <v>0.20849443839999998</v>
      </c>
      <c r="H41">
        <f t="shared" si="7"/>
        <v>0.37084501277758525</v>
      </c>
    </row>
    <row r="42" spans="1:8" x14ac:dyDescent="0.35">
      <c r="A42">
        <v>42</v>
      </c>
      <c r="C42">
        <f t="shared" si="4"/>
        <v>0.2173325223</v>
      </c>
      <c r="D42">
        <f t="shared" si="5"/>
        <v>5.4918970307852533E-2</v>
      </c>
      <c r="E42">
        <v>42</v>
      </c>
      <c r="G42">
        <f t="shared" si="6"/>
        <v>0.21171456080000001</v>
      </c>
      <c r="H42">
        <f t="shared" si="7"/>
        <v>0.37408660921229459</v>
      </c>
    </row>
    <row r="43" spans="1:8" x14ac:dyDescent="0.35">
      <c r="A43">
        <v>43</v>
      </c>
      <c r="C43">
        <f t="shared" si="4"/>
        <v>0.22035200320000001</v>
      </c>
      <c r="D43">
        <f t="shared" si="5"/>
        <v>5.7914023864047842E-2</v>
      </c>
      <c r="E43">
        <v>43</v>
      </c>
      <c r="G43">
        <f t="shared" si="6"/>
        <v>0.21493468319999998</v>
      </c>
      <c r="H43">
        <f t="shared" si="7"/>
        <v>0.37732989284247559</v>
      </c>
    </row>
    <row r="44" spans="1:8" x14ac:dyDescent="0.35">
      <c r="A44">
        <v>44</v>
      </c>
      <c r="C44">
        <f t="shared" si="4"/>
        <v>0.22337148410000002</v>
      </c>
      <c r="D44">
        <f t="shared" si="5"/>
        <v>6.0907595733386943E-2</v>
      </c>
      <c r="E44">
        <v>44</v>
      </c>
      <c r="G44">
        <f t="shared" si="6"/>
        <v>0.2181548056</v>
      </c>
      <c r="H44">
        <f t="shared" si="7"/>
        <v>0.38057486294634219</v>
      </c>
    </row>
    <row r="45" spans="1:8" x14ac:dyDescent="0.35">
      <c r="A45">
        <v>45</v>
      </c>
      <c r="C45">
        <f t="shared" si="4"/>
        <v>0.226390965</v>
      </c>
      <c r="D45">
        <f t="shared" si="5"/>
        <v>6.3899686624629137E-2</v>
      </c>
      <c r="E45">
        <v>45</v>
      </c>
      <c r="G45">
        <f t="shared" si="6"/>
        <v>0.22137492799999997</v>
      </c>
      <c r="H45">
        <f t="shared" si="7"/>
        <v>0.38382151875000908</v>
      </c>
    </row>
    <row r="46" spans="1:8" x14ac:dyDescent="0.35">
      <c r="A46">
        <v>46</v>
      </c>
      <c r="C46">
        <f t="shared" si="4"/>
        <v>0.22941044590000001</v>
      </c>
      <c r="D46">
        <f t="shared" si="5"/>
        <v>6.6890297286555545E-2</v>
      </c>
      <c r="E46">
        <v>46</v>
      </c>
      <c r="G46">
        <f t="shared" si="6"/>
        <v>0.2245950504</v>
      </c>
      <c r="H46">
        <f t="shared" si="7"/>
        <v>0.38706985942761268</v>
      </c>
    </row>
    <row r="47" spans="1:8" x14ac:dyDescent="0.35">
      <c r="A47">
        <v>47</v>
      </c>
      <c r="C47">
        <f t="shared" si="4"/>
        <v>0.23242992679999999</v>
      </c>
      <c r="D47">
        <f t="shared" si="5"/>
        <v>6.9879428507866936E-2</v>
      </c>
      <c r="E47">
        <v>47</v>
      </c>
      <c r="G47">
        <f t="shared" si="6"/>
        <v>0.22781517279999997</v>
      </c>
      <c r="H47">
        <f t="shared" si="7"/>
        <v>0.39031988410143847</v>
      </c>
    </row>
    <row r="48" spans="1:8" x14ac:dyDescent="0.35">
      <c r="A48">
        <v>48</v>
      </c>
      <c r="C48">
        <f t="shared" si="4"/>
        <v>0.2354494077</v>
      </c>
      <c r="D48">
        <f t="shared" si="5"/>
        <v>7.2867081117076904E-2</v>
      </c>
      <c r="E48">
        <v>48</v>
      </c>
      <c r="G48">
        <f t="shared" si="6"/>
        <v>0.23103529519999999</v>
      </c>
      <c r="H48">
        <f t="shared" si="7"/>
        <v>0.39357159184205759</v>
      </c>
    </row>
    <row r="49" spans="1:8" x14ac:dyDescent="0.35">
      <c r="A49">
        <v>49</v>
      </c>
      <c r="C49">
        <f t="shared" si="4"/>
        <v>0.23846888860000001</v>
      </c>
      <c r="D49">
        <f t="shared" si="5"/>
        <v>7.585325598239881E-2</v>
      </c>
      <c r="E49">
        <v>49</v>
      </c>
      <c r="G49">
        <f t="shared" si="6"/>
        <v>0.23425541759999996</v>
      </c>
      <c r="H49">
        <f t="shared" si="7"/>
        <v>0.39682498166847002</v>
      </c>
    </row>
    <row r="50" spans="1:8" x14ac:dyDescent="0.35">
      <c r="A50">
        <v>50</v>
      </c>
      <c r="C50">
        <f t="shared" si="4"/>
        <v>0.24148836949999999</v>
      </c>
      <c r="D50">
        <f t="shared" si="5"/>
        <v>7.8837954011628492E-2</v>
      </c>
      <c r="E50">
        <v>50</v>
      </c>
      <c r="G50">
        <f t="shared" si="6"/>
        <v>0.23747553999999998</v>
      </c>
      <c r="H50">
        <f t="shared" si="7"/>
        <v>0.40008005254825685</v>
      </c>
    </row>
    <row r="51" spans="1:8" x14ac:dyDescent="0.35">
      <c r="A51">
        <v>51</v>
      </c>
      <c r="C51">
        <f t="shared" si="4"/>
        <v>0.2445078504</v>
      </c>
      <c r="D51">
        <f t="shared" si="5"/>
        <v>8.1821176152021197E-2</v>
      </c>
      <c r="E51">
        <v>51</v>
      </c>
      <c r="G51">
        <f t="shared" si="6"/>
        <v>0.24069566240000001</v>
      </c>
      <c r="H51">
        <f t="shared" si="7"/>
        <v>0.4033368033977392</v>
      </c>
    </row>
    <row r="52" spans="1:8" x14ac:dyDescent="0.35">
      <c r="A52">
        <v>52</v>
      </c>
      <c r="C52">
        <f t="shared" si="4"/>
        <v>0.24752733130000001</v>
      </c>
      <c r="D52">
        <f t="shared" si="5"/>
        <v>8.4802923390163321E-2</v>
      </c>
      <c r="E52">
        <v>52</v>
      </c>
      <c r="G52">
        <f t="shared" si="6"/>
        <v>0.24391578479999998</v>
      </c>
      <c r="H52">
        <f t="shared" si="7"/>
        <v>0.40659523308214507</v>
      </c>
    </row>
    <row r="53" spans="1:8" x14ac:dyDescent="0.35">
      <c r="A53">
        <v>53</v>
      </c>
      <c r="C53">
        <f t="shared" si="4"/>
        <v>0.25054681219999997</v>
      </c>
      <c r="D53">
        <f t="shared" si="5"/>
        <v>8.7783196751839265E-2</v>
      </c>
      <c r="E53">
        <v>53</v>
      </c>
      <c r="G53">
        <f t="shared" si="6"/>
        <v>0.2471359072</v>
      </c>
      <c r="H53">
        <f t="shared" si="7"/>
        <v>0.40985534041578453</v>
      </c>
    </row>
    <row r="54" spans="1:8" x14ac:dyDescent="0.35">
      <c r="A54">
        <v>54</v>
      </c>
      <c r="C54">
        <f t="shared" si="4"/>
        <v>0.25356629310000001</v>
      </c>
      <c r="D54">
        <f t="shared" si="5"/>
        <v>9.0761997301893382E-2</v>
      </c>
      <c r="E54">
        <v>54</v>
      </c>
      <c r="G54">
        <f t="shared" si="6"/>
        <v>0.25035602959999997</v>
      </c>
      <c r="H54">
        <f t="shared" si="7"/>
        <v>0.41311712416223123</v>
      </c>
    </row>
    <row r="55" spans="1:8" x14ac:dyDescent="0.35">
      <c r="A55">
        <v>55</v>
      </c>
      <c r="C55">
        <f t="shared" si="4"/>
        <v>0.25658577400000004</v>
      </c>
      <c r="D55">
        <f t="shared" si="5"/>
        <v>9.3739326144086033E-2</v>
      </c>
      <c r="E55">
        <v>55</v>
      </c>
      <c r="G55">
        <f t="shared" si="6"/>
        <v>0.253576152</v>
      </c>
      <c r="H55">
        <f t="shared" si="7"/>
        <v>0.41638058303451275</v>
      </c>
    </row>
    <row r="56" spans="1:8" x14ac:dyDescent="0.35">
      <c r="A56">
        <v>56</v>
      </c>
      <c r="C56">
        <f t="shared" si="4"/>
        <v>0.25960525489999997</v>
      </c>
      <c r="D56">
        <f t="shared" si="5"/>
        <v>9.6715184420945621E-2</v>
      </c>
      <c r="E56">
        <v>56</v>
      </c>
      <c r="G56">
        <f t="shared" si="6"/>
        <v>0.25679627439999997</v>
      </c>
      <c r="H56">
        <f t="shared" si="7"/>
        <v>0.41964571569530695</v>
      </c>
    </row>
    <row r="57" spans="1:8" x14ac:dyDescent="0.35">
      <c r="A57">
        <v>57</v>
      </c>
      <c r="C57">
        <f t="shared" si="4"/>
        <v>0.26262473580000001</v>
      </c>
      <c r="D57">
        <f t="shared" si="5"/>
        <v>9.9689573313615498E-2</v>
      </c>
      <c r="E57">
        <v>57</v>
      </c>
      <c r="G57">
        <f t="shared" si="6"/>
        <v>0.26001639679999999</v>
      </c>
      <c r="H57">
        <f t="shared" si="7"/>
        <v>0.42291252075714725</v>
      </c>
    </row>
    <row r="58" spans="1:8" x14ac:dyDescent="0.35">
      <c r="A58">
        <v>58</v>
      </c>
      <c r="C58">
        <f t="shared" si="4"/>
        <v>0.26564421670000005</v>
      </c>
      <c r="D58">
        <f t="shared" si="5"/>
        <v>0.10266249404169514</v>
      </c>
      <c r="E58">
        <v>58</v>
      </c>
      <c r="G58">
        <f t="shared" si="6"/>
        <v>0.26323651919999996</v>
      </c>
      <c r="H58">
        <f t="shared" si="7"/>
        <v>0.42618099678263321</v>
      </c>
    </row>
    <row r="59" spans="1:8" x14ac:dyDescent="0.35">
      <c r="A59">
        <v>59</v>
      </c>
      <c r="C59">
        <f t="shared" si="4"/>
        <v>0.26866369759999997</v>
      </c>
      <c r="D59">
        <f t="shared" si="5"/>
        <v>0.10563394786307753</v>
      </c>
      <c r="E59">
        <v>59</v>
      </c>
      <c r="G59">
        <f t="shared" si="6"/>
        <v>0.26645664159999999</v>
      </c>
      <c r="H59">
        <f t="shared" si="7"/>
        <v>0.42945114228465098</v>
      </c>
    </row>
    <row r="60" spans="1:8" x14ac:dyDescent="0.35">
      <c r="A60">
        <v>60</v>
      </c>
      <c r="C60">
        <f t="shared" si="4"/>
        <v>0.27168317850000001</v>
      </c>
      <c r="D60">
        <f t="shared" si="5"/>
        <v>0.10860393607378144</v>
      </c>
      <c r="E60">
        <v>60</v>
      </c>
      <c r="G60">
        <f t="shared" si="6"/>
        <v>0.26967676400000001</v>
      </c>
      <c r="H60">
        <f t="shared" si="7"/>
        <v>0.4327229557265978</v>
      </c>
    </row>
    <row r="61" spans="1:8" x14ac:dyDescent="0.35">
      <c r="A61">
        <v>61</v>
      </c>
      <c r="C61">
        <f t="shared" si="4"/>
        <v>0.27470265939999999</v>
      </c>
      <c r="D61">
        <f t="shared" si="5"/>
        <v>0.11157246000777823</v>
      </c>
      <c r="E61">
        <v>61</v>
      </c>
      <c r="G61">
        <f t="shared" si="6"/>
        <v>0.27289688639999998</v>
      </c>
      <c r="H61">
        <f t="shared" si="7"/>
        <v>0.43599643552261619</v>
      </c>
    </row>
    <row r="62" spans="1:8" x14ac:dyDescent="0.35">
      <c r="A62">
        <v>62</v>
      </c>
      <c r="C62">
        <f t="shared" si="4"/>
        <v>0.27772214029999998</v>
      </c>
      <c r="D62">
        <f t="shared" si="5"/>
        <v>0.11453952103681514</v>
      </c>
      <c r="E62">
        <v>62</v>
      </c>
      <c r="G62">
        <f t="shared" si="6"/>
        <v>0.27611700880000001</v>
      </c>
      <c r="H62">
        <f t="shared" si="7"/>
        <v>0.43927158003783351</v>
      </c>
    </row>
    <row r="63" spans="1:8" x14ac:dyDescent="0.35">
      <c r="A63">
        <v>63</v>
      </c>
      <c r="C63">
        <f t="shared" si="4"/>
        <v>0.28074162120000001</v>
      </c>
      <c r="D63">
        <f t="shared" si="5"/>
        <v>0.11750512057023299</v>
      </c>
      <c r="E63">
        <v>63</v>
      </c>
      <c r="G63">
        <f t="shared" si="6"/>
        <v>0.27933713119999998</v>
      </c>
      <c r="H63">
        <f t="shared" si="7"/>
        <v>0.44254838758860904</v>
      </c>
    </row>
    <row r="64" spans="1:8" x14ac:dyDescent="0.35">
      <c r="A64">
        <v>64</v>
      </c>
      <c r="C64">
        <f t="shared" si="4"/>
        <v>0.2837611021</v>
      </c>
      <c r="D64">
        <f t="shared" si="5"/>
        <v>0.12046926005477976</v>
      </c>
      <c r="E64">
        <v>64</v>
      </c>
      <c r="G64">
        <f t="shared" si="6"/>
        <v>0.2825572536</v>
      </c>
      <c r="H64">
        <f t="shared" si="7"/>
        <v>0.44582685644278786</v>
      </c>
    </row>
    <row r="65" spans="1:8" x14ac:dyDescent="0.35">
      <c r="A65">
        <v>65</v>
      </c>
      <c r="C65">
        <f t="shared" ref="C65:C70" si="8">0.0935338054+(A65-1)*0.0030194809</f>
        <v>0.28678058299999998</v>
      </c>
      <c r="D65">
        <f t="shared" ref="D65:D70" si="9">0+1*C65-0.161903723815366*(1.00396825396825+(C65-0.169197096797472)^2/0.990356967565873)^0.5</f>
        <v>0.12343194097441948</v>
      </c>
      <c r="E65">
        <v>65</v>
      </c>
      <c r="G65">
        <f t="shared" ref="G65:G70" si="10">0.0796895424+(E65-1)*0.0032201224</f>
        <v>0.28577737599999997</v>
      </c>
      <c r="H65">
        <f t="shared" ref="H65:H70" si="11">0+1*G65+0.161903723815366*(1.00396825396825+(G65-0.169197096797472)^2/0.990356967565873)^0.5</f>
        <v>0.44910698481996092</v>
      </c>
    </row>
    <row r="66" spans="1:8" x14ac:dyDescent="0.35">
      <c r="A66">
        <v>66</v>
      </c>
      <c r="C66">
        <f t="shared" si="8"/>
        <v>0.28980006390000002</v>
      </c>
      <c r="D66">
        <f t="shared" si="9"/>
        <v>0.1263931648501368</v>
      </c>
      <c r="E66">
        <v>66</v>
      </c>
      <c r="G66">
        <f t="shared" si="10"/>
        <v>0.2889974984</v>
      </c>
      <c r="H66">
        <f t="shared" si="11"/>
        <v>0.45238877089173268</v>
      </c>
    </row>
    <row r="67" spans="1:8" x14ac:dyDescent="0.35">
      <c r="A67">
        <v>67</v>
      </c>
      <c r="C67">
        <f t="shared" si="8"/>
        <v>0.2928195448</v>
      </c>
      <c r="D67">
        <f t="shared" si="9"/>
        <v>0.12935293323973676</v>
      </c>
      <c r="E67">
        <v>67</v>
      </c>
      <c r="G67">
        <f t="shared" si="10"/>
        <v>0.29221762079999997</v>
      </c>
      <c r="H67">
        <f t="shared" si="11"/>
        <v>0.45567221278199427</v>
      </c>
    </row>
    <row r="68" spans="1:8" x14ac:dyDescent="0.35">
      <c r="A68">
        <v>68</v>
      </c>
      <c r="C68">
        <f t="shared" si="8"/>
        <v>0.29583902569999998</v>
      </c>
      <c r="D68">
        <f t="shared" si="9"/>
        <v>0.13231124773764077</v>
      </c>
      <c r="E68">
        <v>68</v>
      </c>
      <c r="G68">
        <f t="shared" si="10"/>
        <v>0.29543774319999999</v>
      </c>
      <c r="H68">
        <f t="shared" si="11"/>
        <v>0.45895730856720374</v>
      </c>
    </row>
    <row r="69" spans="1:8" x14ac:dyDescent="0.35">
      <c r="A69">
        <v>69</v>
      </c>
      <c r="C69">
        <f t="shared" si="8"/>
        <v>0.29885850660000002</v>
      </c>
      <c r="D69">
        <f t="shared" si="9"/>
        <v>0.135268109974678</v>
      </c>
      <c r="E69">
        <v>69</v>
      </c>
      <c r="G69">
        <f t="shared" si="10"/>
        <v>0.29865786559999996</v>
      </c>
      <c r="H69">
        <f t="shared" si="11"/>
        <v>0.4622440562766722</v>
      </c>
    </row>
    <row r="70" spans="1:8" x14ac:dyDescent="0.35">
      <c r="A70">
        <v>70</v>
      </c>
      <c r="C70">
        <f t="shared" si="8"/>
        <v>0.3018779875</v>
      </c>
      <c r="D70">
        <f t="shared" si="9"/>
        <v>0.13822352161787216</v>
      </c>
      <c r="E70">
        <v>70</v>
      </c>
      <c r="G70">
        <f t="shared" si="10"/>
        <v>0.30187798799999999</v>
      </c>
      <c r="H70">
        <f t="shared" si="11"/>
        <v>0.46553245389285713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5910F-58ED-4BF3-B8FD-9E5DCA570918}">
  <sheetPr codeName="XLSTAT_20220111_113307_1_HID">
    <tabColor rgb="FF007800"/>
  </sheetPr>
  <dimension ref="A1:H70"/>
  <sheetViews>
    <sheetView workbookViewId="0">
      <selection activeCell="E1" sqref="E1"/>
    </sheetView>
  </sheetViews>
  <sheetFormatPr baseColWidth="10" defaultRowHeight="14.5" x14ac:dyDescent="0.35"/>
  <sheetData>
    <row r="1" spans="1:8" x14ac:dyDescent="0.35">
      <c r="A1">
        <v>1</v>
      </c>
      <c r="C1">
        <f t="shared" ref="C1:C32" si="0">0.0306888007+(A1-1)*0.000251539</f>
        <v>3.0688800700000001E-2</v>
      </c>
      <c r="D1">
        <f t="shared" ref="D1:D32" si="1">0+1*C1-0.0340143123815904*(1.00396825396825+(C1-0.0347926096899919)^2/0.00367752487839109)^0.5</f>
        <v>-3.4705754420453448E-3</v>
      </c>
      <c r="E1">
        <v>1</v>
      </c>
      <c r="G1">
        <f t="shared" ref="G1:G32" si="2">0.0248386926+(E1-1)*0.0003363231</f>
        <v>2.48386926E-2</v>
      </c>
      <c r="H1">
        <f t="shared" ref="H1:H32" si="3">0+1*G1+0.0340143123815904*(1.00396825396825+(G1-0.0347926096899919)^2/0.00367752487839109)^0.5</f>
        <v>5.9374702438077034E-2</v>
      </c>
    </row>
    <row r="2" spans="1:8" x14ac:dyDescent="0.35">
      <c r="A2">
        <v>2</v>
      </c>
      <c r="C2">
        <f t="shared" si="0"/>
        <v>3.09403397E-2</v>
      </c>
      <c r="D2">
        <f t="shared" si="1"/>
        <v>-3.2098194150925324E-3</v>
      </c>
      <c r="E2">
        <v>2</v>
      </c>
      <c r="G2">
        <f t="shared" si="2"/>
        <v>2.5175015700000001E-2</v>
      </c>
      <c r="H2">
        <f t="shared" si="3"/>
        <v>5.9681031474811144E-2</v>
      </c>
    </row>
    <row r="3" spans="1:8" x14ac:dyDescent="0.35">
      <c r="A3">
        <v>3</v>
      </c>
      <c r="C3">
        <f t="shared" si="0"/>
        <v>3.1191878700000002E-2</v>
      </c>
      <c r="D3">
        <f t="shared" si="1"/>
        <v>-2.9496439410332254E-3</v>
      </c>
      <c r="E3">
        <v>3</v>
      </c>
      <c r="G3">
        <f t="shared" si="2"/>
        <v>2.5511338800000002E-2</v>
      </c>
      <c r="H3">
        <f t="shared" si="3"/>
        <v>5.9988366602492585E-2</v>
      </c>
    </row>
    <row r="4" spans="1:8" x14ac:dyDescent="0.35">
      <c r="A4">
        <v>4</v>
      </c>
      <c r="C4">
        <f t="shared" si="0"/>
        <v>3.1443417700000004E-2</v>
      </c>
      <c r="D4">
        <f t="shared" si="1"/>
        <v>-2.6900494605431105E-3</v>
      </c>
      <c r="E4">
        <v>4</v>
      </c>
      <c r="G4">
        <f t="shared" si="2"/>
        <v>2.5847661899999999E-2</v>
      </c>
      <c r="H4">
        <f t="shared" si="3"/>
        <v>6.0296710360919013E-2</v>
      </c>
    </row>
    <row r="5" spans="1:8" x14ac:dyDescent="0.35">
      <c r="A5">
        <v>5</v>
      </c>
      <c r="C5">
        <f t="shared" si="0"/>
        <v>3.1694956699999999E-2</v>
      </c>
      <c r="D5">
        <f t="shared" si="1"/>
        <v>-2.4310363850548536E-3</v>
      </c>
      <c r="E5">
        <v>5</v>
      </c>
      <c r="G5">
        <f t="shared" si="2"/>
        <v>2.6183985E-2</v>
      </c>
      <c r="H5">
        <f t="shared" si="3"/>
        <v>6.060606520963023E-2</v>
      </c>
    </row>
    <row r="6" spans="1:8" x14ac:dyDescent="0.35">
      <c r="A6">
        <v>6</v>
      </c>
      <c r="C6">
        <f t="shared" si="0"/>
        <v>3.1946495700000001E-2</v>
      </c>
      <c r="D6">
        <f t="shared" si="1"/>
        <v>-2.1726050966533669E-3</v>
      </c>
      <c r="E6">
        <v>6</v>
      </c>
      <c r="G6">
        <f t="shared" si="2"/>
        <v>2.6520308100000001E-2</v>
      </c>
      <c r="H6">
        <f t="shared" si="3"/>
        <v>6.0916433526859604E-2</v>
      </c>
    </row>
    <row r="7" spans="1:8" x14ac:dyDescent="0.35">
      <c r="A7">
        <v>7</v>
      </c>
      <c r="C7">
        <f t="shared" si="0"/>
        <v>3.2198034700000003E-2</v>
      </c>
      <c r="D7">
        <f t="shared" si="1"/>
        <v>-1.9147559479786372E-3</v>
      </c>
      <c r="E7">
        <v>7</v>
      </c>
      <c r="G7">
        <f t="shared" si="2"/>
        <v>2.6856631200000002E-2</v>
      </c>
      <c r="H7">
        <f t="shared" si="3"/>
        <v>6.1227817608514735E-2</v>
      </c>
    </row>
    <row r="8" spans="1:8" x14ac:dyDescent="0.35">
      <c r="A8">
        <v>8</v>
      </c>
      <c r="C8">
        <f t="shared" si="0"/>
        <v>3.2449573699999998E-2</v>
      </c>
      <c r="D8">
        <f t="shared" si="1"/>
        <v>-1.657489262135721E-3</v>
      </c>
      <c r="E8">
        <v>8</v>
      </c>
      <c r="G8">
        <f t="shared" si="2"/>
        <v>2.7192954299999999E-2</v>
      </c>
      <c r="H8">
        <f t="shared" si="3"/>
        <v>6.1540219667188228E-2</v>
      </c>
    </row>
    <row r="9" spans="1:8" x14ac:dyDescent="0.35">
      <c r="A9">
        <v>9</v>
      </c>
      <c r="C9">
        <f t="shared" si="0"/>
        <v>3.27011127E-2</v>
      </c>
      <c r="D9">
        <f t="shared" si="1"/>
        <v>-1.400805332612283E-3</v>
      </c>
      <c r="E9">
        <v>9</v>
      </c>
      <c r="G9">
        <f t="shared" si="2"/>
        <v>2.75292774E-2</v>
      </c>
      <c r="H9">
        <f t="shared" si="3"/>
        <v>6.1853641831199568E-2</v>
      </c>
    </row>
    <row r="10" spans="1:8" x14ac:dyDescent="0.35">
      <c r="A10">
        <v>10</v>
      </c>
      <c r="C10">
        <f t="shared" si="0"/>
        <v>3.2952651700000002E-2</v>
      </c>
      <c r="D10">
        <f t="shared" si="1"/>
        <v>-1.1447044232035727E-3</v>
      </c>
      <c r="E10">
        <v>10</v>
      </c>
      <c r="G10">
        <f t="shared" si="2"/>
        <v>2.7865600500000001E-2</v>
      </c>
      <c r="H10">
        <f t="shared" si="3"/>
        <v>6.2168086143669005E-2</v>
      </c>
    </row>
    <row r="11" spans="1:8" x14ac:dyDescent="0.35">
      <c r="A11">
        <v>11</v>
      </c>
      <c r="C11">
        <f t="shared" si="0"/>
        <v>3.3204190700000004E-2</v>
      </c>
      <c r="D11">
        <f t="shared" si="1"/>
        <v>-8.8918676794492307E-4</v>
      </c>
      <c r="E11">
        <v>11</v>
      </c>
      <c r="G11">
        <f t="shared" si="2"/>
        <v>2.8201923600000001E-2</v>
      </c>
      <c r="H11">
        <f t="shared" si="3"/>
        <v>6.2483554561624438E-2</v>
      </c>
    </row>
    <row r="12" spans="1:8" x14ac:dyDescent="0.35">
      <c r="A12">
        <v>12</v>
      </c>
      <c r="C12">
        <f t="shared" si="0"/>
        <v>3.3455729699999999E-2</v>
      </c>
      <c r="D12">
        <f t="shared" si="1"/>
        <v>-6.3425257105180488E-4</v>
      </c>
      <c r="E12">
        <v>12</v>
      </c>
      <c r="G12">
        <f t="shared" si="2"/>
        <v>2.8538246699999999E-2</v>
      </c>
      <c r="H12">
        <f t="shared" si="3"/>
        <v>6.2800048955142185E-2</v>
      </c>
    </row>
    <row r="13" spans="1:8" x14ac:dyDescent="0.35">
      <c r="A13">
        <v>13</v>
      </c>
      <c r="C13">
        <f t="shared" si="0"/>
        <v>3.3707268700000001E-2</v>
      </c>
      <c r="D13">
        <f t="shared" si="1"/>
        <v>-3.7990200686745246E-4</v>
      </c>
      <c r="E13">
        <v>13</v>
      </c>
      <c r="G13">
        <f t="shared" si="2"/>
        <v>2.88745698E-2</v>
      </c>
      <c r="H13">
        <f t="shared" si="3"/>
        <v>6.3117571106522413E-2</v>
      </c>
    </row>
    <row r="14" spans="1:8" x14ac:dyDescent="0.35">
      <c r="A14">
        <v>14</v>
      </c>
      <c r="C14">
        <f t="shared" si="0"/>
        <v>3.3958807700000003E-2</v>
      </c>
      <c r="D14">
        <f t="shared" si="1"/>
        <v>-1.2613521981819087E-4</v>
      </c>
      <c r="E14">
        <v>14</v>
      </c>
      <c r="G14">
        <f t="shared" si="2"/>
        <v>2.92108929E-2</v>
      </c>
      <c r="H14">
        <f t="shared" si="3"/>
        <v>6.3436122709500109E-2</v>
      </c>
    </row>
    <row r="15" spans="1:8" x14ac:dyDescent="0.35">
      <c r="A15">
        <v>15</v>
      </c>
      <c r="C15">
        <f t="shared" si="0"/>
        <v>3.4210346699999998E-2</v>
      </c>
      <c r="D15">
        <f t="shared" si="1"/>
        <v>1.2704767562368713E-4</v>
      </c>
      <c r="E15">
        <v>15</v>
      </c>
      <c r="G15">
        <f t="shared" si="2"/>
        <v>2.9547216000000001E-2</v>
      </c>
      <c r="H15">
        <f t="shared" si="3"/>
        <v>6.3755705368492496E-2</v>
      </c>
    </row>
    <row r="16" spans="1:8" x14ac:dyDescent="0.35">
      <c r="A16">
        <v>16</v>
      </c>
      <c r="C16">
        <f t="shared" si="0"/>
        <v>3.44618857E-2</v>
      </c>
      <c r="D16">
        <f t="shared" si="1"/>
        <v>3.7964659496931424E-4</v>
      </c>
      <c r="E16">
        <v>16</v>
      </c>
      <c r="G16">
        <f t="shared" si="2"/>
        <v>2.9883539100000002E-2</v>
      </c>
      <c r="H16">
        <f t="shared" si="3"/>
        <v>6.4076320597883485E-2</v>
      </c>
    </row>
    <row r="17" spans="1:8" x14ac:dyDescent="0.35">
      <c r="A17">
        <v>17</v>
      </c>
      <c r="C17">
        <f t="shared" si="0"/>
        <v>3.4713424700000002E-2</v>
      </c>
      <c r="D17">
        <f t="shared" si="1"/>
        <v>6.3166148373491188E-4</v>
      </c>
      <c r="E17">
        <v>17</v>
      </c>
      <c r="G17">
        <f t="shared" si="2"/>
        <v>3.0219862199999999E-2</v>
      </c>
      <c r="H17">
        <f t="shared" si="3"/>
        <v>6.4397969821346046E-2</v>
      </c>
    </row>
    <row r="18" spans="1:8" x14ac:dyDescent="0.35">
      <c r="A18">
        <v>18</v>
      </c>
      <c r="C18">
        <f t="shared" si="0"/>
        <v>3.4964963700000004E-2</v>
      </c>
      <c r="D18">
        <f t="shared" si="1"/>
        <v>8.8309231745585526E-4</v>
      </c>
      <c r="E18">
        <v>18</v>
      </c>
      <c r="G18">
        <f t="shared" si="2"/>
        <v>3.05561853E-2</v>
      </c>
      <c r="H18">
        <f t="shared" si="3"/>
        <v>6.4720654371203071E-2</v>
      </c>
    </row>
    <row r="19" spans="1:8" x14ac:dyDescent="0.35">
      <c r="A19">
        <v>19</v>
      </c>
      <c r="C19">
        <f t="shared" si="0"/>
        <v>3.5216502699999999E-2</v>
      </c>
      <c r="D19">
        <f t="shared" si="1"/>
        <v>1.1339391016928907E-3</v>
      </c>
      <c r="E19">
        <v>19</v>
      </c>
      <c r="G19">
        <f t="shared" si="2"/>
        <v>3.0892508400000001E-2</v>
      </c>
      <c r="H19">
        <f t="shared" si="3"/>
        <v>6.5044375487827558E-2</v>
      </c>
    </row>
    <row r="20" spans="1:8" x14ac:dyDescent="0.35">
      <c r="A20">
        <v>20</v>
      </c>
      <c r="C20">
        <f t="shared" si="0"/>
        <v>3.5468041700000001E-2</v>
      </c>
      <c r="D20">
        <f t="shared" si="1"/>
        <v>1.3842018720307825E-3</v>
      </c>
      <c r="E20">
        <v>20</v>
      </c>
      <c r="G20">
        <f t="shared" si="2"/>
        <v>3.1228831499999998E-2</v>
      </c>
      <c r="H20">
        <f t="shared" si="3"/>
        <v>6.5369134319082561E-2</v>
      </c>
    </row>
    <row r="21" spans="1:8" x14ac:dyDescent="0.35">
      <c r="A21">
        <v>21</v>
      </c>
      <c r="C21">
        <f t="shared" si="0"/>
        <v>3.5719580700000003E-2</v>
      </c>
      <c r="D21">
        <f t="shared" si="1"/>
        <v>1.633880694069112E-3</v>
      </c>
      <c r="E21">
        <v>21</v>
      </c>
      <c r="G21">
        <f t="shared" si="2"/>
        <v>3.1565154599999999E-2</v>
      </c>
      <c r="H21">
        <f t="shared" si="3"/>
        <v>6.5694931919801622E-2</v>
      </c>
    </row>
    <row r="22" spans="1:8" x14ac:dyDescent="0.35">
      <c r="A22">
        <v>22</v>
      </c>
      <c r="C22">
        <f t="shared" si="0"/>
        <v>3.5971119699999998E-2</v>
      </c>
      <c r="D22">
        <f t="shared" si="1"/>
        <v>1.8829756634054021E-3</v>
      </c>
      <c r="E22">
        <v>22</v>
      </c>
      <c r="G22">
        <f t="shared" si="2"/>
        <v>3.19014777E-2</v>
      </c>
      <c r="H22">
        <f t="shared" si="3"/>
        <v>6.6021769251310106E-2</v>
      </c>
    </row>
    <row r="23" spans="1:8" x14ac:dyDescent="0.35">
      <c r="A23">
        <v>23</v>
      </c>
      <c r="C23">
        <f t="shared" si="0"/>
        <v>3.62226587E-2</v>
      </c>
      <c r="D23">
        <f t="shared" si="1"/>
        <v>2.1314869056106717E-3</v>
      </c>
      <c r="E23">
        <v>23</v>
      </c>
      <c r="G23">
        <f t="shared" si="2"/>
        <v>3.2237800800000001E-2</v>
      </c>
      <c r="H23">
        <f t="shared" si="3"/>
        <v>6.6349647180988097E-2</v>
      </c>
    </row>
    <row r="24" spans="1:8" x14ac:dyDescent="0.35">
      <c r="A24">
        <v>24</v>
      </c>
      <c r="C24">
        <f t="shared" si="0"/>
        <v>3.6474197700000002E-2</v>
      </c>
      <c r="D24">
        <f t="shared" si="1"/>
        <v>2.3794145761970448E-3</v>
      </c>
      <c r="E24">
        <v>24</v>
      </c>
      <c r="G24">
        <f t="shared" si="2"/>
        <v>3.2574123900000002E-2</v>
      </c>
      <c r="H24">
        <f t="shared" si="3"/>
        <v>6.6678566481875298E-2</v>
      </c>
    </row>
    <row r="25" spans="1:8" x14ac:dyDescent="0.35">
      <c r="A25">
        <v>25</v>
      </c>
      <c r="C25">
        <f t="shared" si="0"/>
        <v>3.6725736699999997E-2</v>
      </c>
      <c r="D25">
        <f t="shared" si="1"/>
        <v>2.6267588605779491E-3</v>
      </c>
      <c r="E25">
        <v>25</v>
      </c>
      <c r="G25">
        <f t="shared" si="2"/>
        <v>3.2910447000000002E-2</v>
      </c>
      <c r="H25">
        <f t="shared" si="3"/>
        <v>6.700852783231806E-2</v>
      </c>
    </row>
    <row r="26" spans="1:8" x14ac:dyDescent="0.35">
      <c r="A26">
        <v>26</v>
      </c>
      <c r="C26">
        <f t="shared" si="0"/>
        <v>3.6977275699999999E-2</v>
      </c>
      <c r="D26">
        <f t="shared" si="1"/>
        <v>2.8735199740205219E-3</v>
      </c>
      <c r="E26">
        <v>26</v>
      </c>
      <c r="G26">
        <f t="shared" si="2"/>
        <v>3.3246770100000003E-2</v>
      </c>
      <c r="H26">
        <f t="shared" si="3"/>
        <v>6.7339531815659437E-2</v>
      </c>
    </row>
    <row r="27" spans="1:8" x14ac:dyDescent="0.35">
      <c r="A27">
        <v>27</v>
      </c>
      <c r="C27">
        <f t="shared" si="0"/>
        <v>3.7228814700000001E-2</v>
      </c>
      <c r="D27">
        <f t="shared" si="1"/>
        <v>3.1196981615904257E-3</v>
      </c>
      <c r="E27">
        <v>27</v>
      </c>
      <c r="G27">
        <f t="shared" si="2"/>
        <v>3.3583093199999997E-2</v>
      </c>
      <c r="H27">
        <f t="shared" si="3"/>
        <v>6.7671578919972081E-2</v>
      </c>
    </row>
    <row r="28" spans="1:8" x14ac:dyDescent="0.35">
      <c r="A28">
        <v>28</v>
      </c>
      <c r="C28">
        <f t="shared" si="0"/>
        <v>3.7480353700000003E-2</v>
      </c>
      <c r="D28">
        <f t="shared" si="1"/>
        <v>3.3652936980891474E-3</v>
      </c>
      <c r="E28">
        <v>28</v>
      </c>
      <c r="G28">
        <f t="shared" si="2"/>
        <v>3.3919416299999998E-2</v>
      </c>
      <c r="H28">
        <f t="shared" si="3"/>
        <v>6.8004669537834656E-2</v>
      </c>
    </row>
    <row r="29" spans="1:8" x14ac:dyDescent="0.35">
      <c r="A29">
        <v>29</v>
      </c>
      <c r="C29">
        <f t="shared" si="0"/>
        <v>3.7731892699999998E-2</v>
      </c>
      <c r="D29">
        <f t="shared" si="1"/>
        <v>3.6103068879836525E-3</v>
      </c>
      <c r="E29">
        <v>29</v>
      </c>
      <c r="G29">
        <f t="shared" si="2"/>
        <v>3.4255739399999999E-2</v>
      </c>
      <c r="H29">
        <f t="shared" si="3"/>
        <v>6.833880396615169E-2</v>
      </c>
    </row>
    <row r="30" spans="1:8" x14ac:dyDescent="0.35">
      <c r="A30">
        <v>30</v>
      </c>
      <c r="C30">
        <f t="shared" si="0"/>
        <v>3.79834317E-2</v>
      </c>
      <c r="D30">
        <f t="shared" si="1"/>
        <v>3.8547380653286348E-3</v>
      </c>
      <c r="E30">
        <v>30</v>
      </c>
      <c r="G30">
        <f t="shared" si="2"/>
        <v>3.45920625E-2</v>
      </c>
      <c r="H30">
        <f t="shared" si="3"/>
        <v>6.8673982406017353E-2</v>
      </c>
    </row>
    <row r="31" spans="1:8" x14ac:dyDescent="0.35">
      <c r="A31">
        <v>31</v>
      </c>
      <c r="C31">
        <f t="shared" si="0"/>
        <v>3.8234970700000002E-2</v>
      </c>
      <c r="D31">
        <f t="shared" si="1"/>
        <v>4.0985875936812369E-3</v>
      </c>
      <c r="E31">
        <v>31</v>
      </c>
      <c r="G31">
        <f t="shared" si="2"/>
        <v>3.49283856E-2</v>
      </c>
      <c r="H31">
        <f t="shared" si="3"/>
        <v>6.9010204962623056E-2</v>
      </c>
    </row>
    <row r="32" spans="1:8" x14ac:dyDescent="0.35">
      <c r="A32">
        <v>32</v>
      </c>
      <c r="C32">
        <f t="shared" si="0"/>
        <v>3.8486509700000004E-2</v>
      </c>
      <c r="D32">
        <f t="shared" si="1"/>
        <v>4.3418558660084025E-3</v>
      </c>
      <c r="E32">
        <v>32</v>
      </c>
      <c r="G32">
        <f t="shared" si="2"/>
        <v>3.5264708700000001E-2</v>
      </c>
      <c r="H32">
        <f t="shared" si="3"/>
        <v>6.9347471645209185E-2</v>
      </c>
    </row>
    <row r="33" spans="1:8" x14ac:dyDescent="0.35">
      <c r="A33">
        <v>33</v>
      </c>
      <c r="C33">
        <f t="shared" ref="C33:C64" si="4">0.0306888007+(A33-1)*0.000251539</f>
        <v>3.87380487E-2</v>
      </c>
      <c r="D33">
        <f t="shared" ref="D33:D64" si="5">0+1*C33-0.0340143123815904*(1.00396825396825+(C33-0.0347926096899919)^2/0.00367752487839109)^0.5</f>
        <v>4.5845433045868522E-3</v>
      </c>
      <c r="E33">
        <v>33</v>
      </c>
      <c r="G33">
        <f t="shared" ref="G33:G64" si="6">0.0248386926+(E33-1)*0.0003363231</f>
        <v>3.5601031800000002E-2</v>
      </c>
      <c r="H33">
        <f t="shared" ref="H33:H64" si="7">0+1*G33+0.0340143123815904*(1.00396825396825+(G33-0.0347926096899919)^2/0.00367752487839109)^0.5</f>
        <v>6.96857823670608E-2</v>
      </c>
    </row>
    <row r="34" spans="1:8" x14ac:dyDescent="0.35">
      <c r="A34">
        <v>34</v>
      </c>
      <c r="C34">
        <f t="shared" si="4"/>
        <v>3.8989587700000002E-2</v>
      </c>
      <c r="D34">
        <f t="shared" si="5"/>
        <v>4.8266503608958289E-3</v>
      </c>
      <c r="E34">
        <v>34</v>
      </c>
      <c r="G34">
        <f t="shared" si="6"/>
        <v>3.5937354900000003E-2</v>
      </c>
      <c r="H34">
        <f t="shared" si="7"/>
        <v>7.0025136945547461E-2</v>
      </c>
    </row>
    <row r="35" spans="1:8" x14ac:dyDescent="0.35">
      <c r="A35">
        <v>35</v>
      </c>
      <c r="C35">
        <f t="shared" si="4"/>
        <v>3.9241126700000004E-2</v>
      </c>
      <c r="D35">
        <f t="shared" si="5"/>
        <v>5.0681775155025435E-3</v>
      </c>
      <c r="E35">
        <v>35</v>
      </c>
      <c r="G35">
        <f t="shared" si="6"/>
        <v>3.6273678000000004E-2</v>
      </c>
      <c r="H35">
        <f t="shared" si="7"/>
        <v>7.0365535102207166E-2</v>
      </c>
    </row>
    <row r="36" spans="1:8" x14ac:dyDescent="0.35">
      <c r="A36">
        <v>36</v>
      </c>
      <c r="C36">
        <f t="shared" si="4"/>
        <v>3.9492665699999999E-2</v>
      </c>
      <c r="D36">
        <f t="shared" si="5"/>
        <v>5.3091252779404671E-3</v>
      </c>
      <c r="E36">
        <v>36</v>
      </c>
      <c r="G36">
        <f t="shared" si="6"/>
        <v>3.6610001099999998E-2</v>
      </c>
      <c r="H36">
        <f t="shared" si="7"/>
        <v>7.0706976462874174E-2</v>
      </c>
    </row>
    <row r="37" spans="1:8" x14ac:dyDescent="0.35">
      <c r="A37">
        <v>37</v>
      </c>
      <c r="C37">
        <f t="shared" si="4"/>
        <v>3.9744204700000001E-2</v>
      </c>
      <c r="D37">
        <f t="shared" si="5"/>
        <v>5.5494941865805933E-3</v>
      </c>
      <c r="E37">
        <v>37</v>
      </c>
      <c r="G37">
        <f t="shared" si="6"/>
        <v>3.6946324199999998E-2</v>
      </c>
      <c r="H37">
        <f t="shared" si="7"/>
        <v>7.1049460557850636E-2</v>
      </c>
    </row>
    <row r="38" spans="1:8" x14ac:dyDescent="0.35">
      <c r="A38">
        <v>38</v>
      </c>
      <c r="C38">
        <f t="shared" si="4"/>
        <v>3.9995743700000003E-2</v>
      </c>
      <c r="D38">
        <f t="shared" si="5"/>
        <v>5.7892848084956233E-3</v>
      </c>
      <c r="E38">
        <v>38</v>
      </c>
      <c r="G38">
        <f t="shared" si="6"/>
        <v>3.7282647299999999E-2</v>
      </c>
      <c r="H38">
        <f t="shared" si="7"/>
        <v>7.139298682212189E-2</v>
      </c>
    </row>
    <row r="39" spans="1:8" x14ac:dyDescent="0.35">
      <c r="A39">
        <v>39</v>
      </c>
      <c r="C39">
        <f t="shared" si="4"/>
        <v>4.0247282699999998E-2</v>
      </c>
      <c r="D39">
        <f t="shared" si="5"/>
        <v>6.0284977393172678E-3</v>
      </c>
      <c r="E39">
        <v>39</v>
      </c>
      <c r="G39">
        <f t="shared" si="6"/>
        <v>3.76189704E-2</v>
      </c>
      <c r="H39">
        <f t="shared" si="7"/>
        <v>7.173755459561508E-2</v>
      </c>
    </row>
    <row r="40" spans="1:8" x14ac:dyDescent="0.35">
      <c r="A40">
        <v>40</v>
      </c>
      <c r="C40">
        <f t="shared" si="4"/>
        <v>4.04988217E-2</v>
      </c>
      <c r="D40">
        <f t="shared" si="5"/>
        <v>6.2671336030866442E-3</v>
      </c>
      <c r="E40">
        <v>40</v>
      </c>
      <c r="G40">
        <f t="shared" si="6"/>
        <v>3.7955293500000001E-2</v>
      </c>
      <c r="H40">
        <f t="shared" si="7"/>
        <v>7.2083163123501132E-2</v>
      </c>
    </row>
    <row r="41" spans="1:8" x14ac:dyDescent="0.35">
      <c r="A41">
        <v>41</v>
      </c>
      <c r="C41">
        <f t="shared" si="4"/>
        <v>4.0750360700000002E-2</v>
      </c>
      <c r="D41">
        <f t="shared" si="5"/>
        <v>6.5051930520979503E-3</v>
      </c>
      <c r="E41">
        <v>41</v>
      </c>
      <c r="G41">
        <f t="shared" si="6"/>
        <v>3.8291616600000002E-2</v>
      </c>
      <c r="H41">
        <f t="shared" si="7"/>
        <v>7.2429811556539159E-2</v>
      </c>
    </row>
    <row r="42" spans="1:8" x14ac:dyDescent="0.35">
      <c r="A42">
        <v>42</v>
      </c>
      <c r="C42">
        <f t="shared" si="4"/>
        <v>4.1001899700000004E-2</v>
      </c>
      <c r="D42">
        <f t="shared" si="5"/>
        <v>6.7426767667354351E-3</v>
      </c>
      <c r="E42">
        <v>42</v>
      </c>
      <c r="G42">
        <f t="shared" si="6"/>
        <v>3.8627939700000002E-2</v>
      </c>
      <c r="H42">
        <f t="shared" si="7"/>
        <v>7.2777498951463709E-2</v>
      </c>
    </row>
    <row r="43" spans="1:8" x14ac:dyDescent="0.35">
      <c r="A43">
        <v>43</v>
      </c>
      <c r="C43">
        <f t="shared" si="4"/>
        <v>4.1253438699999999E-2</v>
      </c>
      <c r="D43">
        <f t="shared" si="5"/>
        <v>6.9795854553038536E-3</v>
      </c>
      <c r="E43">
        <v>43</v>
      </c>
      <c r="G43">
        <f t="shared" si="6"/>
        <v>3.8964262799999996E-2</v>
      </c>
      <c r="H43">
        <f t="shared" si="7"/>
        <v>7.3126224271413715E-2</v>
      </c>
    </row>
    <row r="44" spans="1:8" x14ac:dyDescent="0.35">
      <c r="A44">
        <v>44</v>
      </c>
      <c r="C44">
        <f t="shared" si="4"/>
        <v>4.1504977700000001E-2</v>
      </c>
      <c r="D44">
        <f t="shared" si="5"/>
        <v>7.2159198538523234E-3</v>
      </c>
      <c r="E44">
        <v>44</v>
      </c>
      <c r="G44">
        <f t="shared" si="6"/>
        <v>3.9300585900000004E-2</v>
      </c>
      <c r="H44">
        <f t="shared" si="7"/>
        <v>7.3475986386403236E-2</v>
      </c>
    </row>
    <row r="45" spans="1:8" x14ac:dyDescent="0.35">
      <c r="A45">
        <v>45</v>
      </c>
      <c r="C45">
        <f t="shared" si="4"/>
        <v>4.1756516700000003E-2</v>
      </c>
      <c r="D45">
        <f t="shared" si="5"/>
        <v>7.4516807259919077E-3</v>
      </c>
      <c r="E45">
        <v>45</v>
      </c>
      <c r="G45">
        <f t="shared" si="6"/>
        <v>3.9636908999999998E-2</v>
      </c>
      <c r="H45">
        <f t="shared" si="7"/>
        <v>7.3826784073833099E-2</v>
      </c>
    </row>
    <row r="46" spans="1:8" x14ac:dyDescent="0.35">
      <c r="A46">
        <v>46</v>
      </c>
      <c r="C46">
        <f t="shared" si="4"/>
        <v>4.2008055700000005E-2</v>
      </c>
      <c r="D46">
        <f t="shared" si="5"/>
        <v>7.6868688627068707E-3</v>
      </c>
      <c r="E46">
        <v>46</v>
      </c>
      <c r="G46">
        <f t="shared" si="6"/>
        <v>3.9973232099999999E-2</v>
      </c>
      <c r="H46">
        <f t="shared" si="7"/>
        <v>7.4178616019043339E-2</v>
      </c>
    </row>
    <row r="47" spans="1:8" x14ac:dyDescent="0.35">
      <c r="A47">
        <v>47</v>
      </c>
      <c r="C47">
        <f t="shared" si="4"/>
        <v>4.22595947E-2</v>
      </c>
      <c r="D47">
        <f t="shared" si="5"/>
        <v>7.9214850821597779E-3</v>
      </c>
      <c r="E47">
        <v>47</v>
      </c>
      <c r="G47">
        <f t="shared" si="6"/>
        <v>4.03095552E-2</v>
      </c>
      <c r="H47">
        <f t="shared" si="7"/>
        <v>7.4531480815905271E-2</v>
      </c>
    </row>
    <row r="48" spans="1:8" x14ac:dyDescent="0.35">
      <c r="A48">
        <v>48</v>
      </c>
      <c r="C48">
        <f t="shared" si="4"/>
        <v>4.2511133700000002E-2</v>
      </c>
      <c r="D48">
        <f t="shared" si="5"/>
        <v>8.1555302294904972E-3</v>
      </c>
      <c r="E48">
        <v>48</v>
      </c>
      <c r="G48">
        <f t="shared" si="6"/>
        <v>4.06458783E-2</v>
      </c>
      <c r="H48">
        <f t="shared" si="7"/>
        <v>7.4885376967453163E-2</v>
      </c>
    </row>
    <row r="49" spans="1:8" x14ac:dyDescent="0.35">
      <c r="A49">
        <v>49</v>
      </c>
      <c r="C49">
        <f t="shared" si="4"/>
        <v>4.2762672700000004E-2</v>
      </c>
      <c r="D49">
        <f t="shared" si="5"/>
        <v>8.3890051766093224E-3</v>
      </c>
      <c r="E49">
        <v>49</v>
      </c>
      <c r="G49">
        <f t="shared" si="6"/>
        <v>4.0982201400000001E-2</v>
      </c>
      <c r="H49">
        <f t="shared" si="7"/>
        <v>7.5240302886554533E-2</v>
      </c>
    </row>
    <row r="50" spans="1:8" x14ac:dyDescent="0.35">
      <c r="A50">
        <v>50</v>
      </c>
      <c r="C50">
        <f t="shared" si="4"/>
        <v>4.3014211699999999E-2</v>
      </c>
      <c r="D50">
        <f t="shared" si="5"/>
        <v>8.6219108219841994E-3</v>
      </c>
      <c r="E50">
        <v>50</v>
      </c>
      <c r="G50">
        <f t="shared" si="6"/>
        <v>4.1318524500000002E-2</v>
      </c>
      <c r="H50">
        <f t="shared" si="7"/>
        <v>7.5596256896618419E-2</v>
      </c>
    </row>
    <row r="51" spans="1:8" x14ac:dyDescent="0.35">
      <c r="A51">
        <v>51</v>
      </c>
      <c r="C51">
        <f t="shared" si="4"/>
        <v>4.3265750700000001E-2</v>
      </c>
      <c r="D51">
        <f t="shared" si="5"/>
        <v>8.8542480904222759E-3</v>
      </c>
      <c r="E51">
        <v>51</v>
      </c>
      <c r="G51">
        <f t="shared" si="6"/>
        <v>4.1654847600000003E-2</v>
      </c>
      <c r="H51">
        <f t="shared" si="7"/>
        <v>7.5953237232340876E-2</v>
      </c>
    </row>
    <row r="52" spans="1:8" x14ac:dyDescent="0.35">
      <c r="A52">
        <v>52</v>
      </c>
      <c r="C52">
        <f t="shared" si="4"/>
        <v>4.3517289700000003E-2</v>
      </c>
      <c r="D52">
        <f t="shared" si="5"/>
        <v>9.0860179328458301E-3</v>
      </c>
      <c r="E52">
        <v>52</v>
      </c>
      <c r="G52">
        <f t="shared" si="6"/>
        <v>4.1991170699999997E-2</v>
      </c>
      <c r="H52">
        <f t="shared" si="7"/>
        <v>7.631124204048706E-2</v>
      </c>
    </row>
    <row r="53" spans="1:8" x14ac:dyDescent="0.35">
      <c r="A53">
        <v>53</v>
      </c>
      <c r="C53">
        <f t="shared" si="4"/>
        <v>4.3768828699999998E-2</v>
      </c>
      <c r="D53">
        <f t="shared" si="5"/>
        <v>9.3172213260627607E-3</v>
      </c>
      <c r="E53">
        <v>53</v>
      </c>
      <c r="G53">
        <f t="shared" si="6"/>
        <v>4.2327493800000004E-2</v>
      </c>
      <c r="H53">
        <f t="shared" si="7"/>
        <v>7.6670269380709033E-2</v>
      </c>
    </row>
    <row r="54" spans="1:8" x14ac:dyDescent="0.35">
      <c r="A54">
        <v>54</v>
      </c>
      <c r="C54">
        <f t="shared" si="4"/>
        <v>4.40203677E-2</v>
      </c>
      <c r="D54">
        <f t="shared" si="5"/>
        <v>9.5478592725317321E-3</v>
      </c>
      <c r="E54">
        <v>54</v>
      </c>
      <c r="G54">
        <f t="shared" si="6"/>
        <v>4.2663816899999998E-2</v>
      </c>
      <c r="H54">
        <f t="shared" si="7"/>
        <v>7.7030317226398332E-2</v>
      </c>
    </row>
    <row r="55" spans="1:8" x14ac:dyDescent="0.35">
      <c r="A55">
        <v>55</v>
      </c>
      <c r="C55">
        <f t="shared" si="4"/>
        <v>4.4271906700000002E-2</v>
      </c>
      <c r="D55">
        <f t="shared" si="5"/>
        <v>9.7779328001220828E-3</v>
      </c>
      <c r="E55">
        <v>55</v>
      </c>
      <c r="G55">
        <f t="shared" si="6"/>
        <v>4.3000139999999999E-2</v>
      </c>
      <c r="H55">
        <f t="shared" si="7"/>
        <v>7.7391383465572755E-2</v>
      </c>
    </row>
    <row r="56" spans="1:8" x14ac:dyDescent="0.35">
      <c r="A56">
        <v>56</v>
      </c>
      <c r="C56">
        <f t="shared" si="4"/>
        <v>4.4523445699999997E-2</v>
      </c>
      <c r="D56">
        <f t="shared" si="5"/>
        <v>1.0007442961868611E-2</v>
      </c>
      <c r="E56">
        <v>56</v>
      </c>
      <c r="G56">
        <f t="shared" si="6"/>
        <v>4.33364631E-2</v>
      </c>
      <c r="H56">
        <f t="shared" si="7"/>
        <v>7.7753465901795993E-2</v>
      </c>
    </row>
    <row r="57" spans="1:8" x14ac:dyDescent="0.35">
      <c r="A57">
        <v>57</v>
      </c>
      <c r="C57">
        <f t="shared" si="4"/>
        <v>4.4774984699999999E-2</v>
      </c>
      <c r="D57">
        <f t="shared" si="5"/>
        <v>1.0236390835721566E-2</v>
      </c>
      <c r="E57">
        <v>57</v>
      </c>
      <c r="G57">
        <f t="shared" si="6"/>
        <v>4.3672786200000001E-2</v>
      </c>
      <c r="H57">
        <f t="shared" si="7"/>
        <v>7.8116562255129834E-2</v>
      </c>
    </row>
    <row r="58" spans="1:8" x14ac:dyDescent="0.35">
      <c r="A58">
        <v>58</v>
      </c>
      <c r="C58">
        <f t="shared" si="4"/>
        <v>4.5026523700000001E-2</v>
      </c>
      <c r="D58">
        <f t="shared" si="5"/>
        <v>1.0464777524291584E-2</v>
      </c>
      <c r="E58">
        <v>58</v>
      </c>
      <c r="G58">
        <f t="shared" si="6"/>
        <v>4.4009109300000002E-2</v>
      </c>
      <c r="H58">
        <f t="shared" si="7"/>
        <v>7.8480670163117411E-2</v>
      </c>
    </row>
    <row r="59" spans="1:8" x14ac:dyDescent="0.35">
      <c r="A59">
        <v>59</v>
      </c>
      <c r="C59">
        <f t="shared" si="4"/>
        <v>4.5278062700000003E-2</v>
      </c>
      <c r="D59">
        <f t="shared" si="5"/>
        <v>1.0692604154590134E-2</v>
      </c>
      <c r="E59">
        <v>59</v>
      </c>
      <c r="G59">
        <f t="shared" si="6"/>
        <v>4.4345432399999996E-2</v>
      </c>
      <c r="H59">
        <f t="shared" si="7"/>
        <v>7.8845787181796814E-2</v>
      </c>
    </row>
    <row r="60" spans="1:8" x14ac:dyDescent="0.35">
      <c r="A60">
        <v>60</v>
      </c>
      <c r="C60">
        <f t="shared" si="4"/>
        <v>4.5529601700000005E-2</v>
      </c>
      <c r="D60">
        <f t="shared" si="5"/>
        <v>1.0919871877765358E-2</v>
      </c>
      <c r="E60">
        <v>60</v>
      </c>
      <c r="G60">
        <f t="shared" si="6"/>
        <v>4.4681755500000003E-2</v>
      </c>
      <c r="H60">
        <f t="shared" si="7"/>
        <v>7.9211910786744111E-2</v>
      </c>
    </row>
    <row r="61" spans="1:8" x14ac:dyDescent="0.35">
      <c r="A61">
        <v>61</v>
      </c>
      <c r="C61">
        <f t="shared" si="4"/>
        <v>4.57811407E-2</v>
      </c>
      <c r="D61">
        <f t="shared" si="5"/>
        <v>1.1146581868833445E-2</v>
      </c>
      <c r="E61">
        <v>61</v>
      </c>
      <c r="G61">
        <f t="shared" si="6"/>
        <v>4.5018078599999997E-2</v>
      </c>
      <c r="H61">
        <f t="shared" si="7"/>
        <v>7.9579038374144651E-2</v>
      </c>
    </row>
    <row r="62" spans="1:8" x14ac:dyDescent="0.35">
      <c r="A62">
        <v>62</v>
      </c>
      <c r="C62">
        <f t="shared" si="4"/>
        <v>4.6032679700000002E-2</v>
      </c>
      <c r="D62">
        <f t="shared" si="5"/>
        <v>1.1372735326405849E-2</v>
      </c>
      <c r="E62">
        <v>62</v>
      </c>
      <c r="G62">
        <f t="shared" si="6"/>
        <v>4.5354401700000005E-2</v>
      </c>
      <c r="H62">
        <f t="shared" si="7"/>
        <v>7.9947167261891661E-2</v>
      </c>
    </row>
    <row r="63" spans="1:8" x14ac:dyDescent="0.35">
      <c r="A63">
        <v>63</v>
      </c>
      <c r="C63">
        <f t="shared" si="4"/>
        <v>4.6284218700000004E-2</v>
      </c>
      <c r="D63">
        <f t="shared" si="5"/>
        <v>1.1598333472412251E-2</v>
      </c>
      <c r="E63">
        <v>63</v>
      </c>
      <c r="G63">
        <f t="shared" si="6"/>
        <v>4.5690724799999999E-2</v>
      </c>
      <c r="H63">
        <f t="shared" si="7"/>
        <v>8.0316294690711082E-2</v>
      </c>
    </row>
    <row r="64" spans="1:8" x14ac:dyDescent="0.35">
      <c r="A64">
        <v>64</v>
      </c>
      <c r="C64">
        <f t="shared" si="4"/>
        <v>4.6535757699999999E-2</v>
      </c>
      <c r="D64">
        <f t="shared" si="5"/>
        <v>1.1823377551819662E-2</v>
      </c>
      <c r="E64">
        <v>64</v>
      </c>
      <c r="G64">
        <f t="shared" si="6"/>
        <v>4.60270479E-2</v>
      </c>
      <c r="H64">
        <f t="shared" si="7"/>
        <v>8.0686417825311829E-2</v>
      </c>
    </row>
    <row r="65" spans="1:8" x14ac:dyDescent="0.35">
      <c r="A65">
        <v>65</v>
      </c>
      <c r="C65">
        <f t="shared" ref="C65:C70" si="8">0.0306888007+(A65-1)*0.000251539</f>
        <v>4.6787296700000001E-2</v>
      </c>
      <c r="D65">
        <f t="shared" ref="D65:D70" si="9">0+1*C65-0.0340143123815904*(1.00396825396825+(C65-0.0347926096899919)^2/0.00367752487839109)^0.5</f>
        <v>1.2047868832347611E-2</v>
      </c>
      <c r="E65">
        <v>65</v>
      </c>
      <c r="G65">
        <f t="shared" ref="G65:G70" si="10">0.0248386926+(E65-1)*0.0003363231</f>
        <v>4.6363371E-2</v>
      </c>
      <c r="H65">
        <f t="shared" ref="H65:H70" si="11">0+1*G65+0.0340143123815904*(1.00396825396825+(G65-0.0347926096899919)^2/0.00367752487839109)^0.5</f>
        <v>8.1057533755559769E-2</v>
      </c>
    </row>
    <row r="66" spans="1:8" x14ac:dyDescent="0.35">
      <c r="A66">
        <v>66</v>
      </c>
      <c r="C66">
        <f t="shared" si="8"/>
        <v>4.7038835700000003E-2</v>
      </c>
      <c r="D66">
        <f t="shared" si="9"/>
        <v>1.2271808604179639E-2</v>
      </c>
      <c r="E66">
        <v>66</v>
      </c>
      <c r="G66">
        <f t="shared" si="10"/>
        <v>4.6699694100000001E-2</v>
      </c>
      <c r="H66">
        <f t="shared" si="11"/>
        <v>8.1429639497675219E-2</v>
      </c>
    </row>
    <row r="67" spans="1:8" x14ac:dyDescent="0.35">
      <c r="A67">
        <v>67</v>
      </c>
      <c r="C67">
        <f t="shared" si="8"/>
        <v>4.7290374699999999E-2</v>
      </c>
      <c r="D67">
        <f t="shared" si="9"/>
        <v>1.2495198179671256E-2</v>
      </c>
      <c r="E67">
        <v>67</v>
      </c>
      <c r="G67">
        <f t="shared" si="10"/>
        <v>4.7036017200000002E-2</v>
      </c>
      <c r="H67">
        <f t="shared" si="11"/>
        <v>8.1802731995452044E-2</v>
      </c>
    </row>
    <row r="68" spans="1:8" x14ac:dyDescent="0.35">
      <c r="A68">
        <v>68</v>
      </c>
      <c r="C68">
        <f t="shared" si="8"/>
        <v>4.7541913700000001E-2</v>
      </c>
      <c r="D68">
        <f t="shared" si="9"/>
        <v>1.2718038893054534E-2</v>
      </c>
      <c r="E68">
        <v>68</v>
      </c>
      <c r="G68">
        <f t="shared" si="10"/>
        <v>4.7372340299999996E-2</v>
      </c>
      <c r="H68">
        <f t="shared" si="11"/>
        <v>8.2176808121497774E-2</v>
      </c>
    </row>
    <row r="69" spans="1:8" x14ac:dyDescent="0.35">
      <c r="A69">
        <v>69</v>
      </c>
      <c r="C69">
        <f t="shared" si="8"/>
        <v>4.7793452700000003E-2</v>
      </c>
      <c r="D69">
        <f t="shared" si="9"/>
        <v>1.2940332100139354E-2</v>
      </c>
      <c r="E69">
        <v>69</v>
      </c>
      <c r="G69">
        <f t="shared" si="10"/>
        <v>4.7708663400000004E-2</v>
      </c>
      <c r="H69">
        <f t="shared" si="11"/>
        <v>8.2551864678493569E-2</v>
      </c>
    </row>
    <row r="70" spans="1:8" x14ac:dyDescent="0.35">
      <c r="A70">
        <v>70</v>
      </c>
      <c r="C70">
        <f t="shared" si="8"/>
        <v>4.8044991699999998E-2</v>
      </c>
      <c r="D70">
        <f t="shared" si="9"/>
        <v>1.3162079178011599E-2</v>
      </c>
      <c r="E70">
        <v>70</v>
      </c>
      <c r="G70">
        <f t="shared" si="10"/>
        <v>4.8044986499999998E-2</v>
      </c>
      <c r="H70">
        <f t="shared" si="11"/>
        <v>8.2927898400472488E-2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XLSTAT_20220111_122427_1_HID</vt:lpstr>
      <vt:lpstr>XLSTAT_20220111_122120_1_HID</vt:lpstr>
      <vt:lpstr>XLSTAT_20220111_113307_1_HID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ManipEcranTactile</dc:creator>
  <cp:lastModifiedBy>Mathilde Legrand</cp:lastModifiedBy>
  <dcterms:created xsi:type="dcterms:W3CDTF">2021-09-21T13:30:26Z</dcterms:created>
  <dcterms:modified xsi:type="dcterms:W3CDTF">2022-03-22T13:30:03Z</dcterms:modified>
</cp:coreProperties>
</file>