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"/>
    </mc:Choice>
  </mc:AlternateContent>
  <xr:revisionPtr revIDLastSave="474" documentId="13_ncr:1_{B914EDA1-77C5-461D-A00A-6846069D2950}" xr6:coauthVersionLast="47" xr6:coauthVersionMax="47" xr10:uidLastSave="{FE6071E8-12E9-4F1C-86CA-893BF4BCBF56}"/>
  <bookViews>
    <workbookView xWindow="-110" yWindow="49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  <sheet name="RT" sheetId="4" r:id="rId4"/>
    <sheet name="GNG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" i="4" l="1"/>
  <c r="L14" i="4"/>
  <c r="K14" i="4"/>
  <c r="J14" i="4"/>
  <c r="I14" i="4"/>
  <c r="H14" i="4"/>
  <c r="G14" i="4"/>
  <c r="F14" i="4"/>
  <c r="E14" i="4"/>
  <c r="D14" i="4"/>
  <c r="C14" i="4"/>
  <c r="B14" i="4"/>
  <c r="M13" i="5"/>
  <c r="L13" i="5"/>
  <c r="K13" i="5"/>
  <c r="J13" i="5"/>
  <c r="I13" i="5"/>
  <c r="H13" i="5"/>
  <c r="G13" i="5"/>
  <c r="F13" i="5"/>
  <c r="E13" i="5"/>
  <c r="D13" i="5"/>
  <c r="C13" i="5"/>
  <c r="B13" i="5"/>
  <c r="M13" i="4"/>
  <c r="L13" i="4"/>
  <c r="K13" i="4"/>
  <c r="J13" i="4"/>
  <c r="I13" i="4"/>
  <c r="H13" i="4"/>
  <c r="G13" i="4"/>
  <c r="F13" i="4"/>
  <c r="E13" i="4"/>
  <c r="D13" i="4"/>
  <c r="C13" i="4"/>
  <c r="B13" i="4"/>
  <c r="M12" i="5"/>
  <c r="L12" i="5"/>
  <c r="K12" i="5"/>
  <c r="J12" i="5"/>
  <c r="I12" i="5"/>
  <c r="H12" i="5"/>
  <c r="G12" i="5"/>
  <c r="F12" i="5"/>
  <c r="E12" i="5"/>
  <c r="D12" i="5"/>
  <c r="C12" i="5"/>
  <c r="B12" i="5"/>
  <c r="M12" i="4"/>
  <c r="L12" i="4"/>
  <c r="K12" i="4"/>
  <c r="J12" i="4"/>
  <c r="I12" i="4"/>
  <c r="H12" i="4"/>
  <c r="G12" i="4"/>
  <c r="F12" i="4"/>
  <c r="E12" i="4"/>
  <c r="D12" i="4"/>
  <c r="C12" i="4"/>
  <c r="B12" i="4"/>
  <c r="M11" i="4"/>
  <c r="L11" i="4"/>
  <c r="K11" i="4"/>
  <c r="J11" i="4"/>
  <c r="I11" i="4"/>
  <c r="H11" i="4"/>
  <c r="G11" i="4"/>
  <c r="F11" i="4"/>
  <c r="E11" i="4"/>
  <c r="D11" i="4"/>
  <c r="C11" i="4"/>
  <c r="B11" i="4"/>
  <c r="M8" i="4" l="1"/>
  <c r="L8" i="4"/>
  <c r="K8" i="4"/>
  <c r="J8" i="4"/>
  <c r="I8" i="4"/>
  <c r="H8" i="4"/>
  <c r="G8" i="4"/>
  <c r="F8" i="4"/>
  <c r="E8" i="4"/>
  <c r="D8" i="4"/>
  <c r="C8" i="4"/>
  <c r="B8" i="4"/>
  <c r="M7" i="4" l="1"/>
  <c r="L7" i="4"/>
  <c r="K7" i="4"/>
  <c r="J7" i="4"/>
  <c r="I7" i="4"/>
  <c r="H7" i="4"/>
  <c r="G7" i="4"/>
  <c r="F7" i="4"/>
  <c r="E7" i="4"/>
  <c r="D7" i="4"/>
  <c r="C7" i="4"/>
  <c r="B7" i="4"/>
  <c r="M5" i="4" l="1"/>
  <c r="L5" i="4"/>
  <c r="K5" i="4"/>
  <c r="J5" i="4"/>
  <c r="I5" i="4"/>
  <c r="H5" i="4"/>
  <c r="G5" i="4"/>
  <c r="F5" i="4"/>
  <c r="E5" i="4"/>
  <c r="D5" i="4"/>
  <c r="C5" i="4"/>
  <c r="B5" i="4"/>
  <c r="M4" i="4" l="1"/>
  <c r="L4" i="4"/>
  <c r="K4" i="4"/>
  <c r="J4" i="4"/>
  <c r="I4" i="4"/>
  <c r="H4" i="4"/>
  <c r="G4" i="4"/>
  <c r="F4" i="4"/>
  <c r="E4" i="4"/>
  <c r="D4" i="4"/>
  <c r="C4" i="4"/>
  <c r="B4" i="4"/>
  <c r="D36" i="2" l="1"/>
  <c r="D15" i="2"/>
  <c r="D12" i="2" l="1"/>
  <c r="B7" i="2" l="1"/>
  <c r="AI7" i="2"/>
  <c r="AI13" i="2" l="1"/>
  <c r="AI5" i="2"/>
  <c r="AH13" i="2"/>
  <c r="AH5" i="2"/>
  <c r="AG13" i="2"/>
  <c r="AG5" i="2"/>
  <c r="AE13" i="2"/>
  <c r="AE5" i="2"/>
  <c r="U13" i="2"/>
  <c r="T13" i="2"/>
  <c r="U5" i="2"/>
  <c r="T5" i="2"/>
  <c r="S5" i="2"/>
  <c r="V5" i="2" l="1"/>
  <c r="V13" i="2"/>
  <c r="D9" i="2" l="1"/>
  <c r="D29" i="2"/>
  <c r="D22" i="2"/>
  <c r="D27" i="2"/>
  <c r="D23" i="2"/>
  <c r="D16" i="2"/>
  <c r="D14" i="2"/>
  <c r="D34" i="2"/>
  <c r="D3" i="2"/>
  <c r="D26" i="2"/>
  <c r="D25" i="2"/>
  <c r="D32" i="2"/>
  <c r="D18" i="2"/>
  <c r="D21" i="2"/>
  <c r="D17" i="2"/>
  <c r="D2" i="2"/>
  <c r="D20" i="2"/>
  <c r="D19" i="2"/>
  <c r="D33" i="2"/>
  <c r="D28" i="2"/>
  <c r="D31" i="2"/>
  <c r="D24" i="2"/>
  <c r="D30" i="2"/>
  <c r="D8" i="2"/>
  <c r="H5" i="2" l="1"/>
  <c r="H13" i="2"/>
  <c r="C12" i="3" l="1"/>
  <c r="X5" i="3" l="1"/>
  <c r="Y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D5" i="1"/>
  <c r="E5" i="1" s="1"/>
  <c r="C5" i="1"/>
  <c r="B5" i="1"/>
  <c r="B5" i="2"/>
  <c r="D5" i="2" s="1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B13" i="2"/>
  <c r="D13" i="2" s="1"/>
  <c r="D11" i="1"/>
  <c r="C11" i="1"/>
  <c r="E11" i="1" s="1"/>
</calcChain>
</file>

<file path=xl/sharedStrings.xml><?xml version="1.0" encoding="utf-8"?>
<sst xmlns="http://schemas.openxmlformats.org/spreadsheetml/2006/main" count="298" uniqueCount="118">
  <si>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</si>
  <si>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</si>
  <si>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</si>
  <si>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</si>
  <si>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</si>
  <si>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</si>
  <si>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</si>
  <si>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</si>
  <si>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</si>
  <si>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</si>
  <si>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</si>
  <si>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</si>
  <si>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</si>
  <si>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</si>
  <si>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</si>
  <si>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</si>
  <si>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</si>
  <si>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</si>
  <si>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</si>
  <si>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</si>
  <si>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</si>
  <si>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</si>
  <si>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</si>
  <si>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</si>
  <si>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</si>
  <si>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</si>
  <si>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</si>
  <si>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</si>
  <si>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</si>
  <si>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</si>
  <si>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</si>
  <si>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</si>
  <si>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</si>
  <si>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</si>
  <si>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</si>
  <si>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</si>
  <si>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</si>
  <si>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</si>
  <si>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</si>
  <si>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</si>
  <si>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</si>
  <si>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</si>
  <si>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</si>
  <si>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</si>
  <si>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</si>
  <si>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</si>
  <si>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</si>
  <si>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</si>
  <si>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</si>
  <si>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</si>
  <si>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</si>
  <si>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</si>
  <si>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</si>
  <si>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</si>
  <si>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</si>
  <si>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</si>
  <si>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</si>
  <si>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</si>
  <si>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</si>
  <si>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</si>
  <si>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</si>
  <si>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</si>
  <si>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</si>
  <si>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</si>
  <si>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</si>
  <si>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</si>
  <si>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</si>
  <si>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</si>
  <si>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CV taplen</t>
  </si>
  <si>
    <t>TPVDN</t>
  </si>
  <si>
    <t>TPVUN</t>
  </si>
  <si>
    <t>CV Vmax normal</t>
  </si>
  <si>
    <t>Sujets</t>
  </si>
  <si>
    <t>CV TPV normal</t>
  </si>
  <si>
    <t>Motrice2</t>
  </si>
  <si>
    <t>Cognitive3</t>
  </si>
  <si>
    <t>Non-Planning4</t>
  </si>
  <si>
    <t>VMN6</t>
  </si>
  <si>
    <t>00AD</t>
  </si>
  <si>
    <t>Colonne12</t>
  </si>
  <si>
    <t>Total2</t>
  </si>
  <si>
    <t>réfléchit/ impulsif</t>
  </si>
  <si>
    <t>CV RT haut bas</t>
  </si>
  <si>
    <t>CV RT droite gauche</t>
  </si>
  <si>
    <t>sub-07DB</t>
  </si>
  <si>
    <t>diff Taplen</t>
  </si>
  <si>
    <t>RFT (%age erreur à vérif !!)</t>
  </si>
  <si>
    <t>sub-01CB</t>
  </si>
  <si>
    <t>sub-62LL</t>
  </si>
  <si>
    <t>sub-63PM</t>
  </si>
  <si>
    <t>sub-61EV</t>
  </si>
  <si>
    <t>sub-59RM</t>
  </si>
  <si>
    <t>sub-08MD</t>
  </si>
  <si>
    <t>sujets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</si>
  <si>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</si>
  <si>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</si>
  <si>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</si>
  <si>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</si>
  <si>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</si>
  <si>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</si>
  <si>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</si>
  <si>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</si>
  <si>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</si>
  <si>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</si>
  <si>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</si>
  <si>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</si>
  <si>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GD2</t>
  </si>
  <si>
    <t>GD5</t>
  </si>
  <si>
    <t>GD8</t>
  </si>
  <si>
    <t>GG2</t>
  </si>
  <si>
    <t>GG5</t>
  </si>
  <si>
    <t>GG8</t>
  </si>
  <si>
    <t>GH2</t>
  </si>
  <si>
    <t>GH5</t>
  </si>
  <si>
    <t>GH8</t>
  </si>
  <si>
    <t>GB2</t>
  </si>
  <si>
    <t>GB5</t>
  </si>
  <si>
    <t>GB8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</si>
</sst>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9" borderId="1" xfId="0" applyFill="1" applyBorder="1"/>
    <xf numFmtId="0" fontId="0" fillId="10" borderId="1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Border="1"/>
    <xf numFmtId="0" fontId="0" fillId="0" borderId="1" xfId="0" applyFill="1" applyBorder="1"/>
    <xf numFmtId="0" fontId="0" fillId="6" borderId="0" xfId="0" applyFill="1" applyAlignment="1">
      <alignment wrapText="1"/>
    </xf>
    <xf numFmtId="2" fontId="0" fillId="3" borderId="1" xfId="0" applyNumberFormat="1" applyFill="1" applyBorder="1" applyAlignment="1">
      <alignment wrapText="1"/>
    </xf>
    <xf numFmtId="0" fontId="0" fillId="3" borderId="3" xfId="0" applyFill="1" applyBorder="1" applyAlignment="1">
      <alignment wrapText="1"/>
    </xf>
    <xf numFmtId="43" fontId="0" fillId="3" borderId="2" xfId="1" applyFont="1" applyFill="1" applyBorder="1"/>
    <xf numFmtId="0" fontId="0" fillId="0" borderId="1" xfId="0" applyFill="1" applyBorder="1" applyAlignment="1">
      <alignment wrapText="1"/>
    </xf>
    <xf numFmtId="0" fontId="0" fillId="8" borderId="0" xfId="0" applyFill="1" applyBorder="1"/>
    <xf numFmtId="0" fontId="0" fillId="0" borderId="0" xfId="0" applyNumberFormat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65" fontId="0" fillId="0" borderId="0" xfId="0" applyNumberFormat="1"/>
    <xf numFmtId="0" fontId="0" fillId="3" borderId="1" xfId="0" applyFill="1" applyBorder="1" applyAlignment="1">
      <alignment wrapText="1"/>
    </xf>
    <xf numFmtId="0" fontId="0" fillId="2" borderId="0" xfId="0" applyNumberFormat="1" applyFill="1"/>
    <xf numFmtId="2" fontId="0" fillId="2" borderId="0" xfId="0" applyNumberFormat="1" applyFill="1"/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3" fillId="2" borderId="0" xfId="0" applyFont="1" applyFill="1" applyBorder="1"/>
    <xf numFmtId="0" fontId="0" fillId="2" borderId="0" xfId="0" applyFill="1" applyBorder="1"/>
    <xf numFmtId="0" fontId="3" fillId="17" borderId="0" xfId="0" applyFont="1" applyFill="1"/>
    <xf numFmtId="0" fontId="0" fillId="17" borderId="0" xfId="0" applyFill="1"/>
    <xf numFmtId="0" fontId="3" fillId="2" borderId="0" xfId="0" applyFont="1" applyFill="1"/>
    <xf numFmtId="0" fontId="4" fillId="17" borderId="0" xfId="0" applyFont="1" applyFill="1"/>
    <xf numFmtId="0" fontId="4" fillId="2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9" borderId="1" xfId="0" applyFill="1" applyBorder="1" applyAlignment="1">
      <alignment wrapText="1"/>
    </xf>
    <xf numFmtId="2" fontId="0" fillId="0" borderId="0" xfId="0" applyNumberFormat="1" applyBorder="1"/>
    <xf numFmtId="0" fontId="0" fillId="9" borderId="2" xfId="0" applyFill="1" applyBorder="1"/>
    <xf numFmtId="0" fontId="0" fillId="11" borderId="1" xfId="0" applyFill="1" applyBorder="1"/>
    <xf numFmtId="43" fontId="0" fillId="0" borderId="2" xfId="1" applyFont="1" applyBorder="1"/>
    <xf numFmtId="0" fontId="0" fillId="0" borderId="2" xfId="0" applyFill="1" applyBorder="1"/>
    <xf numFmtId="0" fontId="5" fillId="18" borderId="1" xfId="0" applyFont="1" applyFill="1" applyBorder="1"/>
    <xf numFmtId="2" fontId="0" fillId="3" borderId="1" xfId="0" applyNumberFormat="1" applyFill="1" applyBorder="1"/>
    <xf numFmtId="0" fontId="0" fillId="2" borderId="1" xfId="0" applyFill="1" applyBorder="1"/>
    <xf numFmtId="0" fontId="0" fillId="0" borderId="0" xfId="0" applyFill="1" applyBorder="1" applyAlignment="1">
      <alignment wrapText="1"/>
    </xf>
    <xf numFmtId="0" fontId="0" fillId="13" borderId="4" xfId="0" applyFont="1" applyFill="1" applyBorder="1"/>
    <xf numFmtId="0" fontId="4" fillId="2" borderId="4" xfId="0" applyFont="1" applyFill="1" applyBorder="1"/>
    <xf numFmtId="0" fontId="0" fillId="3" borderId="4" xfId="0" applyFont="1" applyFill="1" applyBorder="1"/>
    <xf numFmtId="0" fontId="0" fillId="8" borderId="4" xfId="0" applyFont="1" applyFill="1" applyBorder="1"/>
    <xf numFmtId="0" fontId="0" fillId="2" borderId="4" xfId="0" applyFont="1" applyFill="1" applyBorder="1"/>
    <xf numFmtId="0" fontId="0" fillId="9" borderId="4" xfId="0" applyFont="1" applyFill="1" applyBorder="1"/>
    <xf numFmtId="0" fontId="0" fillId="0" borderId="4" xfId="0" applyFont="1" applyBorder="1"/>
    <xf numFmtId="2" fontId="6" fillId="0" borderId="5" xfId="0" applyNumberFormat="1" applyFont="1" applyBorder="1"/>
    <xf numFmtId="2" fontId="6" fillId="0" borderId="6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0" fillId="0" borderId="5" xfId="0" applyBorder="1"/>
    <xf numFmtId="2" fontId="6" fillId="0" borderId="0" xfId="0" applyNumberFormat="1" applyFont="1" applyBorder="1"/>
    <xf numFmtId="0" fontId="0" fillId="3" borderId="5" xfId="0" applyFill="1" applyBorder="1"/>
    <xf numFmtId="0" fontId="0" fillId="0" borderId="6" xfId="0" applyBorder="1"/>
    <xf numFmtId="0" fontId="0" fillId="3" borderId="6" xfId="0" applyFill="1" applyBorder="1"/>
    <xf numFmtId="164" fontId="0" fillId="0" borderId="2" xfId="0" applyNumberFormat="1" applyBorder="1"/>
    <xf numFmtId="0" fontId="0" fillId="13" borderId="1" xfId="0" applyFill="1" applyBorder="1"/>
    <xf numFmtId="0" fontId="0" fillId="9" borderId="0" xfId="0" applyFill="1" applyBorder="1"/>
    <xf numFmtId="164" fontId="0" fillId="0" borderId="0" xfId="0" applyNumberFormat="1" applyBorder="1"/>
    <xf numFmtId="2" fontId="0" fillId="0" borderId="0" xfId="0" applyNumberFormat="1" applyBorder="1" applyAlignment="1">
      <alignment wrapText="1"/>
    </xf>
    <xf numFmtId="43" fontId="0" fillId="3" borderId="0" xfId="1" applyFont="1" applyFill="1" applyBorder="1"/>
    <xf numFmtId="0" fontId="0" fillId="0" borderId="3" xfId="0" applyFill="1" applyBorder="1"/>
    <xf numFmtId="164" fontId="0" fillId="0" borderId="1" xfId="0" applyNumberFormat="1" applyBorder="1"/>
    <xf numFmtId="43" fontId="0" fillId="3" borderId="3" xfId="1" applyFont="1" applyFill="1" applyBorder="1"/>
  </cellXfs>
  <cellStyles count="2">
    <cellStyle name="Milliers" xfId="1" builtinId="3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" formatCode="0.00"/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'BIS-10'!$B$2:$B$28</c:f>
              <c:numCache>
                <c:formatCode>General</c:formatCode>
                <c:ptCount val="27"/>
                <c:pt idx="1">
                  <c:v>17</c:v>
                </c:pt>
                <c:pt idx="2">
                  <c:v>17</c:v>
                </c:pt>
                <c:pt idx="3">
                  <c:v>27</c:v>
                </c:pt>
                <c:pt idx="4">
                  <c:v>21</c:v>
                </c:pt>
                <c:pt idx="5">
                  <c:v>27</c:v>
                </c:pt>
                <c:pt idx="6">
                  <c:v>13</c:v>
                </c:pt>
                <c:pt idx="7">
                  <c:v>12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18</c:v>
                </c:pt>
                <c:pt idx="13">
                  <c:v>28</c:v>
                </c:pt>
                <c:pt idx="14">
                  <c:v>21</c:v>
                </c:pt>
                <c:pt idx="15">
                  <c:v>12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24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17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 / moy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483595800524935E-2"/>
                  <c:y val="-0.26563466025080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BPS!$E$2:$E$36</c:f>
              <c:numCache>
                <c:formatCode>General</c:formatCode>
                <c:ptCount val="35"/>
                <c:pt idx="0">
                  <c:v>17</c:v>
                </c:pt>
                <c:pt idx="1">
                  <c:v>28</c:v>
                </c:pt>
                <c:pt idx="2">
                  <c:v>12</c:v>
                </c:pt>
                <c:pt idx="3">
                  <c:v>27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23</c:v>
                </c:pt>
                <c:pt idx="9">
                  <c:v>21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12</c:v>
                </c:pt>
                <c:pt idx="17">
                  <c:v>18</c:v>
                </c:pt>
                <c:pt idx="18">
                  <c:v>15</c:v>
                </c:pt>
                <c:pt idx="19">
                  <c:v>14</c:v>
                </c:pt>
                <c:pt idx="20">
                  <c:v>18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14</c:v>
                </c:pt>
                <c:pt idx="25">
                  <c:v>24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17</c:v>
                </c:pt>
                <c:pt idx="30">
                  <c:v>17</c:v>
                </c:pt>
                <c:pt idx="31">
                  <c:v>26</c:v>
                </c:pt>
                <c:pt idx="32">
                  <c:v>27</c:v>
                </c:pt>
                <c:pt idx="33">
                  <c:v>20</c:v>
                </c:pt>
              </c:numCache>
            </c:numRef>
          </c:xVal>
          <c:yVal>
            <c:numRef>
              <c:f>BPS!$J$2:$J$36</c:f>
              <c:numCache>
                <c:formatCode>General</c:formatCode>
                <c:ptCount val="35"/>
                <c:pt idx="0">
                  <c:v>0.49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0.66</c:v>
                </c:pt>
                <c:pt idx="4">
                  <c:v>0.64</c:v>
                </c:pt>
                <c:pt idx="6">
                  <c:v>0.64</c:v>
                </c:pt>
                <c:pt idx="7">
                  <c:v>0.54</c:v>
                </c:pt>
                <c:pt idx="8">
                  <c:v>0.65</c:v>
                </c:pt>
                <c:pt idx="9">
                  <c:v>0.53</c:v>
                </c:pt>
                <c:pt idx="10">
                  <c:v>0.64</c:v>
                </c:pt>
                <c:pt idx="11">
                  <c:v>0.81</c:v>
                </c:pt>
                <c:pt idx="12">
                  <c:v>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8-4286-878D-10C174B1F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21616"/>
        <c:axId val="1451607472"/>
      </c:scatterChart>
      <c:valAx>
        <c:axId val="1451621616"/>
        <c:scaling>
          <c:orientation val="minMax"/>
          <c:min val="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07472"/>
        <c:crosses val="autoZero"/>
        <c:crossBetween val="midCat"/>
      </c:valAx>
      <c:valAx>
        <c:axId val="145160747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16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Extraversion/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53932438828453"/>
                  <c:y val="-0.15449321084118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BPS!$AD$2:$AD$36</c:f>
              <c:numCache>
                <c:formatCode>General</c:formatCode>
                <c:ptCount val="35"/>
                <c:pt idx="0">
                  <c:v>0.5</c:v>
                </c:pt>
                <c:pt idx="1">
                  <c:v>0.4</c:v>
                </c:pt>
                <c:pt idx="2" formatCode="_-* #\ ##0.00\ _€_-;\-* #\ ##0.00\ _€_-;_-* &quot;-&quot;??\ _€_-;_-@_-">
                  <c:v>0.5</c:v>
                </c:pt>
                <c:pt idx="3">
                  <c:v>9.4318181818181829E-2</c:v>
                </c:pt>
                <c:pt idx="4">
                  <c:v>0.5</c:v>
                </c:pt>
                <c:pt idx="6">
                  <c:v>0.5</c:v>
                </c:pt>
                <c:pt idx="7">
                  <c:v>0.6</c:v>
                </c:pt>
                <c:pt idx="8" formatCode="_-* #\ ##0.00\ _€_-;\-* #\ ##0.00\ _€_-;_-* &quot;-&quot;??\ _€_-;_-@_-">
                  <c:v>0.5</c:v>
                </c:pt>
                <c:pt idx="9">
                  <c:v>0.4</c:v>
                </c:pt>
                <c:pt idx="10">
                  <c:v>0.6</c:v>
                </c:pt>
                <c:pt idx="11">
                  <c:v>0.30681818181818182</c:v>
                </c:pt>
                <c:pt idx="12">
                  <c:v>0.2</c:v>
                </c:pt>
                <c:pt idx="14">
                  <c:v>0.8</c:v>
                </c:pt>
                <c:pt idx="15">
                  <c:v>0.6</c:v>
                </c:pt>
                <c:pt idx="16">
                  <c:v>0.1</c:v>
                </c:pt>
                <c:pt idx="17">
                  <c:v>0.9</c:v>
                </c:pt>
                <c:pt idx="18">
                  <c:v>0.8</c:v>
                </c:pt>
                <c:pt idx="19">
                  <c:v>0.4</c:v>
                </c:pt>
                <c:pt idx="20">
                  <c:v>0.5</c:v>
                </c:pt>
                <c:pt idx="21">
                  <c:v>0.2</c:v>
                </c:pt>
                <c:pt idx="22">
                  <c:v>0.1</c:v>
                </c:pt>
                <c:pt idx="23">
                  <c:v>0.7</c:v>
                </c:pt>
                <c:pt idx="24">
                  <c:v>0.2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0.1</c:v>
                </c:pt>
                <c:pt idx="29">
                  <c:v>0.5</c:v>
                </c:pt>
                <c:pt idx="30">
                  <c:v>0.8</c:v>
                </c:pt>
                <c:pt idx="31">
                  <c:v>0.5</c:v>
                </c:pt>
                <c:pt idx="32">
                  <c:v>0.2</c:v>
                </c:pt>
                <c:pt idx="33" formatCode="_-* #\ ##0.00\ _€_-;\-* #\ ##0.00\ _€_-;_-* &quot;-&quot;??\ _€_-;_-@_-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F-4534-B329-F16C68E7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5615"/>
        <c:axId val="630673951"/>
      </c:scatterChart>
      <c:valAx>
        <c:axId val="63067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3951"/>
        <c:crosses val="autoZero"/>
        <c:crossBetween val="midCat"/>
      </c:valAx>
      <c:valAx>
        <c:axId val="63067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6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444895166744"/>
                  <c:y val="-4.6685393280053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BPS!$B$2:$B$36</c:f>
              <c:numCache>
                <c:formatCode>General</c:formatCode>
                <c:ptCount val="35"/>
                <c:pt idx="0">
                  <c:v>104</c:v>
                </c:pt>
                <c:pt idx="1">
                  <c:v>113</c:v>
                </c:pt>
                <c:pt idx="2">
                  <c:v>122</c:v>
                </c:pt>
                <c:pt idx="3">
                  <c:v>107</c:v>
                </c:pt>
                <c:pt idx="4">
                  <c:v>105</c:v>
                </c:pt>
                <c:pt idx="5">
                  <c:v>107</c:v>
                </c:pt>
                <c:pt idx="6">
                  <c:v>103</c:v>
                </c:pt>
                <c:pt idx="7">
                  <c:v>120</c:v>
                </c:pt>
                <c:pt idx="8">
                  <c:v>106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112</c:v>
                </c:pt>
                <c:pt idx="13">
                  <c:v>100</c:v>
                </c:pt>
                <c:pt idx="14">
                  <c:v>129</c:v>
                </c:pt>
                <c:pt idx="15">
                  <c:v>116</c:v>
                </c:pt>
                <c:pt idx="16">
                  <c:v>92</c:v>
                </c:pt>
                <c:pt idx="17">
                  <c:v>112</c:v>
                </c:pt>
                <c:pt idx="18">
                  <c:v>96</c:v>
                </c:pt>
                <c:pt idx="19">
                  <c:v>119</c:v>
                </c:pt>
                <c:pt idx="20">
                  <c:v>126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77</c:v>
                </c:pt>
                <c:pt idx="25">
                  <c:v>139</c:v>
                </c:pt>
                <c:pt idx="26">
                  <c:v>85</c:v>
                </c:pt>
                <c:pt idx="27">
                  <c:v>123</c:v>
                </c:pt>
                <c:pt idx="28">
                  <c:v>104</c:v>
                </c:pt>
                <c:pt idx="29">
                  <c:v>104</c:v>
                </c:pt>
                <c:pt idx="30">
                  <c:v>137</c:v>
                </c:pt>
                <c:pt idx="31">
                  <c:v>132</c:v>
                </c:pt>
                <c:pt idx="32">
                  <c:v>113</c:v>
                </c:pt>
                <c:pt idx="33">
                  <c:v>107</c:v>
                </c:pt>
              </c:numCache>
            </c:numRef>
          </c:xVal>
          <c:yVal>
            <c:numRef>
              <c:f>BPS!$K$2:$K$36</c:f>
              <c:numCache>
                <c:formatCode>General</c:formatCode>
                <c:ptCount val="3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0.12</c:v>
                </c:pt>
                <c:pt idx="5">
                  <c:v>0.27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F-4D80-8110-89F9F5D5B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106415"/>
        <c:axId val="874109743"/>
      </c:scatterChart>
      <c:valAx>
        <c:axId val="87410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9743"/>
        <c:crosses val="autoZero"/>
        <c:crossBetween val="midCat"/>
      </c:valAx>
      <c:valAx>
        <c:axId val="87410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1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CV TPV 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8158355205599"/>
                  <c:y val="-0.42619714202391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BPS!$B$2:$B$36</c:f>
              <c:numCache>
                <c:formatCode>General</c:formatCode>
                <c:ptCount val="35"/>
                <c:pt idx="0">
                  <c:v>104</c:v>
                </c:pt>
                <c:pt idx="1">
                  <c:v>113</c:v>
                </c:pt>
                <c:pt idx="2">
                  <c:v>122</c:v>
                </c:pt>
                <c:pt idx="3">
                  <c:v>107</c:v>
                </c:pt>
                <c:pt idx="4">
                  <c:v>105</c:v>
                </c:pt>
                <c:pt idx="5">
                  <c:v>107</c:v>
                </c:pt>
                <c:pt idx="6">
                  <c:v>103</c:v>
                </c:pt>
                <c:pt idx="7">
                  <c:v>120</c:v>
                </c:pt>
                <c:pt idx="8">
                  <c:v>106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112</c:v>
                </c:pt>
                <c:pt idx="13">
                  <c:v>100</c:v>
                </c:pt>
                <c:pt idx="14">
                  <c:v>129</c:v>
                </c:pt>
                <c:pt idx="15">
                  <c:v>116</c:v>
                </c:pt>
                <c:pt idx="16">
                  <c:v>92</c:v>
                </c:pt>
                <c:pt idx="17">
                  <c:v>112</c:v>
                </c:pt>
                <c:pt idx="18">
                  <c:v>96</c:v>
                </c:pt>
                <c:pt idx="19">
                  <c:v>119</c:v>
                </c:pt>
                <c:pt idx="20">
                  <c:v>126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77</c:v>
                </c:pt>
                <c:pt idx="25">
                  <c:v>139</c:v>
                </c:pt>
                <c:pt idx="26">
                  <c:v>85</c:v>
                </c:pt>
                <c:pt idx="27">
                  <c:v>123</c:v>
                </c:pt>
                <c:pt idx="28">
                  <c:v>104</c:v>
                </c:pt>
                <c:pt idx="29">
                  <c:v>104</c:v>
                </c:pt>
                <c:pt idx="30">
                  <c:v>137</c:v>
                </c:pt>
                <c:pt idx="31">
                  <c:v>132</c:v>
                </c:pt>
                <c:pt idx="32">
                  <c:v>113</c:v>
                </c:pt>
                <c:pt idx="33">
                  <c:v>107</c:v>
                </c:pt>
              </c:numCache>
            </c:numRef>
          </c:xVal>
          <c:yVal>
            <c:numRef>
              <c:f>BPS!$AA$2:$AA$36</c:f>
              <c:numCache>
                <c:formatCode>0.00</c:formatCode>
                <c:ptCount val="35"/>
                <c:pt idx="0">
                  <c:v>0.2987388657769145</c:v>
                </c:pt>
                <c:pt idx="1">
                  <c:v>0.16840344988893338</c:v>
                </c:pt>
                <c:pt idx="3">
                  <c:v>0.10500000000000001</c:v>
                </c:pt>
                <c:pt idx="6">
                  <c:v>0.19488530843536417</c:v>
                </c:pt>
                <c:pt idx="7">
                  <c:v>0.155</c:v>
                </c:pt>
                <c:pt idx="11">
                  <c:v>0.13</c:v>
                </c:pt>
                <c:pt idx="12">
                  <c:v>9.5000000000000001E-2</c:v>
                </c:pt>
                <c:pt idx="14">
                  <c:v>0.16499999999999998</c:v>
                </c:pt>
                <c:pt idx="15">
                  <c:v>0.2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0.08</c:v>
                </c:pt>
                <c:pt idx="19">
                  <c:v>0.2635723605504261</c:v>
                </c:pt>
                <c:pt idx="20">
                  <c:v>5.3769617948418891E-2</c:v>
                </c:pt>
                <c:pt idx="21">
                  <c:v>0.27130752388374324</c:v>
                </c:pt>
                <c:pt idx="22">
                  <c:v>0.1475549402808192</c:v>
                </c:pt>
                <c:pt idx="23">
                  <c:v>0.215</c:v>
                </c:pt>
                <c:pt idx="24">
                  <c:v>0.22618618391532119</c:v>
                </c:pt>
                <c:pt idx="25">
                  <c:v>0.12574829784647523</c:v>
                </c:pt>
                <c:pt idx="26">
                  <c:v>0.20500000000000002</c:v>
                </c:pt>
                <c:pt idx="27">
                  <c:v>0.16</c:v>
                </c:pt>
                <c:pt idx="28">
                  <c:v>0.22</c:v>
                </c:pt>
                <c:pt idx="29">
                  <c:v>0.125</c:v>
                </c:pt>
                <c:pt idx="30">
                  <c:v>0.125</c:v>
                </c:pt>
                <c:pt idx="31">
                  <c:v>0.10840508583399006</c:v>
                </c:pt>
                <c:pt idx="3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63-422A-83EE-E08D868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2584"/>
        <c:axId val="585633240"/>
      </c:scatterChart>
      <c:valAx>
        <c:axId val="5856325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3240"/>
        <c:crosses val="autoZero"/>
        <c:crossBetween val="midCat"/>
      </c:valAx>
      <c:valAx>
        <c:axId val="58563324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563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différence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569698662078355"/>
                  <c:y val="1.95349956246980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BPS!$B$2:$B$36</c:f>
              <c:numCache>
                <c:formatCode>General</c:formatCode>
                <c:ptCount val="35"/>
                <c:pt idx="0">
                  <c:v>104</c:v>
                </c:pt>
                <c:pt idx="1">
                  <c:v>113</c:v>
                </c:pt>
                <c:pt idx="2">
                  <c:v>122</c:v>
                </c:pt>
                <c:pt idx="3">
                  <c:v>107</c:v>
                </c:pt>
                <c:pt idx="4">
                  <c:v>105</c:v>
                </c:pt>
                <c:pt idx="5">
                  <c:v>107</c:v>
                </c:pt>
                <c:pt idx="6">
                  <c:v>103</c:v>
                </c:pt>
                <c:pt idx="7">
                  <c:v>120</c:v>
                </c:pt>
                <c:pt idx="8">
                  <c:v>106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112</c:v>
                </c:pt>
                <c:pt idx="13">
                  <c:v>100</c:v>
                </c:pt>
                <c:pt idx="14">
                  <c:v>129</c:v>
                </c:pt>
                <c:pt idx="15">
                  <c:v>116</c:v>
                </c:pt>
                <c:pt idx="16">
                  <c:v>92</c:v>
                </c:pt>
                <c:pt idx="17">
                  <c:v>112</c:v>
                </c:pt>
                <c:pt idx="18">
                  <c:v>96</c:v>
                </c:pt>
                <c:pt idx="19">
                  <c:v>119</c:v>
                </c:pt>
                <c:pt idx="20">
                  <c:v>126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77</c:v>
                </c:pt>
                <c:pt idx="25">
                  <c:v>139</c:v>
                </c:pt>
                <c:pt idx="26">
                  <c:v>85</c:v>
                </c:pt>
                <c:pt idx="27">
                  <c:v>123</c:v>
                </c:pt>
                <c:pt idx="28">
                  <c:v>104</c:v>
                </c:pt>
                <c:pt idx="29">
                  <c:v>104</c:v>
                </c:pt>
                <c:pt idx="30">
                  <c:v>137</c:v>
                </c:pt>
                <c:pt idx="31">
                  <c:v>132</c:v>
                </c:pt>
                <c:pt idx="32">
                  <c:v>113</c:v>
                </c:pt>
                <c:pt idx="33">
                  <c:v>107</c:v>
                </c:pt>
              </c:numCache>
            </c:numRef>
          </c:xVal>
          <c:yVal>
            <c:numRef>
              <c:f>BPS!$P$2:$P$36</c:f>
              <c:numCache>
                <c:formatCode>General</c:formatCode>
                <c:ptCount val="35"/>
                <c:pt idx="0">
                  <c:v>-0.01</c:v>
                </c:pt>
                <c:pt idx="1">
                  <c:v>-7.0000000000000007E-2</c:v>
                </c:pt>
                <c:pt idx="2">
                  <c:v>0.02</c:v>
                </c:pt>
                <c:pt idx="4">
                  <c:v>0.04</c:v>
                </c:pt>
                <c:pt idx="5">
                  <c:v>-0.17</c:v>
                </c:pt>
                <c:pt idx="6">
                  <c:v>0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-0.05</c:v>
                </c:pt>
                <c:pt idx="10">
                  <c:v>-0.08</c:v>
                </c:pt>
                <c:pt idx="11">
                  <c:v>-0.19</c:v>
                </c:pt>
                <c:pt idx="12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7-4BDA-B10F-E4676F8D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05695"/>
        <c:axId val="621416095"/>
      </c:scatterChart>
      <c:valAx>
        <c:axId val="6214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16095"/>
        <c:crosses val="autoZero"/>
        <c:crossBetween val="midCat"/>
      </c:valAx>
      <c:valAx>
        <c:axId val="62141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405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Taplen (erreur à la perception</a:t>
            </a:r>
            <a:r>
              <a:rPr lang="fr-FR" baseline="0"/>
              <a:t> du temps)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26564442602571"/>
                  <c:y val="2.38929440389294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BPS!$K$2:$K$36</c:f>
              <c:numCache>
                <c:formatCode>General</c:formatCode>
                <c:ptCount val="3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0.12</c:v>
                </c:pt>
                <c:pt idx="5">
                  <c:v>0.27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0.06</c:v>
                </c:pt>
              </c:numCache>
            </c:numRef>
          </c:xVal>
          <c:yVal>
            <c:numRef>
              <c:f>BPS!$P$2:$P$36</c:f>
              <c:numCache>
                <c:formatCode>General</c:formatCode>
                <c:ptCount val="35"/>
                <c:pt idx="0">
                  <c:v>-0.01</c:v>
                </c:pt>
                <c:pt idx="1">
                  <c:v>-7.0000000000000007E-2</c:v>
                </c:pt>
                <c:pt idx="2">
                  <c:v>0.02</c:v>
                </c:pt>
                <c:pt idx="4">
                  <c:v>0.04</c:v>
                </c:pt>
                <c:pt idx="5">
                  <c:v>-0.17</c:v>
                </c:pt>
                <c:pt idx="6">
                  <c:v>0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-0.05</c:v>
                </c:pt>
                <c:pt idx="10">
                  <c:v>-0.08</c:v>
                </c:pt>
                <c:pt idx="11">
                  <c:v>-0.19</c:v>
                </c:pt>
                <c:pt idx="12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7-4F95-A09F-FD83674B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949407"/>
        <c:axId val="775714575"/>
      </c:scatterChart>
      <c:valAx>
        <c:axId val="6749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5714575"/>
        <c:crosses val="autoZero"/>
        <c:crossBetween val="midCat"/>
      </c:valAx>
      <c:valAx>
        <c:axId val="775714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94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Moy Go No Go</a:t>
            </a:r>
            <a:r>
              <a:rPr lang="fr-FR" baseline="0"/>
              <a:t> = stabilité sujet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60586176727909"/>
                  <c:y val="0.381183842138355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BPS!$J$2:$J$36</c:f>
              <c:numCache>
                <c:formatCode>General</c:formatCode>
                <c:ptCount val="35"/>
                <c:pt idx="0">
                  <c:v>0.49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0.66</c:v>
                </c:pt>
                <c:pt idx="4">
                  <c:v>0.64</c:v>
                </c:pt>
                <c:pt idx="6">
                  <c:v>0.64</c:v>
                </c:pt>
                <c:pt idx="7">
                  <c:v>0.54</c:v>
                </c:pt>
                <c:pt idx="8">
                  <c:v>0.65</c:v>
                </c:pt>
                <c:pt idx="9">
                  <c:v>0.53</c:v>
                </c:pt>
                <c:pt idx="10">
                  <c:v>0.64</c:v>
                </c:pt>
                <c:pt idx="11">
                  <c:v>0.81</c:v>
                </c:pt>
                <c:pt idx="12">
                  <c:v>0.69</c:v>
                </c:pt>
              </c:numCache>
            </c:numRef>
          </c:xVal>
          <c:y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A-4183-AF3D-452BE114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045263"/>
        <c:axId val="1128054831"/>
      </c:scatterChart>
      <c:valAx>
        <c:axId val="1128045263"/>
        <c:scaling>
          <c:orientation val="minMax"/>
          <c:min val="0.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54831"/>
        <c:crosses val="autoZero"/>
        <c:crossBetween val="midCat"/>
      </c:valAx>
      <c:valAx>
        <c:axId val="1128054831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804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ysClr val="windowText" lastClr="000000"/>
                </a:solidFill>
              </a:rPr>
              <a:t>Perception lent-vif et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435651793525809"/>
                  <c:y val="0.191469087197433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BPS!$AE$2:$AE$36</c:f>
              <c:numCache>
                <c:formatCode>_(* #,##0.00_);_(* \(#,##0.00\);_(* "-"??_);_(@_)</c:formatCode>
                <c:ptCount val="35"/>
                <c:pt idx="0">
                  <c:v>0.7</c:v>
                </c:pt>
                <c:pt idx="1">
                  <c:v>0.9</c:v>
                </c:pt>
                <c:pt idx="3" formatCode="0.00">
                  <c:v>4.2045454545454546E-2</c:v>
                </c:pt>
                <c:pt idx="6" formatCode="General">
                  <c:v>0.7</c:v>
                </c:pt>
                <c:pt idx="7">
                  <c:v>0.7</c:v>
                </c:pt>
                <c:pt idx="11" formatCode="0.00">
                  <c:v>0.48863636363636365</c:v>
                </c:pt>
                <c:pt idx="12">
                  <c:v>0.8</c:v>
                </c:pt>
                <c:pt idx="14">
                  <c:v>0.8</c:v>
                </c:pt>
                <c:pt idx="15">
                  <c:v>0.9</c:v>
                </c:pt>
                <c:pt idx="16">
                  <c:v>0.7</c:v>
                </c:pt>
                <c:pt idx="17">
                  <c:v>0.9</c:v>
                </c:pt>
                <c:pt idx="18">
                  <c:v>0.5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 formatCode="General">
                  <c:v>1</c:v>
                </c:pt>
                <c:pt idx="23">
                  <c:v>0.6</c:v>
                </c:pt>
                <c:pt idx="24">
                  <c:v>0.6</c:v>
                </c:pt>
                <c:pt idx="25">
                  <c:v>0.8</c:v>
                </c:pt>
                <c:pt idx="26" formatCode="General">
                  <c:v>0.6</c:v>
                </c:pt>
                <c:pt idx="27">
                  <c:v>0.4</c:v>
                </c:pt>
                <c:pt idx="28" formatCode="General">
                  <c:v>0.9</c:v>
                </c:pt>
                <c:pt idx="29" formatCode="General">
                  <c:v>0.9</c:v>
                </c:pt>
                <c:pt idx="30">
                  <c:v>0.6</c:v>
                </c:pt>
                <c:pt idx="31" formatCode="General">
                  <c:v>0.9</c:v>
                </c:pt>
                <c:pt idx="32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A-4296-8E7B-1B5DD16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766304"/>
        <c:axId val="1954751744"/>
      </c:scatterChart>
      <c:valAx>
        <c:axId val="195476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51744"/>
        <c:crosses val="autoZero"/>
        <c:crossBetween val="midCat"/>
      </c:valAx>
      <c:valAx>
        <c:axId val="19547517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76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GoNoGo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661701662292216"/>
                  <c:y val="-7.88312919218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BPS!$K$2:$K$36</c:f>
              <c:numCache>
                <c:formatCode>General</c:formatCode>
                <c:ptCount val="3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0.12</c:v>
                </c:pt>
                <c:pt idx="5">
                  <c:v>0.27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D-4D40-88D2-5BA7CBBE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59647"/>
        <c:axId val="1201953407"/>
      </c:scatterChart>
      <c:valAx>
        <c:axId val="120195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3407"/>
        <c:crosses val="autoZero"/>
        <c:crossBetween val="midCat"/>
      </c:valAx>
      <c:valAx>
        <c:axId val="12019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0195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patient-impatient question/taplen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59405074365705"/>
                  <c:y val="3.292177019539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BPS!$P$2:$P$36</c:f>
              <c:numCache>
                <c:formatCode>General</c:formatCode>
                <c:ptCount val="35"/>
                <c:pt idx="0">
                  <c:v>-0.01</c:v>
                </c:pt>
                <c:pt idx="1">
                  <c:v>-7.0000000000000007E-2</c:v>
                </c:pt>
                <c:pt idx="2">
                  <c:v>0.02</c:v>
                </c:pt>
                <c:pt idx="4">
                  <c:v>0.04</c:v>
                </c:pt>
                <c:pt idx="5">
                  <c:v>-0.17</c:v>
                </c:pt>
                <c:pt idx="6">
                  <c:v>0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-0.05</c:v>
                </c:pt>
                <c:pt idx="10">
                  <c:v>-0.08</c:v>
                </c:pt>
                <c:pt idx="11">
                  <c:v>-0.19</c:v>
                </c:pt>
                <c:pt idx="12">
                  <c:v>-0.09</c:v>
                </c:pt>
              </c:numCache>
            </c:numRef>
          </c:xVal>
          <c:yVal>
            <c:numRef>
              <c:f>BPS!$AI$2:$AI$36</c:f>
              <c:numCache>
                <c:formatCode>_(* #,##0.00_);_(* \(#,##0.00\);_(* "-"??_);_(@_)</c:formatCode>
                <c:ptCount val="35"/>
                <c:pt idx="0">
                  <c:v>0.9</c:v>
                </c:pt>
                <c:pt idx="1">
                  <c:v>0.6</c:v>
                </c:pt>
                <c:pt idx="2" formatCode="_-* #\ ##0.00\ _€_-;\-* #\ ##0.00\ _€_-;_-* &quot;-&quot;??\ _€_-;_-@_-">
                  <c:v>0.5</c:v>
                </c:pt>
                <c:pt idx="3" formatCode="0.00">
                  <c:v>2.2727272727272731E-3</c:v>
                </c:pt>
                <c:pt idx="4" formatCode="General">
                  <c:v>0.6</c:v>
                </c:pt>
                <c:pt idx="5" formatCode="0.00">
                  <c:v>0.36363636363636365</c:v>
                </c:pt>
                <c:pt idx="6" formatCode="General">
                  <c:v>0.4</c:v>
                </c:pt>
                <c:pt idx="7">
                  <c:v>0.3</c:v>
                </c:pt>
                <c:pt idx="8" formatCode="_-* #\ ##0.00\ _€_-;\-* #\ ##0.00\ _€_-;_-* &quot;-&quot;??\ _€_-;_-@_-">
                  <c:v>0.5</c:v>
                </c:pt>
                <c:pt idx="11" formatCode="0.00">
                  <c:v>0.43181818181818182</c:v>
                </c:pt>
                <c:pt idx="12">
                  <c:v>0.7</c:v>
                </c:pt>
                <c:pt idx="14">
                  <c:v>0.7</c:v>
                </c:pt>
                <c:pt idx="15">
                  <c:v>0.5</c:v>
                </c:pt>
                <c:pt idx="16">
                  <c:v>0.1</c:v>
                </c:pt>
                <c:pt idx="17">
                  <c:v>0.9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 formatCode="General">
                  <c:v>0.8</c:v>
                </c:pt>
                <c:pt idx="23">
                  <c:v>0.3</c:v>
                </c:pt>
                <c:pt idx="24">
                  <c:v>0.5</c:v>
                </c:pt>
                <c:pt idx="25">
                  <c:v>0.6</c:v>
                </c:pt>
                <c:pt idx="26" formatCode="General">
                  <c:v>0.2</c:v>
                </c:pt>
                <c:pt idx="27">
                  <c:v>0.9</c:v>
                </c:pt>
                <c:pt idx="28" formatCode="General">
                  <c:v>0.2</c:v>
                </c:pt>
                <c:pt idx="29" formatCode="General">
                  <c:v>0.2</c:v>
                </c:pt>
                <c:pt idx="30">
                  <c:v>0.4</c:v>
                </c:pt>
                <c:pt idx="31" formatCode="General">
                  <c:v>0.6</c:v>
                </c:pt>
                <c:pt idx="32">
                  <c:v>0.3</c:v>
                </c:pt>
                <c:pt idx="33" formatCode="_-* #\ ##0.00\ _€_-;\-* #\ ##0.00\ _€_-;_-* &quot;-&quot;??\ _€_-;_-@_-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9-4023-88FE-2DBB42D6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83135"/>
        <c:axId val="1307966079"/>
      </c:scatterChart>
      <c:valAx>
        <c:axId val="13079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66079"/>
        <c:crosses val="autoZero"/>
        <c:crossBetween val="midCat"/>
      </c:valAx>
      <c:valAx>
        <c:axId val="1307966079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7983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'BIS-10'!$E$2:$E$28</c:f>
              <c:numCache>
                <c:formatCode>General</c:formatCode>
                <c:ptCount val="27"/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  <c:pt idx="26">
                  <c:v>58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motrice/ nb erreur Go/NoGo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98228346456694"/>
                  <c:y val="1.6443356413394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BPS!$E$3:$E$36</c:f>
              <c:numCache>
                <c:formatCode>General</c:formatCode>
                <c:ptCount val="34"/>
                <c:pt idx="0">
                  <c:v>28</c:v>
                </c:pt>
                <c:pt idx="1">
                  <c:v>12</c:v>
                </c:pt>
                <c:pt idx="2">
                  <c:v>27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12</c:v>
                </c:pt>
                <c:pt idx="7">
                  <c:v>23</c:v>
                </c:pt>
                <c:pt idx="8">
                  <c:v>21</c:v>
                </c:pt>
                <c:pt idx="9">
                  <c:v>13</c:v>
                </c:pt>
                <c:pt idx="10">
                  <c:v>15</c:v>
                </c:pt>
                <c:pt idx="11">
                  <c:v>21</c:v>
                </c:pt>
                <c:pt idx="12">
                  <c:v>19</c:v>
                </c:pt>
                <c:pt idx="13">
                  <c:v>27</c:v>
                </c:pt>
                <c:pt idx="14">
                  <c:v>13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21</c:v>
                </c:pt>
                <c:pt idx="21">
                  <c:v>15</c:v>
                </c:pt>
                <c:pt idx="22">
                  <c:v>16</c:v>
                </c:pt>
                <c:pt idx="23">
                  <c:v>14</c:v>
                </c:pt>
                <c:pt idx="24">
                  <c:v>24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  <c:pt idx="28">
                  <c:v>17</c:v>
                </c:pt>
                <c:pt idx="29">
                  <c:v>17</c:v>
                </c:pt>
                <c:pt idx="30">
                  <c:v>26</c:v>
                </c:pt>
                <c:pt idx="31">
                  <c:v>27</c:v>
                </c:pt>
                <c:pt idx="32">
                  <c:v>20</c:v>
                </c:pt>
              </c:numCache>
            </c:numRef>
          </c:xVal>
          <c:yVal>
            <c:numRef>
              <c:f>BPS!$L$3:$L$36</c:f>
              <c:numCache>
                <c:formatCode>General</c:formatCode>
                <c:ptCount val="34"/>
                <c:pt idx="0">
                  <c:v>3</c:v>
                </c:pt>
                <c:pt idx="1">
                  <c:v>0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9FD-86CC-F4876DAC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61008"/>
        <c:axId val="1326764336"/>
      </c:scatterChart>
      <c:valAx>
        <c:axId val="13267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64336"/>
        <c:crosses val="autoZero"/>
        <c:crossBetween val="midCat"/>
      </c:valAx>
      <c:valAx>
        <c:axId val="132676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67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taplen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BPS!$Q$2</c:f>
              <c:strCache>
                <c:ptCount val="1"/>
                <c:pt idx="0">
                  <c:v>0,14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23315835520557"/>
                  <c:y val="0.321814304461942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BPS!$E$3:$E$30</c:f>
              <c:numCache>
                <c:formatCode>General</c:formatCode>
                <c:ptCount val="28"/>
                <c:pt idx="0">
                  <c:v>28</c:v>
                </c:pt>
                <c:pt idx="1">
                  <c:v>12</c:v>
                </c:pt>
                <c:pt idx="2">
                  <c:v>27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12</c:v>
                </c:pt>
                <c:pt idx="7">
                  <c:v>23</c:v>
                </c:pt>
                <c:pt idx="8">
                  <c:v>21</c:v>
                </c:pt>
                <c:pt idx="9">
                  <c:v>13</c:v>
                </c:pt>
                <c:pt idx="10">
                  <c:v>15</c:v>
                </c:pt>
                <c:pt idx="11">
                  <c:v>21</c:v>
                </c:pt>
                <c:pt idx="12">
                  <c:v>19</c:v>
                </c:pt>
                <c:pt idx="13">
                  <c:v>27</c:v>
                </c:pt>
                <c:pt idx="14">
                  <c:v>13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14</c:v>
                </c:pt>
                <c:pt idx="19">
                  <c:v>18</c:v>
                </c:pt>
                <c:pt idx="20">
                  <c:v>21</c:v>
                </c:pt>
                <c:pt idx="21">
                  <c:v>15</c:v>
                </c:pt>
                <c:pt idx="22">
                  <c:v>16</c:v>
                </c:pt>
                <c:pt idx="23">
                  <c:v>14</c:v>
                </c:pt>
                <c:pt idx="24">
                  <c:v>24</c:v>
                </c:pt>
                <c:pt idx="25">
                  <c:v>18</c:v>
                </c:pt>
                <c:pt idx="26">
                  <c:v>21</c:v>
                </c:pt>
                <c:pt idx="27">
                  <c:v>21</c:v>
                </c:pt>
              </c:numCache>
            </c:numRef>
          </c:xVal>
          <c:yVal>
            <c:numRef>
              <c:f>BPS!$Q$3:$Q$30</c:f>
              <c:numCache>
                <c:formatCode>General</c:formatCode>
                <c:ptCount val="28"/>
                <c:pt idx="0">
                  <c:v>0.22</c:v>
                </c:pt>
                <c:pt idx="1">
                  <c:v>0.17</c:v>
                </c:pt>
                <c:pt idx="3">
                  <c:v>0.28999999999999998</c:v>
                </c:pt>
                <c:pt idx="4">
                  <c:v>0.09</c:v>
                </c:pt>
                <c:pt idx="5">
                  <c:v>0.23</c:v>
                </c:pt>
                <c:pt idx="6">
                  <c:v>0.17</c:v>
                </c:pt>
                <c:pt idx="7">
                  <c:v>0.34</c:v>
                </c:pt>
                <c:pt idx="8">
                  <c:v>0.22</c:v>
                </c:pt>
                <c:pt idx="9">
                  <c:v>0.27</c:v>
                </c:pt>
                <c:pt idx="10">
                  <c:v>0.1</c:v>
                </c:pt>
                <c:pt idx="1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E-4C8B-A681-64B25673B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042927"/>
        <c:axId val="1187043343"/>
      </c:scatterChart>
      <c:valAx>
        <c:axId val="118704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043343"/>
        <c:crosses val="autoZero"/>
        <c:crossBetween val="midCat"/>
      </c:valAx>
      <c:valAx>
        <c:axId val="1187043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704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 taplen / tendance à l'ennui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BPS!$Q$2</c:f>
              <c:strCache>
                <c:ptCount val="1"/>
                <c:pt idx="0">
                  <c:v>0,14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825174978127732"/>
                  <c:y val="-1.816856226305045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BPS!$B$3:$B$30</c:f>
              <c:numCache>
                <c:formatCode>General</c:formatCode>
                <c:ptCount val="28"/>
                <c:pt idx="0">
                  <c:v>113</c:v>
                </c:pt>
                <c:pt idx="1">
                  <c:v>122</c:v>
                </c:pt>
                <c:pt idx="2">
                  <c:v>107</c:v>
                </c:pt>
                <c:pt idx="3">
                  <c:v>105</c:v>
                </c:pt>
                <c:pt idx="4">
                  <c:v>107</c:v>
                </c:pt>
                <c:pt idx="5">
                  <c:v>103</c:v>
                </c:pt>
                <c:pt idx="6">
                  <c:v>120</c:v>
                </c:pt>
                <c:pt idx="7">
                  <c:v>106</c:v>
                </c:pt>
                <c:pt idx="8">
                  <c:v>128</c:v>
                </c:pt>
                <c:pt idx="9">
                  <c:v>85</c:v>
                </c:pt>
                <c:pt idx="10">
                  <c:v>121</c:v>
                </c:pt>
                <c:pt idx="11">
                  <c:v>112</c:v>
                </c:pt>
                <c:pt idx="12">
                  <c:v>100</c:v>
                </c:pt>
                <c:pt idx="13">
                  <c:v>129</c:v>
                </c:pt>
                <c:pt idx="14">
                  <c:v>116</c:v>
                </c:pt>
                <c:pt idx="15">
                  <c:v>92</c:v>
                </c:pt>
                <c:pt idx="16">
                  <c:v>112</c:v>
                </c:pt>
                <c:pt idx="17">
                  <c:v>96</c:v>
                </c:pt>
                <c:pt idx="18">
                  <c:v>119</c:v>
                </c:pt>
                <c:pt idx="19">
                  <c:v>126</c:v>
                </c:pt>
                <c:pt idx="20">
                  <c:v>91</c:v>
                </c:pt>
                <c:pt idx="21">
                  <c:v>95</c:v>
                </c:pt>
                <c:pt idx="22">
                  <c:v>93</c:v>
                </c:pt>
                <c:pt idx="23">
                  <c:v>77</c:v>
                </c:pt>
                <c:pt idx="24">
                  <c:v>139</c:v>
                </c:pt>
                <c:pt idx="25">
                  <c:v>85</c:v>
                </c:pt>
                <c:pt idx="26">
                  <c:v>123</c:v>
                </c:pt>
                <c:pt idx="27">
                  <c:v>104</c:v>
                </c:pt>
              </c:numCache>
            </c:numRef>
          </c:xVal>
          <c:yVal>
            <c:numRef>
              <c:f>BPS!$Q$3:$Q$30</c:f>
              <c:numCache>
                <c:formatCode>General</c:formatCode>
                <c:ptCount val="28"/>
                <c:pt idx="0">
                  <c:v>0.22</c:v>
                </c:pt>
                <c:pt idx="1">
                  <c:v>0.17</c:v>
                </c:pt>
                <c:pt idx="3">
                  <c:v>0.28999999999999998</c:v>
                </c:pt>
                <c:pt idx="4">
                  <c:v>0.09</c:v>
                </c:pt>
                <c:pt idx="5">
                  <c:v>0.23</c:v>
                </c:pt>
                <c:pt idx="6">
                  <c:v>0.17</c:v>
                </c:pt>
                <c:pt idx="7">
                  <c:v>0.34</c:v>
                </c:pt>
                <c:pt idx="8">
                  <c:v>0.22</c:v>
                </c:pt>
                <c:pt idx="9">
                  <c:v>0.27</c:v>
                </c:pt>
                <c:pt idx="10">
                  <c:v>0.1</c:v>
                </c:pt>
                <c:pt idx="11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E-4D42-B453-11D70820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959039"/>
        <c:axId val="1183962783"/>
      </c:scatterChart>
      <c:valAx>
        <c:axId val="118395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962783"/>
        <c:crosses val="autoZero"/>
        <c:crossBetween val="midCat"/>
      </c:valAx>
      <c:valAx>
        <c:axId val="118396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395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BPS/ Total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64566929133857"/>
                  <c:y val="0.10027194517351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BPS!$B$2:$B$36</c:f>
              <c:numCache>
                <c:formatCode>General</c:formatCode>
                <c:ptCount val="35"/>
                <c:pt idx="0">
                  <c:v>104</c:v>
                </c:pt>
                <c:pt idx="1">
                  <c:v>113</c:v>
                </c:pt>
                <c:pt idx="2">
                  <c:v>122</c:v>
                </c:pt>
                <c:pt idx="3">
                  <c:v>107</c:v>
                </c:pt>
                <c:pt idx="4">
                  <c:v>105</c:v>
                </c:pt>
                <c:pt idx="5">
                  <c:v>107</c:v>
                </c:pt>
                <c:pt idx="6">
                  <c:v>103</c:v>
                </c:pt>
                <c:pt idx="7">
                  <c:v>120</c:v>
                </c:pt>
                <c:pt idx="8">
                  <c:v>106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112</c:v>
                </c:pt>
                <c:pt idx="13">
                  <c:v>100</c:v>
                </c:pt>
                <c:pt idx="14">
                  <c:v>129</c:v>
                </c:pt>
                <c:pt idx="15">
                  <c:v>116</c:v>
                </c:pt>
                <c:pt idx="16">
                  <c:v>92</c:v>
                </c:pt>
                <c:pt idx="17">
                  <c:v>112</c:v>
                </c:pt>
                <c:pt idx="18">
                  <c:v>96</c:v>
                </c:pt>
                <c:pt idx="19">
                  <c:v>119</c:v>
                </c:pt>
                <c:pt idx="20">
                  <c:v>126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77</c:v>
                </c:pt>
                <c:pt idx="25">
                  <c:v>139</c:v>
                </c:pt>
                <c:pt idx="26">
                  <c:v>85</c:v>
                </c:pt>
                <c:pt idx="27">
                  <c:v>123</c:v>
                </c:pt>
                <c:pt idx="28">
                  <c:v>104</c:v>
                </c:pt>
                <c:pt idx="29">
                  <c:v>104</c:v>
                </c:pt>
                <c:pt idx="30">
                  <c:v>137</c:v>
                </c:pt>
                <c:pt idx="31">
                  <c:v>132</c:v>
                </c:pt>
                <c:pt idx="32">
                  <c:v>113</c:v>
                </c:pt>
                <c:pt idx="33">
                  <c:v>107</c:v>
                </c:pt>
              </c:numCache>
            </c:numRef>
          </c:xVal>
          <c:yVal>
            <c:numRef>
              <c:f>BPS!$H$2:$H$36</c:f>
              <c:numCache>
                <c:formatCode>General</c:formatCode>
                <c:ptCount val="35"/>
                <c:pt idx="0">
                  <c:v>67</c:v>
                </c:pt>
                <c:pt idx="1">
                  <c:v>71</c:v>
                </c:pt>
                <c:pt idx="2">
                  <c:v>54</c:v>
                </c:pt>
                <c:pt idx="3">
                  <c:v>77</c:v>
                </c:pt>
                <c:pt idx="4">
                  <c:v>58</c:v>
                </c:pt>
                <c:pt idx="5">
                  <c:v>53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51</c:v>
                </c:pt>
                <c:pt idx="10">
                  <c:v>41</c:v>
                </c:pt>
                <c:pt idx="11">
                  <c:v>59</c:v>
                </c:pt>
                <c:pt idx="12">
                  <c:v>79</c:v>
                </c:pt>
                <c:pt idx="13">
                  <c:v>53</c:v>
                </c:pt>
                <c:pt idx="14">
                  <c:v>73</c:v>
                </c:pt>
                <c:pt idx="15">
                  <c:v>36</c:v>
                </c:pt>
                <c:pt idx="16">
                  <c:v>40</c:v>
                </c:pt>
                <c:pt idx="17">
                  <c:v>52</c:v>
                </c:pt>
                <c:pt idx="18">
                  <c:v>51</c:v>
                </c:pt>
                <c:pt idx="19">
                  <c:v>55</c:v>
                </c:pt>
                <c:pt idx="20">
                  <c:v>63</c:v>
                </c:pt>
                <c:pt idx="21">
                  <c:v>51</c:v>
                </c:pt>
                <c:pt idx="22">
                  <c:v>47</c:v>
                </c:pt>
                <c:pt idx="23">
                  <c:v>42</c:v>
                </c:pt>
                <c:pt idx="24">
                  <c:v>47</c:v>
                </c:pt>
                <c:pt idx="25">
                  <c:v>71</c:v>
                </c:pt>
                <c:pt idx="26">
                  <c:v>37</c:v>
                </c:pt>
                <c:pt idx="27">
                  <c:v>58</c:v>
                </c:pt>
                <c:pt idx="28">
                  <c:v>63</c:v>
                </c:pt>
                <c:pt idx="29">
                  <c:v>37</c:v>
                </c:pt>
                <c:pt idx="30">
                  <c:v>54</c:v>
                </c:pt>
                <c:pt idx="31">
                  <c:v>68</c:v>
                </c:pt>
                <c:pt idx="32">
                  <c:v>58</c:v>
                </c:pt>
                <c:pt idx="3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6-4478-A303-6B118779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482399"/>
        <c:axId val="1852470335"/>
      </c:scatterChart>
      <c:valAx>
        <c:axId val="185248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470335"/>
        <c:crosses val="autoZero"/>
        <c:crossBetween val="midCat"/>
      </c:valAx>
      <c:valAx>
        <c:axId val="185247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248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motrice/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BPS!$E$2:$E$36</c:f>
              <c:numCache>
                <c:formatCode>General</c:formatCode>
                <c:ptCount val="35"/>
                <c:pt idx="0">
                  <c:v>17</c:v>
                </c:pt>
                <c:pt idx="1">
                  <c:v>28</c:v>
                </c:pt>
                <c:pt idx="2">
                  <c:v>12</c:v>
                </c:pt>
                <c:pt idx="3">
                  <c:v>27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23</c:v>
                </c:pt>
                <c:pt idx="9">
                  <c:v>21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12</c:v>
                </c:pt>
                <c:pt idx="17">
                  <c:v>18</c:v>
                </c:pt>
                <c:pt idx="18">
                  <c:v>15</c:v>
                </c:pt>
                <c:pt idx="19">
                  <c:v>14</c:v>
                </c:pt>
                <c:pt idx="20">
                  <c:v>18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14</c:v>
                </c:pt>
                <c:pt idx="25">
                  <c:v>24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17</c:v>
                </c:pt>
                <c:pt idx="30">
                  <c:v>17</c:v>
                </c:pt>
                <c:pt idx="31">
                  <c:v>26</c:v>
                </c:pt>
                <c:pt idx="32">
                  <c:v>27</c:v>
                </c:pt>
                <c:pt idx="33">
                  <c:v>20</c:v>
                </c:pt>
              </c:numCache>
            </c:numRef>
          </c:xVal>
          <c:yVal>
            <c:numRef>
              <c:f>BPS!$P$2:$P$36</c:f>
              <c:numCache>
                <c:formatCode>General</c:formatCode>
                <c:ptCount val="35"/>
                <c:pt idx="0">
                  <c:v>-0.01</c:v>
                </c:pt>
                <c:pt idx="1">
                  <c:v>-7.0000000000000007E-2</c:v>
                </c:pt>
                <c:pt idx="2">
                  <c:v>0.02</c:v>
                </c:pt>
                <c:pt idx="4">
                  <c:v>0.04</c:v>
                </c:pt>
                <c:pt idx="5">
                  <c:v>-0.17</c:v>
                </c:pt>
                <c:pt idx="6">
                  <c:v>0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-0.05</c:v>
                </c:pt>
                <c:pt idx="10">
                  <c:v>-0.08</c:v>
                </c:pt>
                <c:pt idx="11">
                  <c:v>-0.19</c:v>
                </c:pt>
                <c:pt idx="12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2-4A98-A47E-191337EA7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794303"/>
        <c:axId val="1219795551"/>
      </c:scatterChart>
      <c:valAx>
        <c:axId val="121979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795551"/>
        <c:crosses val="autoZero"/>
        <c:crossBetween val="midCat"/>
      </c:valAx>
      <c:valAx>
        <c:axId val="1219795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979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RT/ CV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60520559930011"/>
                  <c:y val="-4.7522965879265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xVal>
          <c:yVal>
            <c:numRef>
              <c:f>BPS!$Q$2:$Q$36</c:f>
              <c:numCache>
                <c:formatCode>General</c:formatCode>
                <c:ptCount val="35"/>
                <c:pt idx="0">
                  <c:v>0.14000000000000001</c:v>
                </c:pt>
                <c:pt idx="1">
                  <c:v>0.22</c:v>
                </c:pt>
                <c:pt idx="2">
                  <c:v>0.17</c:v>
                </c:pt>
                <c:pt idx="4">
                  <c:v>0.28999999999999998</c:v>
                </c:pt>
                <c:pt idx="5">
                  <c:v>0.09</c:v>
                </c:pt>
                <c:pt idx="6">
                  <c:v>0.23</c:v>
                </c:pt>
                <c:pt idx="7">
                  <c:v>0.17</c:v>
                </c:pt>
                <c:pt idx="8">
                  <c:v>0.34</c:v>
                </c:pt>
                <c:pt idx="9">
                  <c:v>0.22</c:v>
                </c:pt>
                <c:pt idx="10">
                  <c:v>0.27</c:v>
                </c:pt>
                <c:pt idx="11">
                  <c:v>0.1</c:v>
                </c:pt>
                <c:pt idx="12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38-4612-B30B-08FFCD42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44143"/>
        <c:axId val="1672963279"/>
      </c:scatterChart>
      <c:valAx>
        <c:axId val="16729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963279"/>
        <c:crosses val="autoZero"/>
        <c:crossBetween val="midCat"/>
      </c:valAx>
      <c:valAx>
        <c:axId val="167296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9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RT/ Taplen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823053368328958"/>
                  <c:y val="-7.635972586759988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xVal>
          <c:yVal>
            <c:numRef>
              <c:f>BPS!$P$2:$P$36</c:f>
              <c:numCache>
                <c:formatCode>General</c:formatCode>
                <c:ptCount val="35"/>
                <c:pt idx="0">
                  <c:v>-0.01</c:v>
                </c:pt>
                <c:pt idx="1">
                  <c:v>-7.0000000000000007E-2</c:v>
                </c:pt>
                <c:pt idx="2">
                  <c:v>0.02</c:v>
                </c:pt>
                <c:pt idx="4">
                  <c:v>0.04</c:v>
                </c:pt>
                <c:pt idx="5">
                  <c:v>-0.17</c:v>
                </c:pt>
                <c:pt idx="6">
                  <c:v>0</c:v>
                </c:pt>
                <c:pt idx="7">
                  <c:v>-0.14000000000000001</c:v>
                </c:pt>
                <c:pt idx="8">
                  <c:v>-0.24</c:v>
                </c:pt>
                <c:pt idx="9">
                  <c:v>-0.05</c:v>
                </c:pt>
                <c:pt idx="10">
                  <c:v>-0.08</c:v>
                </c:pt>
                <c:pt idx="11">
                  <c:v>-0.19</c:v>
                </c:pt>
                <c:pt idx="12">
                  <c:v>-0.09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9-4F0A-9FB5-5C3D827B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849647"/>
        <c:axId val="1731847567"/>
      </c:scatterChart>
      <c:valAx>
        <c:axId val="173184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847567"/>
        <c:crosses val="autoZero"/>
        <c:crossBetween val="midCat"/>
      </c:valAx>
      <c:valAx>
        <c:axId val="173184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84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RT/ CV Go No 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948009623797024"/>
                  <c:y val="-0.267311898512685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xVal>
          <c:yVal>
            <c:numRef>
              <c:f>BPS!$K$2:$K$37</c:f>
              <c:numCache>
                <c:formatCode>General</c:formatCode>
                <c:ptCount val="36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0.12</c:v>
                </c:pt>
                <c:pt idx="5">
                  <c:v>0.27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E-48A7-A348-7D42E39C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402128"/>
        <c:axId val="475405872"/>
      </c:scatterChart>
      <c:valAx>
        <c:axId val="47540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405872"/>
        <c:crosses val="autoZero"/>
        <c:crossBetween val="midCat"/>
      </c:valAx>
      <c:valAx>
        <c:axId val="475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40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 CV Go</a:t>
            </a:r>
            <a:r>
              <a:rPr lang="fr-FR" baseline="0"/>
              <a:t> NoGo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737970253718286E-2"/>
                  <c:y val="-0.3582899533391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BPS!$K$2:$K$36</c:f>
              <c:numCache>
                <c:formatCode>General</c:formatCode>
                <c:ptCount val="3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0.18</c:v>
                </c:pt>
                <c:pt idx="4">
                  <c:v>0.12</c:v>
                </c:pt>
                <c:pt idx="5">
                  <c:v>0.27</c:v>
                </c:pt>
                <c:pt idx="6">
                  <c:v>0.06</c:v>
                </c:pt>
                <c:pt idx="7">
                  <c:v>0.08</c:v>
                </c:pt>
                <c:pt idx="8">
                  <c:v>0.11</c:v>
                </c:pt>
                <c:pt idx="9">
                  <c:v>7.0000000000000007E-2</c:v>
                </c:pt>
                <c:pt idx="10">
                  <c:v>0.06</c:v>
                </c:pt>
                <c:pt idx="11">
                  <c:v>0.28999999999999998</c:v>
                </c:pt>
                <c:pt idx="12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4-49AF-82BD-6FF8C6C2F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839615"/>
        <c:axId val="1742835871"/>
      </c:scatterChart>
      <c:valAx>
        <c:axId val="174283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35871"/>
        <c:crosses val="autoZero"/>
        <c:crossBetween val="midCat"/>
      </c:valAx>
      <c:valAx>
        <c:axId val="174283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2839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Perso!$D$2:$D$37</c:f>
              <c:numCache>
                <c:formatCode>General</c:formatCode>
                <c:ptCount val="36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0.9</c:v>
                </c:pt>
                <c:pt idx="3" formatCode="0.00">
                  <c:v>2.2727272727272731E-3</c:v>
                </c:pt>
                <c:pt idx="4" formatCode="0.00">
                  <c:v>0.8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0.9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0.6</c:v>
                </c:pt>
                <c:pt idx="27" formatCode="_(* #,##0.00_);_(* \(#,##0.00\);_(* &quot;-&quot;??_);_(@_)">
                  <c:v>0.3</c:v>
                </c:pt>
                <c:pt idx="28">
                  <c:v>0.6</c:v>
                </c:pt>
                <c:pt idx="29" formatCode="_-* #\ ##0.00\ _€_-;\-* #\ ##0.00\ _€_-;_-* &quot;-&quot;??\ _€_-;_-@_-">
                  <c:v>0.5</c:v>
                </c:pt>
                <c:pt idx="30" formatCode="_-* #\ ##0.00\ _€_-;\-* #\ ##0.00\ _€_-;_-* &quot;-&quot;??\ _€_-;_-@_-">
                  <c:v>0.5</c:v>
                </c:pt>
                <c:pt idx="31" formatCode="_-* #\ ##0.00\ _€_-;\-* #\ ##0.00\ _€_-;_-* &quot;-&quot;??\ _€_-;_-@_-">
                  <c:v>0.7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'BIS-10'!$C$2:$C$28</c:f>
              <c:numCache>
                <c:formatCode>General</c:formatCode>
                <c:ptCount val="27"/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34</c:v>
                </c:pt>
                <c:pt idx="5">
                  <c:v>26</c:v>
                </c:pt>
                <c:pt idx="6">
                  <c:v>13</c:v>
                </c:pt>
                <c:pt idx="7">
                  <c:v>15</c:v>
                </c:pt>
                <c:pt idx="8">
                  <c:v>20</c:v>
                </c:pt>
                <c:pt idx="9">
                  <c:v>22</c:v>
                </c:pt>
                <c:pt idx="10">
                  <c:v>17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11</c:v>
                </c:pt>
                <c:pt idx="18">
                  <c:v>16</c:v>
                </c:pt>
                <c:pt idx="19">
                  <c:v>25</c:v>
                </c:pt>
                <c:pt idx="20">
                  <c:v>14</c:v>
                </c:pt>
                <c:pt idx="21">
                  <c:v>23</c:v>
                </c:pt>
                <c:pt idx="22">
                  <c:v>22</c:v>
                </c:pt>
                <c:pt idx="23">
                  <c:v>10</c:v>
                </c:pt>
                <c:pt idx="24">
                  <c:v>22</c:v>
                </c:pt>
                <c:pt idx="25">
                  <c:v>20</c:v>
                </c:pt>
                <c:pt idx="26">
                  <c:v>25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Perso!$C$2:$C$37</c:f>
              <c:numCache>
                <c:formatCode>General</c:formatCode>
                <c:ptCount val="36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1.8181818181818184E-2</c:v>
                </c:pt>
                <c:pt idx="4" formatCode="0.00">
                  <c:v>0.3</c:v>
                </c:pt>
                <c:pt idx="5" formatCode="_(* #,##0.00_);_(* \(#,##0.00\);_(* &quot;-&quot;??_);_(@_)">
                  <c:v>0.5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0.44318181818181818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0.6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0.6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0.2</c:v>
                </c:pt>
                <c:pt idx="27" formatCode="_(* #,##0.00_);_(* \(#,##0.00\);_(* &quot;-&quot;??_);_(@_)">
                  <c:v>0.4</c:v>
                </c:pt>
                <c:pt idx="28">
                  <c:v>0.5</c:v>
                </c:pt>
                <c:pt idx="29" formatCode="_-* #\ ##0.00\ _€_-;\-* #\ ##0.00\ _€_-;_-* &quot;-&quot;??\ _€_-;_-@_-">
                  <c:v>0.7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0.4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Perso!$E$2:$E$37</c:f>
              <c:numCache>
                <c:formatCode>General</c:formatCode>
                <c:ptCount val="36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0.8</c:v>
                </c:pt>
                <c:pt idx="3" formatCode="0.00">
                  <c:v>3.2954545454545452E-2</c:v>
                </c:pt>
                <c:pt idx="4" formatCode="0.00">
                  <c:v>0.3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0.6</c:v>
                </c:pt>
                <c:pt idx="10" formatCode="0.00">
                  <c:v>0.89772727272727271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0.5</c:v>
                </c:pt>
                <c:pt idx="13" formatCode="_(* #,##0.00_);_(* \(#,##0.00\);_(* &quot;-&quot;??_);_(@_)">
                  <c:v>0.8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0.9</c:v>
                </c:pt>
                <c:pt idx="16" formatCode="_(* #,##0.00_);_(* \(#,##0.00\);_(* &quot;-&quot;??_);_(@_)">
                  <c:v>0.4</c:v>
                </c:pt>
                <c:pt idx="17">
                  <c:v>0.9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0.8</c:v>
                </c:pt>
                <c:pt idx="20" formatCode="_(* #,##0.00_);_(* \(#,##0.00\);_(* &quot;-&quot;??_);_(@_)">
                  <c:v>0.9</c:v>
                </c:pt>
                <c:pt idx="21">
                  <c:v>0.7</c:v>
                </c:pt>
                <c:pt idx="22" formatCode="_(* #,##0.00_);_(* \(#,##0.00\);_(* &quot;-&quot;??_);_(@_)">
                  <c:v>0.7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0.8</c:v>
                </c:pt>
                <c:pt idx="28">
                  <c:v>0.4</c:v>
                </c:pt>
                <c:pt idx="29" formatCode="_-* #\ ##0.00\ _€_-;\-* #\ ##0.00\ _€_-;_-* &quot;-&quot;??\ _€_-;_-@_-">
                  <c:v>0.8</c:v>
                </c:pt>
                <c:pt idx="30" formatCode="_-* #\ ##0.00\ _€_-;\-* #\ ##0.00\ _€_-;_-* &quot;-&quot;??\ _€_-;_-@_-">
                  <c:v>0.2</c:v>
                </c:pt>
                <c:pt idx="31" formatCode="_-* #\ ##0.00\ _€_-;\-* #\ ##0.00\ _€_-;_-* &quot;-&quot;??\ _€_-;_-@_-">
                  <c:v>0.8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Perso!$H$2:$H$37</c:f>
              <c:numCache>
                <c:formatCode>General</c:formatCode>
                <c:ptCount val="36"/>
                <c:pt idx="0">
                  <c:v>0.5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3.6363636363636369E-2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0.2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0.6</c:v>
                </c:pt>
                <c:pt idx="10" formatCode="0.00">
                  <c:v>0.22727272727272727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0.5</c:v>
                </c:pt>
                <c:pt idx="16" formatCode="_(* #,##0.00_);_(* \(#,##0.00\);_(* &quot;-&quot;??_);_(@_)">
                  <c:v>0.7</c:v>
                </c:pt>
                <c:pt idx="17">
                  <c:v>0.3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0.3</c:v>
                </c:pt>
                <c:pt idx="22" formatCode="_(* #,##0.00_);_(* \(#,##0.00\);_(* &quot;-&quot;??_);_(@_)">
                  <c:v>0.2</c:v>
                </c:pt>
                <c:pt idx="23">
                  <c:v>0.9</c:v>
                </c:pt>
                <c:pt idx="24">
                  <c:v>0.7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0.2</c:v>
                </c:pt>
                <c:pt idx="28">
                  <c:v>0.7</c:v>
                </c:pt>
                <c:pt idx="29" formatCode="_-* #\ ##0.00\ _€_-;\-* #\ ##0.00\ _€_-;_-* &quot;-&quot;??\ _€_-;_-@_-">
                  <c:v>0.8</c:v>
                </c:pt>
                <c:pt idx="30" formatCode="_-* #\ ##0.00\ _€_-;\-* #\ ##0.00\ _€_-;_-* &quot;-&quot;??\ _€_-;_-@_-">
                  <c:v>0.5</c:v>
                </c:pt>
                <c:pt idx="31" formatCode="_-* #\ ##0.00\ _€_-;\-* #\ ##0.00\ _€_-;_-* &quot;-&quot;??\ _€_-;_-@_-">
                  <c:v>0.6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Perso!$G$2:$G$37</c:f>
              <c:numCache>
                <c:formatCode>General</c:formatCode>
                <c:ptCount val="36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8.6363636363636365E-2</c:v>
                </c:pt>
                <c:pt idx="4" formatCode="0.00">
                  <c:v>0.6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0.4</c:v>
                </c:pt>
                <c:pt idx="10" formatCode="0.00">
                  <c:v>0.85227272727272729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0.1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0.6</c:v>
                </c:pt>
                <c:pt idx="21">
                  <c:v>0.6</c:v>
                </c:pt>
                <c:pt idx="22" formatCode="_(* #,##0.00_);_(* \(#,##0.00\);_(* &quot;-&quot;??_);_(@_)">
                  <c:v>0.9</c:v>
                </c:pt>
                <c:pt idx="23">
                  <c:v>0.6</c:v>
                </c:pt>
                <c:pt idx="24">
                  <c:v>0.3</c:v>
                </c:pt>
                <c:pt idx="25" formatCode="_(* #,##0.00_);_(* \(#,##0.00\);_(* &quot;-&quot;??_);_(@_)">
                  <c:v>0.8</c:v>
                </c:pt>
                <c:pt idx="26">
                  <c:v>0.6</c:v>
                </c:pt>
                <c:pt idx="27" formatCode="_(* #,##0.00_);_(* \(#,##0.00\);_(* &quot;-&quot;??_);_(@_)">
                  <c:v>0.7</c:v>
                </c:pt>
                <c:pt idx="28">
                  <c:v>0.4</c:v>
                </c:pt>
                <c:pt idx="29" formatCode="_-* #\ ##0.00\ _€_-;\-* #\ ##0.00\ _€_-;_-* &quot;-&quot;??\ _€_-;_-@_-">
                  <c:v>0.4</c:v>
                </c:pt>
                <c:pt idx="30" formatCode="_-* #\ ##0.00\ _€_-;\-* #\ ##0.00\ _€_-;_-* &quot;-&quot;??\ _€_-;_-@_-">
                  <c:v>0.4</c:v>
                </c:pt>
                <c:pt idx="31" formatCode="_-* #\ ##0.00\ _€_-;\-* #\ ##0.00\ _€_-;_-* &quot;-&quot;??\ _€_-;_-@_-">
                  <c:v>0.7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Perso!$I$3:$I$23</c:f>
              <c:numCache>
                <c:formatCode>_(* #,##0.00_);_(* \(#,##0.00\);_(* "-"??_);_(@_)</c:formatCode>
                <c:ptCount val="21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 formatCode="0.00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0.9</c:v>
                </c:pt>
                <c:pt idx="9" formatCode="0.00">
                  <c:v>0.52272727272727271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0.7</c:v>
                </c:pt>
                <c:pt idx="14">
                  <c:v>0.8</c:v>
                </c:pt>
                <c:pt idx="15">
                  <c:v>0.8</c:v>
                </c:pt>
                <c:pt idx="16" formatCode="General">
                  <c:v>0.9</c:v>
                </c:pt>
                <c:pt idx="17">
                  <c:v>0.8</c:v>
                </c:pt>
                <c:pt idx="18">
                  <c:v>0.4</c:v>
                </c:pt>
                <c:pt idx="19">
                  <c:v>0.4</c:v>
                </c:pt>
                <c:pt idx="20" formatCode="General">
                  <c:v>0.6</c:v>
                </c:pt>
              </c:numCache>
            </c:numRef>
          </c:xVal>
          <c:yVal>
            <c:numRef>
              <c:f>Perso!$Z$3:$Z$23</c:f>
              <c:numCache>
                <c:formatCode>General</c:formatCode>
                <c:ptCount val="21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Perso!$J$2:$J$37</c:f>
              <c:numCache>
                <c:formatCode>General</c:formatCode>
                <c:ptCount val="36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0.7</c:v>
                </c:pt>
                <c:pt idx="3" formatCode="0.00">
                  <c:v>5.2272727272727269E-2</c:v>
                </c:pt>
                <c:pt idx="4" formatCode="0.00">
                  <c:v>0.3</c:v>
                </c:pt>
                <c:pt idx="5" formatCode="_(* #,##0.00_);_(* \(#,##0.00\);_(* &quot;-&quot;??_);_(@_)">
                  <c:v>0.9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0.78409090909090906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0.1</c:v>
                </c:pt>
                <c:pt idx="17">
                  <c:v>0.1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0.3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0.5</c:v>
                </c:pt>
                <c:pt idx="25" formatCode="_(* #,##0.00_);_(* \(#,##0.00\);_(* &quot;-&quot;??_);_(@_)">
                  <c:v>0.6</c:v>
                </c:pt>
                <c:pt idx="26">
                  <c:v>0.5</c:v>
                </c:pt>
                <c:pt idx="27" formatCode="_(* #,##0.00_);_(* \(#,##0.00\);_(* &quot;-&quot;??_);_(@_)">
                  <c:v>0.6</c:v>
                </c:pt>
                <c:pt idx="28">
                  <c:v>0.2</c:v>
                </c:pt>
                <c:pt idx="29" formatCode="_-* #\ ##0.00\ _€_-;\-* #\ ##0.00\ _€_-;_-* &quot;-&quot;??\ _€_-;_-@_-">
                  <c:v>0.9</c:v>
                </c:pt>
                <c:pt idx="30" formatCode="_-* #\ ##0.00\ _€_-;\-* #\ ##0.00\ _€_-;_-* &quot;-&quot;??\ _€_-;_-@_-">
                  <c:v>0.5</c:v>
                </c:pt>
                <c:pt idx="31" formatCode="_-* #\ ##0.00\ _€_-;\-* #\ ##0.00\ _€_-;_-* &quot;-&quot;??\ _€_-;_-@_-">
                  <c:v>0.5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Perso!$K$2:$K$37</c:f>
              <c:numCache>
                <c:formatCode>General</c:formatCode>
                <c:ptCount val="36"/>
                <c:pt idx="0">
                  <c:v>0.7</c:v>
                </c:pt>
                <c:pt idx="1">
                  <c:v>0.7</c:v>
                </c:pt>
                <c:pt idx="2" formatCode="_(* #,##0.00_);_(* \(#,##0.00\);_(* &quot;-&quot;??_);_(@_)">
                  <c:v>0.2</c:v>
                </c:pt>
                <c:pt idx="3" formatCode="0.00">
                  <c:v>5.3409090909090913E-2</c:v>
                </c:pt>
                <c:pt idx="4" formatCode="0.00">
                  <c:v>0.5</c:v>
                </c:pt>
                <c:pt idx="5" formatCode="_(* #,##0.00_);_(* \(#,##0.00\);_(* &quot;-&quot;??_);_(@_)">
                  <c:v>0.7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0.5</c:v>
                </c:pt>
                <c:pt idx="8" formatCode="_(* #,##0.00_);_(* \(#,##0.00\);_(* &quot;-&quot;??_);_(@_)">
                  <c:v>0.8</c:v>
                </c:pt>
                <c:pt idx="9" formatCode="_(* #,##0.00_);_(* \(#,##0.00\);_(* &quot;-&quot;??_);_(@_)">
                  <c:v>0.4</c:v>
                </c:pt>
                <c:pt idx="10" formatCode="0.00">
                  <c:v>0.25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0.7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0.8</c:v>
                </c:pt>
                <c:pt idx="17">
                  <c:v>1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0.7</c:v>
                </c:pt>
                <c:pt idx="20" formatCode="_(* #,##0.00_);_(* \(#,##0.00\);_(* &quot;-&quot;??_);_(@_)">
                  <c:v>0.3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0.5</c:v>
                </c:pt>
                <c:pt idx="25" formatCode="_(* #,##0.00_);_(* \(#,##0.00\);_(* &quot;-&quot;??_);_(@_)">
                  <c:v>0.7</c:v>
                </c:pt>
                <c:pt idx="26">
                  <c:v>0.5</c:v>
                </c:pt>
                <c:pt idx="27" formatCode="_(* #,##0.00_);_(* \(#,##0.00\);_(* &quot;-&quot;??_);_(@_)">
                  <c:v>0.3</c:v>
                </c:pt>
                <c:pt idx="28">
                  <c:v>0.6</c:v>
                </c:pt>
                <c:pt idx="29" formatCode="_-* #\ ##0.00\ _€_-;\-* #\ ##0.00\ _€_-;_-* &quot;-&quot;??\ _€_-;_-@_-">
                  <c:v>0.6</c:v>
                </c:pt>
                <c:pt idx="30" formatCode="_-* #\ ##0.00\ _€_-;\-* #\ ##0.00\ _€_-;_-* &quot;-&quot;??\ _€_-;_-@_-">
                  <c:v>0.1</c:v>
                </c:pt>
                <c:pt idx="31" formatCode="_-* #\ ##0.00\ _€_-;\-* #\ ##0.00\ _€_-;_-* &quot;-&quot;??\ _€_-;_-@_-">
                  <c:v>0.4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Perso!$L$2:$L$37</c:f>
              <c:numCache>
                <c:formatCode>General</c:formatCode>
                <c:ptCount val="36"/>
                <c:pt idx="0">
                  <c:v>0.5</c:v>
                </c:pt>
                <c:pt idx="1">
                  <c:v>0.6</c:v>
                </c:pt>
                <c:pt idx="2" formatCode="_(* #,##0.00_);_(* \(#,##0.00\);_(* &quot;-&quot;??_);_(@_)">
                  <c:v>0.3</c:v>
                </c:pt>
                <c:pt idx="3" formatCode="0.00">
                  <c:v>8.2954545454545447E-2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0.5</c:v>
                </c:pt>
                <c:pt idx="9" formatCode="_(* #,##0.00_);_(* \(#,##0.00\);_(* &quot;-&quot;??_);_(@_)">
                  <c:v>0.7</c:v>
                </c:pt>
                <c:pt idx="10" formatCode="0.00">
                  <c:v>0.23863636363636365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0.8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0.3</c:v>
                </c:pt>
                <c:pt idx="21">
                  <c:v>0.5</c:v>
                </c:pt>
                <c:pt idx="22" formatCode="_(* #,##0.00_);_(* \(#,##0.00\);_(* &quot;-&quot;??_);_(@_)">
                  <c:v>0.6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  <c:pt idx="28">
                  <c:v>0.9</c:v>
                </c:pt>
                <c:pt idx="29" formatCode="_-* #\ ##0.00\ _€_-;\-* #\ ##0.00\ _€_-;_-* &quot;-&quot;??\ _€_-;_-@_-">
                  <c:v>0.5</c:v>
                </c:pt>
                <c:pt idx="30" formatCode="_-* #\ ##0.00\ _€_-;\-* #\ ##0.00\ _€_-;_-* &quot;-&quot;??\ _€_-;_-@_-">
                  <c:v>0.2</c:v>
                </c:pt>
                <c:pt idx="31" formatCode="_-* #\ ##0.00\ _€_-;\-* #\ ##0.00\ _€_-;_-* &quot;-&quot;??\ _€_-;_-@_-">
                  <c:v>0.7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Perso!$M$2:$M$37</c:f>
              <c:numCache>
                <c:formatCode>General</c:formatCode>
                <c:ptCount val="36"/>
                <c:pt idx="0">
                  <c:v>0.4</c:v>
                </c:pt>
                <c:pt idx="1">
                  <c:v>0.3</c:v>
                </c:pt>
                <c:pt idx="2" formatCode="_(* #,##0.00_);_(* \(#,##0.00\);_(* &quot;-&quot;??_);_(@_)">
                  <c:v>0.3</c:v>
                </c:pt>
                <c:pt idx="3" formatCode="0.00">
                  <c:v>7.6136363636363641E-2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0.375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0.1</c:v>
                </c:pt>
                <c:pt idx="16" formatCode="_(* #,##0.00_);_(* \(#,##0.00\);_(* &quot;-&quot;??_);_(@_)">
                  <c:v>0.4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0.1</c:v>
                </c:pt>
                <c:pt idx="21">
                  <c:v>0.5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0.2</c:v>
                </c:pt>
                <c:pt idx="25" formatCode="_(* #,##0.00_);_(* \(#,##0.00\);_(* &quot;-&quot;??_);_(@_)">
                  <c:v>0.5</c:v>
                </c:pt>
                <c:pt idx="26">
                  <c:v>0.1</c:v>
                </c:pt>
                <c:pt idx="27" formatCode="_(* #,##0.00_);_(* \(#,##0.00\);_(* &quot;-&quot;??_);_(@_)">
                  <c:v>0.4</c:v>
                </c:pt>
                <c:pt idx="28">
                  <c:v>0.3</c:v>
                </c:pt>
                <c:pt idx="29" formatCode="_-* #\ ##0.00\ _€_-;\-* #\ ##0.00\ _€_-;_-* &quot;-&quot;??\ _€_-;_-@_-">
                  <c:v>0.4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0.3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Perso!$N$2:$N$37</c:f>
              <c:numCache>
                <c:formatCode>General</c:formatCode>
                <c:ptCount val="36"/>
                <c:pt idx="0">
                  <c:v>0.1</c:v>
                </c:pt>
                <c:pt idx="1">
                  <c:v>0.4</c:v>
                </c:pt>
                <c:pt idx="2" formatCode="_(* #,##0.00_);_(* \(#,##0.00\);_(* &quot;-&quot;??_);_(@_)">
                  <c:v>0.7</c:v>
                </c:pt>
                <c:pt idx="3" formatCode="0.00">
                  <c:v>7.7272727272727271E-2</c:v>
                </c:pt>
                <c:pt idx="4" formatCode="0.00">
                  <c:v>0.3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0.71590909090909094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0.2</c:v>
                </c:pt>
                <c:pt idx="17">
                  <c:v>0.1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0.1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0.3</c:v>
                </c:pt>
                <c:pt idx="24">
                  <c:v>0.8</c:v>
                </c:pt>
                <c:pt idx="25" formatCode="_(* #,##0.00_);_(* \(#,##0.00\);_(* &quot;-&quot;??_);_(@_)">
                  <c:v>0.8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  <c:pt idx="28">
                  <c:v>0.2</c:v>
                </c:pt>
                <c:pt idx="29" formatCode="_-* #\ ##0.00\ _€_-;\-* #\ ##0.00\ _€_-;_-* &quot;-&quot;??\ _€_-;_-@_-">
                  <c:v>0.5</c:v>
                </c:pt>
                <c:pt idx="30" formatCode="_-* #\ ##0.00\ _€_-;\-* #\ ##0.00\ _€_-;_-* &quot;-&quot;??\ _€_-;_-@_-">
                  <c:v>0.4</c:v>
                </c:pt>
                <c:pt idx="31" formatCode="_-* #\ ##0.00\ _€_-;\-* #\ ##0.00\ _€_-;_-* &quot;-&quot;??\ _€_-;_-@_-">
                  <c:v>0.3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'BIS-10'!$D$2:$D$28</c:f>
              <c:numCache>
                <c:formatCode>General</c:formatCode>
                <c:ptCount val="27"/>
                <c:pt idx="1">
                  <c:v>22</c:v>
                </c:pt>
                <c:pt idx="2">
                  <c:v>24</c:v>
                </c:pt>
                <c:pt idx="3">
                  <c:v>23</c:v>
                </c:pt>
                <c:pt idx="4">
                  <c:v>24</c:v>
                </c:pt>
                <c:pt idx="5">
                  <c:v>20</c:v>
                </c:pt>
                <c:pt idx="6">
                  <c:v>10</c:v>
                </c:pt>
                <c:pt idx="7">
                  <c:v>13</c:v>
                </c:pt>
                <c:pt idx="8">
                  <c:v>14</c:v>
                </c:pt>
                <c:pt idx="9">
                  <c:v>22</c:v>
                </c:pt>
                <c:pt idx="10">
                  <c:v>19</c:v>
                </c:pt>
                <c:pt idx="11">
                  <c:v>23</c:v>
                </c:pt>
                <c:pt idx="12">
                  <c:v>24</c:v>
                </c:pt>
                <c:pt idx="13">
                  <c:v>19</c:v>
                </c:pt>
                <c:pt idx="14">
                  <c:v>14</c:v>
                </c:pt>
                <c:pt idx="15">
                  <c:v>26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22</c:v>
                </c:pt>
                <c:pt idx="20">
                  <c:v>5</c:v>
                </c:pt>
                <c:pt idx="21">
                  <c:v>14</c:v>
                </c:pt>
                <c:pt idx="22">
                  <c:v>20</c:v>
                </c:pt>
                <c:pt idx="23">
                  <c:v>10</c:v>
                </c:pt>
                <c:pt idx="24">
                  <c:v>15</c:v>
                </c:pt>
                <c:pt idx="25">
                  <c:v>22</c:v>
                </c:pt>
                <c:pt idx="26">
                  <c:v>6</c:v>
                </c:pt>
              </c:numCache>
            </c:numRef>
          </c:xVal>
          <c:yVal>
            <c:numRef>
              <c:f>'BIS-10'!$F$2:$F$28</c:f>
              <c:numCache>
                <c:formatCode>General</c:formatCode>
                <c:ptCount val="27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  <c:pt idx="26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Perso!$O$2:$O$37</c:f>
              <c:numCache>
                <c:formatCode>General</c:formatCode>
                <c:ptCount val="36"/>
                <c:pt idx="0">
                  <c:v>0.2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2.8409090909090908E-2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0.6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0.5</c:v>
                </c:pt>
                <c:pt idx="10" formatCode="0.00">
                  <c:v>0.43181818181818182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0.6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0.4</c:v>
                </c:pt>
                <c:pt idx="21">
                  <c:v>0.8</c:v>
                </c:pt>
                <c:pt idx="22" formatCode="_(* #,##0.00_);_(* \(#,##0.00\);_(* &quot;-&quot;??_);_(@_)">
                  <c:v>0.7</c:v>
                </c:pt>
                <c:pt idx="23">
                  <c:v>0.8</c:v>
                </c:pt>
                <c:pt idx="24">
                  <c:v>0.3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0.7</c:v>
                </c:pt>
                <c:pt idx="28">
                  <c:v>0.4</c:v>
                </c:pt>
                <c:pt idx="29" formatCode="_-* #\ ##0.00\ _€_-;\-* #\ ##0.00\ _€_-;_-* &quot;-&quot;??\ _€_-;_-@_-">
                  <c:v>0.6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Perso!$P$2:$P$37</c:f>
              <c:numCache>
                <c:formatCode>General</c:formatCode>
                <c:ptCount val="36"/>
                <c:pt idx="0">
                  <c:v>0.4</c:v>
                </c:pt>
                <c:pt idx="1">
                  <c:v>0.7</c:v>
                </c:pt>
                <c:pt idx="2" formatCode="_(* #,##0.00_);_(* \(#,##0.00\);_(* &quot;-&quot;??_);_(@_)">
                  <c:v>0.4</c:v>
                </c:pt>
                <c:pt idx="3" formatCode="0.00">
                  <c:v>3.2954545454545452E-2</c:v>
                </c:pt>
                <c:pt idx="4" formatCode="0.00">
                  <c:v>0.6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0.8</c:v>
                </c:pt>
                <c:pt idx="10" formatCode="0.00">
                  <c:v>0.39772727272727271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0.6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0.7</c:v>
                </c:pt>
                <c:pt idx="18" formatCode="_(* #,##0.00_);_(* \(#,##0.00\);_(* &quot;-&quot;??_);_(@_)">
                  <c:v>0.5</c:v>
                </c:pt>
                <c:pt idx="19" formatCode="_(* #,##0.00_);_(* \(#,##0.00\);_(* &quot;-&quot;??_);_(@_)">
                  <c:v>0.4</c:v>
                </c:pt>
                <c:pt idx="20" formatCode="_(* #,##0.00_);_(* \(#,##0.00\);_(* &quot;-&quot;??_);_(@_)">
                  <c:v>0.4</c:v>
                </c:pt>
                <c:pt idx="21">
                  <c:v>0.4</c:v>
                </c:pt>
                <c:pt idx="22" formatCode="_(* #,##0.00_);_(* \(#,##0.00\);_(* &quot;-&quot;??_);_(@_)">
                  <c:v>0.5</c:v>
                </c:pt>
                <c:pt idx="23">
                  <c:v>0.8</c:v>
                </c:pt>
                <c:pt idx="24">
                  <c:v>0.5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0.2</c:v>
                </c:pt>
                <c:pt idx="28">
                  <c:v>0.5</c:v>
                </c:pt>
                <c:pt idx="29" formatCode="_-* #\ ##0.00\ _€_-;\-* #\ ##0.00\ _€_-;_-* &quot;-&quot;??\ _€_-;_-@_-">
                  <c:v>0.7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0.4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Perso!$Q$2:$Q$37</c:f>
              <c:numCache>
                <c:formatCode>General</c:formatCode>
                <c:ptCount val="36"/>
                <c:pt idx="0">
                  <c:v>0.5</c:v>
                </c:pt>
                <c:pt idx="1">
                  <c:v>0.7</c:v>
                </c:pt>
                <c:pt idx="2" formatCode="_(* #,##0.00_);_(* \(#,##0.00\);_(* &quot;-&quot;??_);_(@_)">
                  <c:v>0.7</c:v>
                </c:pt>
                <c:pt idx="3" formatCode="0.00">
                  <c:v>4.2045454545454546E-2</c:v>
                </c:pt>
                <c:pt idx="4" formatCode="0.00">
                  <c:v>0.8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0.7</c:v>
                </c:pt>
                <c:pt idx="9" formatCode="_(* #,##0.00_);_(* \(#,##0.00\);_(* &quot;-&quot;??_);_(@_)">
                  <c:v>0.9</c:v>
                </c:pt>
                <c:pt idx="10" formatCode="0.00">
                  <c:v>0.48863636363636365</c:v>
                </c:pt>
                <c:pt idx="11" formatCode="_(* #,##0.00_);_(* \(#,##0.00\);_(* &quot;-&quot;??_);_(@_)">
                  <c:v>0.5</c:v>
                </c:pt>
                <c:pt idx="12" formatCode="_(* #,##0.00_);_(* \(#,##0.00\);_(* &quot;-&quot;??_);_(@_)">
                  <c:v>0.8</c:v>
                </c:pt>
                <c:pt idx="13" formatCode="_(* #,##0.00_);_(* \(#,##0.00\);_(* &quot;-&quot;??_);_(@_)">
                  <c:v>0.9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0.8</c:v>
                </c:pt>
                <c:pt idx="16" formatCode="_(* #,##0.00_);_(* \(#,##0.00\);_(* &quot;-&quot;??_);_(@_)">
                  <c:v>0.7</c:v>
                </c:pt>
                <c:pt idx="17">
                  <c:v>1</c:v>
                </c:pt>
                <c:pt idx="18" formatCode="_(* #,##0.00_);_(* \(#,##0.00\);_(* &quot;-&quot;??_);_(@_)">
                  <c:v>0.6</c:v>
                </c:pt>
                <c:pt idx="19" formatCode="_(* #,##0.00_);_(* \(#,##0.00\);_(* &quot;-&quot;??_);_(@_)">
                  <c:v>0.6</c:v>
                </c:pt>
                <c:pt idx="20" formatCode="_(* #,##0.00_);_(* \(#,##0.00\);_(* &quot;-&quot;??_);_(@_)">
                  <c:v>0.8</c:v>
                </c:pt>
                <c:pt idx="21">
                  <c:v>0.6</c:v>
                </c:pt>
                <c:pt idx="22" formatCode="_(* #,##0.00_);_(* \(#,##0.00\);_(* &quot;-&quot;??_);_(@_)">
                  <c:v>0.4</c:v>
                </c:pt>
                <c:pt idx="23">
                  <c:v>0.9</c:v>
                </c:pt>
                <c:pt idx="24">
                  <c:v>0.9</c:v>
                </c:pt>
                <c:pt idx="25" formatCode="_(* #,##0.00_);_(* \(#,##0.00\);_(* &quot;-&quot;??_);_(@_)">
                  <c:v>0.6</c:v>
                </c:pt>
                <c:pt idx="26">
                  <c:v>0.9</c:v>
                </c:pt>
                <c:pt idx="27" formatCode="_(* #,##0.00_);_(* \(#,##0.00\);_(* &quot;-&quot;??_);_(@_)">
                  <c:v>0.6</c:v>
                </c:pt>
                <c:pt idx="28">
                  <c:v>0.7</c:v>
                </c:pt>
                <c:pt idx="29" formatCode="_-* #\ ##0.00\ _€_-;\-* #\ ##0.00\ _€_-;_-* &quot;-&quot;??\ _€_-;_-@_-">
                  <c:v>0.9</c:v>
                </c:pt>
                <c:pt idx="30" formatCode="_-* #\ ##0.00\ _€_-;\-* #\ ##0.00\ _€_-;_-* &quot;-&quot;??\ _€_-;_-@_-">
                  <c:v>0.6</c:v>
                </c:pt>
                <c:pt idx="31" formatCode="_-* #\ ##0.00\ _€_-;\-* #\ ##0.00\ _€_-;_-* &quot;-&quot;??\ _€_-;_-@_-">
                  <c:v>0.8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Perso!$R$2:$R$37</c:f>
              <c:numCache>
                <c:formatCode>General</c:formatCode>
                <c:ptCount val="36"/>
                <c:pt idx="0">
                  <c:v>0.1</c:v>
                </c:pt>
                <c:pt idx="1">
                  <c:v>0.6</c:v>
                </c:pt>
                <c:pt idx="2" formatCode="_(* #,##0.00_);_(* \(#,##0.00\);_(* &quot;-&quot;??_);_(@_)">
                  <c:v>0.2</c:v>
                </c:pt>
                <c:pt idx="3" formatCode="0.00">
                  <c:v>3.4090909090909088E-2</c:v>
                </c:pt>
                <c:pt idx="4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0.5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0.20454545454545456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0.4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0.6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0.3</c:v>
                </c:pt>
                <c:pt idx="19" formatCode="_(* #,##0.00_);_(* \(#,##0.00\);_(* &quot;-&quot;??_);_(@_)">
                  <c:v>0.3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0.4</c:v>
                </c:pt>
                <c:pt idx="23">
                  <c:v>0.2</c:v>
                </c:pt>
                <c:pt idx="24">
                  <c:v>0.3</c:v>
                </c:pt>
                <c:pt idx="25" formatCode="_(* #,##0.00_);_(* \(#,##0.00\);_(* &quot;-&quot;??_);_(@_)">
                  <c:v>0.4</c:v>
                </c:pt>
                <c:pt idx="26">
                  <c:v>0.4</c:v>
                </c:pt>
                <c:pt idx="27" formatCode="_(* #,##0.00_);_(* \(#,##0.00\);_(* &quot;-&quot;??_);_(@_)">
                  <c:v>0.4</c:v>
                </c:pt>
                <c:pt idx="28">
                  <c:v>0.2</c:v>
                </c:pt>
                <c:pt idx="29" formatCode="_-* #\ ##0.00\ _€_-;\-* #\ ##0.00\ _€_-;_-* &quot;-&quot;??\ _€_-;_-@_-">
                  <c:v>0.5</c:v>
                </c:pt>
                <c:pt idx="30" formatCode="_-* #\ ##0.00\ _€_-;\-* #\ ##0.00\ _€_-;_-* &quot;-&quot;??\ _€_-;_-@_-">
                  <c:v>0.4</c:v>
                </c:pt>
                <c:pt idx="31" formatCode="_-* #\ ##0.00\ _€_-;\-* #\ ##0.00\ _€_-;_-* &quot;-&quot;??\ _€_-;_-@_-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Perso!$S$2:$S$37</c:f>
              <c:numCache>
                <c:formatCode>General</c:formatCode>
                <c:ptCount val="36"/>
                <c:pt idx="0">
                  <c:v>0.8</c:v>
                </c:pt>
                <c:pt idx="1">
                  <c:v>0.8</c:v>
                </c:pt>
                <c:pt idx="2" formatCode="_(* #,##0.00_);_(* \(#,##0.00\);_(* &quot;-&quot;??_);_(@_)">
                  <c:v>1</c:v>
                </c:pt>
                <c:pt idx="3" formatCode="0.00">
                  <c:v>9.6590909090909088E-2</c:v>
                </c:pt>
                <c:pt idx="4" formatCode="0.00">
                  <c:v>0.6</c:v>
                </c:pt>
                <c:pt idx="5" formatCode="_(* #,##0.00_);_(* \(#,##0.00\);_(* &quot;-&quot;??_);_(@_)">
                  <c:v>1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0.9</c:v>
                </c:pt>
                <c:pt idx="8" formatCode="_(* #,##0.00_);_(* \(#,##0.00\);_(* &quot;-&quot;??_);_(@_)">
                  <c:v>1</c:v>
                </c:pt>
                <c:pt idx="9" formatCode="_(* #,##0.00_);_(* \(#,##0.00\);_(* &quot;-&quot;??_);_(@_)">
                  <c:v>1</c:v>
                </c:pt>
                <c:pt idx="10" formatCode="0.00">
                  <c:v>0.40909090909090912</c:v>
                </c:pt>
                <c:pt idx="11" formatCode="_(* #,##0.00_);_(* \(#,##0.00\);_(* &quot;-&quot;??_);_(@_)">
                  <c:v>0.9</c:v>
                </c:pt>
                <c:pt idx="12" formatCode="_(* #,##0.00_);_(* \(#,##0.00\);_(* &quot;-&quot;??_);_(@_)">
                  <c:v>0.9</c:v>
                </c:pt>
                <c:pt idx="13" formatCode="_(* #,##0.00_);_(* \(#,##0.00\);_(* &quot;-&quot;??_);_(@_)">
                  <c:v>0.6</c:v>
                </c:pt>
                <c:pt idx="14" formatCode="_(* #,##0.00_);_(* \(#,##0.00\);_(* &quot;-&quot;??_);_(@_)">
                  <c:v>0.9</c:v>
                </c:pt>
                <c:pt idx="15" formatCode="_(* #,##0.00_);_(* \(#,##0.00\);_(* &quot;-&quot;??_);_(@_)">
                  <c:v>1</c:v>
                </c:pt>
                <c:pt idx="16" formatCode="_(* #,##0.00_);_(* \(#,##0.00\);_(* &quot;-&quot;??_);_(@_)">
                  <c:v>1</c:v>
                </c:pt>
                <c:pt idx="17">
                  <c:v>0.9</c:v>
                </c:pt>
                <c:pt idx="18" formatCode="_(* #,##0.00_);_(* \(#,##0.00\);_(* &quot;-&quot;??_);_(@_)">
                  <c:v>0.8</c:v>
                </c:pt>
                <c:pt idx="19" formatCode="_(* #,##0.00_);_(* \(#,##0.00\);_(* &quot;-&quot;??_);_(@_)">
                  <c:v>1</c:v>
                </c:pt>
                <c:pt idx="20" formatCode="_(* #,##0.00_);_(* \(#,##0.00\);_(* &quot;-&quot;??_);_(@_)">
                  <c:v>0.9</c:v>
                </c:pt>
                <c:pt idx="21">
                  <c:v>0.6</c:v>
                </c:pt>
                <c:pt idx="22" formatCode="_(* #,##0.00_);_(* \(#,##0.00\);_(* &quot;-&quot;??_);_(@_)">
                  <c:v>0.7</c:v>
                </c:pt>
                <c:pt idx="23">
                  <c:v>0.2</c:v>
                </c:pt>
                <c:pt idx="24">
                  <c:v>0.5</c:v>
                </c:pt>
                <c:pt idx="25" formatCode="_(* #,##0.00_);_(* \(#,##0.00\);_(* &quot;-&quot;??_);_(@_)">
                  <c:v>0.9</c:v>
                </c:pt>
                <c:pt idx="26">
                  <c:v>0.8</c:v>
                </c:pt>
                <c:pt idx="27" formatCode="_(* #,##0.00_);_(* \(#,##0.00\);_(* &quot;-&quot;??_);_(@_)">
                  <c:v>0.5</c:v>
                </c:pt>
                <c:pt idx="28">
                  <c:v>0.9</c:v>
                </c:pt>
                <c:pt idx="29" formatCode="_-* #\ ##0.00\ _€_-;\-* #\ ##0.00\ _€_-;_-* &quot;-&quot;??\ _€_-;_-@_-">
                  <c:v>1</c:v>
                </c:pt>
                <c:pt idx="30" formatCode="_-* #\ ##0.00\ _€_-;\-* #\ ##0.00\ _€_-;_-* &quot;-&quot;??\ _€_-;_-@_-">
                  <c:v>0.8</c:v>
                </c:pt>
                <c:pt idx="31" formatCode="_-* #\ ##0.00\ _€_-;\-* #\ ##0.00\ _€_-;_-* &quot;-&quot;??\ _€_-;_-@_-">
                  <c:v>0.7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Perso!$T$2:$T$37</c:f>
              <c:numCache>
                <c:formatCode>General</c:formatCode>
                <c:ptCount val="36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0.5</c:v>
                </c:pt>
                <c:pt idx="3" formatCode="0.00">
                  <c:v>0.05</c:v>
                </c:pt>
                <c:pt idx="4" formatCode="0.00">
                  <c:v>0.6</c:v>
                </c:pt>
                <c:pt idx="5" formatCode="_(* #,##0.00_);_(* \(#,##0.00\);_(* &quot;-&quot;??_);_(@_)">
                  <c:v>0.6</c:v>
                </c:pt>
                <c:pt idx="6" formatCode="_(* #,##0.00_);_(* \(#,##0.00\);_(* &quot;-&quot;??_);_(@_)">
                  <c:v>0.9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0.4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0.2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0.3</c:v>
                </c:pt>
                <c:pt idx="22" formatCode="_(* #,##0.00_);_(* \(#,##0.00\);_(* &quot;-&quot;??_);_(@_)">
                  <c:v>0.6</c:v>
                </c:pt>
                <c:pt idx="23">
                  <c:v>0.3</c:v>
                </c:pt>
                <c:pt idx="24">
                  <c:v>0.2</c:v>
                </c:pt>
                <c:pt idx="25" formatCode="_(* #,##0.00_);_(* \(#,##0.00\);_(* &quot;-&quot;??_);_(@_)">
                  <c:v>0.4</c:v>
                </c:pt>
                <c:pt idx="26">
                  <c:v>0.9</c:v>
                </c:pt>
                <c:pt idx="27" formatCode="_(* #,##0.00_);_(* \(#,##0.00\);_(* &quot;-&quot;??_);_(@_)">
                  <c:v>0.3</c:v>
                </c:pt>
                <c:pt idx="28">
                  <c:v>0.3</c:v>
                </c:pt>
                <c:pt idx="29" formatCode="_-* #\ ##0.00\ _€_-;\-* #\ ##0.00\ _€_-;_-* &quot;-&quot;??\ _€_-;_-@_-">
                  <c:v>0.2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Perso!$U$2:$U$37</c:f>
              <c:numCache>
                <c:formatCode>General</c:formatCode>
                <c:ptCount val="36"/>
                <c:pt idx="0">
                  <c:v>0.1</c:v>
                </c:pt>
                <c:pt idx="1">
                  <c:v>0.5</c:v>
                </c:pt>
                <c:pt idx="2" formatCode="_(* #,##0.00_);_(* \(#,##0.00\);_(* &quot;-&quot;??_);_(@_)">
                  <c:v>0.2</c:v>
                </c:pt>
                <c:pt idx="3" formatCode="0.00">
                  <c:v>5.113636363636364E-2</c:v>
                </c:pt>
                <c:pt idx="4" formatCode="0.00">
                  <c:v>0.3</c:v>
                </c:pt>
                <c:pt idx="5" formatCode="_(* #,##0.00_);_(* \(#,##0.00\);_(* &quot;-&quot;??_);_(@_)">
                  <c:v>0.4</c:v>
                </c:pt>
                <c:pt idx="6" formatCode="_(* #,##0.00_);_(* \(#,##0.00\);_(* &quot;-&quot;??_);_(@_)">
                  <c:v>0.7</c:v>
                </c:pt>
                <c:pt idx="7" formatCode="_(* #,##0.00_);_(* \(#,##0.00\);_(* &quot;-&quot;??_);_(@_)">
                  <c:v>0.2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9.0909090909090912E-2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0.5</c:v>
                </c:pt>
                <c:pt idx="15" formatCode="_(* #,##0.00_);_(* \(#,##0.00\);_(* &quot;-&quot;??_);_(@_)">
                  <c:v>0.3</c:v>
                </c:pt>
                <c:pt idx="16" formatCode="_(* #,##0.00_);_(* \(#,##0.00\);_(* &quot;-&quot;??_);_(@_)">
                  <c:v>0.3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0.3</c:v>
                </c:pt>
                <c:pt idx="21">
                  <c:v>0.4</c:v>
                </c:pt>
                <c:pt idx="22" formatCode="_(* #,##0.00_);_(* \(#,##0.00\);_(* &quot;-&quot;??_);_(@_)">
                  <c:v>0.4</c:v>
                </c:pt>
                <c:pt idx="23">
                  <c:v>0.5</c:v>
                </c:pt>
                <c:pt idx="24">
                  <c:v>0.3</c:v>
                </c:pt>
                <c:pt idx="25" formatCode="_(* #,##0.00_);_(* \(#,##0.00\);_(* &quot;-&quot;??_);_(@_)">
                  <c:v>0.2</c:v>
                </c:pt>
                <c:pt idx="26">
                  <c:v>0.3</c:v>
                </c:pt>
                <c:pt idx="27" formatCode="_(* #,##0.00_);_(* \(#,##0.00\);_(* &quot;-&quot;??_);_(@_)">
                  <c:v>0.5</c:v>
                </c:pt>
                <c:pt idx="28">
                  <c:v>0.2</c:v>
                </c:pt>
                <c:pt idx="29" formatCode="_-* #\ ##0.00\ _€_-;\-* #\ ##0.00\ _€_-;_-* &quot;-&quot;??\ _€_-;_-@_-">
                  <c:v>0.6</c:v>
                </c:pt>
                <c:pt idx="30" formatCode="_-* #\ ##0.00\ _€_-;\-* #\ ##0.00\ _€_-;_-* &quot;-&quot;??\ _€_-;_-@_-">
                  <c:v>0.4</c:v>
                </c:pt>
                <c:pt idx="31" formatCode="_-* #\ ##0.00\ _€_-;\-* #\ ##0.00\ _€_-;_-* &quot;-&quot;??\ _€_-;_-@_-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Perso!$V$2:$V$37</c:f>
              <c:numCache>
                <c:formatCode>General</c:formatCode>
                <c:ptCount val="36"/>
                <c:pt idx="0">
                  <c:v>0.6</c:v>
                </c:pt>
                <c:pt idx="1">
                  <c:v>0.5</c:v>
                </c:pt>
                <c:pt idx="2" formatCode="_(* #,##0.00_);_(* \(#,##0.00\);_(* &quot;-&quot;??_);_(@_)">
                  <c:v>0.5</c:v>
                </c:pt>
                <c:pt idx="3" formatCode="0.00">
                  <c:v>9.4318181818181829E-2</c:v>
                </c:pt>
                <c:pt idx="4" formatCode="0.00">
                  <c:v>0.4</c:v>
                </c:pt>
                <c:pt idx="5" formatCode="_(* #,##0.00_);_(* \(#,##0.00\);_(* &quot;-&quot;??_);_(@_)">
                  <c:v>0.2</c:v>
                </c:pt>
                <c:pt idx="6" formatCode="_(* #,##0.00_);_(* \(#,##0.00\);_(* &quot;-&quot;??_);_(@_)">
                  <c:v>0.8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0.9</c:v>
                </c:pt>
                <c:pt idx="10" formatCode="0.00">
                  <c:v>0.30681818181818182</c:v>
                </c:pt>
                <c:pt idx="11" formatCode="_(* #,##0.00_);_(* \(#,##0.00\);_(* &quot;-&quot;??_);_(@_)">
                  <c:v>0.8</c:v>
                </c:pt>
                <c:pt idx="12" formatCode="_(* #,##0.00_);_(* \(#,##0.00\);_(* &quot;-&quot;??_);_(@_)">
                  <c:v>0.4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0.6</c:v>
                </c:pt>
                <c:pt idx="17">
                  <c:v>0.1</c:v>
                </c:pt>
                <c:pt idx="18" formatCode="_(* #,##0.00_);_(* \(#,##0.00\);_(* &quot;-&quot;??_);_(@_)">
                  <c:v>0.7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0.5</c:v>
                </c:pt>
                <c:pt idx="21">
                  <c:v>0.5</c:v>
                </c:pt>
                <c:pt idx="22" formatCode="_(* #,##0.00_);_(* \(#,##0.00\);_(* &quot;-&quot;??_);_(@_)">
                  <c:v>0.5</c:v>
                </c:pt>
                <c:pt idx="23">
                  <c:v>0.1</c:v>
                </c:pt>
                <c:pt idx="24">
                  <c:v>0.5</c:v>
                </c:pt>
                <c:pt idx="25" formatCode="_(* #,##0.00_);_(* \(#,##0.00\);_(* &quot;-&quot;??_);_(@_)">
                  <c:v>0.8</c:v>
                </c:pt>
                <c:pt idx="26">
                  <c:v>0.5</c:v>
                </c:pt>
                <c:pt idx="27" formatCode="_(* #,##0.00_);_(* \(#,##0.00\);_(* &quot;-&quot;??_);_(@_)">
                  <c:v>0.2</c:v>
                </c:pt>
                <c:pt idx="28">
                  <c:v>0.5</c:v>
                </c:pt>
                <c:pt idx="29" formatCode="_-* #\ ##0.00\ _€_-;\-* #\ ##0.00\ _€_-;_-* &quot;-&quot;??\ _€_-;_-@_-">
                  <c:v>0.5</c:v>
                </c:pt>
                <c:pt idx="30" formatCode="_-* #\ ##0.00\ _€_-;\-* #\ ##0.00\ _€_-;_-* &quot;-&quot;??\ _€_-;_-@_-">
                  <c:v>0.5</c:v>
                </c:pt>
                <c:pt idx="31" formatCode="_-* #\ ##0.00\ _€_-;\-* #\ ##0.00\ _€_-;_-* &quot;-&quot;??\ _€_-;_-@_-">
                  <c:v>0.8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Perso!$W$2:$W$37</c:f>
              <c:numCache>
                <c:formatCode>General</c:formatCode>
                <c:ptCount val="36"/>
                <c:pt idx="0">
                  <c:v>0.2</c:v>
                </c:pt>
                <c:pt idx="1">
                  <c:v>0.4</c:v>
                </c:pt>
                <c:pt idx="2" formatCode="_(* #,##0.00_);_(* \(#,##0.00\);_(* &quot;-&quot;??_);_(@_)">
                  <c:v>0.3</c:v>
                </c:pt>
                <c:pt idx="3" formatCode="0.00">
                  <c:v>6.136363636363637E-2</c:v>
                </c:pt>
                <c:pt idx="4">
                  <c:v>0.5</c:v>
                </c:pt>
                <c:pt idx="5" formatCode="_(* #,##0.00_);_(* \(#,##0.00\);_(* &quot;-&quot;??_);_(@_)">
                  <c:v>0.3</c:v>
                </c:pt>
                <c:pt idx="6" formatCode="_(* #,##0.00_);_(* \(#,##0.00\);_(* &quot;-&quot;??_);_(@_)">
                  <c:v>0.4</c:v>
                </c:pt>
                <c:pt idx="7" formatCode="_(* #,##0.00_);_(* \(#,##0.00\);_(* &quot;-&quot;??_);_(@_)">
                  <c:v>0.6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0.2</c:v>
                </c:pt>
                <c:pt idx="10" formatCode="0.00">
                  <c:v>0.28409090909090912</c:v>
                </c:pt>
                <c:pt idx="11" formatCode="_(* #,##0.00_);_(* \(#,##0.00\);_(* &quot;-&quot;??_);_(@_)">
                  <c:v>0.3</c:v>
                </c:pt>
                <c:pt idx="12" formatCode="_(* #,##0.00_);_(* \(#,##0.00\);_(* &quot;-&quot;??_);_(@_)">
                  <c:v>0.3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0.3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0.3</c:v>
                </c:pt>
                <c:pt idx="17">
                  <c:v>0.3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0.2</c:v>
                </c:pt>
                <c:pt idx="20" formatCode="_(* #,##0.00_);_(* \(#,##0.00\);_(* &quot;-&quot;??_);_(@_)">
                  <c:v>0.2</c:v>
                </c:pt>
                <c:pt idx="21">
                  <c:v>0.3</c:v>
                </c:pt>
                <c:pt idx="22" formatCode="_(* #,##0.00_);_(* \(#,##0.00\);_(* &quot;-&quot;??_);_(@_)">
                  <c:v>0.3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0.6</c:v>
                </c:pt>
                <c:pt idx="26">
                  <c:v>0.3</c:v>
                </c:pt>
                <c:pt idx="27" formatCode="_(* #,##0.00_);_(* \(#,##0.00\);_(* &quot;-&quot;??_);_(@_)">
                  <c:v>0.3</c:v>
                </c:pt>
                <c:pt idx="28">
                  <c:v>0.3</c:v>
                </c:pt>
                <c:pt idx="29" formatCode="_-* #\ ##0.00\ _€_-;\-* #\ ##0.00\ _€_-;_-* &quot;-&quot;??\ _€_-;_-@_-">
                  <c:v>0.3</c:v>
                </c:pt>
                <c:pt idx="30" formatCode="_-* #\ ##0.00\ _€_-;\-* #\ ##0.00\ _€_-;_-* &quot;-&quot;??\ _€_-;_-@_-">
                  <c:v>0.3</c:v>
                </c:pt>
                <c:pt idx="31" formatCode="_-* #\ ##0.00\ _€_-;\-* #\ ##0.00\ _€_-;_-* &quot;-&quot;??\ _€_-;_-@_-">
                  <c:v>0.3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Perso!$X$2:$X$37</c:f>
              <c:numCache>
                <c:formatCode>General</c:formatCode>
                <c:ptCount val="36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0.4</c:v>
                </c:pt>
                <c:pt idx="3" formatCode="0.00">
                  <c:v>8.8636363636363638E-2</c:v>
                </c:pt>
                <c:pt idx="4" formatCode="0.00">
                  <c:v>0.5</c:v>
                </c:pt>
                <c:pt idx="5" formatCode="_(* #,##0.00_);_(* \(#,##0.00\);_(* &quot;-&quot;??_);_(@_)">
                  <c:v>0.8</c:v>
                </c:pt>
                <c:pt idx="6" formatCode="_(* #,##0.00_);_(* \(#,##0.00\);_(* &quot;-&quot;??_);_(@_)">
                  <c:v>1</c:v>
                </c:pt>
                <c:pt idx="7" formatCode="_(* #,##0.00_);_(* \(#,##0.00\);_(* &quot;-&quot;??_);_(@_)">
                  <c:v>0.3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0.1</c:v>
                </c:pt>
                <c:pt idx="10" formatCode="0.00">
                  <c:v>0.64772727272727271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0.2</c:v>
                </c:pt>
                <c:pt idx="13" formatCode="_(* #,##0.00_);_(* \(#,##0.00\);_(* &quot;-&quot;??_);_(@_)">
                  <c:v>0.2</c:v>
                </c:pt>
                <c:pt idx="14" formatCode="_(* #,##0.00_);_(* \(#,##0.00\);_(* &quot;-&quot;??_);_(@_)">
                  <c:v>0.8</c:v>
                </c:pt>
                <c:pt idx="15" formatCode="_(* #,##0.00_);_(* \(#,##0.00\);_(* &quot;-&quot;??_);_(@_)">
                  <c:v>0.4</c:v>
                </c:pt>
                <c:pt idx="16" formatCode="_(* #,##0.00_);_(* \(#,##0.00\);_(* &quot;-&quot;??_);_(@_)">
                  <c:v>0.2</c:v>
                </c:pt>
                <c:pt idx="17">
                  <c:v>0.4</c:v>
                </c:pt>
                <c:pt idx="18" formatCode="_(* #,##0.00_);_(* \(#,##0.00\);_(* &quot;-&quot;??_);_(@_)">
                  <c:v>0.4</c:v>
                </c:pt>
                <c:pt idx="19" formatCode="_(* #,##0.00_);_(* \(#,##0.00\);_(* &quot;-&quot;??_);_(@_)">
                  <c:v>0.5</c:v>
                </c:pt>
                <c:pt idx="20" formatCode="_(* #,##0.00_);_(* \(#,##0.00\);_(* &quot;-&quot;??_);_(@_)">
                  <c:v>0.8</c:v>
                </c:pt>
                <c:pt idx="21">
                  <c:v>0.2</c:v>
                </c:pt>
                <c:pt idx="22" formatCode="_(* #,##0.00_);_(* \(#,##0.00\);_(* &quot;-&quot;??_);_(@_)">
                  <c:v>0.7</c:v>
                </c:pt>
                <c:pt idx="23">
                  <c:v>0.4</c:v>
                </c:pt>
                <c:pt idx="24">
                  <c:v>0.1</c:v>
                </c:pt>
                <c:pt idx="25" formatCode="_(* #,##0.00_);_(* \(#,##0.00\);_(* &quot;-&quot;??_);_(@_)">
                  <c:v>0.8</c:v>
                </c:pt>
                <c:pt idx="26">
                  <c:v>0.9</c:v>
                </c:pt>
                <c:pt idx="27" formatCode="_(* #,##0.00_);_(* \(#,##0.00\);_(* &quot;-&quot;??_);_(@_)">
                  <c:v>0.5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DC0F-4A40-AF4E-1F2E24B73ACF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BPS!$B$2:$B$36</c:f>
              <c:numCache>
                <c:formatCode>General</c:formatCode>
                <c:ptCount val="35"/>
                <c:pt idx="0">
                  <c:v>104</c:v>
                </c:pt>
                <c:pt idx="1">
                  <c:v>113</c:v>
                </c:pt>
                <c:pt idx="2">
                  <c:v>122</c:v>
                </c:pt>
                <c:pt idx="3">
                  <c:v>107</c:v>
                </c:pt>
                <c:pt idx="4">
                  <c:v>105</c:v>
                </c:pt>
                <c:pt idx="5">
                  <c:v>107</c:v>
                </c:pt>
                <c:pt idx="6">
                  <c:v>103</c:v>
                </c:pt>
                <c:pt idx="7">
                  <c:v>120</c:v>
                </c:pt>
                <c:pt idx="8">
                  <c:v>106</c:v>
                </c:pt>
                <c:pt idx="9">
                  <c:v>128</c:v>
                </c:pt>
                <c:pt idx="10">
                  <c:v>85</c:v>
                </c:pt>
                <c:pt idx="11">
                  <c:v>121</c:v>
                </c:pt>
                <c:pt idx="12">
                  <c:v>112</c:v>
                </c:pt>
                <c:pt idx="13">
                  <c:v>100</c:v>
                </c:pt>
                <c:pt idx="14">
                  <c:v>129</c:v>
                </c:pt>
                <c:pt idx="15">
                  <c:v>116</c:v>
                </c:pt>
                <c:pt idx="16">
                  <c:v>92</c:v>
                </c:pt>
                <c:pt idx="17">
                  <c:v>112</c:v>
                </c:pt>
                <c:pt idx="18">
                  <c:v>96</c:v>
                </c:pt>
                <c:pt idx="19">
                  <c:v>119</c:v>
                </c:pt>
                <c:pt idx="20">
                  <c:v>126</c:v>
                </c:pt>
                <c:pt idx="21">
                  <c:v>91</c:v>
                </c:pt>
                <c:pt idx="22">
                  <c:v>95</c:v>
                </c:pt>
                <c:pt idx="23">
                  <c:v>93</c:v>
                </c:pt>
                <c:pt idx="24">
                  <c:v>77</c:v>
                </c:pt>
                <c:pt idx="25">
                  <c:v>139</c:v>
                </c:pt>
                <c:pt idx="26">
                  <c:v>85</c:v>
                </c:pt>
                <c:pt idx="27">
                  <c:v>123</c:v>
                </c:pt>
                <c:pt idx="28">
                  <c:v>104</c:v>
                </c:pt>
                <c:pt idx="29">
                  <c:v>104</c:v>
                </c:pt>
                <c:pt idx="30">
                  <c:v>137</c:v>
                </c:pt>
                <c:pt idx="31">
                  <c:v>132</c:v>
                </c:pt>
                <c:pt idx="32">
                  <c:v>113</c:v>
                </c:pt>
                <c:pt idx="33">
                  <c:v>107</c:v>
                </c:pt>
              </c:numCache>
            </c:numRef>
          </c:xVal>
          <c:y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Perso!$Z$1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Perso!$Y$2:$Y$37</c:f>
              <c:numCache>
                <c:formatCode>General</c:formatCode>
                <c:ptCount val="36"/>
                <c:pt idx="0">
                  <c:v>0.1</c:v>
                </c:pt>
                <c:pt idx="1">
                  <c:v>0.3</c:v>
                </c:pt>
                <c:pt idx="2" formatCode="_(* #,##0.00_);_(* \(#,##0.00\);_(* &quot;-&quot;??_);_(@_)">
                  <c:v>0.2</c:v>
                </c:pt>
                <c:pt idx="3" formatCode="0.00">
                  <c:v>1.4772727272727272E-2</c:v>
                </c:pt>
                <c:pt idx="4" formatCode="0.00">
                  <c:v>0.3</c:v>
                </c:pt>
                <c:pt idx="5" formatCode="_(* #,##0.00_);_(* \(#,##0.00\);_(* &quot;-&quot;??_);_(@_)">
                  <c:v>0.1</c:v>
                </c:pt>
                <c:pt idx="6" formatCode="_(* #,##0.00_);_(* \(#,##0.00\);_(* &quot;-&quot;??_);_(@_)">
                  <c:v>0.3</c:v>
                </c:pt>
                <c:pt idx="7" formatCode="_(* #,##0.00_);_(* \(#,##0.00\);_(* &quot;-&quot;??_);_(@_)">
                  <c:v>0.4</c:v>
                </c:pt>
                <c:pt idx="8" formatCode="_(* #,##0.00_);_(* \(#,##0.00\);_(* &quot;-&quot;??_);_(@_)">
                  <c:v>0.1</c:v>
                </c:pt>
                <c:pt idx="9" formatCode="_(* #,##0.00_);_(* \(#,##0.00\);_(* &quot;-&quot;??_);_(@_)">
                  <c:v>0.3</c:v>
                </c:pt>
                <c:pt idx="10" formatCode="0.00">
                  <c:v>5.6818181818181816E-2</c:v>
                </c:pt>
                <c:pt idx="11" formatCode="_(* #,##0.00_);_(* \(#,##0.00\);_(* &quot;-&quot;??_);_(@_)">
                  <c:v>0.2</c:v>
                </c:pt>
                <c:pt idx="12" formatCode="_(* #,##0.00_);_(* \(#,##0.00\);_(* &quot;-&quot;??_);_(@_)">
                  <c:v>0.1</c:v>
                </c:pt>
                <c:pt idx="13" formatCode="_(* #,##0.00_);_(* \(#,##0.00\);_(* &quot;-&quot;??_);_(@_)">
                  <c:v>0.3</c:v>
                </c:pt>
                <c:pt idx="14" formatCode="_(* #,##0.00_);_(* \(#,##0.00\);_(* &quot;-&quot;??_);_(@_)">
                  <c:v>0.2</c:v>
                </c:pt>
                <c:pt idx="15" formatCode="_(* #,##0.00_);_(* \(#,##0.00\);_(* &quot;-&quot;??_);_(@_)">
                  <c:v>0.2</c:v>
                </c:pt>
                <c:pt idx="16" formatCode="_(* #,##0.00_);_(* \(#,##0.00\);_(* &quot;-&quot;??_);_(@_)">
                  <c:v>0.1</c:v>
                </c:pt>
                <c:pt idx="17">
                  <c:v>0.2</c:v>
                </c:pt>
                <c:pt idx="18" formatCode="_(* #,##0.00_);_(* \(#,##0.00\);_(* &quot;-&quot;??_);_(@_)">
                  <c:v>0.1</c:v>
                </c:pt>
                <c:pt idx="19" formatCode="_(* #,##0.00_);_(* \(#,##0.00\);_(* &quot;-&quot;??_);_(@_)">
                  <c:v>0.1</c:v>
                </c:pt>
                <c:pt idx="20" formatCode="_(* #,##0.00_);_(* \(#,##0.00\);_(* &quot;-&quot;??_);_(@_)">
                  <c:v>0.4</c:v>
                </c:pt>
                <c:pt idx="21">
                  <c:v>0.1</c:v>
                </c:pt>
                <c:pt idx="22" formatCode="_(* #,##0.00_);_(* \(#,##0.00\);_(* &quot;-&quot;??_);_(@_)">
                  <c:v>0.5</c:v>
                </c:pt>
                <c:pt idx="23">
                  <c:v>0.2</c:v>
                </c:pt>
                <c:pt idx="24">
                  <c:v>0.1</c:v>
                </c:pt>
                <c:pt idx="25" formatCode="_(* #,##0.00_);_(* \(#,##0.00\);_(* &quot;-&quot;??_);_(@_)">
                  <c:v>0.4</c:v>
                </c:pt>
                <c:pt idx="26">
                  <c:v>0.1</c:v>
                </c:pt>
                <c:pt idx="27" formatCode="_(* #,##0.00_);_(* \(#,##0.00\);_(* &quot;-&quot;??_);_(@_)">
                  <c:v>0.3</c:v>
                </c:pt>
                <c:pt idx="28">
                  <c:v>0.3</c:v>
                </c:pt>
                <c:pt idx="29">
                  <c:v>0.2</c:v>
                </c:pt>
                <c:pt idx="30">
                  <c:v>0.1</c:v>
                </c:pt>
                <c:pt idx="31">
                  <c:v>0.2</c:v>
                </c:pt>
              </c:numCache>
            </c:numRef>
          </c:xVal>
          <c:yVal>
            <c:numRef>
              <c:f>Perso!$Z$2:$Z$37</c:f>
              <c:numCache>
                <c:formatCode>General</c:formatCode>
                <c:ptCount val="3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5">
                  <c:v>952.27</c:v>
                </c:pt>
                <c:pt idx="6">
                  <c:v>1012.32</c:v>
                </c:pt>
                <c:pt idx="7">
                  <c:v>724.29</c:v>
                </c:pt>
                <c:pt idx="8">
                  <c:v>1129.94</c:v>
                </c:pt>
                <c:pt idx="9">
                  <c:v>1264.3399999999999</c:v>
                </c:pt>
                <c:pt idx="10">
                  <c:v>808.85</c:v>
                </c:pt>
                <c:pt idx="11">
                  <c:v>1627.89</c:v>
                </c:pt>
                <c:pt idx="12">
                  <c:v>440.17</c:v>
                </c:pt>
                <c:pt idx="13">
                  <c:v>1411.91</c:v>
                </c:pt>
                <c:pt idx="14">
                  <c:v>1183.1199999999999</c:v>
                </c:pt>
                <c:pt idx="15">
                  <c:v>641.14</c:v>
                </c:pt>
                <c:pt idx="16">
                  <c:v>1127.92</c:v>
                </c:pt>
                <c:pt idx="17">
                  <c:v>803.62</c:v>
                </c:pt>
                <c:pt idx="18">
                  <c:v>939.92</c:v>
                </c:pt>
                <c:pt idx="19">
                  <c:v>771.81</c:v>
                </c:pt>
                <c:pt idx="20">
                  <c:v>1266.79</c:v>
                </c:pt>
                <c:pt idx="21">
                  <c:v>828.46</c:v>
                </c:pt>
                <c:pt idx="22">
                  <c:v>1250.0999999999999</c:v>
                </c:pt>
                <c:pt idx="23">
                  <c:v>757.59</c:v>
                </c:pt>
                <c:pt idx="24">
                  <c:v>1394.13</c:v>
                </c:pt>
                <c:pt idx="25">
                  <c:v>1333.71</c:v>
                </c:pt>
                <c:pt idx="26">
                  <c:v>1200.1400000000001</c:v>
                </c:pt>
                <c:pt idx="27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7786666889877"/>
                  <c:y val="0.29424726336011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BPS!$H$2:$H$36</c:f>
              <c:numCache>
                <c:formatCode>General</c:formatCode>
                <c:ptCount val="35"/>
                <c:pt idx="0">
                  <c:v>67</c:v>
                </c:pt>
                <c:pt idx="1">
                  <c:v>71</c:v>
                </c:pt>
                <c:pt idx="2">
                  <c:v>54</c:v>
                </c:pt>
                <c:pt idx="3">
                  <c:v>77</c:v>
                </c:pt>
                <c:pt idx="4">
                  <c:v>58</c:v>
                </c:pt>
                <c:pt idx="5">
                  <c:v>53</c:v>
                </c:pt>
                <c:pt idx="6">
                  <c:v>56</c:v>
                </c:pt>
                <c:pt idx="7">
                  <c:v>56</c:v>
                </c:pt>
                <c:pt idx="8">
                  <c:v>62</c:v>
                </c:pt>
                <c:pt idx="9">
                  <c:v>51</c:v>
                </c:pt>
                <c:pt idx="10">
                  <c:v>41</c:v>
                </c:pt>
                <c:pt idx="11">
                  <c:v>59</c:v>
                </c:pt>
                <c:pt idx="12">
                  <c:v>79</c:v>
                </c:pt>
                <c:pt idx="13">
                  <c:v>53</c:v>
                </c:pt>
                <c:pt idx="14">
                  <c:v>73</c:v>
                </c:pt>
                <c:pt idx="15">
                  <c:v>36</c:v>
                </c:pt>
                <c:pt idx="16">
                  <c:v>40</c:v>
                </c:pt>
                <c:pt idx="17">
                  <c:v>52</c:v>
                </c:pt>
                <c:pt idx="18">
                  <c:v>51</c:v>
                </c:pt>
                <c:pt idx="19">
                  <c:v>55</c:v>
                </c:pt>
                <c:pt idx="20">
                  <c:v>63</c:v>
                </c:pt>
                <c:pt idx="21">
                  <c:v>51</c:v>
                </c:pt>
                <c:pt idx="22">
                  <c:v>47</c:v>
                </c:pt>
                <c:pt idx="23">
                  <c:v>42</c:v>
                </c:pt>
                <c:pt idx="24">
                  <c:v>47</c:v>
                </c:pt>
                <c:pt idx="25">
                  <c:v>71</c:v>
                </c:pt>
                <c:pt idx="26">
                  <c:v>37</c:v>
                </c:pt>
                <c:pt idx="27">
                  <c:v>58</c:v>
                </c:pt>
                <c:pt idx="28">
                  <c:v>63</c:v>
                </c:pt>
                <c:pt idx="29">
                  <c:v>37</c:v>
                </c:pt>
                <c:pt idx="30">
                  <c:v>54</c:v>
                </c:pt>
                <c:pt idx="31">
                  <c:v>68</c:v>
                </c:pt>
                <c:pt idx="32">
                  <c:v>58</c:v>
                </c:pt>
                <c:pt idx="33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18657042869639"/>
                  <c:y val="0.18713473315835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BPS!$C$2:$C$36</c:f>
              <c:numCache>
                <c:formatCode>General</c:formatCode>
                <c:ptCount val="35"/>
                <c:pt idx="0">
                  <c:v>555.07000000000005</c:v>
                </c:pt>
                <c:pt idx="1">
                  <c:v>1183.1199999999999</c:v>
                </c:pt>
                <c:pt idx="3">
                  <c:v>1244.5</c:v>
                </c:pt>
                <c:pt idx="6">
                  <c:v>727.68</c:v>
                </c:pt>
                <c:pt idx="7">
                  <c:v>1127.92</c:v>
                </c:pt>
                <c:pt idx="10">
                  <c:v>820.36</c:v>
                </c:pt>
                <c:pt idx="11">
                  <c:v>808.85</c:v>
                </c:pt>
                <c:pt idx="12">
                  <c:v>952.27</c:v>
                </c:pt>
                <c:pt idx="14">
                  <c:v>1012.32</c:v>
                </c:pt>
                <c:pt idx="15">
                  <c:v>724.29</c:v>
                </c:pt>
                <c:pt idx="16">
                  <c:v>1129.94</c:v>
                </c:pt>
                <c:pt idx="17">
                  <c:v>1264.3399999999999</c:v>
                </c:pt>
                <c:pt idx="18">
                  <c:v>1627.89</c:v>
                </c:pt>
                <c:pt idx="19">
                  <c:v>440.17</c:v>
                </c:pt>
                <c:pt idx="20">
                  <c:v>1411.91</c:v>
                </c:pt>
                <c:pt idx="21">
                  <c:v>641.14</c:v>
                </c:pt>
                <c:pt idx="22">
                  <c:v>803.62</c:v>
                </c:pt>
                <c:pt idx="23">
                  <c:v>939.92</c:v>
                </c:pt>
                <c:pt idx="24">
                  <c:v>771.81</c:v>
                </c:pt>
                <c:pt idx="25">
                  <c:v>1266.79</c:v>
                </c:pt>
                <c:pt idx="26">
                  <c:v>828.46</c:v>
                </c:pt>
                <c:pt idx="27">
                  <c:v>1250.0999999999999</c:v>
                </c:pt>
                <c:pt idx="28">
                  <c:v>757.59</c:v>
                </c:pt>
                <c:pt idx="29">
                  <c:v>1394.13</c:v>
                </c:pt>
                <c:pt idx="30">
                  <c:v>1333.71</c:v>
                </c:pt>
                <c:pt idx="31">
                  <c:v>1200.1400000000001</c:v>
                </c:pt>
                <c:pt idx="32">
                  <c:v>1276.5</c:v>
                </c:pt>
              </c:numCache>
            </c:numRef>
          </c:xVal>
          <c:y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4-469A-95BA-186949D9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69920"/>
        <c:axId val="1948973664"/>
      </c:scatterChart>
      <c:valAx>
        <c:axId val="1948969920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73664"/>
        <c:crosses val="autoZero"/>
        <c:crossBetween val="midCat"/>
      </c:valAx>
      <c:valAx>
        <c:axId val="1948973664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89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CV TPV / CV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067366579179"/>
                  <c:y val="-1.46911426559893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0,6217x + 0,038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0,2725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BPS!$Z$2:$Z$36</c:f>
              <c:numCache>
                <c:formatCode>0.00</c:formatCode>
                <c:ptCount val="35"/>
                <c:pt idx="0">
                  <c:v>0.27350535299813195</c:v>
                </c:pt>
                <c:pt idx="1">
                  <c:v>0.3284283146246485</c:v>
                </c:pt>
                <c:pt idx="3">
                  <c:v>0.190758013619762</c:v>
                </c:pt>
                <c:pt idx="6">
                  <c:v>0.19138101152556758</c:v>
                </c:pt>
                <c:pt idx="7">
                  <c:v>0.12621224612068394</c:v>
                </c:pt>
                <c:pt idx="11">
                  <c:v>0.20468925804491239</c:v>
                </c:pt>
                <c:pt idx="12">
                  <c:v>0.16120051973703725</c:v>
                </c:pt>
                <c:pt idx="14">
                  <c:v>0.20957825775177399</c:v>
                </c:pt>
                <c:pt idx="15">
                  <c:v>0.16367528245775095</c:v>
                </c:pt>
                <c:pt idx="16">
                  <c:v>0.21888721500826658</c:v>
                </c:pt>
                <c:pt idx="17">
                  <c:v>0.21727317430719298</c:v>
                </c:pt>
                <c:pt idx="18">
                  <c:v>0.12324555806812812</c:v>
                </c:pt>
                <c:pt idx="19">
                  <c:v>0.32061713896859978</c:v>
                </c:pt>
                <c:pt idx="20">
                  <c:v>0.1820505295355927</c:v>
                </c:pt>
                <c:pt idx="21">
                  <c:v>0.19490930490111669</c:v>
                </c:pt>
                <c:pt idx="22">
                  <c:v>0.20154512681321413</c:v>
                </c:pt>
                <c:pt idx="23">
                  <c:v>0.22856813817382998</c:v>
                </c:pt>
                <c:pt idx="24">
                  <c:v>0.23816499013968034</c:v>
                </c:pt>
                <c:pt idx="25">
                  <c:v>0.19790189859608504</c:v>
                </c:pt>
                <c:pt idx="26">
                  <c:v>0.19022303663769691</c:v>
                </c:pt>
                <c:pt idx="27">
                  <c:v>0.18744790301058986</c:v>
                </c:pt>
                <c:pt idx="28">
                  <c:v>0.21375035241977705</c:v>
                </c:pt>
                <c:pt idx="29">
                  <c:v>9.5966856645818693E-2</c:v>
                </c:pt>
                <c:pt idx="30">
                  <c:v>0.18196207714477017</c:v>
                </c:pt>
                <c:pt idx="31">
                  <c:v>0.1976714267340858</c:v>
                </c:pt>
                <c:pt idx="32">
                  <c:v>0.20730231433161003</c:v>
                </c:pt>
              </c:numCache>
            </c:numRef>
          </c:xVal>
          <c:yVal>
            <c:numRef>
              <c:f>BPS!$AA$2:$AA$36</c:f>
              <c:numCache>
                <c:formatCode>0.00</c:formatCode>
                <c:ptCount val="35"/>
                <c:pt idx="0">
                  <c:v>0.2987388657769145</c:v>
                </c:pt>
                <c:pt idx="1">
                  <c:v>0.16840344988893338</c:v>
                </c:pt>
                <c:pt idx="3">
                  <c:v>0.10500000000000001</c:v>
                </c:pt>
                <c:pt idx="6">
                  <c:v>0.19488530843536417</c:v>
                </c:pt>
                <c:pt idx="7">
                  <c:v>0.155</c:v>
                </c:pt>
                <c:pt idx="11">
                  <c:v>0.13</c:v>
                </c:pt>
                <c:pt idx="12">
                  <c:v>9.5000000000000001E-2</c:v>
                </c:pt>
                <c:pt idx="14">
                  <c:v>0.16499999999999998</c:v>
                </c:pt>
                <c:pt idx="15">
                  <c:v>0.2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0.08</c:v>
                </c:pt>
                <c:pt idx="19">
                  <c:v>0.2635723605504261</c:v>
                </c:pt>
                <c:pt idx="20">
                  <c:v>5.3769617948418891E-2</c:v>
                </c:pt>
                <c:pt idx="21">
                  <c:v>0.27130752388374324</c:v>
                </c:pt>
                <c:pt idx="22">
                  <c:v>0.1475549402808192</c:v>
                </c:pt>
                <c:pt idx="23">
                  <c:v>0.215</c:v>
                </c:pt>
                <c:pt idx="24">
                  <c:v>0.22618618391532119</c:v>
                </c:pt>
                <c:pt idx="25">
                  <c:v>0.12574829784647523</c:v>
                </c:pt>
                <c:pt idx="26">
                  <c:v>0.20500000000000002</c:v>
                </c:pt>
                <c:pt idx="27">
                  <c:v>0.16</c:v>
                </c:pt>
                <c:pt idx="28">
                  <c:v>0.22</c:v>
                </c:pt>
                <c:pt idx="29">
                  <c:v>0.125</c:v>
                </c:pt>
                <c:pt idx="30">
                  <c:v>0.125</c:v>
                </c:pt>
                <c:pt idx="31">
                  <c:v>0.10840508583399006</c:v>
                </c:pt>
                <c:pt idx="32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1-474D-9F45-3F10B2BA5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4768"/>
        <c:axId val="158433520"/>
      </c:scatterChart>
      <c:valAx>
        <c:axId val="1584347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3520"/>
        <c:crosses val="autoZero"/>
        <c:crossBetween val="midCat"/>
      </c:valAx>
      <c:valAx>
        <c:axId val="1584335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4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RT / Impulsivité motrice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20384951881013"/>
                  <c:y val="0.18914807524059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BPS!$E$2:$E$36</c:f>
              <c:numCache>
                <c:formatCode>General</c:formatCode>
                <c:ptCount val="35"/>
                <c:pt idx="0">
                  <c:v>17</c:v>
                </c:pt>
                <c:pt idx="1">
                  <c:v>28</c:v>
                </c:pt>
                <c:pt idx="2">
                  <c:v>12</c:v>
                </c:pt>
                <c:pt idx="3">
                  <c:v>27</c:v>
                </c:pt>
                <c:pt idx="4">
                  <c:v>18</c:v>
                </c:pt>
                <c:pt idx="5">
                  <c:v>19</c:v>
                </c:pt>
                <c:pt idx="6">
                  <c:v>17</c:v>
                </c:pt>
                <c:pt idx="7">
                  <c:v>12</c:v>
                </c:pt>
                <c:pt idx="8">
                  <c:v>23</c:v>
                </c:pt>
                <c:pt idx="9">
                  <c:v>21</c:v>
                </c:pt>
                <c:pt idx="10">
                  <c:v>13</c:v>
                </c:pt>
                <c:pt idx="11">
                  <c:v>15</c:v>
                </c:pt>
                <c:pt idx="12">
                  <c:v>21</c:v>
                </c:pt>
                <c:pt idx="13">
                  <c:v>19</c:v>
                </c:pt>
                <c:pt idx="14">
                  <c:v>27</c:v>
                </c:pt>
                <c:pt idx="15">
                  <c:v>13</c:v>
                </c:pt>
                <c:pt idx="16">
                  <c:v>12</c:v>
                </c:pt>
                <c:pt idx="17">
                  <c:v>18</c:v>
                </c:pt>
                <c:pt idx="18">
                  <c:v>15</c:v>
                </c:pt>
                <c:pt idx="19">
                  <c:v>14</c:v>
                </c:pt>
                <c:pt idx="20">
                  <c:v>18</c:v>
                </c:pt>
                <c:pt idx="21">
                  <c:v>21</c:v>
                </c:pt>
                <c:pt idx="22">
                  <c:v>15</c:v>
                </c:pt>
                <c:pt idx="23">
                  <c:v>16</c:v>
                </c:pt>
                <c:pt idx="24">
                  <c:v>14</c:v>
                </c:pt>
                <c:pt idx="25">
                  <c:v>24</c:v>
                </c:pt>
                <c:pt idx="26">
                  <c:v>18</c:v>
                </c:pt>
                <c:pt idx="27">
                  <c:v>21</c:v>
                </c:pt>
                <c:pt idx="28">
                  <c:v>21</c:v>
                </c:pt>
                <c:pt idx="29">
                  <c:v>17</c:v>
                </c:pt>
                <c:pt idx="30">
                  <c:v>17</c:v>
                </c:pt>
                <c:pt idx="31">
                  <c:v>26</c:v>
                </c:pt>
                <c:pt idx="32">
                  <c:v>27</c:v>
                </c:pt>
                <c:pt idx="33">
                  <c:v>20</c:v>
                </c:pt>
              </c:numCache>
            </c:numRef>
          </c:xVal>
          <c:yVal>
            <c:numRef>
              <c:f>BPS!$M$2:$M$36</c:f>
              <c:numCache>
                <c:formatCode>General</c:formatCode>
                <c:ptCount val="35"/>
                <c:pt idx="0">
                  <c:v>0.33</c:v>
                </c:pt>
                <c:pt idx="1">
                  <c:v>0.34</c:v>
                </c:pt>
                <c:pt idx="2">
                  <c:v>0.35</c:v>
                </c:pt>
                <c:pt idx="3">
                  <c:v>0.36</c:v>
                </c:pt>
                <c:pt idx="4">
                  <c:v>0.37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0.41</c:v>
                </c:pt>
                <c:pt idx="10">
                  <c:v>0.43</c:v>
                </c:pt>
                <c:pt idx="11">
                  <c:v>0.47</c:v>
                </c:pt>
                <c:pt idx="12">
                  <c:v>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3-4B17-9350-81712127A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630992"/>
        <c:axId val="2050636816"/>
      </c:scatterChart>
      <c:valAx>
        <c:axId val="2050630992"/>
        <c:scaling>
          <c:orientation val="minMax"/>
          <c:min val="7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6816"/>
        <c:crosses val="autoZero"/>
        <c:crossBetween val="midCat"/>
      </c:valAx>
      <c:valAx>
        <c:axId val="2050636816"/>
        <c:scaling>
          <c:orientation val="minMax"/>
          <c:min val="0.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063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10886</xdr:colOff>
      <xdr:row>30</xdr:row>
      <xdr:rowOff>72117</xdr:rowOff>
    </xdr:from>
    <xdr:to>
      <xdr:col>9</xdr:col>
      <xdr:colOff>79375</xdr:colOff>
      <xdr:row>40</xdr:row>
      <xdr:rowOff>74839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439814</xdr:colOff>
      <xdr:row>28</xdr:row>
      <xdr:rowOff>89001</xdr:rowOff>
    </xdr:from>
    <xdr:to>
      <xdr:col>19</xdr:col>
      <xdr:colOff>474739</xdr:colOff>
      <xdr:row>39</xdr:row>
      <xdr:rowOff>161773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328839</xdr:colOff>
      <xdr:row>29</xdr:row>
      <xdr:rowOff>90714</xdr:rowOff>
    </xdr:from>
    <xdr:to>
      <xdr:col>14</xdr:col>
      <xdr:colOff>179161</xdr:colOff>
      <xdr:row>41</xdr:row>
      <xdr:rowOff>42636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64256</xdr:colOff>
      <xdr:row>31</xdr:row>
      <xdr:rowOff>99785</xdr:rowOff>
    </xdr:from>
    <xdr:to>
      <xdr:col>3</xdr:col>
      <xdr:colOff>880685</xdr:colOff>
      <xdr:row>41</xdr:row>
      <xdr:rowOff>55941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65</xdr:row>
      <xdr:rowOff>66675</xdr:rowOff>
    </xdr:from>
    <xdr:to>
      <xdr:col>12</xdr:col>
      <xdr:colOff>40218</xdr:colOff>
      <xdr:row>80</xdr:row>
      <xdr:rowOff>51858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174388</xdr:colOff>
      <xdr:row>80</xdr:row>
      <xdr:rowOff>135500</xdr:rowOff>
    </xdr:from>
    <xdr:to>
      <xdr:col>12</xdr:col>
      <xdr:colOff>676700</xdr:colOff>
      <xdr:row>93</xdr:row>
      <xdr:rowOff>67851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524975</xdr:colOff>
      <xdr:row>60</xdr:row>
      <xdr:rowOff>134695</xdr:rowOff>
    </xdr:from>
    <xdr:to>
      <xdr:col>34</xdr:col>
      <xdr:colOff>308587</xdr:colOff>
      <xdr:row>75</xdr:row>
      <xdr:rowOff>43678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4773F6D-742D-4C26-A8AA-561E95085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359833</xdr:colOff>
      <xdr:row>50</xdr:row>
      <xdr:rowOff>164042</xdr:rowOff>
    </xdr:from>
    <xdr:to>
      <xdr:col>6</xdr:col>
      <xdr:colOff>0</xdr:colOff>
      <xdr:row>63</xdr:row>
      <xdr:rowOff>33867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EA8A8F9-55CD-4BB4-9EC0-5B3927EF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386498</xdr:colOff>
      <xdr:row>76</xdr:row>
      <xdr:rowOff>103153</xdr:rowOff>
    </xdr:from>
    <xdr:to>
      <xdr:col>21</xdr:col>
      <xdr:colOff>411738</xdr:colOff>
      <xdr:row>91</xdr:row>
      <xdr:rowOff>159015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8D27B8B-41FA-4784-838A-1D4C5BB62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260928</xdr:colOff>
      <xdr:row>61</xdr:row>
      <xdr:rowOff>105736</xdr:rowOff>
    </xdr:from>
    <xdr:to>
      <xdr:col>22</xdr:col>
      <xdr:colOff>643081</xdr:colOff>
      <xdr:row>75</xdr:row>
      <xdr:rowOff>100445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45185B6-A587-440D-8FDB-FC7956B29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331260</xdr:colOff>
      <xdr:row>52</xdr:row>
      <xdr:rowOff>88899</xdr:rowOff>
    </xdr:from>
    <xdr:to>
      <xdr:col>11</xdr:col>
      <xdr:colOff>622301</xdr:colOff>
      <xdr:row>64</xdr:row>
      <xdr:rowOff>110066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4D974F9-456E-4123-AAF8-B11953BA2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573714</xdr:colOff>
      <xdr:row>76</xdr:row>
      <xdr:rowOff>125711</xdr:rowOff>
    </xdr:from>
    <xdr:to>
      <xdr:col>27</xdr:col>
      <xdr:colOff>733091</xdr:colOff>
      <xdr:row>90</xdr:row>
      <xdr:rowOff>56440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139A46EE-B8B2-4815-9A8D-041CBC72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407459</xdr:colOff>
      <xdr:row>64</xdr:row>
      <xdr:rowOff>57150</xdr:rowOff>
    </xdr:from>
    <xdr:to>
      <xdr:col>6</xdr:col>
      <xdr:colOff>137584</xdr:colOff>
      <xdr:row>79</xdr:row>
      <xdr:rowOff>99483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41F795F-BFEE-4BE5-9A44-14F98A12C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164091</xdr:colOff>
      <xdr:row>61</xdr:row>
      <xdr:rowOff>128300</xdr:rowOff>
    </xdr:from>
    <xdr:to>
      <xdr:col>28</xdr:col>
      <xdr:colOff>374072</xdr:colOff>
      <xdr:row>75</xdr:row>
      <xdr:rowOff>161636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1419C31-5931-430E-BFCC-0D0EFD63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675909</xdr:colOff>
      <xdr:row>45</xdr:row>
      <xdr:rowOff>38467</xdr:rowOff>
    </xdr:from>
    <xdr:to>
      <xdr:col>44</xdr:col>
      <xdr:colOff>154720</xdr:colOff>
      <xdr:row>59</xdr:row>
      <xdr:rowOff>108317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F19EBB88-7ED7-440A-A288-1517D04BB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655638</xdr:colOff>
      <xdr:row>45</xdr:row>
      <xdr:rowOff>42863</xdr:rowOff>
    </xdr:from>
    <xdr:to>
      <xdr:col>37</xdr:col>
      <xdr:colOff>655638</xdr:colOff>
      <xdr:row>59</xdr:row>
      <xdr:rowOff>119063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E9B8E533-AD63-48EA-8838-F14ABB5C6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644525</xdr:colOff>
      <xdr:row>78</xdr:row>
      <xdr:rowOff>165389</xdr:rowOff>
    </xdr:from>
    <xdr:to>
      <xdr:col>6</xdr:col>
      <xdr:colOff>386195</xdr:colOff>
      <xdr:row>93</xdr:row>
      <xdr:rowOff>137680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AB3F955-57C1-4630-8D86-A27C9E042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748532</xdr:colOff>
      <xdr:row>77</xdr:row>
      <xdr:rowOff>22191</xdr:rowOff>
    </xdr:from>
    <xdr:to>
      <xdr:col>40</xdr:col>
      <xdr:colOff>749198</xdr:colOff>
      <xdr:row>91</xdr:row>
      <xdr:rowOff>109537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B932BA2-17CA-4B13-8965-7672314FA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25867</xdr:colOff>
      <xdr:row>60</xdr:row>
      <xdr:rowOff>18074</xdr:rowOff>
    </xdr:from>
    <xdr:to>
      <xdr:col>46</xdr:col>
      <xdr:colOff>743905</xdr:colOff>
      <xdr:row>75</xdr:row>
      <xdr:rowOff>19050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9309650-A67D-4DA5-AB33-584C670F9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595313</xdr:colOff>
      <xdr:row>43</xdr:row>
      <xdr:rowOff>176213</xdr:rowOff>
    </xdr:from>
    <xdr:to>
      <xdr:col>31</xdr:col>
      <xdr:colOff>595313</xdr:colOff>
      <xdr:row>58</xdr:row>
      <xdr:rowOff>55563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638FCB0-8867-4067-B862-DCD7DABCF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369888</xdr:colOff>
      <xdr:row>74</xdr:row>
      <xdr:rowOff>173038</xdr:rowOff>
    </xdr:from>
    <xdr:to>
      <xdr:col>34</xdr:col>
      <xdr:colOff>141288</xdr:colOff>
      <xdr:row>89</xdr:row>
      <xdr:rowOff>71438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9282A26-BCA0-48B1-9103-0C1C9F2E5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35</xdr:col>
      <xdr:colOff>8660</xdr:colOff>
      <xdr:row>62</xdr:row>
      <xdr:rowOff>163367</xdr:rowOff>
    </xdr:from>
    <xdr:to>
      <xdr:col>40</xdr:col>
      <xdr:colOff>733715</xdr:colOff>
      <xdr:row>77</xdr:row>
      <xdr:rowOff>135658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ABC6FBD6-9DD1-484D-9641-DF934B872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587986</xdr:colOff>
      <xdr:row>37</xdr:row>
      <xdr:rowOff>153011</xdr:rowOff>
    </xdr:from>
    <xdr:to>
      <xdr:col>12</xdr:col>
      <xdr:colOff>646601</xdr:colOff>
      <xdr:row>52</xdr:row>
      <xdr:rowOff>43597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603BF795-984C-4095-BF02-F83C6B3C9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663086</xdr:colOff>
      <xdr:row>90</xdr:row>
      <xdr:rowOff>29065</xdr:rowOff>
    </xdr:from>
    <xdr:to>
      <xdr:col>34</xdr:col>
      <xdr:colOff>403794</xdr:colOff>
      <xdr:row>104</xdr:row>
      <xdr:rowOff>178534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FB32BCFF-A247-456D-85FC-D43DFDA1C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817563</xdr:colOff>
      <xdr:row>92</xdr:row>
      <xdr:rowOff>49213</xdr:rowOff>
    </xdr:from>
    <xdr:to>
      <xdr:col>21</xdr:col>
      <xdr:colOff>563563</xdr:colOff>
      <xdr:row>106</xdr:row>
      <xdr:rowOff>119063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7B3EF077-3BF8-42E6-9C08-51A3B197F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103188</xdr:colOff>
      <xdr:row>44</xdr:row>
      <xdr:rowOff>80963</xdr:rowOff>
    </xdr:from>
    <xdr:to>
      <xdr:col>19</xdr:col>
      <xdr:colOff>611188</xdr:colOff>
      <xdr:row>58</xdr:row>
      <xdr:rowOff>150813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99600CEE-7D12-4663-8222-3271A0810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754063</xdr:colOff>
      <xdr:row>91</xdr:row>
      <xdr:rowOff>17463</xdr:rowOff>
    </xdr:from>
    <xdr:to>
      <xdr:col>27</xdr:col>
      <xdr:colOff>754063</xdr:colOff>
      <xdr:row>105</xdr:row>
      <xdr:rowOff>87313</xdr:rowOff>
    </xdr:to>
    <xdr:graphicFrame macro="">
      <xdr:nvGraphicFramePr>
        <xdr:cNvPr id="36" name="Graphique 35">
          <a:extLst>
            <a:ext uri="{FF2B5EF4-FFF2-40B4-BE49-F238E27FC236}">
              <a16:creationId xmlns:a16="http://schemas.microsoft.com/office/drawing/2014/main" id="{891AE0A4-E330-4AC5-9CAB-666679C1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693738</xdr:colOff>
      <xdr:row>44</xdr:row>
      <xdr:rowOff>90488</xdr:rowOff>
    </xdr:from>
    <xdr:to>
      <xdr:col>25</xdr:col>
      <xdr:colOff>668338</xdr:colOff>
      <xdr:row>58</xdr:row>
      <xdr:rowOff>166688</xdr:rowOff>
    </xdr:to>
    <xdr:graphicFrame macro="">
      <xdr:nvGraphicFramePr>
        <xdr:cNvPr id="37" name="Graphique 36">
          <a:extLst>
            <a:ext uri="{FF2B5EF4-FFF2-40B4-BE49-F238E27FC236}">
              <a16:creationId xmlns:a16="http://schemas.microsoft.com/office/drawing/2014/main" id="{25ED958E-6589-4052-ACE3-95CB823E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34</xdr:row>
      <xdr:rowOff>65088</xdr:rowOff>
    </xdr:from>
    <xdr:to>
      <xdr:col>8</xdr:col>
      <xdr:colOff>1341438</xdr:colOff>
      <xdr:row>48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36</xdr:row>
      <xdr:rowOff>131476</xdr:rowOff>
    </xdr:from>
    <xdr:to>
      <xdr:col>4</xdr:col>
      <xdr:colOff>542637</xdr:colOff>
      <xdr:row>51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34</xdr:row>
      <xdr:rowOff>96838</xdr:rowOff>
    </xdr:from>
    <xdr:to>
      <xdr:col>12</xdr:col>
      <xdr:colOff>452438</xdr:colOff>
      <xdr:row>48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34</xdr:row>
      <xdr:rowOff>96838</xdr:rowOff>
    </xdr:from>
    <xdr:to>
      <xdr:col>20</xdr:col>
      <xdr:colOff>722313</xdr:colOff>
      <xdr:row>48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35</xdr:row>
      <xdr:rowOff>1588</xdr:rowOff>
    </xdr:from>
    <xdr:to>
      <xdr:col>17</xdr:col>
      <xdr:colOff>0</xdr:colOff>
      <xdr:row>49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1098984</xdr:colOff>
      <xdr:row>36</xdr:row>
      <xdr:rowOff>24679</xdr:rowOff>
    </xdr:from>
    <xdr:to>
      <xdr:col>25</xdr:col>
      <xdr:colOff>543359</xdr:colOff>
      <xdr:row>50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50</xdr:row>
      <xdr:rowOff>96838</xdr:rowOff>
    </xdr:from>
    <xdr:to>
      <xdr:col>4</xdr:col>
      <xdr:colOff>611188</xdr:colOff>
      <xdr:row>64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50</xdr:row>
      <xdr:rowOff>160338</xdr:rowOff>
    </xdr:from>
    <xdr:to>
      <xdr:col>8</xdr:col>
      <xdr:colOff>1547813</xdr:colOff>
      <xdr:row>65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51</xdr:row>
      <xdr:rowOff>17463</xdr:rowOff>
    </xdr:from>
    <xdr:to>
      <xdr:col>12</xdr:col>
      <xdr:colOff>658813</xdr:colOff>
      <xdr:row>65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51</xdr:row>
      <xdr:rowOff>96838</xdr:rowOff>
    </xdr:from>
    <xdr:to>
      <xdr:col>17</xdr:col>
      <xdr:colOff>0</xdr:colOff>
      <xdr:row>65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51</xdr:row>
      <xdr:rowOff>65088</xdr:rowOff>
    </xdr:from>
    <xdr:to>
      <xdr:col>20</xdr:col>
      <xdr:colOff>785813</xdr:colOff>
      <xdr:row>65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1230313</xdr:colOff>
      <xdr:row>51</xdr:row>
      <xdr:rowOff>49213</xdr:rowOff>
    </xdr:from>
    <xdr:to>
      <xdr:col>25</xdr:col>
      <xdr:colOff>674688</xdr:colOff>
      <xdr:row>65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65</xdr:row>
      <xdr:rowOff>144463</xdr:rowOff>
    </xdr:from>
    <xdr:to>
      <xdr:col>4</xdr:col>
      <xdr:colOff>754063</xdr:colOff>
      <xdr:row>80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66</xdr:row>
      <xdr:rowOff>65088</xdr:rowOff>
    </xdr:from>
    <xdr:to>
      <xdr:col>8</xdr:col>
      <xdr:colOff>1420813</xdr:colOff>
      <xdr:row>80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66</xdr:row>
      <xdr:rowOff>1588</xdr:rowOff>
    </xdr:from>
    <xdr:to>
      <xdr:col>12</xdr:col>
      <xdr:colOff>341313</xdr:colOff>
      <xdr:row>80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66</xdr:row>
      <xdr:rowOff>96838</xdr:rowOff>
    </xdr:from>
    <xdr:to>
      <xdr:col>17</xdr:col>
      <xdr:colOff>0</xdr:colOff>
      <xdr:row>80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66</xdr:row>
      <xdr:rowOff>65088</xdr:rowOff>
    </xdr:from>
    <xdr:to>
      <xdr:col>20</xdr:col>
      <xdr:colOff>706438</xdr:colOff>
      <xdr:row>80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1103313</xdr:colOff>
      <xdr:row>66</xdr:row>
      <xdr:rowOff>144463</xdr:rowOff>
    </xdr:from>
    <xdr:to>
      <xdr:col>25</xdr:col>
      <xdr:colOff>547688</xdr:colOff>
      <xdr:row>81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82</xdr:row>
      <xdr:rowOff>176213</xdr:rowOff>
    </xdr:from>
    <xdr:to>
      <xdr:col>12</xdr:col>
      <xdr:colOff>293688</xdr:colOff>
      <xdr:row>97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83</xdr:row>
      <xdr:rowOff>128588</xdr:rowOff>
    </xdr:from>
    <xdr:to>
      <xdr:col>17</xdr:col>
      <xdr:colOff>0</xdr:colOff>
      <xdr:row>98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83</xdr:row>
      <xdr:rowOff>65088</xdr:rowOff>
    </xdr:from>
    <xdr:to>
      <xdr:col>20</xdr:col>
      <xdr:colOff>468313</xdr:colOff>
      <xdr:row>97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1023938</xdr:colOff>
      <xdr:row>83</xdr:row>
      <xdr:rowOff>17463</xdr:rowOff>
    </xdr:from>
    <xdr:to>
      <xdr:col>25</xdr:col>
      <xdr:colOff>468313</xdr:colOff>
      <xdr:row>97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02PC/resultats_RT_sub-02PC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\OneDrive\Documents\GitHub\psych\experience\sub-61EV\results_GNG_sub-61EV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03CT/resultats_RT_sub-03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07DB/resultats_RT_sub-07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11VP/resultats_RT_sub-88V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28AP/resultats_RT_sub-28A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ence/sub-59RM/resultats_RT_sub-59R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\OneDrive\Documents\GitHub\psych\experience\sub-61EV\resultats_RT_sub-61EV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\OneDrive\Documents\GitHub\psych\experience\sub-62LL\resultats_RT_sub-62LL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\OneDrive\Documents\GitHub\psych\experience\sub-59RM\results_GNG_sub-59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02PC (2)"/>
      <sheetName val="resultats_RT_sub-02PC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GNG_sub-61EV (2)"/>
      <sheetName val="results_GNG_sub-61EV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03CT (2)"/>
      <sheetName val="resultats_RT_sub-03C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07DB (2)"/>
      <sheetName val="resultats_RT_sub-07DB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88VP (2)"/>
      <sheetName val="resultats_RT_sub-88VP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28AP (2)"/>
      <sheetName val="resultats_RT_sub-28AP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59RM (2)"/>
      <sheetName val="resultats_RT_sub-59RM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61EV (2)"/>
      <sheetName val="resultats_RT_sub-61EV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ats_RT_sub-62LL (2)"/>
      <sheetName val="resultats_RT_sub-62LL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GNG_sub-59RM (2)"/>
      <sheetName val="results_GNG_sub-59RM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K28" totalsRowShown="0">
  <autoFilter ref="A1:K28" xr:uid="{C582091B-F7A0-4A99-B0D9-B71221337C61}"/>
  <sortState xmlns:xlrd2="http://schemas.microsoft.com/office/spreadsheetml/2017/richdata2" ref="A2:I28">
    <sortCondition ref="A1:A28"/>
  </sortState>
  <tableColumns count="11">
    <tableColumn id="1" xr3:uid="{F54F0C8C-2076-4A61-AE16-18A827F212DF}" name="Colonne1" dataDxfId="41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  <tableColumn id="9" xr3:uid="{D9F4B8A7-315E-4C55-A449-22EECB963E45}" name="CV Vmax normal"/>
    <tableColumn id="11" xr3:uid="{0DAD4827-9160-469F-BA45-55EA240B1EF2}" name="CV TPV normal" dataDxfId="40"/>
    <tableColumn id="10" xr3:uid="{4101A321-03D5-4761-9609-5DFD1E5F8B6B}" name="Sujets" dataDxf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AI36" totalsRowShown="0">
  <autoFilter ref="A1:AI36" xr:uid="{B661E332-EF35-486A-B43B-60BA9CFEE286}"/>
  <sortState xmlns:xlrd2="http://schemas.microsoft.com/office/spreadsheetml/2017/richdata2" ref="A2:AI36">
    <sortCondition ref="M1:M36"/>
  </sortState>
  <tableColumns count="35">
    <tableColumn id="1" xr3:uid="{3712F773-EED8-4280-B4EB-2BBA2A6CE742}" name="Colonne1" dataDxfId="38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37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33" xr3:uid="{740416F3-487D-4B0B-A3AE-158AF0C8D507}" name="CV RT haut bas"/>
    <tableColumn id="34" xr3:uid="{ED1AA4CE-2B0B-4B62-8034-E8596454B7B0}" name="CV RT droite gauche"/>
    <tableColumn id="25" xr3:uid="{C580C8BD-EA92-4DE1-A52F-BA803282E97E}" name="diff Taplen"/>
    <tableColumn id="13" xr3:uid="{16FAAFBD-3517-466B-A7B5-461A2984E740}" name="CV taplen"/>
    <tableColumn id="35" xr3:uid="{B2594545-3088-41E7-B1A4-64AC89598DAF}" name="RFT (%age erreur à vérif !!)"/>
    <tableColumn id="15" xr3:uid="{872B0A33-1911-4A5E-9D72-09E45F1AD3B0}" name="Motrice2"/>
    <tableColumn id="16" xr3:uid="{F268696B-F4C6-49FF-B60B-2DA1B0A87612}" name="Cognitive3"/>
    <tableColumn id="17" xr3:uid="{4FFBAC32-D1F2-401F-AF42-144289E4376A}" name="Non-Planning4"/>
    <tableColumn id="18" xr3:uid="{E381EAD1-EB43-414C-9655-53678A6427F5}" name="Total2"/>
    <tableColumn id="19" xr3:uid="{EBB0B3D5-8D16-4EE8-9776-C72508A7456F}" name="VMN6"/>
    <tableColumn id="20" xr3:uid="{E9231253-9146-4983-BC41-C44C67987108}" name="TPVDN"/>
    <tableColumn id="21" xr3:uid="{18B6AF94-C549-49E9-BD57-E9BD98F8DA75}" name="TPVUN"/>
    <tableColumn id="22" xr3:uid="{903089D6-8D2E-4057-800B-A5D8C740BAF4}" name="CV Vmax normal" dataDxfId="36"/>
    <tableColumn id="23" xr3:uid="{15A9FF45-EF7F-4817-B991-D3346021A920}" name="CV TPV normal" dataDxfId="35"/>
    <tableColumn id="24" xr3:uid="{244E1218-D64D-449E-9B5B-E757C48AC394}" name="Sujets" dataDxfId="34"/>
    <tableColumn id="26" xr3:uid="{69D7DBBC-EE2E-4C00-906A-E7409599239D}" name="Colonne12"/>
    <tableColumn id="27" xr3:uid="{FD017DFD-5C70-4F2B-A739-F52B68C2E40A}" name="Extraverti/Introverti"/>
    <tableColumn id="28" xr3:uid="{40ABC1B3-23FB-4DBA-A764-B493E00A06AB}" name="Lent/Vif" dataDxfId="33"/>
    <tableColumn id="29" xr3:uid="{8E4C373C-F684-4E7D-903A-B082DC8DF8B4}" name="Mesuré/Passionné" dataDxfId="32"/>
    <tableColumn id="30" xr3:uid="{88ECDE0A-28D4-497E-919C-BA0F2D60EE3C}" name="réfléchit/ impulsif" dataDxfId="31"/>
    <tableColumn id="31" xr3:uid="{53979D36-89D8-47C9-8FDA-9D2F85EE699C}" name="Concentré/Distrait" dataDxfId="30"/>
    <tableColumn id="32" xr3:uid="{329739D4-0CFC-47B8-BAAF-A4E8AB2372DC}" name="Patient/Impatient" dataDxf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Z33" totalsRowShown="0" headerRowDxfId="28">
  <autoFilter ref="A1:Z33" xr:uid="{C81F56A9-6CA7-46DA-AC43-658C5ED33BBA}"/>
  <sortState xmlns:xlrd2="http://schemas.microsoft.com/office/spreadsheetml/2017/richdata2" ref="A2:Z33">
    <sortCondition ref="A1:A33"/>
  </sortState>
  <tableColumns count="26">
    <tableColumn id="1" xr3:uid="{4C3D2B99-81E1-449E-B54F-A4CD2E246143}" name="Colonne1" dataDxfId="27"/>
    <tableColumn id="27" xr3:uid="{56536318-B2AD-4CB4-83FA-815D21AA5C91}" name="TPVN" dataDxfId="26"/>
    <tableColumn id="2" xr3:uid="{1E1E98DC-8D0C-484A-83C7-F945C2A1BAC0}" name="Réfléchi/Impulsif" dataDxfId="25"/>
    <tableColumn id="3" xr3:uid="{34EE6424-1D37-4084-9BC6-B069F326C7D8}" name="Patient/Impatient" dataDxfId="24"/>
    <tableColumn id="4" xr3:uid="{52CDA8A8-66AA-4597-8233-835AC7B49D11}" name="Mesuré/Passionné" dataDxfId="23"/>
    <tableColumn id="5" xr3:uid="{9AD51FB7-98CE-4D91-99EA-D68287E61C0E}" name="Survolté/Calme" dataDxfId="22"/>
    <tableColumn id="6" xr3:uid="{25E15615-E3BB-4470-B380-CB539C3B11BE}" name="Concentré/Distrait" dataDxfId="21"/>
    <tableColumn id="7" xr3:uid="{2A7B67DB-915B-4DD2-9D2E-FD949E338A0B}" name="Anxieux/Détendu" dataDxfId="20"/>
    <tableColumn id="8" xr3:uid="{1AB4EB6D-ADE5-4443-BFA2-BF2995D9DE26}" name="Intuitif/Logique" dataDxfId="19"/>
    <tableColumn id="9" xr3:uid="{1A51C355-86D9-419E-9EE0-C79428E1E0EF}" name="Méthodique/Désordonné" dataDxfId="18"/>
    <tableColumn id="10" xr3:uid="{29082C13-A5E2-4BB0-B3F0-BCA76EDCE87E}" name="Rêveur/Pragmatique" dataDxfId="17"/>
    <tableColumn id="11" xr3:uid="{ADD94587-57F2-498A-8218-F634373E78A3}" name="Souple/Intransigeant" dataDxfId="16"/>
    <tableColumn id="12" xr3:uid="{FD34DC9E-B32E-46C1-AF8F-D6597BC31C97}" name="Dynamique/Lymphatique" dataDxfId="15"/>
    <tableColumn id="13" xr3:uid="{30A4D4E6-1B15-4C7E-96C1-782B0145BC06}" name="Organisé/Brouillon" dataDxfId="14"/>
    <tableColumn id="14" xr3:uid="{09C2BD8A-C131-48F5-BC3B-4860DA9424DB}" name="Habile/Maladroit" dataDxfId="13"/>
    <tableColumn id="15" xr3:uid="{3E92E182-7141-4C42-A1AB-8F3124AE2608}" name="Prudent/Fonceur" dataDxfId="12"/>
    <tableColumn id="16" xr3:uid="{5888F45E-D1E4-40A2-84ED-17437F5F8150}" name="Lent/Vif" dataDxfId="11"/>
    <tableColumn id="17" xr3:uid="{6B6AFFC2-23CA-454B-98C2-48CB237DE9C5}" name="Soigné/Négligé" dataDxfId="10"/>
    <tableColumn id="18" xr3:uid="{C445B74F-DCA0-484A-BA7C-8FF7AA4A26B0}" name="En retard/Ponctuel" dataDxfId="9"/>
    <tableColumn id="19" xr3:uid="{20F4EFC3-B584-4D0F-9C1F-9C44A4988A31}" name="Equilibré/Instable" dataDxfId="8"/>
    <tableColumn id="20" xr3:uid="{62C72FD4-0280-4140-821C-A3B818ED47C5}" name="Minutieux/Grossier" dataDxfId="7"/>
    <tableColumn id="21" xr3:uid="{BBCB229D-51FF-4CC9-B4AF-3B170A0B6C14}" name="Extraverti/Introverti" dataDxfId="6"/>
    <tableColumn id="22" xr3:uid="{7C10C16B-5C27-4125-BAFA-CDB6320A8719}" name="Agréable/Peu agréable" dataDxfId="5"/>
    <tableColumn id="23" xr3:uid="{4AEF5EDB-0474-4DE2-AAAD-4EB21BA44D9D}" name="Stable émotionnellement/Instable émotionnellement" dataDxfId="4"/>
    <tableColumn id="24" xr3:uid="{EADCC227-EA68-4A99-A0F1-7E29B33F8756}" name="Ouverture à l'expérience/Fermeture à l'expérience" dataDxfId="3"/>
    <tableColumn id="25" xr3:uid="{D6260960-9238-4F09-91AD-EDE247C55825}" name="VMN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8CC8AD-B5BA-4306-B7DE-13D52F5A126B}" name="Tableau4" displayName="Tableau4" ref="A1:M11" totalsRowShown="0" headerRowDxfId="2">
  <autoFilter ref="A1:M11" xr:uid="{E18CC8AD-B5BA-4306-B7DE-13D52F5A126B}"/>
  <sortState xmlns:xlrd2="http://schemas.microsoft.com/office/spreadsheetml/2017/richdata2" ref="A2:M11">
    <sortCondition ref="A1:A11"/>
  </sortState>
  <tableColumns count="13">
    <tableColumn id="1" xr3:uid="{1BA04426-0E71-4C89-9E7F-06512835A5D2}" name="sujets"/>
    <tableColumn id="2" xr3:uid="{8E7E2F6F-2D9C-48E8-8E8B-4CC2EE8E6109}" name="Haut 0,2"/>
    <tableColumn id="3" xr3:uid="{F6D28B4C-3DEC-40AA-87DE-9BB314E7AA8F}" name="Haut 0,5"/>
    <tableColumn id="4" xr3:uid="{8F84DA05-899E-4B0C-B126-CF3BDAF37912}" name="Haut 0,8"/>
    <tableColumn id="5" xr3:uid="{9C82A37F-AA7B-4500-BDFC-EE6ED9057C6A}" name="Bas 0,2"/>
    <tableColumn id="6" xr3:uid="{23DA7534-806C-440B-9F2B-4BA2F8453302}" name="Bas 0,5"/>
    <tableColumn id="7" xr3:uid="{3F9ABDC0-E9C3-4BB8-A814-BAF7499D19DC}" name="Bas 0,8"/>
    <tableColumn id="8" xr3:uid="{73B409E7-E284-4270-9D0F-410D8128AA09}" name="Gauche 0,2"/>
    <tableColumn id="9" xr3:uid="{AC50A396-E1B1-4B07-A60F-9EB5069412ED}" name="Gauche 0,5"/>
    <tableColumn id="10" xr3:uid="{58AD3196-89DE-4CF1-86AA-943637D08BD3}" name="Gauche 0,8"/>
    <tableColumn id="11" xr3:uid="{D6F4376E-1632-437D-B5B5-4B8726006584}" name="Droite 0,2"/>
    <tableColumn id="12" xr3:uid="{665F49F3-A55A-4502-9E06-CD11C11500D8}" name="Droite 0,5"/>
    <tableColumn id="13" xr3:uid="{D6235FFA-003E-4E05-B7D3-48BC18221001}" name="Droite 0,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043793-B32B-4B0B-A29E-61991E120605}" name="Tableau6" displayName="Tableau6" ref="A1:M12" totalsRowShown="0" headerRowDxfId="1">
  <autoFilter ref="A1:M12" xr:uid="{D1043793-B32B-4B0B-A29E-61991E120605}"/>
  <tableColumns count="13">
    <tableColumn id="1" xr3:uid="{43DF07AF-0817-4D09-A67C-93BF7D5220DC}" name="sujets" dataDxfId="0"/>
    <tableColumn id="2" xr3:uid="{7EB35F48-13B8-4451-B700-675E763F9004}" name="GD2"/>
    <tableColumn id="3" xr3:uid="{B7A29D19-0B1C-4603-8AC4-5F80912E3EFC}" name="GD5"/>
    <tableColumn id="4" xr3:uid="{6B7309DB-D3E7-4618-81CD-8139566EB4B4}" name="GD8"/>
    <tableColumn id="5" xr3:uid="{96197535-644E-4B6C-9A2A-CDB21B844AC3}" name="GG2"/>
    <tableColumn id="6" xr3:uid="{9C9275E6-0D39-4681-A4BA-D3975BA73F35}" name="GG5"/>
    <tableColumn id="7" xr3:uid="{05A008AE-56C5-49BB-BC0D-BC4F318C17A3}" name="GG8"/>
    <tableColumn id="8" xr3:uid="{96408D9B-FA43-4450-8E67-731BEDEC1B03}" name="GH2"/>
    <tableColumn id="9" xr3:uid="{28C92DC9-D2F2-4124-AE70-8792928660B4}" name="GH5"/>
    <tableColumn id="10" xr3:uid="{86C6A067-023B-4234-9EAB-70D40E76EDF8}" name="GH8"/>
    <tableColumn id="11" xr3:uid="{40AA790D-CC79-4F6A-94F7-3D8D1016EFD4}" name="GB2"/>
    <tableColumn id="12" xr3:uid="{3D7580F3-EE6C-4962-9BFE-ABAEA2F7FC8F}" name="GB5"/>
    <tableColumn id="13" xr3:uid="{22FE5FED-A61C-487B-8D88-94F7E44F3F5E}" name="GB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S28"/>
  <sheetViews>
    <sheetView zoomScale="60" zoomScaleNormal="60" workbookViewId="0">
      <selection activeCell="C19" sqref="C19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9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69</v>
      </c>
      <c r="H1" t="s">
        <v>70</v>
      </c>
      <c r="I1" t="s">
        <v>71</v>
      </c>
      <c r="J1" t="s">
        <v>73</v>
      </c>
      <c r="K1" t="s">
        <v>72</v>
      </c>
    </row>
    <row r="2" spans="1:19" x14ac:dyDescent="0.35">
      <c r="A2" s="4" t="s">
        <v>78</v>
      </c>
      <c r="J2" s="2"/>
      <c r="K2" s="3"/>
    </row>
    <row r="3" spans="1:19" x14ac:dyDescent="0.35">
      <c r="A3" s="13" t="s">
        <v>59</v>
      </c>
      <c r="B3">
        <v>17</v>
      </c>
      <c r="C3">
        <v>17</v>
      </c>
      <c r="D3">
        <v>22</v>
      </c>
      <c r="E3">
        <v>56</v>
      </c>
      <c r="F3">
        <v>727.68</v>
      </c>
      <c r="G3">
        <v>0.48697176452987984</v>
      </c>
      <c r="H3">
        <v>0.43788391930139975</v>
      </c>
      <c r="I3" s="2">
        <v>0.19138101152556758</v>
      </c>
      <c r="J3" s="2">
        <v>0.19488530843536417</v>
      </c>
      <c r="K3" s="13" t="s">
        <v>59</v>
      </c>
      <c r="P3" t="s">
        <v>29</v>
      </c>
      <c r="Q3" t="s">
        <v>30</v>
      </c>
      <c r="R3" t="s">
        <v>31</v>
      </c>
      <c r="S3" t="s">
        <v>32</v>
      </c>
    </row>
    <row r="4" spans="1:19" x14ac:dyDescent="0.35">
      <c r="A4" s="8" t="s">
        <v>48</v>
      </c>
      <c r="B4">
        <v>17</v>
      </c>
      <c r="C4">
        <v>26</v>
      </c>
      <c r="D4">
        <v>24</v>
      </c>
      <c r="E4">
        <v>67</v>
      </c>
      <c r="F4">
        <v>555.07000000000005</v>
      </c>
      <c r="G4">
        <v>0.42523776151081644</v>
      </c>
      <c r="H4">
        <v>0.31884878539456574</v>
      </c>
      <c r="I4" s="2">
        <v>0.27350535299813195</v>
      </c>
      <c r="J4" s="2">
        <v>0.2987388657769145</v>
      </c>
      <c r="K4" s="8" t="s">
        <v>48</v>
      </c>
      <c r="P4">
        <v>0.46</v>
      </c>
      <c r="Q4" s="2">
        <v>0.80632183908045885</v>
      </c>
      <c r="R4" s="2">
        <v>0.48470000000000002</v>
      </c>
      <c r="S4">
        <v>808</v>
      </c>
    </row>
    <row r="5" spans="1:19" x14ac:dyDescent="0.35">
      <c r="A5" t="s">
        <v>28</v>
      </c>
      <c r="B5">
        <f>2+3+3+2+2+2+3+1+4+3+2</f>
        <v>27</v>
      </c>
      <c r="C5">
        <f>2+3+2+2+4+2+3+2+2+3+2</f>
        <v>27</v>
      </c>
      <c r="D5">
        <f>3+2+1+4+3+1+1+1+1+1+2+3</f>
        <v>23</v>
      </c>
      <c r="E5">
        <f>SUM(B5:D5)</f>
        <v>77</v>
      </c>
      <c r="F5">
        <v>1244.5</v>
      </c>
      <c r="G5">
        <v>0.53721600055204066</v>
      </c>
      <c r="H5">
        <v>0.51825781535814563</v>
      </c>
      <c r="I5" s="2">
        <v>0.190758013619762</v>
      </c>
      <c r="J5" s="2">
        <v>0.10500000000000001</v>
      </c>
      <c r="K5" t="s">
        <v>28</v>
      </c>
      <c r="P5" s="2">
        <v>0.36249999999999999</v>
      </c>
      <c r="Q5" s="2">
        <v>0.65344827586206855</v>
      </c>
      <c r="R5" s="2">
        <v>0.36430000000000001</v>
      </c>
      <c r="S5" s="2">
        <v>1244</v>
      </c>
    </row>
    <row r="6" spans="1:19" x14ac:dyDescent="0.35">
      <c r="A6" s="4" t="s">
        <v>39</v>
      </c>
      <c r="B6">
        <v>21</v>
      </c>
      <c r="C6">
        <v>34</v>
      </c>
      <c r="D6">
        <v>24</v>
      </c>
      <c r="E6">
        <v>79</v>
      </c>
      <c r="F6">
        <v>952.27</v>
      </c>
      <c r="I6" s="2">
        <v>0.16120051973703725</v>
      </c>
      <c r="J6" s="2">
        <v>9.5000000000000001E-2</v>
      </c>
      <c r="K6" s="4" t="s">
        <v>39</v>
      </c>
    </row>
    <row r="7" spans="1:19" x14ac:dyDescent="0.35">
      <c r="A7" s="3" t="s">
        <v>38</v>
      </c>
      <c r="B7">
        <v>27</v>
      </c>
      <c r="C7">
        <v>26</v>
      </c>
      <c r="D7">
        <v>20</v>
      </c>
      <c r="E7">
        <v>73</v>
      </c>
      <c r="F7">
        <v>1012.32</v>
      </c>
      <c r="I7" s="2">
        <v>0.20957825775177399</v>
      </c>
      <c r="J7" s="2">
        <v>0.16499999999999998</v>
      </c>
      <c r="K7" s="3" t="s">
        <v>38</v>
      </c>
    </row>
    <row r="8" spans="1:19" x14ac:dyDescent="0.35">
      <c r="A8" s="4" t="s">
        <v>47</v>
      </c>
      <c r="B8">
        <v>13</v>
      </c>
      <c r="C8">
        <v>13</v>
      </c>
      <c r="D8">
        <v>10</v>
      </c>
      <c r="E8">
        <v>36</v>
      </c>
      <c r="F8">
        <v>724.29</v>
      </c>
      <c r="I8" s="2">
        <v>0.16367528245775095</v>
      </c>
      <c r="J8" s="2">
        <v>0.2</v>
      </c>
      <c r="K8" s="4" t="s">
        <v>47</v>
      </c>
    </row>
    <row r="9" spans="1:19" x14ac:dyDescent="0.35">
      <c r="A9" s="4" t="s">
        <v>45</v>
      </c>
      <c r="B9">
        <v>12</v>
      </c>
      <c r="C9">
        <v>15</v>
      </c>
      <c r="D9">
        <v>13</v>
      </c>
      <c r="E9">
        <v>40</v>
      </c>
      <c r="F9">
        <v>1129.94</v>
      </c>
      <c r="I9" s="2">
        <v>0.21888721500826658</v>
      </c>
      <c r="J9" s="2">
        <v>0.16</v>
      </c>
      <c r="K9" s="4" t="s">
        <v>45</v>
      </c>
    </row>
    <row r="10" spans="1:19" x14ac:dyDescent="0.35">
      <c r="A10" s="3" t="s">
        <v>50</v>
      </c>
      <c r="B10">
        <v>18</v>
      </c>
      <c r="C10">
        <v>20</v>
      </c>
      <c r="D10">
        <v>14</v>
      </c>
      <c r="E10">
        <v>52</v>
      </c>
      <c r="F10">
        <v>1264.3399999999999</v>
      </c>
      <c r="I10" s="2">
        <v>0.21727317430719298</v>
      </c>
      <c r="J10" s="2">
        <v>0.14000000000000001</v>
      </c>
      <c r="K10" s="3" t="s">
        <v>50</v>
      </c>
    </row>
    <row r="11" spans="1:19" x14ac:dyDescent="0.35">
      <c r="A11" s="3" t="s">
        <v>3</v>
      </c>
      <c r="B11">
        <v>15</v>
      </c>
      <c r="C11">
        <f>3+4+4+4+0+1+1+0+1+4+0</f>
        <v>22</v>
      </c>
      <c r="D11">
        <f>3+0+3+1+3+4+0+1+3+0+3+1</f>
        <v>22</v>
      </c>
      <c r="E11">
        <f>SUM(B11:D11)</f>
        <v>59</v>
      </c>
      <c r="F11">
        <v>808.85</v>
      </c>
      <c r="I11" s="2">
        <v>0.20468925804491239</v>
      </c>
      <c r="J11" s="2">
        <v>0.13</v>
      </c>
      <c r="K11" s="3" t="s">
        <v>3</v>
      </c>
    </row>
    <row r="12" spans="1:19" x14ac:dyDescent="0.35">
      <c r="A12" s="4" t="s">
        <v>49</v>
      </c>
      <c r="B12">
        <v>15</v>
      </c>
      <c r="C12">
        <v>17</v>
      </c>
      <c r="D12">
        <v>19</v>
      </c>
      <c r="E12">
        <v>51</v>
      </c>
      <c r="F12">
        <v>1627.89</v>
      </c>
      <c r="I12" s="2">
        <v>0.12324555806812812</v>
      </c>
      <c r="J12" s="2">
        <v>0.08</v>
      </c>
      <c r="K12" s="4" t="s">
        <v>49</v>
      </c>
    </row>
    <row r="13" spans="1:19" x14ac:dyDescent="0.35">
      <c r="A13" s="3" t="s">
        <v>46</v>
      </c>
      <c r="B13">
        <v>14</v>
      </c>
      <c r="C13">
        <v>18</v>
      </c>
      <c r="D13">
        <v>23</v>
      </c>
      <c r="E13">
        <v>55</v>
      </c>
      <c r="F13">
        <v>440.17</v>
      </c>
      <c r="I13" s="2">
        <v>0.32061713896859978</v>
      </c>
      <c r="J13" s="2">
        <v>0.2635723605504261</v>
      </c>
      <c r="K13" s="3" t="s">
        <v>46</v>
      </c>
    </row>
    <row r="14" spans="1:19" x14ac:dyDescent="0.35">
      <c r="A14" s="4" t="s">
        <v>35</v>
      </c>
      <c r="B14">
        <v>18</v>
      </c>
      <c r="C14">
        <v>21</v>
      </c>
      <c r="D14">
        <v>24</v>
      </c>
      <c r="E14">
        <v>63</v>
      </c>
      <c r="F14">
        <v>1411.91</v>
      </c>
      <c r="I14" s="2">
        <v>0.1820505295355927</v>
      </c>
      <c r="J14" s="2">
        <v>5.3769617948418891E-2</v>
      </c>
      <c r="K14" s="4" t="s">
        <v>35</v>
      </c>
    </row>
    <row r="15" spans="1:19" x14ac:dyDescent="0.35">
      <c r="A15" s="4" t="s">
        <v>41</v>
      </c>
      <c r="B15">
        <v>28</v>
      </c>
      <c r="C15">
        <v>24</v>
      </c>
      <c r="D15">
        <v>19</v>
      </c>
      <c r="E15">
        <v>71</v>
      </c>
      <c r="F15">
        <v>1183.1199999999999</v>
      </c>
      <c r="I15" s="2">
        <v>0.3284283146246485</v>
      </c>
      <c r="J15" s="2">
        <v>0.16840344988893338</v>
      </c>
      <c r="K15" s="4" t="s">
        <v>41</v>
      </c>
    </row>
    <row r="16" spans="1:19" x14ac:dyDescent="0.35">
      <c r="A16" s="4" t="s">
        <v>37</v>
      </c>
      <c r="B16">
        <v>21</v>
      </c>
      <c r="C16">
        <v>16</v>
      </c>
      <c r="D16">
        <v>14</v>
      </c>
      <c r="E16">
        <v>51</v>
      </c>
      <c r="F16">
        <v>641.14</v>
      </c>
      <c r="I16" s="2">
        <v>0.19490930490111669</v>
      </c>
      <c r="J16" s="2">
        <v>0.27130752388374324</v>
      </c>
      <c r="K16" s="4" t="s">
        <v>37</v>
      </c>
    </row>
    <row r="17" spans="1:11" x14ac:dyDescent="0.35">
      <c r="A17" s="3" t="s">
        <v>33</v>
      </c>
      <c r="B17">
        <v>12</v>
      </c>
      <c r="C17">
        <v>18</v>
      </c>
      <c r="D17">
        <v>26</v>
      </c>
      <c r="E17">
        <v>56</v>
      </c>
      <c r="F17">
        <v>1127.92</v>
      </c>
      <c r="I17" s="2">
        <v>0.12621224612068394</v>
      </c>
      <c r="J17" s="2">
        <v>0.155</v>
      </c>
      <c r="K17" s="3" t="s">
        <v>33</v>
      </c>
    </row>
    <row r="18" spans="1:11" x14ac:dyDescent="0.35">
      <c r="A18" s="4" t="s">
        <v>57</v>
      </c>
      <c r="B18">
        <v>15</v>
      </c>
      <c r="C18">
        <v>14</v>
      </c>
      <c r="D18">
        <v>18</v>
      </c>
      <c r="E18">
        <v>47</v>
      </c>
      <c r="F18">
        <v>803.62</v>
      </c>
      <c r="I18" s="2">
        <v>0.20154512681321413</v>
      </c>
      <c r="J18" s="2">
        <v>0.1475549402808192</v>
      </c>
      <c r="K18" s="4" t="s">
        <v>57</v>
      </c>
    </row>
    <row r="19" spans="1:11" x14ac:dyDescent="0.35">
      <c r="A19" s="4" t="s">
        <v>43</v>
      </c>
      <c r="B19">
        <v>16</v>
      </c>
      <c r="C19">
        <v>11</v>
      </c>
      <c r="D19">
        <v>15</v>
      </c>
      <c r="E19">
        <v>42</v>
      </c>
      <c r="F19">
        <v>939.92</v>
      </c>
      <c r="I19" s="2">
        <v>0.22856813817382998</v>
      </c>
      <c r="J19" s="2">
        <v>0.215</v>
      </c>
      <c r="K19" s="4" t="s">
        <v>43</v>
      </c>
    </row>
    <row r="20" spans="1:11" x14ac:dyDescent="0.35">
      <c r="A20" s="3" t="s">
        <v>42</v>
      </c>
      <c r="B20">
        <v>14</v>
      </c>
      <c r="C20">
        <v>16</v>
      </c>
      <c r="D20">
        <v>17</v>
      </c>
      <c r="E20">
        <v>47</v>
      </c>
      <c r="F20">
        <v>771.81</v>
      </c>
      <c r="I20" s="2">
        <v>0.23816499013968034</v>
      </c>
      <c r="J20" s="2">
        <v>0.22618618391532119</v>
      </c>
      <c r="K20" s="3" t="s">
        <v>42</v>
      </c>
    </row>
    <row r="21" spans="1:11" x14ac:dyDescent="0.35">
      <c r="A21" s="3" t="s">
        <v>36</v>
      </c>
      <c r="B21">
        <v>24</v>
      </c>
      <c r="C21">
        <v>25</v>
      </c>
      <c r="D21">
        <v>22</v>
      </c>
      <c r="E21">
        <v>71</v>
      </c>
      <c r="F21">
        <v>1266.79</v>
      </c>
      <c r="I21" s="2">
        <v>0.19790189859608504</v>
      </c>
      <c r="J21" s="2">
        <v>0.12574829784647523</v>
      </c>
      <c r="K21" s="3" t="s">
        <v>36</v>
      </c>
    </row>
    <row r="22" spans="1:11" x14ac:dyDescent="0.35">
      <c r="A22" s="4" t="s">
        <v>55</v>
      </c>
      <c r="B22">
        <v>18</v>
      </c>
      <c r="C22">
        <v>14</v>
      </c>
      <c r="D22">
        <v>5</v>
      </c>
      <c r="E22">
        <v>37</v>
      </c>
      <c r="F22">
        <v>828.46</v>
      </c>
      <c r="I22" s="2">
        <v>0.19022303663769691</v>
      </c>
      <c r="J22" s="2">
        <v>0.20500000000000002</v>
      </c>
      <c r="K22" s="4" t="s">
        <v>55</v>
      </c>
    </row>
    <row r="23" spans="1:11" x14ac:dyDescent="0.35">
      <c r="A23" s="3" t="s">
        <v>34</v>
      </c>
      <c r="B23">
        <v>21</v>
      </c>
      <c r="C23">
        <v>23</v>
      </c>
      <c r="D23">
        <v>14</v>
      </c>
      <c r="E23">
        <v>58</v>
      </c>
      <c r="F23">
        <v>1250.0999999999999</v>
      </c>
      <c r="I23" s="2">
        <v>0.18744790301058986</v>
      </c>
      <c r="J23" s="2">
        <v>0.16</v>
      </c>
      <c r="K23" s="3" t="s">
        <v>34</v>
      </c>
    </row>
    <row r="24" spans="1:11" x14ac:dyDescent="0.35">
      <c r="A24" s="3" t="s">
        <v>58</v>
      </c>
      <c r="B24">
        <v>21</v>
      </c>
      <c r="C24">
        <v>22</v>
      </c>
      <c r="D24">
        <v>20</v>
      </c>
      <c r="E24">
        <v>63</v>
      </c>
      <c r="F24">
        <v>757.59</v>
      </c>
      <c r="I24" s="2">
        <v>0.21375035241977705</v>
      </c>
      <c r="J24" s="2">
        <v>0.22</v>
      </c>
      <c r="K24" s="3" t="s">
        <v>58</v>
      </c>
    </row>
    <row r="25" spans="1:11" x14ac:dyDescent="0.35">
      <c r="A25" s="3" t="s">
        <v>56</v>
      </c>
      <c r="B25">
        <v>17</v>
      </c>
      <c r="C25">
        <v>10</v>
      </c>
      <c r="D25">
        <v>10</v>
      </c>
      <c r="E25">
        <v>37</v>
      </c>
      <c r="F25">
        <v>1394.13</v>
      </c>
      <c r="I25" s="2">
        <v>9.5966856645818693E-2</v>
      </c>
      <c r="J25" s="2">
        <v>0.125</v>
      </c>
      <c r="K25" s="3" t="s">
        <v>56</v>
      </c>
    </row>
    <row r="26" spans="1:11" x14ac:dyDescent="0.35">
      <c r="A26" s="3" t="s">
        <v>44</v>
      </c>
      <c r="B26">
        <v>17</v>
      </c>
      <c r="C26">
        <v>22</v>
      </c>
      <c r="D26">
        <v>15</v>
      </c>
      <c r="E26">
        <v>54</v>
      </c>
      <c r="F26">
        <v>1333.71</v>
      </c>
      <c r="I26" s="2">
        <v>0.18196207714477017</v>
      </c>
      <c r="J26" s="2">
        <v>0.125</v>
      </c>
      <c r="K26" s="3" t="s">
        <v>44</v>
      </c>
    </row>
    <row r="27" spans="1:11" x14ac:dyDescent="0.35">
      <c r="A27" s="3" t="s">
        <v>54</v>
      </c>
      <c r="B27">
        <v>26</v>
      </c>
      <c r="C27">
        <v>20</v>
      </c>
      <c r="D27">
        <v>22</v>
      </c>
      <c r="E27">
        <v>68</v>
      </c>
      <c r="F27">
        <v>1200.1400000000001</v>
      </c>
      <c r="I27" s="2">
        <v>0.1976714267340858</v>
      </c>
      <c r="J27" s="2">
        <v>0.10840508583399006</v>
      </c>
      <c r="K27" s="3" t="s">
        <v>54</v>
      </c>
    </row>
    <row r="28" spans="1:11" x14ac:dyDescent="0.35">
      <c r="A28" s="3" t="s">
        <v>40</v>
      </c>
      <c r="B28">
        <v>27</v>
      </c>
      <c r="C28">
        <v>25</v>
      </c>
      <c r="D28">
        <v>6</v>
      </c>
      <c r="E28">
        <v>58</v>
      </c>
      <c r="F28">
        <v>1276.5</v>
      </c>
      <c r="I28" s="2">
        <v>0.20730231433161003</v>
      </c>
      <c r="J28" s="2">
        <v>0.11</v>
      </c>
      <c r="K28" s="3" t="s">
        <v>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AI36"/>
  <sheetViews>
    <sheetView tabSelected="1" zoomScale="40" zoomScaleNormal="40" workbookViewId="0">
      <pane xSplit="1" topLeftCell="B1" activePane="topRight" state="frozen"/>
      <selection pane="topRight" activeCell="P19" sqref="P19"/>
    </sheetView>
  </sheetViews>
  <sheetFormatPr baseColWidth="10" defaultRowHeight="14.5" x14ac:dyDescent="0.35"/>
  <cols>
    <col min="2" max="3" width="11" bestFit="1" customWidth="1"/>
    <col min="4" max="4" width="14.81640625" customWidth="1"/>
    <col min="5" max="8" width="11" bestFit="1" customWidth="1"/>
    <col min="9" max="9" width="10.26953125" bestFit="1" customWidth="1"/>
    <col min="10" max="15" width="11" bestFit="1" customWidth="1"/>
    <col min="16" max="16" width="14.54296875" bestFit="1" customWidth="1"/>
    <col min="17" max="27" width="11" bestFit="1" customWidth="1"/>
    <col min="30" max="31" width="11" bestFit="1" customWidth="1"/>
    <col min="32" max="32" width="14" style="23" bestFit="1" customWidth="1"/>
    <col min="33" max="35" width="11" bestFit="1" customWidth="1"/>
  </cols>
  <sheetData>
    <row r="1" spans="1:35" ht="29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s="35" t="s">
        <v>63</v>
      </c>
      <c r="K1" s="35" t="s">
        <v>64</v>
      </c>
      <c r="L1" s="35" t="s">
        <v>66</v>
      </c>
      <c r="M1" s="10" t="s">
        <v>65</v>
      </c>
      <c r="N1" s="10" t="s">
        <v>82</v>
      </c>
      <c r="O1" s="10" t="s">
        <v>83</v>
      </c>
      <c r="P1" s="36" t="s">
        <v>85</v>
      </c>
      <c r="Q1" s="36" t="s">
        <v>68</v>
      </c>
      <c r="R1" s="37" t="s">
        <v>86</v>
      </c>
      <c r="S1" t="s">
        <v>74</v>
      </c>
      <c r="T1" t="s">
        <v>75</v>
      </c>
      <c r="U1" t="s">
        <v>76</v>
      </c>
      <c r="V1" t="s">
        <v>80</v>
      </c>
      <c r="W1" t="s">
        <v>77</v>
      </c>
      <c r="X1" t="s">
        <v>69</v>
      </c>
      <c r="Y1" t="s">
        <v>70</v>
      </c>
      <c r="Z1" t="s">
        <v>71</v>
      </c>
      <c r="AA1" t="s">
        <v>73</v>
      </c>
      <c r="AB1" t="s">
        <v>72</v>
      </c>
      <c r="AC1" t="s">
        <v>79</v>
      </c>
      <c r="AD1" t="s">
        <v>24</v>
      </c>
      <c r="AE1" s="27" t="s">
        <v>19</v>
      </c>
      <c r="AF1" s="24" t="s">
        <v>7</v>
      </c>
      <c r="AG1" t="s">
        <v>81</v>
      </c>
      <c r="AH1" s="27" t="s">
        <v>9</v>
      </c>
      <c r="AI1" s="29" t="s">
        <v>6</v>
      </c>
    </row>
    <row r="2" spans="1:35" s="34" customFormat="1" x14ac:dyDescent="0.35">
      <c r="A2" s="80" t="s">
        <v>48</v>
      </c>
      <c r="B2" s="12">
        <v>104</v>
      </c>
      <c r="C2" s="12">
        <v>555.07000000000005</v>
      </c>
      <c r="D2">
        <f>ABS(C2-(6.1511*B2+348.6))</f>
        <v>433.24439999999993</v>
      </c>
      <c r="E2">
        <v>17</v>
      </c>
      <c r="F2">
        <v>26</v>
      </c>
      <c r="G2">
        <v>24</v>
      </c>
      <c r="H2" s="12">
        <v>67</v>
      </c>
      <c r="I2">
        <v>0.27</v>
      </c>
      <c r="J2">
        <v>0.49</v>
      </c>
      <c r="K2">
        <v>0.08</v>
      </c>
      <c r="L2">
        <v>0</v>
      </c>
      <c r="M2">
        <v>0.33</v>
      </c>
      <c r="N2">
        <v>0.08</v>
      </c>
      <c r="O2">
        <v>0.08</v>
      </c>
      <c r="P2">
        <v>-0.01</v>
      </c>
      <c r="Q2">
        <v>0.14000000000000001</v>
      </c>
      <c r="R2" s="38">
        <v>0.1</v>
      </c>
      <c r="S2">
        <v>17</v>
      </c>
      <c r="T2">
        <v>26</v>
      </c>
      <c r="U2">
        <v>24</v>
      </c>
      <c r="V2">
        <v>67</v>
      </c>
      <c r="W2">
        <v>555.07000000000005</v>
      </c>
      <c r="X2">
        <v>0.42523776151081644</v>
      </c>
      <c r="Y2">
        <v>0.31884878539456574</v>
      </c>
      <c r="Z2" s="2">
        <v>0.27350535299813195</v>
      </c>
      <c r="AA2" s="2">
        <v>0.2987388657769145</v>
      </c>
      <c r="AB2" s="3" t="s">
        <v>48</v>
      </c>
      <c r="AC2" t="s">
        <v>48</v>
      </c>
      <c r="AD2">
        <v>0.5</v>
      </c>
      <c r="AE2" s="6">
        <v>0.7</v>
      </c>
      <c r="AF2" s="26">
        <v>0.8</v>
      </c>
      <c r="AG2" s="6">
        <v>0.4</v>
      </c>
      <c r="AH2" s="6">
        <v>0.7</v>
      </c>
      <c r="AI2" s="5">
        <v>0.9</v>
      </c>
    </row>
    <row r="3" spans="1:35" x14ac:dyDescent="0.35">
      <c r="A3" s="32" t="s">
        <v>41</v>
      </c>
      <c r="B3">
        <v>113</v>
      </c>
      <c r="C3">
        <v>1183.1199999999999</v>
      </c>
      <c r="D3">
        <f>ABS(C3-(6.1511*B3+348.6))</f>
        <v>139.44569999999976</v>
      </c>
      <c r="E3">
        <v>28</v>
      </c>
      <c r="F3">
        <v>24</v>
      </c>
      <c r="G3">
        <v>19</v>
      </c>
      <c r="H3">
        <v>71</v>
      </c>
      <c r="I3">
        <v>0.32</v>
      </c>
      <c r="J3">
        <v>0.56999999999999995</v>
      </c>
      <c r="K3">
        <v>0.08</v>
      </c>
      <c r="L3">
        <v>3</v>
      </c>
      <c r="M3">
        <v>0.34</v>
      </c>
      <c r="N3">
        <v>0.08</v>
      </c>
      <c r="O3">
        <v>0.08</v>
      </c>
      <c r="P3">
        <v>-7.0000000000000007E-2</v>
      </c>
      <c r="Q3">
        <v>0.22</v>
      </c>
      <c r="S3">
        <v>28</v>
      </c>
      <c r="T3">
        <v>24</v>
      </c>
      <c r="U3">
        <v>19</v>
      </c>
      <c r="V3">
        <v>71</v>
      </c>
      <c r="W3">
        <v>1183.1199999999999</v>
      </c>
      <c r="Z3" s="2">
        <v>0.3284283146246485</v>
      </c>
      <c r="AA3" s="2">
        <v>0.16840344988893338</v>
      </c>
      <c r="AB3" s="4" t="s">
        <v>41</v>
      </c>
      <c r="AC3" t="s">
        <v>41</v>
      </c>
      <c r="AD3">
        <v>0.4</v>
      </c>
      <c r="AE3" s="84">
        <v>0.9</v>
      </c>
      <c r="AF3" s="85">
        <v>0.8</v>
      </c>
      <c r="AG3" s="84">
        <v>0.8</v>
      </c>
      <c r="AH3" s="87">
        <v>0.6</v>
      </c>
      <c r="AI3" s="87">
        <v>0.6</v>
      </c>
    </row>
    <row r="4" spans="1:35" x14ac:dyDescent="0.35">
      <c r="A4" s="8" t="s">
        <v>88</v>
      </c>
      <c r="B4" s="8">
        <v>122</v>
      </c>
      <c r="C4" s="8"/>
      <c r="D4" s="15"/>
      <c r="E4" s="8">
        <v>12</v>
      </c>
      <c r="F4" s="8">
        <v>19</v>
      </c>
      <c r="G4" s="8">
        <v>23</v>
      </c>
      <c r="H4" s="8">
        <v>54</v>
      </c>
      <c r="I4" s="8"/>
      <c r="J4" s="8">
        <v>0.52</v>
      </c>
      <c r="K4" s="8">
        <v>0.08</v>
      </c>
      <c r="L4" s="8">
        <v>0</v>
      </c>
      <c r="M4" s="8">
        <v>0.35</v>
      </c>
      <c r="N4" s="8">
        <v>0.1</v>
      </c>
      <c r="O4" s="8">
        <v>0.15</v>
      </c>
      <c r="P4" s="8">
        <v>0.02</v>
      </c>
      <c r="Q4" s="8">
        <v>0.17</v>
      </c>
      <c r="R4" s="8"/>
      <c r="S4" s="8"/>
      <c r="T4" s="8"/>
      <c r="U4" s="8"/>
      <c r="V4" s="8"/>
      <c r="W4" s="8"/>
      <c r="X4" s="8"/>
      <c r="Y4" s="8"/>
      <c r="Z4" s="54"/>
      <c r="AA4" s="54"/>
      <c r="AB4" s="8"/>
      <c r="AC4" s="8"/>
      <c r="AD4" s="82">
        <v>0.5</v>
      </c>
      <c r="AE4" s="13"/>
      <c r="AF4" s="25"/>
      <c r="AG4" s="82">
        <v>0.3</v>
      </c>
      <c r="AH4" s="13"/>
      <c r="AI4" s="86">
        <v>0.5</v>
      </c>
    </row>
    <row r="5" spans="1:35" x14ac:dyDescent="0.35">
      <c r="A5" s="81" t="s">
        <v>28</v>
      </c>
      <c r="B5">
        <f>3+6+2+2+4+2+6+4+5+4+3+3+5+3+7+2+4+5+2+6+5+2+4+4+2+5+6+1</f>
        <v>107</v>
      </c>
      <c r="C5">
        <v>1244.5</v>
      </c>
      <c r="D5">
        <f>ABS(C5-(6.1511*B5+348.6))</f>
        <v>237.73230000000001</v>
      </c>
      <c r="E5">
        <v>27</v>
      </c>
      <c r="F5">
        <v>27</v>
      </c>
      <c r="G5">
        <v>23</v>
      </c>
      <c r="H5">
        <f>SUM(E5:G5)</f>
        <v>77</v>
      </c>
      <c r="I5">
        <v>0.19</v>
      </c>
      <c r="J5">
        <v>0.66</v>
      </c>
      <c r="K5">
        <v>0.18</v>
      </c>
      <c r="M5" s="48">
        <v>0.36</v>
      </c>
      <c r="N5" s="34"/>
      <c r="O5" s="34"/>
      <c r="P5" s="34"/>
      <c r="S5">
        <f>2+3+3+2+2+2+3+1+4+3+2</f>
        <v>27</v>
      </c>
      <c r="T5">
        <f>2+3+2+2+4+2+3+2+2+3+2</f>
        <v>27</v>
      </c>
      <c r="U5">
        <f>3+2+1+4+3+1+1+1+1+1+2+3</f>
        <v>23</v>
      </c>
      <c r="V5">
        <f>SUM(S5:U5)</f>
        <v>77</v>
      </c>
      <c r="W5">
        <v>1244.5</v>
      </c>
      <c r="X5">
        <v>0.53721600055204066</v>
      </c>
      <c r="Y5">
        <v>0.51825781535814563</v>
      </c>
      <c r="Z5" s="2">
        <v>0.190758013619762</v>
      </c>
      <c r="AA5" s="2">
        <v>0.10500000000000001</v>
      </c>
      <c r="AB5" s="8" t="s">
        <v>28</v>
      </c>
      <c r="AC5" t="s">
        <v>28</v>
      </c>
      <c r="AD5">
        <v>9.4318181818181829E-2</v>
      </c>
      <c r="AE5" s="83">
        <f>3.7/88</f>
        <v>4.2045454545454546E-2</v>
      </c>
      <c r="AF5" s="62">
        <v>3.2954545454545452E-2</v>
      </c>
      <c r="AG5" s="83">
        <f>1.6/88</f>
        <v>1.8181818181818184E-2</v>
      </c>
      <c r="AH5" s="83">
        <f>7.6/88</f>
        <v>8.6363636363636365E-2</v>
      </c>
      <c r="AI5" s="28">
        <f>0.2/88</f>
        <v>2.2727272727272731E-3</v>
      </c>
    </row>
    <row r="6" spans="1:35" x14ac:dyDescent="0.35">
      <c r="A6" s="3" t="s">
        <v>91</v>
      </c>
      <c r="B6" s="8">
        <v>105</v>
      </c>
      <c r="C6" s="8"/>
      <c r="D6" s="15"/>
      <c r="E6" s="8">
        <v>18</v>
      </c>
      <c r="F6" s="8">
        <v>17</v>
      </c>
      <c r="G6" s="8">
        <v>23</v>
      </c>
      <c r="H6" s="8">
        <v>58</v>
      </c>
      <c r="I6" s="8"/>
      <c r="J6" s="8">
        <v>0.64</v>
      </c>
      <c r="K6" s="8">
        <v>0.12</v>
      </c>
      <c r="L6" s="8">
        <v>2</v>
      </c>
      <c r="M6" s="8">
        <v>0.37</v>
      </c>
      <c r="N6" s="8">
        <v>0.18</v>
      </c>
      <c r="O6" s="8">
        <v>0.14000000000000001</v>
      </c>
      <c r="P6" s="8">
        <v>0.04</v>
      </c>
      <c r="Q6" s="8">
        <v>0.28999999999999998</v>
      </c>
      <c r="R6" s="8"/>
      <c r="S6" s="8"/>
      <c r="T6" s="8"/>
      <c r="U6" s="8"/>
      <c r="V6" s="8"/>
      <c r="W6" s="8"/>
      <c r="X6" s="8"/>
      <c r="Y6" s="8"/>
      <c r="Z6" s="54"/>
      <c r="AA6" s="54"/>
      <c r="AB6" s="8"/>
      <c r="AC6" s="8"/>
      <c r="AD6" s="13">
        <v>0.5</v>
      </c>
      <c r="AE6" s="4"/>
      <c r="AF6" s="25"/>
      <c r="AG6" s="3">
        <v>0.5</v>
      </c>
      <c r="AH6" s="4"/>
      <c r="AI6" s="3">
        <v>0.6</v>
      </c>
    </row>
    <row r="7" spans="1:35" x14ac:dyDescent="0.35">
      <c r="A7" s="3" t="s">
        <v>67</v>
      </c>
      <c r="B7" s="8">
        <f>3+5+2+5+5+5+5+3+5+5+5+2+3+2+2+2+4+2+5+5+5+2+4+6+5+6+2+2</f>
        <v>107</v>
      </c>
      <c r="C7" s="8"/>
      <c r="D7" s="15"/>
      <c r="E7" s="8">
        <v>19</v>
      </c>
      <c r="F7" s="8">
        <v>17</v>
      </c>
      <c r="G7" s="8">
        <v>17</v>
      </c>
      <c r="H7" s="8">
        <v>53</v>
      </c>
      <c r="I7" s="8"/>
      <c r="J7" s="8"/>
      <c r="K7" s="8">
        <v>0.27</v>
      </c>
      <c r="L7" s="8"/>
      <c r="M7" s="44">
        <v>0.38</v>
      </c>
      <c r="N7" s="45"/>
      <c r="O7" s="45"/>
      <c r="P7" s="45">
        <v>-0.17</v>
      </c>
      <c r="Q7" s="8">
        <v>0.09</v>
      </c>
      <c r="R7" s="8"/>
      <c r="AA7" s="2"/>
      <c r="AB7" s="3"/>
      <c r="AE7" s="3"/>
      <c r="AF7" s="26"/>
      <c r="AG7" s="3"/>
      <c r="AH7" s="4"/>
      <c r="AI7" s="60">
        <f>0.32/0.88</f>
        <v>0.36363636363636365</v>
      </c>
    </row>
    <row r="8" spans="1:35" x14ac:dyDescent="0.35">
      <c r="A8" s="14" t="s">
        <v>59</v>
      </c>
      <c r="B8" s="8">
        <v>103</v>
      </c>
      <c r="C8">
        <v>727.68</v>
      </c>
      <c r="D8" s="8">
        <f>ABS(C8-(6.1511*B8+348.6))</f>
        <v>254.48329999999999</v>
      </c>
      <c r="E8">
        <v>17</v>
      </c>
      <c r="F8">
        <v>17</v>
      </c>
      <c r="G8">
        <v>22</v>
      </c>
      <c r="H8">
        <v>56</v>
      </c>
      <c r="I8">
        <v>0.19</v>
      </c>
      <c r="J8">
        <v>0.64</v>
      </c>
      <c r="K8">
        <v>0.06</v>
      </c>
      <c r="L8">
        <v>0</v>
      </c>
      <c r="M8">
        <v>0.38</v>
      </c>
      <c r="N8">
        <v>0.23</v>
      </c>
      <c r="O8">
        <v>0.11</v>
      </c>
      <c r="P8">
        <v>0</v>
      </c>
      <c r="Q8">
        <v>0.23</v>
      </c>
      <c r="S8">
        <v>17</v>
      </c>
      <c r="T8">
        <v>17</v>
      </c>
      <c r="U8">
        <v>22</v>
      </c>
      <c r="V8">
        <v>56</v>
      </c>
      <c r="W8">
        <v>727.68</v>
      </c>
      <c r="X8">
        <v>0.48697176452987984</v>
      </c>
      <c r="Y8">
        <v>0.43788391930139975</v>
      </c>
      <c r="Z8" s="2">
        <v>0.19138101152556758</v>
      </c>
      <c r="AA8" s="2">
        <v>0.19488530843536417</v>
      </c>
      <c r="AB8" s="4" t="s">
        <v>59</v>
      </c>
      <c r="AC8" t="s">
        <v>59</v>
      </c>
      <c r="AD8">
        <v>0.5</v>
      </c>
      <c r="AE8" s="3">
        <v>0.7</v>
      </c>
      <c r="AF8" s="26">
        <v>0.7</v>
      </c>
      <c r="AG8" s="3">
        <v>0.3</v>
      </c>
      <c r="AH8" s="3">
        <v>0.3</v>
      </c>
      <c r="AI8" s="4">
        <v>0.4</v>
      </c>
    </row>
    <row r="9" spans="1:35" x14ac:dyDescent="0.35">
      <c r="A9" s="3" t="s">
        <v>33</v>
      </c>
      <c r="B9">
        <v>120</v>
      </c>
      <c r="C9">
        <v>1127.92</v>
      </c>
      <c r="D9">
        <f>ABS(C9-(6.1511*B9+348.6))</f>
        <v>41.188000000000102</v>
      </c>
      <c r="E9">
        <v>12</v>
      </c>
      <c r="F9">
        <v>18</v>
      </c>
      <c r="G9">
        <v>26</v>
      </c>
      <c r="H9">
        <v>56</v>
      </c>
      <c r="I9">
        <v>0.12</v>
      </c>
      <c r="J9">
        <v>0.54</v>
      </c>
      <c r="K9">
        <v>0.08</v>
      </c>
      <c r="L9">
        <v>0</v>
      </c>
      <c r="M9">
        <v>0.38</v>
      </c>
      <c r="N9">
        <v>0.13</v>
      </c>
      <c r="O9">
        <v>0.12</v>
      </c>
      <c r="P9">
        <v>-0.14000000000000001</v>
      </c>
      <c r="Q9">
        <v>0.17</v>
      </c>
      <c r="S9">
        <v>12</v>
      </c>
      <c r="T9">
        <v>18</v>
      </c>
      <c r="U9">
        <v>26</v>
      </c>
      <c r="V9">
        <v>56</v>
      </c>
      <c r="W9">
        <v>1127.92</v>
      </c>
      <c r="Z9" s="2">
        <v>0.12621224612068394</v>
      </c>
      <c r="AA9" s="2">
        <v>0.155</v>
      </c>
      <c r="AB9" s="3" t="s">
        <v>33</v>
      </c>
      <c r="AC9" t="s">
        <v>33</v>
      </c>
      <c r="AD9">
        <v>0.6</v>
      </c>
      <c r="AE9" s="5">
        <v>0.7</v>
      </c>
      <c r="AF9" s="26">
        <v>0.4</v>
      </c>
      <c r="AG9" s="5">
        <v>0.2</v>
      </c>
      <c r="AH9" s="5">
        <v>0.3</v>
      </c>
      <c r="AI9" s="5">
        <v>0.3</v>
      </c>
    </row>
    <row r="10" spans="1:35" x14ac:dyDescent="0.35">
      <c r="A10" s="3" t="s">
        <v>90</v>
      </c>
      <c r="B10" s="8">
        <v>106</v>
      </c>
      <c r="C10" s="8"/>
      <c r="D10" s="15"/>
      <c r="E10" s="8">
        <v>23</v>
      </c>
      <c r="F10" s="8">
        <v>24</v>
      </c>
      <c r="G10" s="8">
        <v>15</v>
      </c>
      <c r="H10" s="8">
        <v>62</v>
      </c>
      <c r="I10" s="8"/>
      <c r="J10" s="8">
        <v>0.65</v>
      </c>
      <c r="K10" s="8">
        <v>0.11</v>
      </c>
      <c r="L10" s="8">
        <v>2</v>
      </c>
      <c r="M10" s="8">
        <v>0.38</v>
      </c>
      <c r="N10" s="8">
        <v>0.21</v>
      </c>
      <c r="O10" s="8">
        <v>0.2</v>
      </c>
      <c r="P10" s="8">
        <v>-0.24</v>
      </c>
      <c r="Q10" s="45">
        <v>0.34</v>
      </c>
      <c r="R10" s="8"/>
      <c r="S10" s="8"/>
      <c r="T10" s="8"/>
      <c r="U10" s="8"/>
      <c r="V10" s="8"/>
      <c r="W10" s="8"/>
      <c r="X10" s="8"/>
      <c r="Y10" s="8"/>
      <c r="Z10" s="54"/>
      <c r="AA10" s="54"/>
      <c r="AB10" s="3"/>
      <c r="AC10" s="8"/>
      <c r="AD10" s="82">
        <v>0.5</v>
      </c>
      <c r="AE10" s="4"/>
      <c r="AF10" s="26"/>
      <c r="AG10" s="86">
        <v>0.7</v>
      </c>
      <c r="AH10" s="4"/>
      <c r="AI10" s="86">
        <v>0.5</v>
      </c>
    </row>
    <row r="11" spans="1:35" x14ac:dyDescent="0.35">
      <c r="A11" s="50" t="s">
        <v>84</v>
      </c>
      <c r="B11">
        <v>128</v>
      </c>
      <c r="D11" s="33"/>
      <c r="E11">
        <v>21</v>
      </c>
      <c r="F11">
        <v>20</v>
      </c>
      <c r="G11">
        <v>10</v>
      </c>
      <c r="H11">
        <v>51</v>
      </c>
      <c r="J11">
        <v>0.53</v>
      </c>
      <c r="K11">
        <v>7.0000000000000007E-2</v>
      </c>
      <c r="L11">
        <v>0</v>
      </c>
      <c r="M11" s="49">
        <v>0.41</v>
      </c>
      <c r="N11" s="47">
        <v>0.13</v>
      </c>
      <c r="O11" s="47">
        <v>0.15</v>
      </c>
      <c r="P11" s="47">
        <v>-0.05</v>
      </c>
      <c r="Q11">
        <v>0.22</v>
      </c>
      <c r="R11">
        <v>0.1</v>
      </c>
      <c r="Z11" s="2"/>
      <c r="AA11" s="2"/>
      <c r="AB11" s="3"/>
      <c r="AD11">
        <v>0.4</v>
      </c>
      <c r="AE11" s="28"/>
      <c r="AF11" s="31"/>
      <c r="AG11" s="28"/>
      <c r="AH11" s="28"/>
      <c r="AI11" s="28"/>
    </row>
    <row r="12" spans="1:35" x14ac:dyDescent="0.35">
      <c r="A12" s="61" t="s">
        <v>87</v>
      </c>
      <c r="B12" s="34">
        <v>85</v>
      </c>
      <c r="C12" s="34">
        <v>820.36</v>
      </c>
      <c r="D12" s="40">
        <f>ABS(C12-(6.1511*B12+348.6))</f>
        <v>51.083499999999958</v>
      </c>
      <c r="E12" s="34">
        <v>13</v>
      </c>
      <c r="F12" s="34">
        <v>10</v>
      </c>
      <c r="G12" s="34">
        <v>18</v>
      </c>
      <c r="H12" s="34">
        <v>41</v>
      </c>
      <c r="I12" s="34"/>
      <c r="J12" s="34">
        <v>0.64</v>
      </c>
      <c r="K12" s="34">
        <v>0.06</v>
      </c>
      <c r="L12" s="34">
        <v>0</v>
      </c>
      <c r="M12" s="34">
        <v>0.43</v>
      </c>
      <c r="N12" s="34">
        <v>0.1</v>
      </c>
      <c r="O12" s="34">
        <v>0.12</v>
      </c>
      <c r="P12" s="34">
        <v>-0.08</v>
      </c>
      <c r="Q12" s="34">
        <v>0.27</v>
      </c>
      <c r="R12" s="34"/>
      <c r="S12" s="34"/>
      <c r="T12" s="34"/>
      <c r="U12" s="34"/>
      <c r="V12" s="34"/>
      <c r="W12" s="34"/>
      <c r="X12" s="34"/>
      <c r="Y12" s="34"/>
      <c r="Z12" s="41"/>
      <c r="AA12" s="41"/>
      <c r="AB12" s="61"/>
      <c r="AC12" s="34"/>
      <c r="AD12" s="34">
        <v>0.6</v>
      </c>
      <c r="AE12" s="39"/>
      <c r="AF12" s="42"/>
      <c r="AG12" s="4"/>
      <c r="AH12" s="39"/>
      <c r="AI12" s="39"/>
    </row>
    <row r="13" spans="1:35" x14ac:dyDescent="0.35">
      <c r="A13" s="3" t="s">
        <v>3</v>
      </c>
      <c r="B13">
        <f>3+7+4+2+5+4+7+5+7+4+4+4+4+1+3+1+2+3+7+4+2+7+7+4+5+7+4+4</f>
        <v>121</v>
      </c>
      <c r="C13">
        <v>808.85</v>
      </c>
      <c r="D13">
        <f>ABS(C13-(6.1511*B13+348.6))</f>
        <v>284.03309999999999</v>
      </c>
      <c r="E13">
        <v>15</v>
      </c>
      <c r="F13">
        <v>22</v>
      </c>
      <c r="G13">
        <v>22</v>
      </c>
      <c r="H13">
        <f>SUM(E13:G13)</f>
        <v>59</v>
      </c>
      <c r="I13">
        <v>0.2</v>
      </c>
      <c r="J13">
        <v>0.81</v>
      </c>
      <c r="K13">
        <v>0.28999999999999998</v>
      </c>
      <c r="L13">
        <v>0</v>
      </c>
      <c r="M13" s="46">
        <v>0.47</v>
      </c>
      <c r="N13" s="47"/>
      <c r="O13" s="47"/>
      <c r="P13" s="47">
        <v>-0.19</v>
      </c>
      <c r="Q13">
        <v>0.1</v>
      </c>
      <c r="S13">
        <v>15</v>
      </c>
      <c r="T13">
        <f>3+4+4+4+0+1+1+0+1+4+0</f>
        <v>22</v>
      </c>
      <c r="U13">
        <f>3+0+3+1+3+4+0+1+3+0+3+1</f>
        <v>22</v>
      </c>
      <c r="V13">
        <f>SUM(S13:U13)</f>
        <v>59</v>
      </c>
      <c r="W13">
        <v>808.85</v>
      </c>
      <c r="Z13" s="2">
        <v>0.20468925804491239</v>
      </c>
      <c r="AA13" s="2">
        <v>0.13</v>
      </c>
      <c r="AB13" s="3" t="s">
        <v>3</v>
      </c>
      <c r="AC13" t="s">
        <v>3</v>
      </c>
      <c r="AD13">
        <v>0.30681818181818182</v>
      </c>
      <c r="AE13" s="19">
        <f>43/88</f>
        <v>0.48863636363636365</v>
      </c>
      <c r="AF13" s="31">
        <v>0.89772727272727271</v>
      </c>
      <c r="AG13" s="19">
        <f>39/88</f>
        <v>0.44318181818181818</v>
      </c>
      <c r="AH13" s="19">
        <f>75/88</f>
        <v>0.85227272727272729</v>
      </c>
      <c r="AI13" s="28">
        <f>38/88</f>
        <v>0.43181818181818182</v>
      </c>
    </row>
    <row r="14" spans="1:35" x14ac:dyDescent="0.35">
      <c r="A14" s="4" t="s">
        <v>39</v>
      </c>
      <c r="B14">
        <v>112</v>
      </c>
      <c r="C14">
        <v>952.27</v>
      </c>
      <c r="D14">
        <f>ABS(C14-(6.1511*B14+348.6))</f>
        <v>85.253200000000106</v>
      </c>
      <c r="E14">
        <v>21</v>
      </c>
      <c r="F14">
        <v>34</v>
      </c>
      <c r="G14">
        <v>24</v>
      </c>
      <c r="H14">
        <v>79</v>
      </c>
      <c r="I14">
        <v>0.16</v>
      </c>
      <c r="J14">
        <v>0.69</v>
      </c>
      <c r="K14">
        <v>0.06</v>
      </c>
      <c r="L14">
        <v>0</v>
      </c>
      <c r="M14">
        <v>0.49</v>
      </c>
      <c r="N14">
        <v>0.11</v>
      </c>
      <c r="O14">
        <v>0.11</v>
      </c>
      <c r="P14">
        <v>-0.09</v>
      </c>
      <c r="Q14">
        <v>0.16</v>
      </c>
      <c r="S14">
        <v>21</v>
      </c>
      <c r="T14">
        <v>34</v>
      </c>
      <c r="U14">
        <v>24</v>
      </c>
      <c r="V14">
        <v>79</v>
      </c>
      <c r="W14">
        <v>952.27</v>
      </c>
      <c r="Z14" s="2">
        <v>0.16120051973703725</v>
      </c>
      <c r="AA14" s="2">
        <v>9.5000000000000001E-2</v>
      </c>
      <c r="AB14" s="4" t="s">
        <v>39</v>
      </c>
      <c r="AC14" t="s">
        <v>39</v>
      </c>
      <c r="AD14">
        <v>0.2</v>
      </c>
      <c r="AE14" s="5">
        <v>0.8</v>
      </c>
      <c r="AF14" s="26">
        <v>0.8</v>
      </c>
      <c r="AG14" s="5">
        <v>0.5</v>
      </c>
      <c r="AH14" s="5">
        <v>0.4</v>
      </c>
      <c r="AI14" s="5">
        <v>0.7</v>
      </c>
    </row>
    <row r="15" spans="1:35" x14ac:dyDescent="0.35">
      <c r="A15" s="3" t="s">
        <v>92</v>
      </c>
      <c r="B15" s="8">
        <v>100</v>
      </c>
      <c r="C15" s="8"/>
      <c r="D15" s="15">
        <f>ABS(C15-(6.1511*B15+348.6))</f>
        <v>963.70999999999992</v>
      </c>
      <c r="E15" s="8">
        <v>19</v>
      </c>
      <c r="F15" s="8">
        <v>22</v>
      </c>
      <c r="G15" s="8">
        <v>12</v>
      </c>
      <c r="H15" s="8">
        <v>53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54"/>
      <c r="AA15" s="54"/>
      <c r="AB15" s="3"/>
      <c r="AC15" s="8"/>
      <c r="AD15" s="8"/>
      <c r="AE15" s="4"/>
      <c r="AF15" s="26"/>
      <c r="AG15" s="4"/>
      <c r="AH15" s="4"/>
      <c r="AI15" s="4"/>
    </row>
    <row r="16" spans="1:35" x14ac:dyDescent="0.35">
      <c r="A16" s="3" t="s">
        <v>38</v>
      </c>
      <c r="B16">
        <v>129</v>
      </c>
      <c r="C16">
        <v>1012.32</v>
      </c>
      <c r="D16">
        <f>ABS(C16-(6.1511*B16+348.6))</f>
        <v>129.77189999999985</v>
      </c>
      <c r="E16">
        <v>27</v>
      </c>
      <c r="F16">
        <v>26</v>
      </c>
      <c r="G16">
        <v>20</v>
      </c>
      <c r="H16">
        <v>73</v>
      </c>
      <c r="I16">
        <v>0.21</v>
      </c>
      <c r="S16">
        <v>27</v>
      </c>
      <c r="T16">
        <v>26</v>
      </c>
      <c r="U16">
        <v>20</v>
      </c>
      <c r="V16">
        <v>73</v>
      </c>
      <c r="W16">
        <v>1012.32</v>
      </c>
      <c r="Z16" s="2">
        <v>0.20957825775177399</v>
      </c>
      <c r="AA16" s="2">
        <v>0.16499999999999998</v>
      </c>
      <c r="AB16" s="3" t="s">
        <v>38</v>
      </c>
      <c r="AC16" t="s">
        <v>38</v>
      </c>
      <c r="AD16">
        <v>0.8</v>
      </c>
      <c r="AE16" s="6">
        <v>0.8</v>
      </c>
      <c r="AF16" s="26">
        <v>0.9</v>
      </c>
      <c r="AG16" s="6">
        <v>0.8</v>
      </c>
      <c r="AH16" s="6">
        <v>0.9</v>
      </c>
      <c r="AI16" s="5">
        <v>0.7</v>
      </c>
    </row>
    <row r="17" spans="1:35" x14ac:dyDescent="0.35">
      <c r="A17" s="17" t="s">
        <v>47</v>
      </c>
      <c r="B17">
        <v>116</v>
      </c>
      <c r="C17">
        <v>724.29</v>
      </c>
      <c r="D17">
        <f>ABS(C17-(6.1511*B17+348.6))</f>
        <v>337.83759999999984</v>
      </c>
      <c r="E17">
        <v>13</v>
      </c>
      <c r="F17">
        <v>13</v>
      </c>
      <c r="G17">
        <v>10</v>
      </c>
      <c r="H17">
        <v>36</v>
      </c>
      <c r="I17">
        <v>0.16</v>
      </c>
      <c r="S17">
        <v>13</v>
      </c>
      <c r="T17">
        <v>13</v>
      </c>
      <c r="U17">
        <v>10</v>
      </c>
      <c r="V17">
        <v>36</v>
      </c>
      <c r="W17">
        <v>724.29</v>
      </c>
      <c r="Z17" s="2">
        <v>0.16367528245775095</v>
      </c>
      <c r="AA17" s="2">
        <v>0.2</v>
      </c>
      <c r="AB17" s="4" t="s">
        <v>47</v>
      </c>
      <c r="AC17" t="s">
        <v>47</v>
      </c>
      <c r="AD17">
        <v>0.6</v>
      </c>
      <c r="AE17" s="5">
        <v>0.9</v>
      </c>
      <c r="AF17" s="26">
        <v>0.4</v>
      </c>
      <c r="AG17" s="5">
        <v>0.3</v>
      </c>
      <c r="AH17" s="5">
        <v>0.5</v>
      </c>
      <c r="AI17" s="5">
        <v>0.5</v>
      </c>
    </row>
    <row r="18" spans="1:35" x14ac:dyDescent="0.35">
      <c r="A18" s="4" t="s">
        <v>45</v>
      </c>
      <c r="B18">
        <v>92</v>
      </c>
      <c r="C18">
        <v>1129.94</v>
      </c>
      <c r="D18">
        <f>ABS(C18-(6.1511*B18+348.6))</f>
        <v>215.43880000000001</v>
      </c>
      <c r="E18">
        <v>12</v>
      </c>
      <c r="F18">
        <v>15</v>
      </c>
      <c r="G18">
        <v>13</v>
      </c>
      <c r="H18">
        <v>40</v>
      </c>
      <c r="I18">
        <v>0.22</v>
      </c>
      <c r="S18">
        <v>12</v>
      </c>
      <c r="T18">
        <v>15</v>
      </c>
      <c r="U18">
        <v>13</v>
      </c>
      <c r="V18">
        <v>40</v>
      </c>
      <c r="W18">
        <v>1129.94</v>
      </c>
      <c r="Z18" s="2">
        <v>0.21888721500826658</v>
      </c>
      <c r="AA18" s="2">
        <v>0.16</v>
      </c>
      <c r="AB18" s="4" t="s">
        <v>45</v>
      </c>
      <c r="AC18" t="s">
        <v>45</v>
      </c>
      <c r="AD18">
        <v>0.1</v>
      </c>
      <c r="AE18" s="5">
        <v>0.7</v>
      </c>
      <c r="AF18" s="26">
        <v>1</v>
      </c>
      <c r="AG18" s="5">
        <v>0.1</v>
      </c>
      <c r="AH18" s="5">
        <v>0.1</v>
      </c>
      <c r="AI18" s="5">
        <v>0.1</v>
      </c>
    </row>
    <row r="19" spans="1:35" x14ac:dyDescent="0.35">
      <c r="A19" s="3" t="s">
        <v>50</v>
      </c>
      <c r="B19">
        <v>112</v>
      </c>
      <c r="C19">
        <v>1264.3399999999999</v>
      </c>
      <c r="D19">
        <f>ABS(C19-(6.1511*B19+348.6))</f>
        <v>226.81679999999983</v>
      </c>
      <c r="E19">
        <v>18</v>
      </c>
      <c r="F19">
        <v>20</v>
      </c>
      <c r="G19">
        <v>14</v>
      </c>
      <c r="H19">
        <v>52</v>
      </c>
      <c r="I19">
        <v>0.22</v>
      </c>
      <c r="S19">
        <v>18</v>
      </c>
      <c r="T19">
        <v>20</v>
      </c>
      <c r="U19">
        <v>14</v>
      </c>
      <c r="V19">
        <v>52</v>
      </c>
      <c r="W19">
        <v>1264.3399999999999</v>
      </c>
      <c r="Z19" s="2">
        <v>0.21727317430719298</v>
      </c>
      <c r="AA19" s="2">
        <v>0.14000000000000001</v>
      </c>
      <c r="AB19" s="3" t="s">
        <v>50</v>
      </c>
      <c r="AC19" t="s">
        <v>50</v>
      </c>
      <c r="AD19">
        <v>0.9</v>
      </c>
      <c r="AE19" s="6">
        <v>0.9</v>
      </c>
      <c r="AF19" s="26">
        <v>0.6</v>
      </c>
      <c r="AG19" s="6">
        <v>0.8</v>
      </c>
      <c r="AH19" s="6">
        <v>0.4</v>
      </c>
      <c r="AI19" s="5">
        <v>0.9</v>
      </c>
    </row>
    <row r="20" spans="1:35" x14ac:dyDescent="0.35">
      <c r="A20" s="56" t="s">
        <v>49</v>
      </c>
      <c r="B20" s="9">
        <v>96</v>
      </c>
      <c r="C20" s="9">
        <v>1627.89</v>
      </c>
      <c r="D20">
        <f>ABS(C20-(6.1511*B20+348.6))</f>
        <v>688.78440000000012</v>
      </c>
      <c r="E20">
        <v>15</v>
      </c>
      <c r="F20">
        <v>17</v>
      </c>
      <c r="G20">
        <v>19</v>
      </c>
      <c r="H20" s="9">
        <v>51</v>
      </c>
      <c r="I20">
        <v>0.12</v>
      </c>
      <c r="S20">
        <v>15</v>
      </c>
      <c r="T20">
        <v>17</v>
      </c>
      <c r="U20">
        <v>19</v>
      </c>
      <c r="V20">
        <v>51</v>
      </c>
      <c r="W20">
        <v>1627.89</v>
      </c>
      <c r="Z20" s="2">
        <v>0.12324555806812812</v>
      </c>
      <c r="AA20" s="2">
        <v>0.08</v>
      </c>
      <c r="AB20" s="4" t="s">
        <v>49</v>
      </c>
      <c r="AC20" t="s">
        <v>49</v>
      </c>
      <c r="AD20">
        <v>0.8</v>
      </c>
      <c r="AE20" s="5">
        <v>0.5</v>
      </c>
      <c r="AF20" s="26">
        <v>0.2</v>
      </c>
      <c r="AG20" s="5">
        <v>0.2</v>
      </c>
      <c r="AH20" s="5">
        <v>0.5</v>
      </c>
      <c r="AI20" s="5">
        <v>0.2</v>
      </c>
    </row>
    <row r="21" spans="1:35" x14ac:dyDescent="0.35">
      <c r="A21" s="22" t="s">
        <v>46</v>
      </c>
      <c r="B21" s="10">
        <v>119</v>
      </c>
      <c r="C21" s="10">
        <v>440.17</v>
      </c>
      <c r="D21">
        <f>ABS(C21-(6.1511*B21+348.6))</f>
        <v>640.41089999999986</v>
      </c>
      <c r="E21">
        <v>14</v>
      </c>
      <c r="F21">
        <v>18</v>
      </c>
      <c r="G21">
        <v>23</v>
      </c>
      <c r="H21" s="10">
        <v>55</v>
      </c>
      <c r="I21">
        <v>0.32</v>
      </c>
      <c r="S21">
        <v>14</v>
      </c>
      <c r="T21">
        <v>18</v>
      </c>
      <c r="U21">
        <v>23</v>
      </c>
      <c r="V21">
        <v>55</v>
      </c>
      <c r="W21">
        <v>440.17</v>
      </c>
      <c r="Z21" s="2">
        <v>0.32061713896859978</v>
      </c>
      <c r="AA21" s="2">
        <v>0.2635723605504261</v>
      </c>
      <c r="AB21" s="3" t="s">
        <v>46</v>
      </c>
      <c r="AC21" t="s">
        <v>46</v>
      </c>
      <c r="AD21">
        <v>0.4</v>
      </c>
      <c r="AE21" s="6">
        <v>0.8</v>
      </c>
      <c r="AF21" s="26">
        <v>0.5</v>
      </c>
      <c r="AG21" s="6">
        <v>0.2</v>
      </c>
      <c r="AH21" s="6">
        <v>0.3</v>
      </c>
      <c r="AI21" s="5">
        <v>0.2</v>
      </c>
    </row>
    <row r="22" spans="1:35" x14ac:dyDescent="0.35">
      <c r="A22" s="4" t="s">
        <v>35</v>
      </c>
      <c r="B22">
        <v>126</v>
      </c>
      <c r="C22">
        <v>1411.91</v>
      </c>
      <c r="D22">
        <f>ABS(C22-(6.1511*B22+348.6))</f>
        <v>288.27140000000009</v>
      </c>
      <c r="E22">
        <v>18</v>
      </c>
      <c r="F22">
        <v>21</v>
      </c>
      <c r="G22">
        <v>24</v>
      </c>
      <c r="H22">
        <v>63</v>
      </c>
      <c r="I22">
        <v>0.18</v>
      </c>
      <c r="S22">
        <v>18</v>
      </c>
      <c r="T22">
        <v>21</v>
      </c>
      <c r="U22">
        <v>24</v>
      </c>
      <c r="V22">
        <v>63</v>
      </c>
      <c r="W22">
        <v>1411.91</v>
      </c>
      <c r="Z22" s="2">
        <v>0.1820505295355927</v>
      </c>
      <c r="AA22" s="2">
        <v>5.3769617948418891E-2</v>
      </c>
      <c r="AB22" s="4" t="s">
        <v>35</v>
      </c>
      <c r="AC22" t="s">
        <v>35</v>
      </c>
      <c r="AD22">
        <v>0.5</v>
      </c>
      <c r="AE22" s="5">
        <v>0.9</v>
      </c>
      <c r="AF22" s="26">
        <v>0.8</v>
      </c>
      <c r="AG22" s="5">
        <v>0.2</v>
      </c>
      <c r="AH22" s="5">
        <v>0.5</v>
      </c>
      <c r="AI22" s="5">
        <v>0.3</v>
      </c>
    </row>
    <row r="23" spans="1:35" x14ac:dyDescent="0.35">
      <c r="A23" s="4" t="s">
        <v>37</v>
      </c>
      <c r="B23">
        <v>91</v>
      </c>
      <c r="C23">
        <v>641.14</v>
      </c>
      <c r="D23">
        <f>ABS(C23-(6.1511*B23+348.6))</f>
        <v>267.21010000000001</v>
      </c>
      <c r="E23">
        <v>21</v>
      </c>
      <c r="F23">
        <v>16</v>
      </c>
      <c r="G23">
        <v>14</v>
      </c>
      <c r="H23">
        <v>51</v>
      </c>
      <c r="I23">
        <v>0.19</v>
      </c>
      <c r="S23">
        <v>21</v>
      </c>
      <c r="T23">
        <v>16</v>
      </c>
      <c r="U23">
        <v>14</v>
      </c>
      <c r="V23">
        <v>51</v>
      </c>
      <c r="W23">
        <v>641.14</v>
      </c>
      <c r="Z23" s="2">
        <v>0.19490930490111669</v>
      </c>
      <c r="AA23" s="2">
        <v>0.27130752388374324</v>
      </c>
      <c r="AB23" s="4" t="s">
        <v>37</v>
      </c>
      <c r="AC23" t="s">
        <v>37</v>
      </c>
      <c r="AD23">
        <v>0.2</v>
      </c>
      <c r="AE23" s="5">
        <v>0.8</v>
      </c>
      <c r="AF23" s="26">
        <v>0.9</v>
      </c>
      <c r="AG23" s="5">
        <v>0.3</v>
      </c>
      <c r="AH23" s="5">
        <v>0.3</v>
      </c>
      <c r="AI23" s="5">
        <v>0.3</v>
      </c>
    </row>
    <row r="24" spans="1:35" x14ac:dyDescent="0.35">
      <c r="A24" s="14" t="s">
        <v>57</v>
      </c>
      <c r="B24">
        <v>95</v>
      </c>
      <c r="C24">
        <v>803.62</v>
      </c>
      <c r="D24">
        <f>ABS(C24-(6.1511*B24+348.6))</f>
        <v>129.33449999999993</v>
      </c>
      <c r="E24">
        <v>15</v>
      </c>
      <c r="F24">
        <v>14</v>
      </c>
      <c r="G24">
        <v>18</v>
      </c>
      <c r="H24">
        <v>47</v>
      </c>
      <c r="I24">
        <v>0.2</v>
      </c>
      <c r="S24">
        <v>15</v>
      </c>
      <c r="T24">
        <v>14</v>
      </c>
      <c r="U24">
        <v>18</v>
      </c>
      <c r="V24">
        <v>47</v>
      </c>
      <c r="W24">
        <v>803.62</v>
      </c>
      <c r="Z24" s="2">
        <v>0.20154512681321413</v>
      </c>
      <c r="AA24" s="2">
        <v>0.1475549402808192</v>
      </c>
      <c r="AB24" s="4" t="s">
        <v>57</v>
      </c>
      <c r="AC24" t="s">
        <v>57</v>
      </c>
      <c r="AD24">
        <v>0.1</v>
      </c>
      <c r="AE24" s="3">
        <v>1</v>
      </c>
      <c r="AF24" s="26">
        <v>0.9</v>
      </c>
      <c r="AG24" s="3">
        <v>0.6</v>
      </c>
      <c r="AH24" s="3">
        <v>0.1</v>
      </c>
      <c r="AI24" s="4">
        <v>0.8</v>
      </c>
    </row>
    <row r="25" spans="1:35" x14ac:dyDescent="0.35">
      <c r="A25" s="17" t="s">
        <v>43</v>
      </c>
      <c r="B25">
        <v>93</v>
      </c>
      <c r="C25">
        <v>939.92</v>
      </c>
      <c r="D25">
        <f>ABS(C25-(6.1511*B25+348.6))</f>
        <v>19.267699999999991</v>
      </c>
      <c r="E25">
        <v>16</v>
      </c>
      <c r="F25">
        <v>11</v>
      </c>
      <c r="G25">
        <v>15</v>
      </c>
      <c r="H25">
        <v>42</v>
      </c>
      <c r="I25">
        <v>0.23</v>
      </c>
      <c r="S25">
        <v>16</v>
      </c>
      <c r="T25">
        <v>11</v>
      </c>
      <c r="U25">
        <v>15</v>
      </c>
      <c r="V25">
        <v>42</v>
      </c>
      <c r="W25">
        <v>939.92</v>
      </c>
      <c r="Z25" s="2">
        <v>0.22856813817382998</v>
      </c>
      <c r="AA25" s="2">
        <v>0.215</v>
      </c>
      <c r="AB25" s="4" t="s">
        <v>43</v>
      </c>
      <c r="AC25" t="s">
        <v>43</v>
      </c>
      <c r="AD25">
        <v>0.7</v>
      </c>
      <c r="AE25" s="5">
        <v>0.6</v>
      </c>
      <c r="AF25" s="26">
        <v>0.6</v>
      </c>
      <c r="AG25" s="5">
        <v>0.1</v>
      </c>
      <c r="AH25" s="5">
        <v>0.1</v>
      </c>
      <c r="AI25" s="5">
        <v>0.3</v>
      </c>
    </row>
    <row r="26" spans="1:35" x14ac:dyDescent="0.35">
      <c r="A26" s="3" t="s">
        <v>42</v>
      </c>
      <c r="B26">
        <v>77</v>
      </c>
      <c r="C26">
        <v>771.81</v>
      </c>
      <c r="D26">
        <f>ABS(C26-(6.1511*B26+348.6))</f>
        <v>50.42470000000003</v>
      </c>
      <c r="E26">
        <v>14</v>
      </c>
      <c r="F26">
        <v>16</v>
      </c>
      <c r="G26">
        <v>17</v>
      </c>
      <c r="H26">
        <v>47</v>
      </c>
      <c r="I26">
        <v>0.24</v>
      </c>
      <c r="S26">
        <v>14</v>
      </c>
      <c r="T26">
        <v>16</v>
      </c>
      <c r="U26">
        <v>17</v>
      </c>
      <c r="V26">
        <v>47</v>
      </c>
      <c r="W26">
        <v>771.81</v>
      </c>
      <c r="Z26" s="2">
        <v>0.23816499013968034</v>
      </c>
      <c r="AA26" s="2">
        <v>0.22618618391532119</v>
      </c>
      <c r="AB26" s="3" t="s">
        <v>42</v>
      </c>
      <c r="AC26" t="s">
        <v>42</v>
      </c>
      <c r="AD26">
        <v>0.2</v>
      </c>
      <c r="AE26" s="6">
        <v>0.6</v>
      </c>
      <c r="AF26" s="26">
        <v>0.8</v>
      </c>
      <c r="AG26" s="6">
        <v>0.3</v>
      </c>
      <c r="AH26" s="6">
        <v>0.6</v>
      </c>
      <c r="AI26" s="5">
        <v>0.5</v>
      </c>
    </row>
    <row r="27" spans="1:35" x14ac:dyDescent="0.35">
      <c r="A27" s="3" t="s">
        <v>36</v>
      </c>
      <c r="B27">
        <v>139</v>
      </c>
      <c r="C27">
        <v>1266.79</v>
      </c>
      <c r="D27">
        <f>ABS(C27-(6.1511*B27+348.6))</f>
        <v>63.1871000000001</v>
      </c>
      <c r="E27">
        <v>24</v>
      </c>
      <c r="F27">
        <v>25</v>
      </c>
      <c r="G27">
        <v>22</v>
      </c>
      <c r="H27">
        <v>71</v>
      </c>
      <c r="I27">
        <v>0.2</v>
      </c>
      <c r="S27">
        <v>24</v>
      </c>
      <c r="T27">
        <v>25</v>
      </c>
      <c r="U27">
        <v>22</v>
      </c>
      <c r="V27">
        <v>71</v>
      </c>
      <c r="W27">
        <v>1266.79</v>
      </c>
      <c r="Z27" s="2">
        <v>0.19790189859608504</v>
      </c>
      <c r="AA27" s="2">
        <v>0.12574829784647523</v>
      </c>
      <c r="AB27" s="3" t="s">
        <v>36</v>
      </c>
      <c r="AC27" t="s">
        <v>36</v>
      </c>
      <c r="AD27">
        <v>0.5</v>
      </c>
      <c r="AE27" s="6">
        <v>0.8</v>
      </c>
      <c r="AF27" s="26">
        <v>0.9</v>
      </c>
      <c r="AG27" s="6">
        <v>0.6</v>
      </c>
      <c r="AH27" s="6">
        <v>0.6</v>
      </c>
      <c r="AI27" s="5">
        <v>0.6</v>
      </c>
    </row>
    <row r="28" spans="1:35" x14ac:dyDescent="0.35">
      <c r="A28" s="14" t="s">
        <v>55</v>
      </c>
      <c r="B28">
        <v>85</v>
      </c>
      <c r="C28">
        <v>828.46</v>
      </c>
      <c r="D28">
        <f>ABS(C28-(6.1511*B28+348.6))</f>
        <v>42.983499999999935</v>
      </c>
      <c r="E28">
        <v>18</v>
      </c>
      <c r="F28">
        <v>14</v>
      </c>
      <c r="G28">
        <v>5</v>
      </c>
      <c r="H28">
        <v>37</v>
      </c>
      <c r="I28">
        <v>0.19</v>
      </c>
      <c r="S28">
        <v>18</v>
      </c>
      <c r="T28">
        <v>14</v>
      </c>
      <c r="U28">
        <v>5</v>
      </c>
      <c r="V28">
        <v>37</v>
      </c>
      <c r="W28">
        <v>828.46</v>
      </c>
      <c r="Z28" s="2">
        <v>0.19022303663769691</v>
      </c>
      <c r="AA28" s="2">
        <v>0.20500000000000002</v>
      </c>
      <c r="AB28" s="4" t="s">
        <v>55</v>
      </c>
      <c r="AC28" t="s">
        <v>55</v>
      </c>
      <c r="AD28">
        <v>0.5</v>
      </c>
      <c r="AE28" s="3">
        <v>0.6</v>
      </c>
      <c r="AF28" s="26">
        <v>0.7</v>
      </c>
      <c r="AG28" s="3">
        <v>0.2</v>
      </c>
      <c r="AH28" s="3">
        <v>0.6</v>
      </c>
      <c r="AI28" s="4">
        <v>0.2</v>
      </c>
    </row>
    <row r="29" spans="1:35" x14ac:dyDescent="0.35">
      <c r="A29" s="51" t="s">
        <v>34</v>
      </c>
      <c r="B29">
        <v>123</v>
      </c>
      <c r="C29">
        <v>1250.0999999999999</v>
      </c>
      <c r="D29">
        <f>ABS(C29-(6.1511*B29+348.6))</f>
        <v>144.91469999999981</v>
      </c>
      <c r="E29">
        <v>21</v>
      </c>
      <c r="F29">
        <v>23</v>
      </c>
      <c r="G29">
        <v>14</v>
      </c>
      <c r="H29">
        <v>58</v>
      </c>
      <c r="I29">
        <v>0.19</v>
      </c>
      <c r="S29">
        <v>21</v>
      </c>
      <c r="T29">
        <v>23</v>
      </c>
      <c r="U29">
        <v>14</v>
      </c>
      <c r="V29">
        <v>58</v>
      </c>
      <c r="W29">
        <v>1250.0999999999999</v>
      </c>
      <c r="Z29" s="2">
        <v>0.18744790301058986</v>
      </c>
      <c r="AA29" s="2">
        <v>0.16</v>
      </c>
      <c r="AB29" s="3" t="s">
        <v>34</v>
      </c>
      <c r="AC29" t="s">
        <v>34</v>
      </c>
      <c r="AD29">
        <v>0.5</v>
      </c>
      <c r="AE29" s="6">
        <v>0.4</v>
      </c>
      <c r="AF29" s="26">
        <v>0.7</v>
      </c>
      <c r="AG29" s="6">
        <v>0.7</v>
      </c>
      <c r="AH29" s="6">
        <v>0.9</v>
      </c>
      <c r="AI29" s="30">
        <v>0.9</v>
      </c>
    </row>
    <row r="30" spans="1:35" x14ac:dyDescent="0.35">
      <c r="A30" s="51" t="s">
        <v>58</v>
      </c>
      <c r="B30">
        <v>104</v>
      </c>
      <c r="C30">
        <v>757.59</v>
      </c>
      <c r="D30">
        <f>ABS(C30-(6.1511*B30+348.6))</f>
        <v>230.72439999999995</v>
      </c>
      <c r="E30">
        <v>21</v>
      </c>
      <c r="F30">
        <v>22</v>
      </c>
      <c r="G30">
        <v>20</v>
      </c>
      <c r="H30">
        <v>63</v>
      </c>
      <c r="I30">
        <v>0.21</v>
      </c>
      <c r="S30">
        <v>21</v>
      </c>
      <c r="T30">
        <v>22</v>
      </c>
      <c r="U30">
        <v>20</v>
      </c>
      <c r="V30">
        <v>63</v>
      </c>
      <c r="W30">
        <v>757.59</v>
      </c>
      <c r="Z30" s="2">
        <v>0.21375035241977705</v>
      </c>
      <c r="AA30" s="2">
        <v>0.22</v>
      </c>
      <c r="AB30" s="51" t="s">
        <v>58</v>
      </c>
      <c r="AC30" t="s">
        <v>58</v>
      </c>
      <c r="AD30">
        <v>0.1</v>
      </c>
      <c r="AE30" s="52">
        <v>0.9</v>
      </c>
      <c r="AF30" s="58">
        <v>0.9</v>
      </c>
      <c r="AG30" s="52">
        <v>0.3</v>
      </c>
      <c r="AH30" s="52">
        <v>0.6</v>
      </c>
      <c r="AI30" s="52">
        <v>0.2</v>
      </c>
    </row>
    <row r="31" spans="1:35" x14ac:dyDescent="0.35">
      <c r="A31" s="51" t="s">
        <v>56</v>
      </c>
      <c r="B31" s="11">
        <v>104</v>
      </c>
      <c r="C31" s="11">
        <v>1394.13</v>
      </c>
      <c r="D31">
        <f>ABS(C31-(6.1511*B31+348.6))</f>
        <v>405.81560000000013</v>
      </c>
      <c r="E31">
        <v>17</v>
      </c>
      <c r="F31">
        <v>10</v>
      </c>
      <c r="G31">
        <v>10</v>
      </c>
      <c r="H31" s="11">
        <v>37</v>
      </c>
      <c r="I31">
        <v>0.09</v>
      </c>
      <c r="S31">
        <v>17</v>
      </c>
      <c r="T31">
        <v>10</v>
      </c>
      <c r="U31">
        <v>10</v>
      </c>
      <c r="V31">
        <v>37</v>
      </c>
      <c r="W31">
        <v>1394.13</v>
      </c>
      <c r="Z31" s="2">
        <v>9.5966856645818693E-2</v>
      </c>
      <c r="AA31" s="2">
        <v>0.125</v>
      </c>
      <c r="AB31" s="51" t="s">
        <v>56</v>
      </c>
      <c r="AC31" t="s">
        <v>56</v>
      </c>
      <c r="AD31">
        <v>0.5</v>
      </c>
      <c r="AE31" s="52">
        <v>0.9</v>
      </c>
      <c r="AF31" s="58">
        <v>0.7</v>
      </c>
      <c r="AG31" s="52">
        <v>0.5</v>
      </c>
      <c r="AH31" s="52">
        <v>0.3</v>
      </c>
      <c r="AI31" s="52">
        <v>0.2</v>
      </c>
    </row>
    <row r="32" spans="1:35" x14ac:dyDescent="0.35">
      <c r="A32" s="51" t="s">
        <v>44</v>
      </c>
      <c r="B32">
        <v>137</v>
      </c>
      <c r="C32">
        <v>1333.71</v>
      </c>
      <c r="D32">
        <f>ABS(C32-(6.1511*B32+348.6))</f>
        <v>142.40930000000003</v>
      </c>
      <c r="E32">
        <v>17</v>
      </c>
      <c r="F32">
        <v>22</v>
      </c>
      <c r="G32">
        <v>15</v>
      </c>
      <c r="H32">
        <v>54</v>
      </c>
      <c r="I32">
        <v>0.18</v>
      </c>
      <c r="S32">
        <v>17</v>
      </c>
      <c r="T32">
        <v>22</v>
      </c>
      <c r="U32">
        <v>15</v>
      </c>
      <c r="V32">
        <v>54</v>
      </c>
      <c r="W32">
        <v>1333.71</v>
      </c>
      <c r="Z32" s="2">
        <v>0.18196207714477017</v>
      </c>
      <c r="AA32" s="2">
        <v>0.125</v>
      </c>
      <c r="AB32" s="51" t="s">
        <v>44</v>
      </c>
      <c r="AC32" t="s">
        <v>44</v>
      </c>
      <c r="AD32" s="51">
        <v>0.8</v>
      </c>
      <c r="AE32" s="57">
        <v>0.6</v>
      </c>
      <c r="AF32" s="58">
        <v>0.9</v>
      </c>
      <c r="AG32" s="57">
        <v>0.6</v>
      </c>
      <c r="AH32" s="57">
        <v>0.8</v>
      </c>
      <c r="AI32" s="30">
        <v>0.4</v>
      </c>
    </row>
    <row r="33" spans="1:35" x14ac:dyDescent="0.35">
      <c r="A33" s="51" t="s">
        <v>54</v>
      </c>
      <c r="B33">
        <v>132</v>
      </c>
      <c r="C33">
        <v>1200.1400000000001</v>
      </c>
      <c r="D33">
        <f>ABS(C33-(6.1511*B33+348.6))</f>
        <v>39.594800000000077</v>
      </c>
      <c r="E33">
        <v>26</v>
      </c>
      <c r="F33">
        <v>20</v>
      </c>
      <c r="G33">
        <v>22</v>
      </c>
      <c r="H33">
        <v>68</v>
      </c>
      <c r="I33">
        <v>0.2</v>
      </c>
      <c r="S33">
        <v>26</v>
      </c>
      <c r="T33">
        <v>20</v>
      </c>
      <c r="U33">
        <v>22</v>
      </c>
      <c r="V33">
        <v>68</v>
      </c>
      <c r="W33">
        <v>1200.1400000000001</v>
      </c>
      <c r="Z33" s="2">
        <v>0.1976714267340858</v>
      </c>
      <c r="AA33" s="2">
        <v>0.10840508583399006</v>
      </c>
      <c r="AB33" s="51" t="s">
        <v>54</v>
      </c>
      <c r="AC33" t="s">
        <v>54</v>
      </c>
      <c r="AD33" s="51">
        <v>0.5</v>
      </c>
      <c r="AE33" s="52">
        <v>0.9</v>
      </c>
      <c r="AF33" s="58">
        <v>0.8</v>
      </c>
      <c r="AG33" s="52">
        <v>0.2</v>
      </c>
      <c r="AH33" s="52">
        <v>0.6</v>
      </c>
      <c r="AI33" s="52">
        <v>0.6</v>
      </c>
    </row>
    <row r="34" spans="1:35" x14ac:dyDescent="0.35">
      <c r="A34" s="55" t="s">
        <v>40</v>
      </c>
      <c r="B34">
        <v>113</v>
      </c>
      <c r="C34">
        <v>1276.5</v>
      </c>
      <c r="D34">
        <f>ABS(C34-(6.1511*B34+348.6))</f>
        <v>232.82569999999987</v>
      </c>
      <c r="E34">
        <v>27</v>
      </c>
      <c r="F34">
        <v>25</v>
      </c>
      <c r="G34">
        <v>6</v>
      </c>
      <c r="H34">
        <v>58</v>
      </c>
      <c r="I34">
        <v>0.2</v>
      </c>
      <c r="S34">
        <v>27</v>
      </c>
      <c r="T34">
        <v>25</v>
      </c>
      <c r="U34">
        <v>6</v>
      </c>
      <c r="V34">
        <v>58</v>
      </c>
      <c r="W34">
        <v>1276.5</v>
      </c>
      <c r="Z34" s="2">
        <v>0.20730231433161003</v>
      </c>
      <c r="AA34" s="2">
        <v>0.11</v>
      </c>
      <c r="AB34" s="51" t="s">
        <v>40</v>
      </c>
      <c r="AC34" t="s">
        <v>40</v>
      </c>
      <c r="AD34" s="51">
        <v>0.2</v>
      </c>
      <c r="AE34" s="57">
        <v>0.6</v>
      </c>
      <c r="AF34" s="58">
        <v>0.8</v>
      </c>
      <c r="AG34" s="57">
        <v>0.4</v>
      </c>
      <c r="AH34" s="57">
        <v>0.7</v>
      </c>
      <c r="AI34" s="30">
        <v>0.3</v>
      </c>
    </row>
    <row r="35" spans="1:35" x14ac:dyDescent="0.35">
      <c r="A35" s="51" t="s">
        <v>89</v>
      </c>
      <c r="B35" s="8">
        <v>107</v>
      </c>
      <c r="C35" s="8"/>
      <c r="D35" s="15"/>
      <c r="E35" s="8">
        <v>20</v>
      </c>
      <c r="F35" s="8">
        <v>20</v>
      </c>
      <c r="G35" s="8">
        <v>25</v>
      </c>
      <c r="H35" s="8">
        <v>65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54"/>
      <c r="AA35" s="54"/>
      <c r="AB35" s="51"/>
      <c r="AC35" s="8"/>
      <c r="AD35" s="79">
        <v>0.8</v>
      </c>
      <c r="AE35" s="52"/>
      <c r="AF35" s="58"/>
      <c r="AG35" s="79">
        <v>0.4</v>
      </c>
      <c r="AH35" s="52"/>
      <c r="AI35" s="79">
        <v>0.7</v>
      </c>
    </row>
    <row r="36" spans="1:35" x14ac:dyDescent="0.35">
      <c r="A36" s="51"/>
      <c r="B36" s="8"/>
      <c r="C36" s="8"/>
      <c r="D36" s="15">
        <f>ABS(C36-(6.1511*B36+348.6))</f>
        <v>348.6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54"/>
      <c r="AA36" s="54"/>
      <c r="AB36" s="51"/>
      <c r="AC36" s="8"/>
      <c r="AD36" s="8"/>
      <c r="AE36" s="52"/>
      <c r="AF36" s="58"/>
      <c r="AG36" s="52"/>
      <c r="AH36" s="52"/>
      <c r="AI36" s="52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Z46"/>
  <sheetViews>
    <sheetView topLeftCell="D1" zoomScale="50" zoomScaleNormal="50" workbookViewId="0">
      <selection activeCell="D30" sqref="D30:D33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8" width="19.6328125" customWidth="1"/>
    <col min="19" max="19" width="20.453125" customWidth="1"/>
    <col min="20" max="20" width="20.36328125" customWidth="1"/>
    <col min="21" max="21" width="23.81640625" customWidth="1"/>
    <col min="22" max="22" width="22.7265625" customWidth="1"/>
    <col min="23" max="23" width="15.1796875" customWidth="1"/>
  </cols>
  <sheetData>
    <row r="1" spans="1:26" ht="87" x14ac:dyDescent="0.35">
      <c r="A1" s="1" t="s">
        <v>61</v>
      </c>
      <c r="B1" s="1" t="s">
        <v>53</v>
      </c>
      <c r="C1" s="27" t="s">
        <v>5</v>
      </c>
      <c r="D1" s="27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7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27" t="s">
        <v>24</v>
      </c>
      <c r="W1" s="1" t="s">
        <v>25</v>
      </c>
      <c r="X1" s="1" t="s">
        <v>26</v>
      </c>
      <c r="Y1" s="1" t="s">
        <v>27</v>
      </c>
      <c r="Z1" t="s">
        <v>52</v>
      </c>
    </row>
    <row r="2" spans="1:26" x14ac:dyDescent="0.35">
      <c r="A2" s="39" t="s">
        <v>87</v>
      </c>
      <c r="B2" s="42"/>
      <c r="C2" s="42">
        <v>0.2</v>
      </c>
      <c r="D2" s="42">
        <v>0.2</v>
      </c>
      <c r="E2" s="42">
        <v>0.7</v>
      </c>
      <c r="F2" s="42">
        <v>0.9</v>
      </c>
      <c r="G2" s="42">
        <v>0.2</v>
      </c>
      <c r="H2" s="42">
        <v>0.5</v>
      </c>
      <c r="I2" s="42">
        <v>0.6</v>
      </c>
      <c r="J2" s="42">
        <v>0.1</v>
      </c>
      <c r="K2" s="42">
        <v>0.7</v>
      </c>
      <c r="L2" s="42">
        <v>0.5</v>
      </c>
      <c r="M2" s="42">
        <v>0.4</v>
      </c>
      <c r="N2" s="42">
        <v>0.1</v>
      </c>
      <c r="O2" s="42">
        <v>0.2</v>
      </c>
      <c r="P2" s="42">
        <v>0.4</v>
      </c>
      <c r="Q2" s="42">
        <v>0.5</v>
      </c>
      <c r="R2" s="43">
        <v>0.1</v>
      </c>
      <c r="S2" s="43">
        <v>0.8</v>
      </c>
      <c r="T2" s="43">
        <v>0.1</v>
      </c>
      <c r="U2" s="43">
        <v>0.1</v>
      </c>
      <c r="V2" s="29">
        <v>0.6</v>
      </c>
      <c r="W2" s="29">
        <v>0.2</v>
      </c>
      <c r="X2" s="43">
        <v>0.1</v>
      </c>
      <c r="Y2" s="42">
        <v>0.1</v>
      </c>
    </row>
    <row r="3" spans="1:26" x14ac:dyDescent="0.35">
      <c r="A3" s="13" t="s">
        <v>59</v>
      </c>
      <c r="B3" s="13">
        <v>0.46</v>
      </c>
      <c r="C3" s="8">
        <v>0.3</v>
      </c>
      <c r="D3" s="8">
        <v>0.4</v>
      </c>
      <c r="E3" s="8">
        <v>0.7</v>
      </c>
      <c r="F3" s="8">
        <v>0.7</v>
      </c>
      <c r="G3" s="8">
        <v>0.3</v>
      </c>
      <c r="H3" s="8">
        <v>0.3</v>
      </c>
      <c r="I3" s="8">
        <v>0.5</v>
      </c>
      <c r="J3" s="8">
        <v>0.3</v>
      </c>
      <c r="K3" s="8">
        <v>0.7</v>
      </c>
      <c r="L3" s="8">
        <v>0.6</v>
      </c>
      <c r="M3" s="8">
        <v>0.3</v>
      </c>
      <c r="N3" s="8">
        <v>0.4</v>
      </c>
      <c r="O3" s="8">
        <v>0.3</v>
      </c>
      <c r="P3" s="8">
        <v>0.7</v>
      </c>
      <c r="Q3" s="8">
        <v>0.7</v>
      </c>
      <c r="R3" s="8">
        <v>0.6</v>
      </c>
      <c r="S3" s="8">
        <v>0.8</v>
      </c>
      <c r="T3" s="8">
        <v>0.3</v>
      </c>
      <c r="U3" s="8">
        <v>0.5</v>
      </c>
      <c r="V3" s="8">
        <v>0.5</v>
      </c>
      <c r="W3" s="8">
        <v>0.4</v>
      </c>
      <c r="X3" s="8">
        <v>0.3</v>
      </c>
      <c r="Y3" s="8">
        <v>0.3</v>
      </c>
      <c r="Z3">
        <v>727.68</v>
      </c>
    </row>
    <row r="4" spans="1:26" x14ac:dyDescent="0.35">
      <c r="A4" s="8" t="s">
        <v>48</v>
      </c>
      <c r="B4" s="8">
        <v>0.38</v>
      </c>
      <c r="C4" s="20">
        <v>0.4</v>
      </c>
      <c r="D4" s="20">
        <v>0.9</v>
      </c>
      <c r="E4" s="20">
        <v>0.8</v>
      </c>
      <c r="F4" s="20">
        <v>0.7</v>
      </c>
      <c r="G4" s="20">
        <v>0.7</v>
      </c>
      <c r="H4" s="20">
        <v>0.2</v>
      </c>
      <c r="I4" s="20">
        <v>0.8</v>
      </c>
      <c r="J4" s="20">
        <v>0.7</v>
      </c>
      <c r="K4" s="20">
        <v>0.2</v>
      </c>
      <c r="L4" s="20">
        <v>0.3</v>
      </c>
      <c r="M4" s="20">
        <v>0.3</v>
      </c>
      <c r="N4" s="20">
        <v>0.7</v>
      </c>
      <c r="O4" s="20">
        <v>0.5</v>
      </c>
      <c r="P4" s="20">
        <v>0.4</v>
      </c>
      <c r="Q4" s="20">
        <v>0.7</v>
      </c>
      <c r="R4" s="20">
        <v>0.2</v>
      </c>
      <c r="S4" s="20">
        <v>1</v>
      </c>
      <c r="T4" s="20">
        <v>0.5</v>
      </c>
      <c r="U4" s="20">
        <v>0.2</v>
      </c>
      <c r="V4" s="20">
        <v>0.5</v>
      </c>
      <c r="W4" s="20">
        <v>0.3</v>
      </c>
      <c r="X4" s="20">
        <v>0.4</v>
      </c>
      <c r="Y4" s="20">
        <v>0.2</v>
      </c>
      <c r="Z4">
        <v>555.07000000000005</v>
      </c>
    </row>
    <row r="5" spans="1:26" x14ac:dyDescent="0.35">
      <c r="A5" s="21" t="s">
        <v>28</v>
      </c>
      <c r="B5" s="21"/>
      <c r="C5" s="19">
        <f>1.6/88</f>
        <v>1.8181818181818184E-2</v>
      </c>
      <c r="D5" s="19">
        <f>0.2/88</f>
        <v>2.2727272727272731E-3</v>
      </c>
      <c r="E5" s="19">
        <f>2.9/88</f>
        <v>3.2954545454545452E-2</v>
      </c>
      <c r="F5" s="19">
        <f>7.6/88</f>
        <v>8.6363636363636365E-2</v>
      </c>
      <c r="G5" s="19">
        <f>7.6/88</f>
        <v>8.6363636363636365E-2</v>
      </c>
      <c r="H5" s="19">
        <f>3.2/88</f>
        <v>3.6363636363636369E-2</v>
      </c>
      <c r="I5" s="19">
        <f>4.6/88</f>
        <v>5.2272727272727269E-2</v>
      </c>
      <c r="J5" s="19">
        <f>4.6/88</f>
        <v>5.2272727272727269E-2</v>
      </c>
      <c r="K5" s="19">
        <f>4.7/88</f>
        <v>5.3409090909090913E-2</v>
      </c>
      <c r="L5" s="19">
        <f>7.3/88</f>
        <v>8.2954545454545447E-2</v>
      </c>
      <c r="M5" s="19">
        <f>6.7/88</f>
        <v>7.6136363636363641E-2</v>
      </c>
      <c r="N5" s="19">
        <f>6.8/88</f>
        <v>7.7272727272727271E-2</v>
      </c>
      <c r="O5" s="19">
        <f>2.5/88</f>
        <v>2.8409090909090908E-2</v>
      </c>
      <c r="P5" s="19">
        <f>2.9/88</f>
        <v>3.2954545454545452E-2</v>
      </c>
      <c r="Q5" s="19">
        <f>3.7/88</f>
        <v>4.2045454545454546E-2</v>
      </c>
      <c r="R5" s="19">
        <f>3/88</f>
        <v>3.4090909090909088E-2</v>
      </c>
      <c r="S5" s="19">
        <f>8.5/88</f>
        <v>9.6590909090909088E-2</v>
      </c>
      <c r="T5" s="19">
        <f>4.4/88</f>
        <v>0.05</v>
      </c>
      <c r="U5" s="19">
        <f>4.5/88</f>
        <v>5.113636363636364E-2</v>
      </c>
      <c r="V5" s="19">
        <f>8.3/88</f>
        <v>9.4318181818181829E-2</v>
      </c>
      <c r="W5" s="19">
        <f>5.4/88</f>
        <v>6.136363636363637E-2</v>
      </c>
      <c r="X5" s="19">
        <f>7.8/88</f>
        <v>8.8636363636363638E-2</v>
      </c>
      <c r="Y5" s="19">
        <f>1.3/88</f>
        <v>1.4772727272727272E-2</v>
      </c>
      <c r="Z5">
        <v>1244.5</v>
      </c>
    </row>
    <row r="6" spans="1:26" x14ac:dyDescent="0.35">
      <c r="A6" s="39" t="s">
        <v>84</v>
      </c>
      <c r="B6" s="53"/>
      <c r="C6" s="19">
        <v>0.3</v>
      </c>
      <c r="D6" s="19">
        <v>0.8</v>
      </c>
      <c r="E6" s="19">
        <v>0.3</v>
      </c>
      <c r="F6" s="19">
        <v>0.5</v>
      </c>
      <c r="G6" s="19">
        <v>0.6</v>
      </c>
      <c r="H6" s="19">
        <v>0.3</v>
      </c>
      <c r="I6" s="19">
        <v>0.6</v>
      </c>
      <c r="J6" s="19">
        <v>0.3</v>
      </c>
      <c r="K6" s="19">
        <v>0.5</v>
      </c>
      <c r="L6" s="19">
        <v>0.3</v>
      </c>
      <c r="M6" s="19">
        <v>0.3</v>
      </c>
      <c r="N6" s="19">
        <v>0.3</v>
      </c>
      <c r="O6" s="19">
        <v>0.6</v>
      </c>
      <c r="P6" s="19">
        <v>0.6</v>
      </c>
      <c r="Q6" s="19">
        <v>0.8</v>
      </c>
      <c r="R6" s="53">
        <v>0.3</v>
      </c>
      <c r="S6" s="19">
        <v>0.6</v>
      </c>
      <c r="T6" s="19">
        <v>0.6</v>
      </c>
      <c r="U6" s="19">
        <v>0.3</v>
      </c>
      <c r="V6" s="28">
        <v>0.4</v>
      </c>
      <c r="W6" s="39">
        <v>0.5</v>
      </c>
      <c r="X6" s="19">
        <v>0.5</v>
      </c>
      <c r="Y6" s="19">
        <v>0.3</v>
      </c>
    </row>
    <row r="7" spans="1:26" x14ac:dyDescent="0.35">
      <c r="A7" s="4" t="s">
        <v>39</v>
      </c>
      <c r="B7" s="4"/>
      <c r="C7" s="5">
        <v>0.5</v>
      </c>
      <c r="D7" s="5">
        <v>0.7</v>
      </c>
      <c r="E7" s="5">
        <v>0.8</v>
      </c>
      <c r="F7" s="5">
        <v>0.4</v>
      </c>
      <c r="G7" s="5">
        <v>0.4</v>
      </c>
      <c r="H7" s="5">
        <v>0.4</v>
      </c>
      <c r="I7" s="5">
        <v>0.7</v>
      </c>
      <c r="J7" s="5">
        <v>0.9</v>
      </c>
      <c r="K7" s="5">
        <v>0.7</v>
      </c>
      <c r="L7" s="5">
        <v>0.3</v>
      </c>
      <c r="M7" s="5">
        <v>0.3</v>
      </c>
      <c r="N7" s="5">
        <v>0.3</v>
      </c>
      <c r="O7" s="5">
        <v>0.3</v>
      </c>
      <c r="P7" s="5">
        <v>0.3</v>
      </c>
      <c r="Q7" s="5">
        <v>0.8</v>
      </c>
      <c r="R7" s="5">
        <v>0.4</v>
      </c>
      <c r="S7" s="5">
        <v>1</v>
      </c>
      <c r="T7" s="5">
        <v>0.6</v>
      </c>
      <c r="U7" s="5">
        <v>0.4</v>
      </c>
      <c r="V7" s="5">
        <v>0.2</v>
      </c>
      <c r="W7" s="5">
        <v>0.3</v>
      </c>
      <c r="X7" s="5">
        <v>0.8</v>
      </c>
      <c r="Y7" s="5">
        <v>0.1</v>
      </c>
      <c r="Z7">
        <v>952.27</v>
      </c>
    </row>
    <row r="8" spans="1:26" x14ac:dyDescent="0.35">
      <c r="A8" s="3" t="s">
        <v>38</v>
      </c>
      <c r="B8" s="3"/>
      <c r="C8" s="6">
        <v>0.8</v>
      </c>
      <c r="D8" s="6">
        <v>0.7</v>
      </c>
      <c r="E8" s="6">
        <v>0.9</v>
      </c>
      <c r="F8" s="6">
        <v>0.3</v>
      </c>
      <c r="G8" s="6">
        <v>0.9</v>
      </c>
      <c r="H8" s="6">
        <v>0.2</v>
      </c>
      <c r="I8" s="6">
        <v>0.8</v>
      </c>
      <c r="J8" s="6">
        <v>0.4</v>
      </c>
      <c r="K8" s="6">
        <v>0.7</v>
      </c>
      <c r="L8" s="6">
        <v>0.6</v>
      </c>
      <c r="M8" s="6">
        <v>0.5</v>
      </c>
      <c r="N8" s="6">
        <v>0.4</v>
      </c>
      <c r="O8" s="6">
        <v>0.6</v>
      </c>
      <c r="P8" s="6">
        <v>0.4</v>
      </c>
      <c r="Q8" s="6">
        <v>0.8</v>
      </c>
      <c r="R8" s="6">
        <v>0.5</v>
      </c>
      <c r="S8" s="6">
        <v>1</v>
      </c>
      <c r="T8" s="6">
        <v>0.9</v>
      </c>
      <c r="U8" s="6">
        <v>0.7</v>
      </c>
      <c r="V8" s="6">
        <v>0.8</v>
      </c>
      <c r="W8" s="6">
        <v>0.4</v>
      </c>
      <c r="X8" s="6">
        <v>1</v>
      </c>
      <c r="Y8" s="6">
        <v>0.3</v>
      </c>
      <c r="Z8">
        <v>1012.32</v>
      </c>
    </row>
    <row r="9" spans="1:26" x14ac:dyDescent="0.35">
      <c r="A9" s="17" t="s">
        <v>47</v>
      </c>
      <c r="B9" s="17"/>
      <c r="C9" s="5">
        <v>0.3</v>
      </c>
      <c r="D9" s="5">
        <v>0.5</v>
      </c>
      <c r="E9" s="5">
        <v>0.4</v>
      </c>
      <c r="F9" s="5">
        <v>0.6</v>
      </c>
      <c r="G9" s="5">
        <v>0.5</v>
      </c>
      <c r="H9" s="5">
        <v>0.2</v>
      </c>
      <c r="I9" s="5">
        <v>0.8</v>
      </c>
      <c r="J9" s="5">
        <v>0.4</v>
      </c>
      <c r="K9" s="5">
        <v>0.5</v>
      </c>
      <c r="L9" s="5">
        <v>0.3</v>
      </c>
      <c r="M9" s="5">
        <v>0.3</v>
      </c>
      <c r="N9" s="5">
        <v>0.4</v>
      </c>
      <c r="O9" s="5">
        <v>0.4</v>
      </c>
      <c r="P9" s="5">
        <v>0.3</v>
      </c>
      <c r="Q9" s="5">
        <v>0.9</v>
      </c>
      <c r="R9" s="5">
        <v>0.2</v>
      </c>
      <c r="S9" s="5">
        <v>0.9</v>
      </c>
      <c r="T9" s="5">
        <v>0.2</v>
      </c>
      <c r="U9" s="5">
        <v>0.2</v>
      </c>
      <c r="V9" s="5">
        <v>0.6</v>
      </c>
      <c r="W9" s="5">
        <v>0.6</v>
      </c>
      <c r="X9" s="5">
        <v>0.3</v>
      </c>
      <c r="Y9" s="5">
        <v>0.4</v>
      </c>
      <c r="Z9">
        <v>724.29</v>
      </c>
    </row>
    <row r="10" spans="1:26" x14ac:dyDescent="0.35">
      <c r="A10" s="4" t="s">
        <v>45</v>
      </c>
      <c r="B10" s="4"/>
      <c r="C10" s="5">
        <v>0.1</v>
      </c>
      <c r="D10" s="5">
        <v>0.1</v>
      </c>
      <c r="E10" s="5">
        <v>1</v>
      </c>
      <c r="F10" s="5">
        <v>1</v>
      </c>
      <c r="G10" s="5">
        <v>0.1</v>
      </c>
      <c r="H10" s="5">
        <v>0.5</v>
      </c>
      <c r="I10" s="5">
        <v>0.5</v>
      </c>
      <c r="J10" s="5">
        <v>0.1</v>
      </c>
      <c r="K10" s="5">
        <v>0.8</v>
      </c>
      <c r="L10" s="5">
        <v>0.5</v>
      </c>
      <c r="M10" s="5">
        <v>0.1</v>
      </c>
      <c r="N10" s="5">
        <v>0.1</v>
      </c>
      <c r="O10" s="5">
        <v>0.1</v>
      </c>
      <c r="P10" s="5">
        <v>0.1</v>
      </c>
      <c r="Q10" s="5">
        <v>0.7</v>
      </c>
      <c r="R10" s="5">
        <v>0.1</v>
      </c>
      <c r="S10" s="5">
        <v>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  <c r="Z10">
        <v>1129.94</v>
      </c>
    </row>
    <row r="11" spans="1:26" x14ac:dyDescent="0.35">
      <c r="A11" s="3" t="s">
        <v>50</v>
      </c>
      <c r="B11" s="3"/>
      <c r="C11" s="6">
        <v>0.8</v>
      </c>
      <c r="D11" s="6">
        <v>0.9</v>
      </c>
      <c r="E11" s="6">
        <v>0.6</v>
      </c>
      <c r="F11" s="6">
        <v>0.1</v>
      </c>
      <c r="G11" s="6">
        <v>0.4</v>
      </c>
      <c r="H11" s="6">
        <v>0.6</v>
      </c>
      <c r="I11" s="6">
        <v>0.9</v>
      </c>
      <c r="J11" s="6">
        <v>0.2</v>
      </c>
      <c r="K11" s="6">
        <v>0.4</v>
      </c>
      <c r="L11" s="6">
        <v>0.7</v>
      </c>
      <c r="M11" s="6">
        <v>0.1</v>
      </c>
      <c r="N11" s="6">
        <v>0.1</v>
      </c>
      <c r="O11" s="6">
        <v>0.5</v>
      </c>
      <c r="P11" s="6">
        <v>0.8</v>
      </c>
      <c r="Q11" s="6">
        <v>0.9</v>
      </c>
      <c r="R11" s="6">
        <v>0.1</v>
      </c>
      <c r="S11" s="6">
        <v>1</v>
      </c>
      <c r="T11" s="6">
        <v>0.1</v>
      </c>
      <c r="U11" s="6">
        <v>0.3</v>
      </c>
      <c r="V11" s="6">
        <v>0.9</v>
      </c>
      <c r="W11" s="6">
        <v>0.2</v>
      </c>
      <c r="X11" s="6">
        <v>0.1</v>
      </c>
      <c r="Y11" s="6">
        <v>0.3</v>
      </c>
      <c r="Z11">
        <v>1264.3399999999999</v>
      </c>
    </row>
    <row r="12" spans="1:26" x14ac:dyDescent="0.35">
      <c r="A12" s="18" t="s">
        <v>3</v>
      </c>
      <c r="B12" s="18"/>
      <c r="C12" s="19">
        <f>39/88</f>
        <v>0.44318181818181818</v>
      </c>
      <c r="D12" s="19">
        <f>38/88</f>
        <v>0.43181818181818182</v>
      </c>
      <c r="E12" s="19">
        <f>79/88</f>
        <v>0.89772727272727271</v>
      </c>
      <c r="F12" s="19">
        <f>65/88</f>
        <v>0.73863636363636365</v>
      </c>
      <c r="G12" s="19">
        <f>75/88</f>
        <v>0.85227272727272729</v>
      </c>
      <c r="H12" s="19">
        <f>20/88</f>
        <v>0.22727272727272727</v>
      </c>
      <c r="I12" s="19">
        <f>46/88</f>
        <v>0.52272727272727271</v>
      </c>
      <c r="J12" s="19">
        <f>69/88</f>
        <v>0.78409090909090906</v>
      </c>
      <c r="K12" s="19">
        <f>22/88</f>
        <v>0.25</v>
      </c>
      <c r="L12" s="19">
        <f>21/88</f>
        <v>0.23863636363636365</v>
      </c>
      <c r="M12" s="19">
        <f>33/88</f>
        <v>0.375</v>
      </c>
      <c r="N12" s="19">
        <f>63/88</f>
        <v>0.71590909090909094</v>
      </c>
      <c r="O12" s="19">
        <f>38/88</f>
        <v>0.43181818181818182</v>
      </c>
      <c r="P12" s="19">
        <f>35/88</f>
        <v>0.39772727272727271</v>
      </c>
      <c r="Q12" s="19">
        <f>43/88</f>
        <v>0.48863636363636365</v>
      </c>
      <c r="R12" s="19">
        <f>18/88</f>
        <v>0.20454545454545456</v>
      </c>
      <c r="S12" s="19">
        <f>36/88</f>
        <v>0.40909090909090912</v>
      </c>
      <c r="T12" s="19">
        <f>8/88</f>
        <v>9.0909090909090912E-2</v>
      </c>
      <c r="U12" s="19">
        <f>8/88</f>
        <v>9.0909090909090912E-2</v>
      </c>
      <c r="V12" s="19">
        <f>27/88</f>
        <v>0.30681818181818182</v>
      </c>
      <c r="W12" s="19">
        <f>25/88</f>
        <v>0.28409090909090912</v>
      </c>
      <c r="X12" s="19">
        <f>57/88</f>
        <v>0.64772727272727271</v>
      </c>
      <c r="Y12" s="19">
        <f>5/88</f>
        <v>5.6818181818181816E-2</v>
      </c>
      <c r="Z12">
        <v>808.85</v>
      </c>
    </row>
    <row r="13" spans="1:26" x14ac:dyDescent="0.35">
      <c r="A13" s="4" t="s">
        <v>49</v>
      </c>
      <c r="B13" s="4"/>
      <c r="C13" s="5">
        <v>0.2</v>
      </c>
      <c r="D13" s="5">
        <v>0.2</v>
      </c>
      <c r="E13" s="5">
        <v>0.2</v>
      </c>
      <c r="F13" s="5">
        <v>0.8</v>
      </c>
      <c r="G13" s="5">
        <v>0.5</v>
      </c>
      <c r="H13" s="5">
        <v>0.8</v>
      </c>
      <c r="I13" s="5">
        <v>0.5</v>
      </c>
      <c r="J13" s="5">
        <v>0.4</v>
      </c>
      <c r="K13" s="5">
        <v>0.8</v>
      </c>
      <c r="L13" s="5">
        <v>0.4</v>
      </c>
      <c r="M13" s="5">
        <v>0.4</v>
      </c>
      <c r="N13" s="5">
        <v>0.4</v>
      </c>
      <c r="O13" s="5">
        <v>0.6</v>
      </c>
      <c r="P13" s="5">
        <v>0.5</v>
      </c>
      <c r="Q13" s="5">
        <v>0.5</v>
      </c>
      <c r="R13" s="5">
        <v>0.3</v>
      </c>
      <c r="S13" s="5">
        <v>0.9</v>
      </c>
      <c r="T13" s="5">
        <v>0.4</v>
      </c>
      <c r="U13" s="5">
        <v>0.3</v>
      </c>
      <c r="V13" s="5">
        <v>0.8</v>
      </c>
      <c r="W13" s="5">
        <v>0.3</v>
      </c>
      <c r="X13" s="5">
        <v>0.2</v>
      </c>
      <c r="Y13" s="5">
        <v>0.2</v>
      </c>
      <c r="Z13">
        <v>1627.89</v>
      </c>
    </row>
    <row r="14" spans="1:26" x14ac:dyDescent="0.35">
      <c r="A14" s="3" t="s">
        <v>46</v>
      </c>
      <c r="B14" s="3"/>
      <c r="C14" s="6">
        <v>0.2</v>
      </c>
      <c r="D14" s="6">
        <v>0.2</v>
      </c>
      <c r="E14" s="6">
        <v>0.5</v>
      </c>
      <c r="F14" s="6">
        <v>0.7</v>
      </c>
      <c r="G14" s="6">
        <v>0.3</v>
      </c>
      <c r="H14" s="6">
        <v>0.8</v>
      </c>
      <c r="I14" s="6">
        <v>1</v>
      </c>
      <c r="J14" s="6">
        <v>0.2</v>
      </c>
      <c r="K14" s="6">
        <v>0.7</v>
      </c>
      <c r="L14" s="6">
        <v>0.4</v>
      </c>
      <c r="M14" s="6">
        <v>0.2</v>
      </c>
      <c r="N14" s="6">
        <v>0.1</v>
      </c>
      <c r="O14" s="6">
        <v>0.2</v>
      </c>
      <c r="P14" s="6">
        <v>0.6</v>
      </c>
      <c r="Q14" s="6">
        <v>0.8</v>
      </c>
      <c r="R14" s="6">
        <v>0.3</v>
      </c>
      <c r="S14" s="6">
        <v>0.9</v>
      </c>
      <c r="T14" s="6">
        <v>0.1</v>
      </c>
      <c r="U14" s="6">
        <v>0.2</v>
      </c>
      <c r="V14" s="6">
        <v>0.4</v>
      </c>
      <c r="W14" s="6">
        <v>0.3</v>
      </c>
      <c r="X14" s="6">
        <v>0.2</v>
      </c>
      <c r="Y14" s="6">
        <v>0.1</v>
      </c>
      <c r="Z14">
        <v>440.17</v>
      </c>
    </row>
    <row r="15" spans="1:26" x14ac:dyDescent="0.35">
      <c r="A15" s="4" t="s">
        <v>35</v>
      </c>
      <c r="B15" s="4"/>
      <c r="C15" s="5">
        <v>0.2</v>
      </c>
      <c r="D15" s="5">
        <v>0.3</v>
      </c>
      <c r="E15" s="5">
        <v>0.8</v>
      </c>
      <c r="F15" s="5">
        <v>0.4</v>
      </c>
      <c r="G15" s="5">
        <v>0.5</v>
      </c>
      <c r="H15" s="5">
        <v>0.9</v>
      </c>
      <c r="I15" s="5">
        <v>1</v>
      </c>
      <c r="J15" s="5">
        <v>0.4</v>
      </c>
      <c r="K15" s="5">
        <v>0.5</v>
      </c>
      <c r="L15" s="5">
        <v>0.6</v>
      </c>
      <c r="M15" s="5">
        <v>0.2</v>
      </c>
      <c r="N15" s="5">
        <v>0.5</v>
      </c>
      <c r="O15" s="5">
        <v>0.2</v>
      </c>
      <c r="P15" s="5">
        <v>0.5</v>
      </c>
      <c r="Q15" s="5">
        <v>0.9</v>
      </c>
      <c r="R15" s="5">
        <v>0.4</v>
      </c>
      <c r="S15" s="5">
        <v>0.6</v>
      </c>
      <c r="T15" s="5">
        <v>0.3</v>
      </c>
      <c r="U15" s="5">
        <v>0.2</v>
      </c>
      <c r="V15" s="5">
        <v>0.5</v>
      </c>
      <c r="W15" s="5">
        <v>0.3</v>
      </c>
      <c r="X15" s="5">
        <v>0.2</v>
      </c>
      <c r="Y15" s="5">
        <v>0.3</v>
      </c>
      <c r="Z15">
        <v>1411.91</v>
      </c>
    </row>
    <row r="16" spans="1:26" x14ac:dyDescent="0.35">
      <c r="A16" s="4" t="s">
        <v>41</v>
      </c>
      <c r="B16" s="4"/>
      <c r="C16" s="5">
        <v>0.8</v>
      </c>
      <c r="D16" s="5">
        <v>0.6</v>
      </c>
      <c r="E16" s="5">
        <v>0.8</v>
      </c>
      <c r="F16" s="5">
        <v>0.8</v>
      </c>
      <c r="G16" s="5">
        <v>0.6</v>
      </c>
      <c r="H16" s="5">
        <v>0.2</v>
      </c>
      <c r="I16" s="5">
        <v>0.7</v>
      </c>
      <c r="J16" s="5">
        <v>0.3</v>
      </c>
      <c r="K16" s="5">
        <v>0.8</v>
      </c>
      <c r="L16" s="5">
        <v>0.3</v>
      </c>
      <c r="M16" s="5">
        <v>0.2</v>
      </c>
      <c r="N16" s="5">
        <v>0.3</v>
      </c>
      <c r="O16" s="5">
        <v>0.6</v>
      </c>
      <c r="P16" s="5">
        <v>0.8</v>
      </c>
      <c r="Q16" s="5">
        <v>0.9</v>
      </c>
      <c r="R16" s="5">
        <v>0.2</v>
      </c>
      <c r="S16" s="5">
        <v>0.9</v>
      </c>
      <c r="T16" s="5">
        <v>0.8</v>
      </c>
      <c r="U16" s="5">
        <v>0.5</v>
      </c>
      <c r="V16" s="5">
        <v>0.4</v>
      </c>
      <c r="W16" s="5">
        <v>0.3</v>
      </c>
      <c r="X16" s="5">
        <v>0.8</v>
      </c>
      <c r="Y16" s="5">
        <v>0.2</v>
      </c>
      <c r="Z16">
        <v>1183.1199999999999</v>
      </c>
    </row>
    <row r="17" spans="1:26" x14ac:dyDescent="0.35">
      <c r="A17" s="4" t="s">
        <v>37</v>
      </c>
      <c r="B17" s="4"/>
      <c r="C17" s="5">
        <v>0.3</v>
      </c>
      <c r="D17" s="5">
        <v>0.3</v>
      </c>
      <c r="E17" s="5">
        <v>0.9</v>
      </c>
      <c r="F17" s="5">
        <v>0.5</v>
      </c>
      <c r="G17" s="5">
        <v>0.3</v>
      </c>
      <c r="H17" s="5">
        <v>0.5</v>
      </c>
      <c r="I17" s="5">
        <v>0.8</v>
      </c>
      <c r="J17" s="5">
        <v>0.1</v>
      </c>
      <c r="K17" s="5">
        <v>0.3</v>
      </c>
      <c r="L17" s="5">
        <v>0.6</v>
      </c>
      <c r="M17" s="5">
        <v>0.1</v>
      </c>
      <c r="N17" s="5">
        <v>0.2</v>
      </c>
      <c r="O17" s="5">
        <v>0.2</v>
      </c>
      <c r="P17" s="5">
        <v>0.4</v>
      </c>
      <c r="Q17" s="5">
        <v>0.8</v>
      </c>
      <c r="R17" s="5">
        <v>0.6</v>
      </c>
      <c r="S17" s="5">
        <v>1</v>
      </c>
      <c r="T17" s="5">
        <v>0.3</v>
      </c>
      <c r="U17" s="5">
        <v>0.3</v>
      </c>
      <c r="V17" s="5">
        <v>0.2</v>
      </c>
      <c r="W17" s="5">
        <v>0.2</v>
      </c>
      <c r="X17" s="5">
        <v>0.4</v>
      </c>
      <c r="Y17" s="5">
        <v>0.2</v>
      </c>
      <c r="Z17">
        <v>641.14</v>
      </c>
    </row>
    <row r="18" spans="1:26" x14ac:dyDescent="0.35">
      <c r="A18" s="3" t="s">
        <v>33</v>
      </c>
      <c r="B18" s="3"/>
      <c r="C18" s="5">
        <v>0.2</v>
      </c>
      <c r="D18" s="5">
        <v>0.3</v>
      </c>
      <c r="E18" s="5">
        <v>0.4</v>
      </c>
      <c r="F18" s="5">
        <v>0.9</v>
      </c>
      <c r="G18" s="5">
        <v>0.3</v>
      </c>
      <c r="H18" s="5">
        <v>0.7</v>
      </c>
      <c r="I18" s="5">
        <v>0.8</v>
      </c>
      <c r="J18" s="5">
        <v>0.1</v>
      </c>
      <c r="K18" s="5">
        <v>0.8</v>
      </c>
      <c r="L18" s="5">
        <v>0.3</v>
      </c>
      <c r="M18" s="5">
        <v>0.4</v>
      </c>
      <c r="N18" s="5">
        <v>0.2</v>
      </c>
      <c r="O18" s="5">
        <v>0.3</v>
      </c>
      <c r="P18" s="5">
        <v>0.2</v>
      </c>
      <c r="Q18" s="5">
        <v>0.7</v>
      </c>
      <c r="R18" s="5">
        <v>0.3</v>
      </c>
      <c r="S18" s="5">
        <v>1</v>
      </c>
      <c r="T18" s="5">
        <v>0.2</v>
      </c>
      <c r="U18" s="5">
        <v>0.3</v>
      </c>
      <c r="V18" s="5">
        <v>0.6</v>
      </c>
      <c r="W18" s="5">
        <v>0.3</v>
      </c>
      <c r="X18" s="5">
        <v>0.2</v>
      </c>
      <c r="Y18" s="5">
        <v>0.1</v>
      </c>
      <c r="Z18">
        <v>1127.92</v>
      </c>
    </row>
    <row r="19" spans="1:26" x14ac:dyDescent="0.35">
      <c r="A19" s="4" t="s">
        <v>57</v>
      </c>
      <c r="B19" s="4"/>
      <c r="C19" s="3">
        <v>0.6</v>
      </c>
      <c r="D19" s="3">
        <v>0.8</v>
      </c>
      <c r="E19" s="3">
        <v>0.9</v>
      </c>
      <c r="F19" s="3">
        <v>0.3</v>
      </c>
      <c r="G19" s="3">
        <v>0.1</v>
      </c>
      <c r="H19" s="3">
        <v>0.3</v>
      </c>
      <c r="I19" s="3">
        <v>0.9</v>
      </c>
      <c r="J19" s="3">
        <v>0.1</v>
      </c>
      <c r="K19" s="3">
        <v>1</v>
      </c>
      <c r="L19" s="3">
        <v>0.8</v>
      </c>
      <c r="M19" s="3">
        <v>0.1</v>
      </c>
      <c r="N19" s="3">
        <v>0.1</v>
      </c>
      <c r="O19" s="3">
        <v>0.2</v>
      </c>
      <c r="P19" s="3">
        <v>0.7</v>
      </c>
      <c r="Q19" s="3">
        <v>1</v>
      </c>
      <c r="R19" s="3">
        <v>0.3</v>
      </c>
      <c r="S19" s="3">
        <v>0.9</v>
      </c>
      <c r="T19" s="3">
        <v>0.3</v>
      </c>
      <c r="U19" s="3">
        <v>0.2</v>
      </c>
      <c r="V19" s="3">
        <v>0.1</v>
      </c>
      <c r="W19" s="3">
        <v>0.3</v>
      </c>
      <c r="X19" s="3">
        <v>0.4</v>
      </c>
      <c r="Y19" s="3">
        <v>0.2</v>
      </c>
      <c r="Z19">
        <v>803.62</v>
      </c>
    </row>
    <row r="20" spans="1:26" x14ac:dyDescent="0.35">
      <c r="A20" s="17" t="s">
        <v>43</v>
      </c>
      <c r="B20" s="17"/>
      <c r="C20" s="5">
        <v>0.1</v>
      </c>
      <c r="D20" s="5">
        <v>0.3</v>
      </c>
      <c r="E20" s="5">
        <v>0.6</v>
      </c>
      <c r="F20" s="5">
        <v>0.8</v>
      </c>
      <c r="G20" s="5">
        <v>0.1</v>
      </c>
      <c r="H20" s="5">
        <v>0.6</v>
      </c>
      <c r="I20" s="5">
        <v>0.8</v>
      </c>
      <c r="J20" s="5">
        <v>0.5</v>
      </c>
      <c r="K20" s="5">
        <v>0.5</v>
      </c>
      <c r="L20" s="5">
        <v>0.4</v>
      </c>
      <c r="M20" s="5">
        <v>0.3</v>
      </c>
      <c r="N20" s="5">
        <v>0.3</v>
      </c>
      <c r="O20" s="5">
        <v>0.3</v>
      </c>
      <c r="P20" s="5">
        <v>0.5</v>
      </c>
      <c r="Q20" s="5">
        <v>0.6</v>
      </c>
      <c r="R20" s="5">
        <v>0.3</v>
      </c>
      <c r="S20" s="5">
        <v>0.8</v>
      </c>
      <c r="T20" s="5">
        <v>0.1</v>
      </c>
      <c r="U20" s="5">
        <v>0.1</v>
      </c>
      <c r="V20" s="5">
        <v>0.7</v>
      </c>
      <c r="W20" s="5">
        <v>0.1</v>
      </c>
      <c r="X20" s="5">
        <v>0.4</v>
      </c>
      <c r="Y20" s="5">
        <v>0.1</v>
      </c>
      <c r="Z20">
        <v>939.92</v>
      </c>
    </row>
    <row r="21" spans="1:26" x14ac:dyDescent="0.35">
      <c r="A21" s="3" t="s">
        <v>42</v>
      </c>
      <c r="B21" s="3"/>
      <c r="C21" s="6">
        <v>0.3</v>
      </c>
      <c r="D21" s="6">
        <v>0.5</v>
      </c>
      <c r="E21" s="6">
        <v>0.8</v>
      </c>
      <c r="F21" s="6">
        <v>0.5</v>
      </c>
      <c r="G21" s="6">
        <v>0.6</v>
      </c>
      <c r="H21" s="6">
        <v>0.4</v>
      </c>
      <c r="I21" s="6">
        <v>0.4</v>
      </c>
      <c r="J21" s="6">
        <v>0.1</v>
      </c>
      <c r="K21" s="6">
        <v>0.7</v>
      </c>
      <c r="L21" s="6">
        <v>0.4</v>
      </c>
      <c r="M21" s="6">
        <v>0.3</v>
      </c>
      <c r="N21" s="6">
        <v>0.1</v>
      </c>
      <c r="O21" s="6">
        <v>0.5</v>
      </c>
      <c r="P21" s="6">
        <v>0.4</v>
      </c>
      <c r="Q21" s="6">
        <v>0.6</v>
      </c>
      <c r="R21" s="6">
        <v>0.3</v>
      </c>
      <c r="S21" s="6">
        <v>1</v>
      </c>
      <c r="T21" s="6">
        <v>0.1</v>
      </c>
      <c r="U21" s="6">
        <v>0.2</v>
      </c>
      <c r="V21" s="6">
        <v>0.2</v>
      </c>
      <c r="W21" s="6">
        <v>0.2</v>
      </c>
      <c r="X21" s="6">
        <v>0.5</v>
      </c>
      <c r="Y21" s="6">
        <v>0.1</v>
      </c>
      <c r="Z21">
        <v>771.81</v>
      </c>
    </row>
    <row r="22" spans="1:26" x14ac:dyDescent="0.35">
      <c r="A22" s="3" t="s">
        <v>36</v>
      </c>
      <c r="B22" s="3"/>
      <c r="C22" s="6">
        <v>0.6</v>
      </c>
      <c r="D22" s="6">
        <v>0.6</v>
      </c>
      <c r="E22" s="6">
        <v>0.9</v>
      </c>
      <c r="F22" s="6">
        <v>0.9</v>
      </c>
      <c r="G22" s="6">
        <v>0.6</v>
      </c>
      <c r="H22" s="6">
        <v>0.3</v>
      </c>
      <c r="I22" s="6">
        <v>0.4</v>
      </c>
      <c r="J22" s="6">
        <v>0.3</v>
      </c>
      <c r="K22" s="6">
        <v>0.3</v>
      </c>
      <c r="L22" s="6">
        <v>0.3</v>
      </c>
      <c r="M22" s="6">
        <v>0.1</v>
      </c>
      <c r="N22" s="6">
        <v>0.1</v>
      </c>
      <c r="O22" s="6">
        <v>0.4</v>
      </c>
      <c r="P22" s="6">
        <v>0.4</v>
      </c>
      <c r="Q22" s="6">
        <v>0.8</v>
      </c>
      <c r="R22" s="6">
        <v>0.4</v>
      </c>
      <c r="S22" s="6">
        <v>0.9</v>
      </c>
      <c r="T22" s="6">
        <v>0.4</v>
      </c>
      <c r="U22" s="6">
        <v>0.3</v>
      </c>
      <c r="V22" s="6">
        <v>0.5</v>
      </c>
      <c r="W22" s="6">
        <v>0.2</v>
      </c>
      <c r="X22" s="6">
        <v>0.8</v>
      </c>
      <c r="Y22" s="6">
        <v>0.4</v>
      </c>
      <c r="Z22">
        <v>1266.79</v>
      </c>
    </row>
    <row r="23" spans="1:26" x14ac:dyDescent="0.35">
      <c r="A23" s="4" t="s">
        <v>55</v>
      </c>
      <c r="B23" s="4"/>
      <c r="C23" s="3">
        <v>0.2</v>
      </c>
      <c r="D23" s="3">
        <v>0.2</v>
      </c>
      <c r="E23" s="3">
        <v>0.7</v>
      </c>
      <c r="F23" s="3">
        <v>0.5</v>
      </c>
      <c r="G23" s="3">
        <v>0.6</v>
      </c>
      <c r="H23" s="3">
        <v>0.3</v>
      </c>
      <c r="I23" s="3">
        <v>0.6</v>
      </c>
      <c r="J23" s="3">
        <v>0.2</v>
      </c>
      <c r="K23" s="3">
        <v>0.6</v>
      </c>
      <c r="L23" s="3">
        <v>0.5</v>
      </c>
      <c r="M23" s="3">
        <v>0.5</v>
      </c>
      <c r="N23" s="3">
        <v>0.2</v>
      </c>
      <c r="O23" s="3">
        <v>0.8</v>
      </c>
      <c r="P23" s="3">
        <v>0.4</v>
      </c>
      <c r="Q23" s="3">
        <v>0.6</v>
      </c>
      <c r="R23" s="3">
        <v>0.3</v>
      </c>
      <c r="S23" s="3">
        <v>0.6</v>
      </c>
      <c r="T23" s="3">
        <v>0.3</v>
      </c>
      <c r="U23" s="3">
        <v>0.4</v>
      </c>
      <c r="V23" s="3">
        <v>0.5</v>
      </c>
      <c r="W23" s="3">
        <v>0.3</v>
      </c>
      <c r="X23" s="3">
        <v>0.2</v>
      </c>
      <c r="Y23" s="3">
        <v>0.1</v>
      </c>
      <c r="Z23">
        <v>828.46</v>
      </c>
    </row>
    <row r="24" spans="1:26" x14ac:dyDescent="0.35">
      <c r="A24" s="3" t="s">
        <v>34</v>
      </c>
      <c r="B24" s="3"/>
      <c r="C24" s="6">
        <v>0.7</v>
      </c>
      <c r="D24" s="6">
        <v>0.9</v>
      </c>
      <c r="E24" s="6">
        <v>0.7</v>
      </c>
      <c r="F24" s="6">
        <v>0.3</v>
      </c>
      <c r="G24" s="6">
        <v>0.9</v>
      </c>
      <c r="H24" s="6">
        <v>0.2</v>
      </c>
      <c r="I24" s="6">
        <v>0.6</v>
      </c>
      <c r="J24" s="6">
        <v>0.7</v>
      </c>
      <c r="K24" s="6">
        <v>0.4</v>
      </c>
      <c r="L24" s="6">
        <v>0.6</v>
      </c>
      <c r="M24" s="6">
        <v>0.4</v>
      </c>
      <c r="N24" s="6">
        <v>0.7</v>
      </c>
      <c r="O24" s="6">
        <v>0.7</v>
      </c>
      <c r="P24" s="6">
        <v>0.5</v>
      </c>
      <c r="Q24" s="6">
        <v>0.4</v>
      </c>
      <c r="R24" s="6">
        <v>0.4</v>
      </c>
      <c r="S24" s="6">
        <v>0.7</v>
      </c>
      <c r="T24" s="6">
        <v>0.6</v>
      </c>
      <c r="U24" s="6">
        <v>0.4</v>
      </c>
      <c r="V24" s="6">
        <v>0.5</v>
      </c>
      <c r="W24" s="6">
        <v>0.3</v>
      </c>
      <c r="X24" s="6">
        <v>0.7</v>
      </c>
      <c r="Y24" s="6">
        <v>0.5</v>
      </c>
      <c r="Z24">
        <v>1250.0999999999999</v>
      </c>
    </row>
    <row r="25" spans="1:26" x14ac:dyDescent="0.35">
      <c r="A25" s="3" t="s">
        <v>58</v>
      </c>
      <c r="B25" s="3"/>
      <c r="C25" s="4">
        <v>0.3</v>
      </c>
      <c r="D25" s="4">
        <v>0.2</v>
      </c>
      <c r="E25" s="4">
        <v>0.9</v>
      </c>
      <c r="F25" s="4">
        <v>0.2</v>
      </c>
      <c r="G25" s="4">
        <v>0.6</v>
      </c>
      <c r="H25" s="4">
        <v>0.9</v>
      </c>
      <c r="I25" s="4">
        <v>1</v>
      </c>
      <c r="J25" s="4">
        <v>0.3</v>
      </c>
      <c r="K25" s="4">
        <v>0.5</v>
      </c>
      <c r="L25" s="4">
        <v>0.2</v>
      </c>
      <c r="M25" s="4">
        <v>0.2</v>
      </c>
      <c r="N25" s="4">
        <v>0.3</v>
      </c>
      <c r="O25" s="4">
        <v>0.8</v>
      </c>
      <c r="P25" s="4">
        <v>0.8</v>
      </c>
      <c r="Q25" s="4">
        <v>0.9</v>
      </c>
      <c r="R25" s="4">
        <v>0.2</v>
      </c>
      <c r="S25" s="4">
        <v>0.2</v>
      </c>
      <c r="T25" s="4">
        <v>0.3</v>
      </c>
      <c r="U25" s="4">
        <v>0.5</v>
      </c>
      <c r="V25" s="4">
        <v>0.1</v>
      </c>
      <c r="W25" s="4">
        <v>0.2</v>
      </c>
      <c r="X25" s="4">
        <v>0.4</v>
      </c>
      <c r="Y25" s="4">
        <v>0.2</v>
      </c>
      <c r="Z25">
        <v>757.59</v>
      </c>
    </row>
    <row r="26" spans="1:26" x14ac:dyDescent="0.35">
      <c r="A26" s="3" t="s">
        <v>56</v>
      </c>
      <c r="B26" s="3"/>
      <c r="C26" s="4">
        <v>0.5</v>
      </c>
      <c r="D26" s="4">
        <v>0.2</v>
      </c>
      <c r="E26" s="4">
        <v>0.7</v>
      </c>
      <c r="F26" s="4">
        <v>0.8</v>
      </c>
      <c r="G26" s="4">
        <v>0.3</v>
      </c>
      <c r="H26" s="4">
        <v>0.7</v>
      </c>
      <c r="I26" s="4">
        <v>0.6</v>
      </c>
      <c r="J26" s="4">
        <v>0.5</v>
      </c>
      <c r="K26" s="4">
        <v>0.5</v>
      </c>
      <c r="L26" s="4">
        <v>0.2</v>
      </c>
      <c r="M26" s="4">
        <v>0.2</v>
      </c>
      <c r="N26" s="4">
        <v>0.8</v>
      </c>
      <c r="O26" s="4">
        <v>0.3</v>
      </c>
      <c r="P26" s="4">
        <v>0.5</v>
      </c>
      <c r="Q26" s="4">
        <v>0.9</v>
      </c>
      <c r="R26" s="4">
        <v>0.3</v>
      </c>
      <c r="S26" s="4">
        <v>0.5</v>
      </c>
      <c r="T26" s="4">
        <v>0.2</v>
      </c>
      <c r="U26" s="4">
        <v>0.3</v>
      </c>
      <c r="V26" s="4">
        <v>0.5</v>
      </c>
      <c r="W26" s="4">
        <v>0.1</v>
      </c>
      <c r="X26" s="4">
        <v>0.1</v>
      </c>
      <c r="Y26" s="4">
        <v>0.1</v>
      </c>
      <c r="Z26">
        <v>1394.13</v>
      </c>
    </row>
    <row r="27" spans="1:26" x14ac:dyDescent="0.35">
      <c r="A27" s="3" t="s">
        <v>44</v>
      </c>
      <c r="B27" s="3"/>
      <c r="C27" s="6">
        <v>0.6</v>
      </c>
      <c r="D27" s="6">
        <v>0.4</v>
      </c>
      <c r="E27" s="6">
        <v>0.9</v>
      </c>
      <c r="F27" s="6">
        <v>0.7</v>
      </c>
      <c r="G27" s="6">
        <v>0.8</v>
      </c>
      <c r="H27" s="6">
        <v>0.4</v>
      </c>
      <c r="I27" s="6">
        <v>0.8</v>
      </c>
      <c r="J27" s="6">
        <v>0.6</v>
      </c>
      <c r="K27" s="6">
        <v>0.7</v>
      </c>
      <c r="L27" s="6">
        <v>0.5</v>
      </c>
      <c r="M27" s="6">
        <v>0.5</v>
      </c>
      <c r="N27" s="6">
        <v>0.8</v>
      </c>
      <c r="O27" s="6">
        <v>0.6</v>
      </c>
      <c r="P27" s="6">
        <v>0.2</v>
      </c>
      <c r="Q27" s="6">
        <v>0.6</v>
      </c>
      <c r="R27" s="6">
        <v>0.4</v>
      </c>
      <c r="S27" s="6">
        <v>0.9</v>
      </c>
      <c r="T27" s="6">
        <v>0.4</v>
      </c>
      <c r="U27" s="6">
        <v>0.2</v>
      </c>
      <c r="V27" s="6">
        <v>0.8</v>
      </c>
      <c r="W27" s="6">
        <v>0.6</v>
      </c>
      <c r="X27" s="6">
        <v>0.8</v>
      </c>
      <c r="Y27" s="6">
        <v>0.4</v>
      </c>
      <c r="Z27">
        <v>1333.71</v>
      </c>
    </row>
    <row r="28" spans="1:26" x14ac:dyDescent="0.35">
      <c r="A28" s="3" t="s">
        <v>54</v>
      </c>
      <c r="B28" s="3"/>
      <c r="C28" s="4">
        <v>0.2</v>
      </c>
      <c r="D28" s="4">
        <v>0.6</v>
      </c>
      <c r="E28" s="4">
        <v>0.8</v>
      </c>
      <c r="F28" s="4">
        <v>0.3</v>
      </c>
      <c r="G28" s="4">
        <v>0.6</v>
      </c>
      <c r="H28" s="4">
        <v>0.1</v>
      </c>
      <c r="I28" s="4">
        <v>0.4</v>
      </c>
      <c r="J28" s="4">
        <v>0.5</v>
      </c>
      <c r="K28" s="4">
        <v>0.5</v>
      </c>
      <c r="L28" s="4">
        <v>0.1</v>
      </c>
      <c r="M28" s="4">
        <v>0.1</v>
      </c>
      <c r="N28" s="4">
        <v>0.4</v>
      </c>
      <c r="O28" s="4">
        <v>0.3</v>
      </c>
      <c r="P28" s="4">
        <v>0.3</v>
      </c>
      <c r="Q28" s="4">
        <v>0.9</v>
      </c>
      <c r="R28" s="4">
        <v>0.4</v>
      </c>
      <c r="S28" s="4">
        <v>0.8</v>
      </c>
      <c r="T28" s="4">
        <v>0.9</v>
      </c>
      <c r="U28" s="4">
        <v>0.3</v>
      </c>
      <c r="V28" s="4">
        <v>0.5</v>
      </c>
      <c r="W28" s="4">
        <v>0.3</v>
      </c>
      <c r="X28" s="4">
        <v>0.9</v>
      </c>
      <c r="Y28" s="4">
        <v>0.1</v>
      </c>
      <c r="Z28">
        <v>1200.1400000000001</v>
      </c>
    </row>
    <row r="29" spans="1:26" x14ac:dyDescent="0.35">
      <c r="A29" s="16" t="s">
        <v>40</v>
      </c>
      <c r="B29" s="16"/>
      <c r="C29" s="6">
        <v>0.4</v>
      </c>
      <c r="D29" s="6">
        <v>0.3</v>
      </c>
      <c r="E29" s="6">
        <v>0.8</v>
      </c>
      <c r="F29" s="6">
        <v>0.5</v>
      </c>
      <c r="G29" s="6">
        <v>0.7</v>
      </c>
      <c r="H29" s="6">
        <v>0.2</v>
      </c>
      <c r="I29" s="6">
        <v>0.4</v>
      </c>
      <c r="J29" s="6">
        <v>0.6</v>
      </c>
      <c r="K29" s="6">
        <v>0.3</v>
      </c>
      <c r="L29" s="6">
        <v>0.3</v>
      </c>
      <c r="M29" s="6">
        <v>0.4</v>
      </c>
      <c r="N29" s="6">
        <v>0.4</v>
      </c>
      <c r="O29" s="6">
        <v>0.7</v>
      </c>
      <c r="P29" s="6">
        <v>0.2</v>
      </c>
      <c r="Q29" s="6">
        <v>0.6</v>
      </c>
      <c r="R29" s="6">
        <v>0.4</v>
      </c>
      <c r="S29" s="6">
        <v>0.5</v>
      </c>
      <c r="T29" s="6">
        <v>0.3</v>
      </c>
      <c r="U29" s="6">
        <v>0.5</v>
      </c>
      <c r="V29" s="6">
        <v>0.2</v>
      </c>
      <c r="W29" s="6">
        <v>0.3</v>
      </c>
      <c r="X29" s="6">
        <v>0.5</v>
      </c>
      <c r="Y29" s="6">
        <v>0.3</v>
      </c>
      <c r="Z29">
        <v>1276.5</v>
      </c>
    </row>
    <row r="30" spans="1:26" x14ac:dyDescent="0.35">
      <c r="A30" s="52" t="s">
        <v>91</v>
      </c>
      <c r="B30" s="79"/>
      <c r="C30" s="51">
        <v>0.5</v>
      </c>
      <c r="D30" s="51">
        <v>0.6</v>
      </c>
      <c r="E30" s="51">
        <v>0.4</v>
      </c>
      <c r="F30" s="51">
        <v>0.7</v>
      </c>
      <c r="G30" s="51">
        <v>0.4</v>
      </c>
      <c r="H30" s="51">
        <v>0.7</v>
      </c>
      <c r="I30" s="51">
        <v>0.7</v>
      </c>
      <c r="J30" s="51">
        <v>0.2</v>
      </c>
      <c r="K30" s="51">
        <v>0.6</v>
      </c>
      <c r="L30" s="51">
        <v>0.9</v>
      </c>
      <c r="M30" s="51">
        <v>0.3</v>
      </c>
      <c r="N30" s="51">
        <v>0.2</v>
      </c>
      <c r="O30" s="51">
        <v>0.4</v>
      </c>
      <c r="P30" s="51">
        <v>0.5</v>
      </c>
      <c r="Q30" s="51">
        <v>0.7</v>
      </c>
      <c r="R30" s="51">
        <v>0.2</v>
      </c>
      <c r="S30" s="51">
        <v>0.9</v>
      </c>
      <c r="T30" s="51">
        <v>0.3</v>
      </c>
      <c r="U30" s="51">
        <v>0.2</v>
      </c>
      <c r="V30" s="52">
        <v>0.5</v>
      </c>
      <c r="W30" s="52">
        <v>0.3</v>
      </c>
      <c r="X30" s="51">
        <v>0.2</v>
      </c>
      <c r="Y30" s="51">
        <v>0.3</v>
      </c>
      <c r="Z30" s="8"/>
    </row>
    <row r="31" spans="1:26" x14ac:dyDescent="0.35">
      <c r="A31" s="52" t="s">
        <v>90</v>
      </c>
      <c r="B31" s="79"/>
      <c r="C31" s="79">
        <v>0.7</v>
      </c>
      <c r="D31" s="79">
        <v>0.5</v>
      </c>
      <c r="E31" s="79">
        <v>0.8</v>
      </c>
      <c r="F31" s="79">
        <v>0.7</v>
      </c>
      <c r="G31" s="79">
        <v>0.4</v>
      </c>
      <c r="H31" s="79">
        <v>0.8</v>
      </c>
      <c r="I31" s="79">
        <v>0.6</v>
      </c>
      <c r="J31" s="79">
        <v>0.9</v>
      </c>
      <c r="K31" s="79">
        <v>0.6</v>
      </c>
      <c r="L31" s="79">
        <v>0.5</v>
      </c>
      <c r="M31" s="79">
        <v>0.4</v>
      </c>
      <c r="N31" s="79">
        <v>0.5</v>
      </c>
      <c r="O31" s="79">
        <v>0.6</v>
      </c>
      <c r="P31" s="79">
        <v>0.7</v>
      </c>
      <c r="Q31" s="79">
        <v>0.9</v>
      </c>
      <c r="R31" s="79">
        <v>0.5</v>
      </c>
      <c r="S31" s="79">
        <v>1</v>
      </c>
      <c r="T31" s="79">
        <v>0.2</v>
      </c>
      <c r="U31" s="79">
        <v>0.6</v>
      </c>
      <c r="V31" s="79">
        <v>0.5</v>
      </c>
      <c r="W31" s="79">
        <v>0.3</v>
      </c>
      <c r="X31" s="51">
        <v>0.2</v>
      </c>
      <c r="Y31" s="51">
        <v>0.2</v>
      </c>
      <c r="Z31" s="8"/>
    </row>
    <row r="32" spans="1:26" x14ac:dyDescent="0.35">
      <c r="A32" s="52" t="s">
        <v>88</v>
      </c>
      <c r="B32" s="79"/>
      <c r="C32" s="79">
        <v>0.3</v>
      </c>
      <c r="D32" s="79">
        <v>0.5</v>
      </c>
      <c r="E32" s="79">
        <v>0.2</v>
      </c>
      <c r="F32" s="79">
        <v>0.8</v>
      </c>
      <c r="G32" s="79">
        <v>0.4</v>
      </c>
      <c r="H32" s="79">
        <v>0.5</v>
      </c>
      <c r="I32" s="79">
        <v>0.5</v>
      </c>
      <c r="J32" s="79">
        <v>0.5</v>
      </c>
      <c r="K32" s="79">
        <v>0.1</v>
      </c>
      <c r="L32" s="79">
        <v>0.2</v>
      </c>
      <c r="M32" s="79">
        <v>0.3</v>
      </c>
      <c r="N32" s="79">
        <v>0.4</v>
      </c>
      <c r="O32" s="79">
        <v>0.3</v>
      </c>
      <c r="P32" s="79">
        <v>0.3</v>
      </c>
      <c r="Q32" s="79">
        <v>0.6</v>
      </c>
      <c r="R32" s="79">
        <v>0.4</v>
      </c>
      <c r="S32" s="79">
        <v>0.8</v>
      </c>
      <c r="T32" s="79">
        <v>0.3</v>
      </c>
      <c r="U32" s="79">
        <v>0.4</v>
      </c>
      <c r="V32" s="79">
        <v>0.5</v>
      </c>
      <c r="W32" s="79">
        <v>0.3</v>
      </c>
      <c r="X32" s="51">
        <v>0.2</v>
      </c>
      <c r="Y32" s="51">
        <v>0.1</v>
      </c>
      <c r="Z32" s="8"/>
    </row>
    <row r="33" spans="1:26" x14ac:dyDescent="0.35">
      <c r="A33" s="52" t="s">
        <v>89</v>
      </c>
      <c r="B33" s="79"/>
      <c r="C33" s="79">
        <v>0.4</v>
      </c>
      <c r="D33" s="79">
        <v>0.7</v>
      </c>
      <c r="E33" s="79">
        <v>0.8</v>
      </c>
      <c r="F33" s="79">
        <v>0.6</v>
      </c>
      <c r="G33" s="79">
        <v>0.7</v>
      </c>
      <c r="H33" s="79">
        <v>0.6</v>
      </c>
      <c r="I33" s="79">
        <v>0.7</v>
      </c>
      <c r="J33" s="79">
        <v>0.5</v>
      </c>
      <c r="K33" s="79">
        <v>0.4</v>
      </c>
      <c r="L33" s="79">
        <v>0.7</v>
      </c>
      <c r="M33" s="79">
        <v>0.3</v>
      </c>
      <c r="N33" s="79">
        <v>0.3</v>
      </c>
      <c r="O33" s="79">
        <v>0.2</v>
      </c>
      <c r="P33" s="79">
        <v>0.4</v>
      </c>
      <c r="Q33" s="79">
        <v>0.8</v>
      </c>
      <c r="R33" s="79">
        <v>0.2</v>
      </c>
      <c r="S33" s="79">
        <v>0.7</v>
      </c>
      <c r="T33" s="79">
        <v>0.2</v>
      </c>
      <c r="U33" s="79">
        <v>0.2</v>
      </c>
      <c r="V33" s="79">
        <v>0.8</v>
      </c>
      <c r="W33" s="79">
        <v>0.3</v>
      </c>
      <c r="X33" s="51">
        <v>0.2</v>
      </c>
      <c r="Y33" s="51">
        <v>0.2</v>
      </c>
      <c r="Z33" s="8"/>
    </row>
    <row r="34" spans="1:26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6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6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6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6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6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6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6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6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6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6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6" x14ac:dyDescent="0.3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6" x14ac:dyDescent="0.3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C495-3B6B-4A78-9CAB-CA989EC015F2}">
  <dimension ref="A1:M14"/>
  <sheetViews>
    <sheetView workbookViewId="0">
      <selection activeCell="E9" sqref="E9"/>
    </sheetView>
  </sheetViews>
  <sheetFormatPr baseColWidth="10" defaultRowHeight="14.5" x14ac:dyDescent="0.35"/>
  <cols>
    <col min="8" max="10" width="12.08984375" customWidth="1"/>
    <col min="11" max="13" width="11.08984375" customWidth="1"/>
  </cols>
  <sheetData>
    <row r="1" spans="1:13" ht="15" thickBot="1" x14ac:dyDescent="0.4">
      <c r="A1" t="s">
        <v>93</v>
      </c>
      <c r="B1" s="59" t="s">
        <v>94</v>
      </c>
      <c r="C1" s="59" t="s">
        <v>95</v>
      </c>
      <c r="D1" s="59" t="s">
        <v>96</v>
      </c>
      <c r="E1" s="59" t="s">
        <v>97</v>
      </c>
      <c r="F1" s="59" t="s">
        <v>98</v>
      </c>
      <c r="G1" s="59" t="s">
        <v>99</v>
      </c>
      <c r="H1" s="59" t="s">
        <v>100</v>
      </c>
      <c r="I1" s="59" t="s">
        <v>101</v>
      </c>
      <c r="J1" s="59" t="s">
        <v>102</v>
      </c>
      <c r="K1" s="59" t="s">
        <v>103</v>
      </c>
      <c r="L1" s="59" t="s">
        <v>104</v>
      </c>
      <c r="M1" s="59" t="s">
        <v>105</v>
      </c>
    </row>
    <row r="2" spans="1:13" ht="15.5" thickTop="1" thickBot="1" x14ac:dyDescent="0.4">
      <c r="A2" s="69" t="s">
        <v>67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7"/>
    </row>
    <row r="3" spans="1:13" ht="15" thickTop="1" x14ac:dyDescent="0.35">
      <c r="A3" s="67" t="s">
        <v>87</v>
      </c>
      <c r="B3" s="76">
        <v>0.43</v>
      </c>
      <c r="C3" s="76">
        <v>0.42</v>
      </c>
      <c r="D3" s="76">
        <v>0.43</v>
      </c>
      <c r="E3" s="76">
        <v>0.44</v>
      </c>
      <c r="F3" s="76">
        <v>0.43</v>
      </c>
      <c r="G3" s="76">
        <v>0.4</v>
      </c>
      <c r="H3" s="76">
        <v>0.44</v>
      </c>
      <c r="I3" s="76">
        <v>0.4</v>
      </c>
      <c r="J3" s="76">
        <v>0.44</v>
      </c>
      <c r="K3" s="76">
        <v>0.47</v>
      </c>
      <c r="L3" s="76">
        <v>0.43</v>
      </c>
      <c r="M3" s="78">
        <v>0.44</v>
      </c>
    </row>
    <row r="4" spans="1:13" x14ac:dyDescent="0.35">
      <c r="A4" s="66" t="s">
        <v>59</v>
      </c>
      <c r="B4" s="75" t="e">
        <f>AVERAGE([1]!resultats_RT_sub_02PC[Haut 0,2])</f>
        <v>#REF!</v>
      </c>
      <c r="C4" s="75" t="e">
        <f>AVERAGE([1]!resultats_RT_sub_02PC[Haut 0,5])</f>
        <v>#REF!</v>
      </c>
      <c r="D4" s="75" t="e">
        <f>AVERAGE([1]!resultats_RT_sub_02PC[Haut 0,8])</f>
        <v>#REF!</v>
      </c>
      <c r="E4" s="75" t="e">
        <f>AVERAGE([1]!resultats_RT_sub_02PC[Bas 0,2])</f>
        <v>#REF!</v>
      </c>
      <c r="F4" s="75" t="e">
        <f>AVERAGE([1]!resultats_RT_sub_02PC[Bas 0,5])</f>
        <v>#REF!</v>
      </c>
      <c r="G4" s="75" t="e">
        <f>AVERAGE([1]!resultats_RT_sub_02PC[Bas 0,8])</f>
        <v>#REF!</v>
      </c>
      <c r="H4" s="75" t="e">
        <f>AVERAGE([1]!resultats_RT_sub_02PC[Gauche 0,2])</f>
        <v>#REF!</v>
      </c>
      <c r="I4" s="75" t="e">
        <f>AVERAGE([1]!resultats_RT_sub_02PC[Gauche 0,5])</f>
        <v>#REF!</v>
      </c>
      <c r="J4" s="75" t="e">
        <f>AVERAGE([1]!resultats_RT_sub_02PC[Gauche 0,8])</f>
        <v>#REF!</v>
      </c>
      <c r="K4" s="75" t="e">
        <f>AVERAGE([1]!resultats_RT_sub_02PC[Droite 0,2])</f>
        <v>#REF!</v>
      </c>
      <c r="L4" s="75" t="e">
        <f>AVERAGE([1]!resultats_RT_sub_02PC[Droite 0,5])</f>
        <v>#REF!</v>
      </c>
      <c r="M4" s="75" t="e">
        <f>AVERAGE([1]!resultats_RT_sub_02PC[Droite 0,8])</f>
        <v>#REF!</v>
      </c>
    </row>
    <row r="5" spans="1:13" x14ac:dyDescent="0.35">
      <c r="A5" s="63" t="s">
        <v>48</v>
      </c>
      <c r="B5" s="75" t="e">
        <f>AVERAGE([2]!resultats_RT_sub_03CT[Haut 0,2])</f>
        <v>#REF!</v>
      </c>
      <c r="C5" s="75" t="e">
        <f>AVERAGE([2]!resultats_RT_sub_03CT[Haut 0,5])</f>
        <v>#REF!</v>
      </c>
      <c r="D5" s="75" t="e">
        <f>AVERAGE([2]!resultats_RT_sub_03CT[Haut 0,8])</f>
        <v>#REF!</v>
      </c>
      <c r="E5" s="75" t="e">
        <f>AVERAGE([2]!resultats_RT_sub_03CT[Bas 0,2])</f>
        <v>#REF!</v>
      </c>
      <c r="F5" s="75" t="e">
        <f>AVERAGE([2]!resultats_RT_sub_03CT[Bas 0,5])</f>
        <v>#REF!</v>
      </c>
      <c r="G5" s="75" t="e">
        <f>AVERAGE([2]!resultats_RT_sub_03CT[Bas 0,8])</f>
        <v>#REF!</v>
      </c>
      <c r="H5" s="75" t="e">
        <f>AVERAGE([2]!resultats_RT_sub_03CT[Gauche 0,2])</f>
        <v>#REF!</v>
      </c>
      <c r="I5" s="75" t="e">
        <f>AVERAGE([2]!resultats_RT_sub_03CT[Gauche 0,5])</f>
        <v>#REF!</v>
      </c>
      <c r="J5" s="75" t="e">
        <f>AVERAGE([2]!resultats_RT_sub_03CT[Gauche 0,8])</f>
        <v>#REF!</v>
      </c>
      <c r="K5" s="75" t="e">
        <f>AVERAGE([2]!resultats_RT_sub_03CT[Droite 0,2])</f>
        <v>#REF!</v>
      </c>
      <c r="L5" s="75" t="e">
        <f>AVERAGE([2]!resultats_RT_sub_03CT[Droite 0,5])</f>
        <v>#REF!</v>
      </c>
      <c r="M5" s="75" t="e">
        <f>AVERAGE([2]!resultats_RT_sub_03CT[Droite 0,8])</f>
        <v>#REF!</v>
      </c>
    </row>
    <row r="6" spans="1:13" ht="15" thickBot="1" x14ac:dyDescent="0.4">
      <c r="A6" s="68" t="s">
        <v>28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thickTop="1" x14ac:dyDescent="0.35">
      <c r="A7" s="64" t="s">
        <v>84</v>
      </c>
      <c r="B7" s="70" t="e">
        <f>AVERAGE([3]!resultats_RT_sub_07DB[Haut 0,2])</f>
        <v>#REF!</v>
      </c>
      <c r="C7" s="70" t="e">
        <f>AVERAGE([3]!resultats_RT_sub_07DB[Haut 0,5])</f>
        <v>#REF!</v>
      </c>
      <c r="D7" s="70" t="e">
        <f>AVERAGE([3]!resultats_RT_sub_07DB[Haut 0,8])</f>
        <v>#REF!</v>
      </c>
      <c r="E7" s="70" t="e">
        <f>AVERAGE([3]!resultats_RT_sub_07DB[Bas 0,2])</f>
        <v>#REF!</v>
      </c>
      <c r="F7" s="70" t="e">
        <f>AVERAGE([3]!resultats_RT_sub_07DB[Bas 0,5])</f>
        <v>#REF!</v>
      </c>
      <c r="G7" s="70" t="e">
        <f>AVERAGE([3]!resultats_RT_sub_07DB[Bas 0,8])</f>
        <v>#REF!</v>
      </c>
      <c r="H7" s="70" t="e">
        <f>AVERAGE([3]!resultats_RT_sub_07DB[Gauche 0,2])</f>
        <v>#REF!</v>
      </c>
      <c r="I7" s="70" t="e">
        <f>AVERAGE([3]!resultats_RT_sub_07DB[Gauche 0,5])</f>
        <v>#REF!</v>
      </c>
      <c r="J7" s="70" t="e">
        <f>AVERAGE([3]!resultats_RT_sub_07DB[Gauche 0,8])</f>
        <v>#REF!</v>
      </c>
      <c r="K7" s="70" t="e">
        <f>AVERAGE([3]!resultats_RT_sub_07DB[Droite 0,2])</f>
        <v>#REF!</v>
      </c>
      <c r="L7" s="70" t="e">
        <f>AVERAGE([3]!resultats_RT_sub_07DB[Droite 0,5])</f>
        <v>#REF!</v>
      </c>
      <c r="M7" s="71" t="e">
        <f>AVERAGE([3]!resultats_RT_sub_07DB[Droite 0,8])</f>
        <v>#REF!</v>
      </c>
    </row>
    <row r="8" spans="1:13" ht="15" thickBot="1" x14ac:dyDescent="0.4">
      <c r="A8" s="65" t="s">
        <v>39</v>
      </c>
      <c r="B8" s="75">
        <f>AVERAGE([4]!resultats_RT_sub_88VP[Haut 0,2])</f>
        <v>0.49754780996590797</v>
      </c>
      <c r="C8" s="75">
        <f>AVERAGE([4]!resultats_RT_sub_88VP[Haut 0,5])</f>
        <v>0.49091895003803021</v>
      </c>
      <c r="D8" s="75">
        <f>AVERAGE([4]!resultats_RT_sub_88VP[Haut 0,8])</f>
        <v>0.4900933400262143</v>
      </c>
      <c r="E8" s="75">
        <f>AVERAGE([4]!resultats_RT_sub_88VP[Bas 0,2])</f>
        <v>0.51212573982775178</v>
      </c>
      <c r="F8" s="75">
        <f>AVERAGE([4]!resultats_RT_sub_88VP[Bas 0,5])</f>
        <v>0.49201330998912407</v>
      </c>
      <c r="G8" s="75">
        <f>AVERAGE([4]!resultats_RT_sub_88VP[Bas 0,8])</f>
        <v>0.48561585010029312</v>
      </c>
      <c r="H8" s="75">
        <f>AVERAGE([4]!resultats_RT_sub_88VP[Gauche 0,2])</f>
        <v>0.51022255998104782</v>
      </c>
      <c r="I8" s="75">
        <f>AVERAGE([4]!resultats_RT_sub_88VP[Gauche 0,5])</f>
        <v>0.46555853006429915</v>
      </c>
      <c r="J8" s="75">
        <f>AVERAGE([4]!resultats_RT_sub_88VP[Gauche 0,8])</f>
        <v>0.47979975999332902</v>
      </c>
      <c r="K8" s="75">
        <f>AVERAGE([4]!resultats_RT_sub_88VP[Droite 0,2])</f>
        <v>0.55281104003079196</v>
      </c>
      <c r="L8" s="75">
        <f>AVERAGE([4]!resultats_RT_sub_88VP[Droite 0,5])</f>
        <v>0.48623613999225174</v>
      </c>
      <c r="M8" s="75">
        <f>AVERAGE([4]!resultats_RT_sub_88VP[Droite 0,8])</f>
        <v>0.4716862299945202</v>
      </c>
    </row>
    <row r="9" spans="1:13" ht="15" thickTop="1" x14ac:dyDescent="0.35">
      <c r="A9" s="65" t="s">
        <v>3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7"/>
    </row>
    <row r="10" spans="1:13" x14ac:dyDescent="0.35">
      <c r="A10" s="66" t="s">
        <v>41</v>
      </c>
      <c r="B10" s="2">
        <v>0.37444682000000001</v>
      </c>
      <c r="C10" s="2">
        <v>0.34184902</v>
      </c>
      <c r="D10" s="2">
        <v>0.31546900999999999</v>
      </c>
      <c r="E10" s="2">
        <v>0.38032661000000001</v>
      </c>
      <c r="F10" s="2">
        <v>0.34428787</v>
      </c>
      <c r="G10" s="2">
        <v>0.31862513999999997</v>
      </c>
      <c r="H10" s="2">
        <v>0.35203617999999998</v>
      </c>
      <c r="I10" s="2">
        <v>0.32410248000000003</v>
      </c>
      <c r="J10" s="2">
        <v>0.31349392999999998</v>
      </c>
      <c r="K10" s="2">
        <v>0.35556871000000001</v>
      </c>
      <c r="L10" s="2">
        <v>0.32735342000000001</v>
      </c>
      <c r="M10" s="2">
        <v>0.30830415999999999</v>
      </c>
    </row>
    <row r="11" spans="1:13" ht="15" thickBot="1" x14ac:dyDescent="0.4">
      <c r="A11" s="65" t="s">
        <v>33</v>
      </c>
      <c r="B11" s="2">
        <f>AVERAGE([5]!resultats_RT_sub_28AP[Haut 0,2])</f>
        <v>0.42103861002251464</v>
      </c>
      <c r="C11" s="2">
        <f>AVERAGE([5]!resultats_RT_sub_28AP[Haut 0,5])</f>
        <v>0.37226419004145955</v>
      </c>
      <c r="D11" s="2">
        <f>AVERAGE([5]!resultats_RT_sub_28AP[Haut 0,8])</f>
        <v>0.37644030000083112</v>
      </c>
      <c r="E11" s="2">
        <f>AVERAGE([5]!resultats_RT_sub_28AP[Bas 0,2])</f>
        <v>0.38280766000971156</v>
      </c>
      <c r="F11" s="2">
        <f>AVERAGE([5]!resultats_RT_sub_28AP[Bas 0,5])</f>
        <v>0.38240556996315667</v>
      </c>
      <c r="G11" s="2">
        <f>AVERAGE([5]!resultats_RT_sub_28AP[Bas 0,8])</f>
        <v>0.3278895100112999</v>
      </c>
      <c r="H11" s="2">
        <f>AVERAGE([5]!resultats_RT_sub_28AP[Gauche 0,2])</f>
        <v>0.41931782993487976</v>
      </c>
      <c r="I11" s="2">
        <f>AVERAGE([5]!resultats_RT_sub_28AP[Gauche 0,5])</f>
        <v>0.3472136100055645</v>
      </c>
      <c r="J11" s="2">
        <f>AVERAGE([5]!resultats_RT_sub_28AP[Gauche 0,8])</f>
        <v>0.36236701998859583</v>
      </c>
      <c r="K11" s="2">
        <f>AVERAGE([5]!resultats_RT_sub_28AP[Droite 0,2])</f>
        <v>0.42596955997869318</v>
      </c>
      <c r="L11" s="2">
        <f>AVERAGE([5]!resultats_RT_sub_28AP[Droite 0,5])</f>
        <v>0.36255388997960797</v>
      </c>
      <c r="M11" s="2">
        <f>AVERAGE([5]!resultats_RT_sub_28AP[Droite 0,8])</f>
        <v>0.38002033003140195</v>
      </c>
    </row>
    <row r="12" spans="1:13" ht="15.5" thickTop="1" thickBot="1" x14ac:dyDescent="0.4">
      <c r="A12" t="s">
        <v>91</v>
      </c>
      <c r="B12" s="70" t="e">
        <f>AVERAGE([6]!resultats_RT_sub_59RM[Haut 0,2])</f>
        <v>#REF!</v>
      </c>
      <c r="C12" s="70" t="e">
        <f>AVERAGE([6]!resultats_RT_sub_59RM[Haut 0,5])</f>
        <v>#REF!</v>
      </c>
      <c r="D12" s="70" t="e">
        <f>AVERAGE([6]!resultats_RT_sub_59RM[Haut 0,8])</f>
        <v>#REF!</v>
      </c>
      <c r="E12" s="70" t="e">
        <f>AVERAGE([6]!resultats_RT_sub_59RM[Bas 0,2])</f>
        <v>#REF!</v>
      </c>
      <c r="F12" s="70" t="e">
        <f>AVERAGE([6]!resultats_RT_sub_59RM[Bas 0,5])</f>
        <v>#REF!</v>
      </c>
      <c r="G12" s="70" t="e">
        <f>AVERAGE([6]!resultats_RT_sub_59RM[Bas 0,8])</f>
        <v>#REF!</v>
      </c>
      <c r="H12" s="70" t="e">
        <f>AVERAGE([6]!resultats_RT_sub_59RM[Gauche 0,2])</f>
        <v>#REF!</v>
      </c>
      <c r="I12" s="70" t="e">
        <f>AVERAGE([6]!resultats_RT_sub_59RM[Gauche 0,5])</f>
        <v>#REF!</v>
      </c>
      <c r="J12" s="70" t="e">
        <f>AVERAGE([6]!resultats_RT_sub_59RM[Gauche 0,8])</f>
        <v>#REF!</v>
      </c>
      <c r="K12" s="70" t="e">
        <f>AVERAGE([6]!resultats_RT_sub_59RM[Droite 0,2])</f>
        <v>#REF!</v>
      </c>
      <c r="L12" s="70" t="e">
        <f>AVERAGE([6]!resultats_RT_sub_59RM[Droite 0,5])</f>
        <v>#REF!</v>
      </c>
      <c r="M12" s="71" t="e">
        <f>AVERAGE([6]!resultats_RT_sub_59RM[Droite 0,8])</f>
        <v>#REF!</v>
      </c>
    </row>
    <row r="13" spans="1:13" ht="15.5" thickTop="1" thickBot="1" x14ac:dyDescent="0.4">
      <c r="A13" t="s">
        <v>90</v>
      </c>
      <c r="B13" s="72">
        <f>AVERAGE([7]!resultats_RT_sub_61EV[Haut 0,2])</f>
        <v>0.4807119300588959</v>
      </c>
      <c r="C13" s="72">
        <f>AVERAGE([7]!resultats_RT_sub_61EV[Haut 0,5])</f>
        <v>0.39828089014626988</v>
      </c>
      <c r="D13" s="72">
        <f>AVERAGE([7]!resultats_RT_sub_61EV[Haut 0,8])</f>
        <v>0.35291959997266498</v>
      </c>
      <c r="E13" s="72">
        <f>AVERAGE([7]!resultats_RT_sub_61EV[Bas 0,2])</f>
        <v>0.36194374002516222</v>
      </c>
      <c r="F13" s="72">
        <f>AVERAGE([7]!resultats_RT_sub_61EV[Bas 0,5])</f>
        <v>0.38377621988765859</v>
      </c>
      <c r="G13" s="72">
        <f>AVERAGE([7]!resultats_RT_sub_61EV[Bas 0,8])</f>
        <v>0.35583112002350326</v>
      </c>
      <c r="H13" s="72">
        <f>AVERAGE([7]!resultats_RT_sub_61EV[Gauche 0,2])</f>
        <v>0.44471247009932957</v>
      </c>
      <c r="I13" s="72">
        <f>AVERAGE([7]!resultats_RT_sub_61EV[Gauche 0,5])</f>
        <v>0.36765341991558625</v>
      </c>
      <c r="J13" s="72">
        <f>AVERAGE([7]!resultats_RT_sub_61EV[Gauche 0,8])</f>
        <v>0.36941923010162947</v>
      </c>
      <c r="K13" s="72">
        <f>AVERAGE([7]!resultats_RT_sub_61EV[Droite 0,2])</f>
        <v>0.4312231500167395</v>
      </c>
      <c r="L13" s="72">
        <f>AVERAGE([7]!resultats_RT_sub_61EV[Droite 0,5])</f>
        <v>0.3418026300612832</v>
      </c>
      <c r="M13" s="73">
        <f>AVERAGE([7]!resultats_RT_sub_61EV[Droite 0,8])</f>
        <v>0.31255626995116426</v>
      </c>
    </row>
    <row r="14" spans="1:13" ht="15" thickTop="1" x14ac:dyDescent="0.35">
      <c r="A14" t="s">
        <v>88</v>
      </c>
      <c r="B14" s="72">
        <f>AVERAGE([8]!resultats_RT_sub_62LL[Haut 0,2])</f>
        <v>0.39726674989797145</v>
      </c>
      <c r="C14" s="72">
        <f>AVERAGE([8]!resultats_RT_sub_62LL[Haut 0,5])</f>
        <v>0.35194758996367398</v>
      </c>
      <c r="D14" s="72">
        <f>AVERAGE([8]!resultats_RT_sub_62LL[Haut 0,8])</f>
        <v>0.34604473011568138</v>
      </c>
      <c r="E14" s="72">
        <f>AVERAGE([8]!resultats_RT_sub_62LL[Bas 0,2])</f>
        <v>0.35655639995820793</v>
      </c>
      <c r="F14" s="72">
        <f>AVERAGE([8]!resultats_RT_sub_62LL[Bas 0,5])</f>
        <v>0.33233697004616225</v>
      </c>
      <c r="G14" s="72">
        <f>AVERAGE([8]!resultats_RT_sub_62LL[Bas 0,8])</f>
        <v>0.33935887003317444</v>
      </c>
      <c r="H14" s="72">
        <f>AVERAGE([8]!resultats_RT_sub_62LL[Gauche 0,2])</f>
        <v>0.36280287005938561</v>
      </c>
      <c r="I14" s="72">
        <f>AVERAGE([8]!resultats_RT_sub_62LL[Gauche 0,5])</f>
        <v>0.33786311992444051</v>
      </c>
      <c r="J14" s="72">
        <f>AVERAGE([8]!resultats_RT_sub_62LL[Gauche 0,8])</f>
        <v>0.30529991993680539</v>
      </c>
      <c r="K14" s="72">
        <f>AVERAGE([8]!resultats_RT_sub_62LL[Droite 0,2])</f>
        <v>0.37552518998272688</v>
      </c>
      <c r="L14" s="72">
        <f>AVERAGE([8]!resultats_RT_sub_62LL[Droite 0,5])</f>
        <v>0.40022237002849553</v>
      </c>
      <c r="M14" s="73">
        <f>AVERAGE([8]!resultats_RT_sub_62LL[Droite 0,8])</f>
        <v>0.35439070989377763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26CA-BD90-4000-A665-52705250DF44}">
  <dimension ref="A1:M13"/>
  <sheetViews>
    <sheetView workbookViewId="0">
      <selection activeCell="B13" sqref="B13:M13"/>
    </sheetView>
  </sheetViews>
  <sheetFormatPr baseColWidth="10" defaultRowHeight="14.5" x14ac:dyDescent="0.35"/>
  <sheetData>
    <row r="1" spans="1:13" x14ac:dyDescent="0.35">
      <c r="A1" t="s">
        <v>93</v>
      </c>
      <c r="B1" s="59" t="s">
        <v>106</v>
      </c>
      <c r="C1" s="59" t="s">
        <v>107</v>
      </c>
      <c r="D1" s="59" t="s">
        <v>108</v>
      </c>
      <c r="E1" s="59" t="s">
        <v>109</v>
      </c>
      <c r="F1" s="59" t="s">
        <v>110</v>
      </c>
      <c r="G1" s="59" t="s">
        <v>111</v>
      </c>
      <c r="H1" s="59" t="s">
        <v>112</v>
      </c>
      <c r="I1" s="59" t="s">
        <v>113</v>
      </c>
      <c r="J1" s="59" t="s">
        <v>114</v>
      </c>
      <c r="K1" s="59" t="s">
        <v>115</v>
      </c>
      <c r="L1" s="59" t="s">
        <v>116</v>
      </c>
      <c r="M1" s="59" t="s">
        <v>117</v>
      </c>
    </row>
    <row r="2" spans="1:13" x14ac:dyDescent="0.35">
      <c r="A2" s="69" t="s">
        <v>67</v>
      </c>
    </row>
    <row r="3" spans="1:13" x14ac:dyDescent="0.35">
      <c r="A3" s="67" t="s">
        <v>87</v>
      </c>
    </row>
    <row r="4" spans="1:13" x14ac:dyDescent="0.35">
      <c r="A4" s="66" t="s">
        <v>59</v>
      </c>
    </row>
    <row r="5" spans="1:13" x14ac:dyDescent="0.35">
      <c r="A5" s="63" t="s">
        <v>48</v>
      </c>
    </row>
    <row r="6" spans="1:13" x14ac:dyDescent="0.35">
      <c r="A6" s="68" t="s">
        <v>28</v>
      </c>
    </row>
    <row r="7" spans="1:13" x14ac:dyDescent="0.35">
      <c r="A7" s="64" t="s">
        <v>84</v>
      </c>
    </row>
    <row r="8" spans="1:13" x14ac:dyDescent="0.35">
      <c r="A8" s="65" t="s">
        <v>39</v>
      </c>
    </row>
    <row r="9" spans="1:13" x14ac:dyDescent="0.35">
      <c r="A9" s="65" t="s">
        <v>3</v>
      </c>
    </row>
    <row r="10" spans="1:13" x14ac:dyDescent="0.35">
      <c r="A10" s="66" t="s">
        <v>41</v>
      </c>
    </row>
    <row r="11" spans="1:13" ht="15" thickBot="1" x14ac:dyDescent="0.4">
      <c r="A11" s="65" t="s">
        <v>33</v>
      </c>
    </row>
    <row r="12" spans="1:13" ht="15.5" thickTop="1" thickBot="1" x14ac:dyDescent="0.4">
      <c r="A12" t="s">
        <v>91</v>
      </c>
      <c r="B12" s="72">
        <f>AVERAGE([9]!results_GNG_sub_59RM[GD2])</f>
        <v>0.65714285714285681</v>
      </c>
      <c r="C12" s="72">
        <f>AVERAGE([9]!results_GNG_sub_59RM[GD5])</f>
        <v>0.53809523809523796</v>
      </c>
      <c r="D12" s="72">
        <f>AVERAGE([9]!results_GNG_sub_59RM[GD8])</f>
        <v>0.63809523809523783</v>
      </c>
      <c r="E12" s="72">
        <f>AVERAGE([9]!results_GNG_sub_59RM[GG2])</f>
        <v>0.69722222222222197</v>
      </c>
      <c r="F12" s="72">
        <f>AVERAGE([9]!results_GNG_sub_59RM[GG5])</f>
        <v>0.59285714285714253</v>
      </c>
      <c r="G12" s="72">
        <f>AVERAGE([9]!results_GNG_sub_59RM[GG8])</f>
        <v>0.64761904761904709</v>
      </c>
      <c r="H12" s="72">
        <f>AVERAGE([9]!results_GNG_sub_59RM[GH2])</f>
        <v>0.67857142857142816</v>
      </c>
      <c r="I12" s="72">
        <f>AVERAGE([9]!results_GNG_sub_59RM[GH5])</f>
        <v>0.63809523809523783</v>
      </c>
      <c r="J12" s="72">
        <f>AVERAGE([9]!results_GNG_sub_59RM[GH8])</f>
        <v>0.6309523809523806</v>
      </c>
      <c r="K12" s="72">
        <f>AVERAGE([9]!results_GNG_sub_59RM[GB2])</f>
        <v>0.64761904761904721</v>
      </c>
      <c r="L12" s="72">
        <f>AVERAGE([9]!results_GNG_sub_59RM[GB5])</f>
        <v>0.63095238095238049</v>
      </c>
      <c r="M12" s="72">
        <f>AVERAGE([9]!results_GNG_sub_59RM[GB8])</f>
        <v>0.63571428571428534</v>
      </c>
    </row>
    <row r="13" spans="1:13" ht="15" thickTop="1" x14ac:dyDescent="0.35">
      <c r="A13" t="s">
        <v>90</v>
      </c>
      <c r="B13" s="72">
        <f>AVERAGE([10]!results_GNG_sub_61EV[GD2])</f>
        <v>0.60714285714285687</v>
      </c>
      <c r="C13" s="72">
        <f>AVERAGE([10]!results_GNG_sub_61EV[GD5])</f>
        <v>0.64523809523809483</v>
      </c>
      <c r="D13" s="72">
        <f>AVERAGE([10]!results_GNG_sub_61EV[GD8])</f>
        <v>0.71190476190476171</v>
      </c>
      <c r="E13" s="72">
        <f>AVERAGE([10]!results_GNG_sub_61EV[GG2])</f>
        <v>0.68095238095238053</v>
      </c>
      <c r="F13" s="72">
        <f>AVERAGE([10]!results_GNG_sub_61EV[GG5])</f>
        <v>0.63333333333333286</v>
      </c>
      <c r="G13" s="72">
        <f>AVERAGE([10]!results_GNG_sub_61EV[GG8])</f>
        <v>0.61904761904761874</v>
      </c>
      <c r="H13" s="72">
        <f>AVERAGE([10]!results_GNG_sub_61EV[GH2])</f>
        <v>0.67857142857142816</v>
      </c>
      <c r="I13" s="72">
        <f>AVERAGE([10]!results_GNG_sub_61EV[GH5])</f>
        <v>0.71111111111111069</v>
      </c>
      <c r="J13" s="72">
        <f>AVERAGE([10]!results_GNG_sub_61EV[GH8])</f>
        <v>0.6738095238095233</v>
      </c>
      <c r="K13" s="72">
        <f>AVERAGE([10]!results_GNG_sub_61EV[GB2])</f>
        <v>0.64523809523809483</v>
      </c>
      <c r="L13" s="72">
        <f>AVERAGE([10]!results_GNG_sub_61EV[GB5])</f>
        <v>0.65714285714285658</v>
      </c>
      <c r="M13" s="72">
        <f>AVERAGE([10]!results_GNG_sub_61EV[GB8])</f>
        <v>0.53571428571428548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BIS-10</vt:lpstr>
      <vt:lpstr>BPS</vt:lpstr>
      <vt:lpstr>Perso</vt:lpstr>
      <vt:lpstr>RT</vt:lpstr>
      <vt:lpstr>GNG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Mathilde Legrand</cp:lastModifiedBy>
  <dcterms:created xsi:type="dcterms:W3CDTF">2022-02-21T12:59:48Z</dcterms:created>
  <dcterms:modified xsi:type="dcterms:W3CDTF">2022-04-12T16:50:00Z</dcterms:modified>
</cp:coreProperties>
</file>