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unp\Downloads\my data project\"/>
    </mc:Choice>
  </mc:AlternateContent>
  <xr:revisionPtr revIDLastSave="0" documentId="13_ncr:2001_{D221F896-3E83-45E8-B644-6A9E04E5A6B8}" xr6:coauthVersionLast="47" xr6:coauthVersionMax="47" xr10:uidLastSave="{00000000-0000-0000-0000-000000000000}"/>
  <bookViews>
    <workbookView xWindow="-108" yWindow="-108" windowWidth="23256" windowHeight="12456" activeTab="2" xr2:uid="{1F25BD88-E919-4633-8F02-0E8E2E5A4A6C}"/>
  </bookViews>
  <sheets>
    <sheet name="best yoy return " sheetId="3" r:id="rId1"/>
    <sheet name="stock desboard" sheetId="4" r:id="rId2"/>
    <sheet name="stock live data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chart.v1.0" hidden="1">'best yoy return '!$E$104:$E$153</definedName>
    <definedName name="_xlchart.v1.1" hidden="1">'best yoy return '!$F$103</definedName>
    <definedName name="_xlchart.v1.10" hidden="1">'best yoy return '!$E$104:$E$153</definedName>
    <definedName name="_xlchart.v1.11" hidden="1">'best yoy return '!$F$103</definedName>
    <definedName name="_xlchart.v1.12" hidden="1">'best yoy return '!$F$104:$F$153</definedName>
    <definedName name="_xlchart.v1.13" hidden="1">'best yoy return '!$G$103</definedName>
    <definedName name="_xlchart.v1.14" hidden="1">'best yoy return '!$G$104:$G$153</definedName>
    <definedName name="_xlchart.v1.2" hidden="1">'best yoy return '!$F$104:$F$153</definedName>
    <definedName name="_xlchart.v1.3" hidden="1">'best yoy return '!$G$103</definedName>
    <definedName name="_xlchart.v1.4" hidden="1">'best yoy return '!$G$104:$G$153</definedName>
    <definedName name="_xlchart.v1.5" hidden="1">'best yoy return '!$E$104:$E$153</definedName>
    <definedName name="_xlchart.v1.6" hidden="1">'best yoy return '!$F$103</definedName>
    <definedName name="_xlchart.v1.7" hidden="1">'best yoy return '!$F$104:$F$153</definedName>
    <definedName name="_xlchart.v1.8" hidden="1">'best yoy return '!$G$103</definedName>
    <definedName name="_xlchart.v1.9" hidden="1">'best yoy return '!$G$104:$G$153</definedName>
  </definedNames>
  <calcPr calcId="191029"/>
  <pivotCaches>
    <pivotCache cacheId="58" r:id="rId13"/>
    <pivotCache cacheId="62" r:id="rId1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3" l="1" a="1"/>
  <c r="E103" i="3" s="1"/>
  <c r="O5" i="1" a="1"/>
  <c r="O5" i="1" s="1"/>
  <c r="P5" i="1" a="1"/>
  <c r="P5" i="1" s="1"/>
  <c r="Q5" i="1" a="1"/>
  <c r="Q5" i="1" s="1"/>
  <c r="O6" i="1" a="1"/>
  <c r="O6" i="1" s="1"/>
  <c r="P6" i="1" a="1"/>
  <c r="P6" i="1" s="1"/>
  <c r="Q6" i="1" a="1"/>
  <c r="Q6" i="1" s="1"/>
  <c r="O7" i="1" a="1"/>
  <c r="O7" i="1" s="1"/>
  <c r="P7" i="1" a="1"/>
  <c r="P7" i="1" s="1"/>
  <c r="Q7" i="1" a="1"/>
  <c r="Q7" i="1" s="1"/>
  <c r="O8" i="1" a="1"/>
  <c r="O8" i="1" s="1"/>
  <c r="P8" i="1" a="1"/>
  <c r="P8" i="1" s="1"/>
  <c r="Q8" i="1" a="1"/>
  <c r="Q8" i="1" s="1"/>
  <c r="O9" i="1" a="1"/>
  <c r="O9" i="1" s="1"/>
  <c r="P9" i="1" a="1"/>
  <c r="P9" i="1" s="1"/>
  <c r="Q9" i="1" a="1"/>
  <c r="Q9" i="1" s="1"/>
  <c r="O10" i="1" a="1"/>
  <c r="O10" i="1" s="1"/>
  <c r="P10" i="1" a="1"/>
  <c r="P10" i="1" s="1"/>
  <c r="Q10" i="1" a="1"/>
  <c r="Q10" i="1" s="1"/>
  <c r="O11" i="1" a="1"/>
  <c r="O11" i="1" s="1"/>
  <c r="P11" i="1" a="1"/>
  <c r="P11" i="1" s="1"/>
  <c r="Q11" i="1" a="1"/>
  <c r="Q11" i="1" s="1"/>
  <c r="O12" i="1" a="1"/>
  <c r="O12" i="1" s="1"/>
  <c r="P12" i="1" a="1"/>
  <c r="P12" i="1" s="1"/>
  <c r="Q12" i="1" a="1"/>
  <c r="Q12" i="1" s="1"/>
  <c r="O13" i="1" a="1"/>
  <c r="O13" i="1" s="1"/>
  <c r="P13" i="1" a="1"/>
  <c r="P13" i="1" s="1"/>
  <c r="Q13" i="1" a="1"/>
  <c r="Q13" i="1" s="1"/>
  <c r="O14" i="1" a="1"/>
  <c r="O14" i="1" s="1"/>
  <c r="P14" i="1" a="1"/>
  <c r="P14" i="1" s="1"/>
  <c r="Q14" i="1" a="1"/>
  <c r="Q14" i="1" s="1"/>
  <c r="O15" i="1" a="1"/>
  <c r="O15" i="1" s="1"/>
  <c r="P15" i="1" a="1"/>
  <c r="P15" i="1" s="1"/>
  <c r="Q15" i="1" a="1"/>
  <c r="Q15" i="1" s="1"/>
  <c r="O16" i="1" a="1"/>
  <c r="O16" i="1" s="1"/>
  <c r="P16" i="1" a="1"/>
  <c r="P16" i="1" s="1"/>
  <c r="Q16" i="1" a="1"/>
  <c r="Q16" i="1" s="1"/>
  <c r="O17" i="1" a="1"/>
  <c r="O17" i="1" s="1"/>
  <c r="P17" i="1" a="1"/>
  <c r="P17" i="1" s="1"/>
  <c r="Q17" i="1" a="1"/>
  <c r="Q17" i="1" s="1"/>
  <c r="O18" i="1" a="1"/>
  <c r="O18" i="1" s="1"/>
  <c r="P18" i="1" a="1"/>
  <c r="P18" i="1" s="1"/>
  <c r="Q18" i="1" a="1"/>
  <c r="Q18" i="1" s="1"/>
  <c r="O19" i="1" a="1"/>
  <c r="O19" i="1" s="1"/>
  <c r="P19" i="1" a="1"/>
  <c r="P19" i="1" s="1"/>
  <c r="Q19" i="1" a="1"/>
  <c r="Q19" i="1" s="1"/>
  <c r="O20" i="1" a="1"/>
  <c r="O20" i="1" s="1"/>
  <c r="P20" i="1" a="1"/>
  <c r="P20" i="1" s="1"/>
  <c r="Q20" i="1" a="1"/>
  <c r="Q20" i="1" s="1"/>
  <c r="O21" i="1" a="1"/>
  <c r="O21" i="1" s="1"/>
  <c r="P21" i="1" a="1"/>
  <c r="P21" i="1" s="1"/>
  <c r="Q21" i="1" a="1"/>
  <c r="Q21" i="1" s="1"/>
  <c r="O22" i="1" a="1"/>
  <c r="O22" i="1" s="1"/>
  <c r="P22" i="1" a="1"/>
  <c r="P22" i="1" s="1"/>
  <c r="Q22" i="1" a="1"/>
  <c r="Q22" i="1" s="1"/>
  <c r="O23" i="1" a="1"/>
  <c r="O23" i="1" s="1"/>
  <c r="P23" i="1" a="1"/>
  <c r="P23" i="1" s="1"/>
  <c r="Q23" i="1" a="1"/>
  <c r="Q23" i="1" s="1"/>
  <c r="O24" i="1" a="1"/>
  <c r="O24" i="1" s="1"/>
  <c r="P24" i="1" a="1"/>
  <c r="P24" i="1" s="1"/>
  <c r="Q24" i="1" a="1"/>
  <c r="Q24" i="1" s="1"/>
  <c r="O25" i="1" a="1"/>
  <c r="O25" i="1" s="1"/>
  <c r="P25" i="1" a="1"/>
  <c r="P25" i="1" s="1"/>
  <c r="Q25" i="1" a="1"/>
  <c r="Q25" i="1" s="1"/>
  <c r="O26" i="1" a="1"/>
  <c r="O26" i="1" s="1"/>
  <c r="P26" i="1" a="1"/>
  <c r="P26" i="1" s="1"/>
  <c r="Q26" i="1" a="1"/>
  <c r="Q26" i="1" s="1"/>
  <c r="O27" i="1" a="1"/>
  <c r="O27" i="1" s="1"/>
  <c r="P27" i="1" a="1"/>
  <c r="P27" i="1" s="1"/>
  <c r="Q27" i="1" a="1"/>
  <c r="Q27" i="1" s="1"/>
  <c r="O28" i="1" a="1"/>
  <c r="O28" i="1" s="1"/>
  <c r="P28" i="1" a="1"/>
  <c r="P28" i="1" s="1"/>
  <c r="Q28" i="1" a="1"/>
  <c r="Q28" i="1" s="1"/>
  <c r="O29" i="1" a="1"/>
  <c r="O29" i="1" s="1"/>
  <c r="P29" i="1" a="1"/>
  <c r="P29" i="1" s="1"/>
  <c r="Q29" i="1" a="1"/>
  <c r="Q29" i="1" s="1"/>
  <c r="O30" i="1" a="1"/>
  <c r="O30" i="1" s="1"/>
  <c r="P30" i="1" a="1"/>
  <c r="P30" i="1" s="1"/>
  <c r="Q30" i="1" a="1"/>
  <c r="Q30" i="1" s="1"/>
  <c r="O31" i="1" a="1"/>
  <c r="O31" i="1" s="1"/>
  <c r="P31" i="1" a="1"/>
  <c r="P31" i="1" s="1"/>
  <c r="Q31" i="1" a="1"/>
  <c r="Q31" i="1" s="1"/>
  <c r="O32" i="1" a="1"/>
  <c r="O32" i="1" s="1"/>
  <c r="P32" i="1" a="1"/>
  <c r="P32" i="1" s="1"/>
  <c r="Q32" i="1" a="1"/>
  <c r="Q32" i="1" s="1"/>
  <c r="O33" i="1" a="1"/>
  <c r="O33" i="1" s="1"/>
  <c r="P33" i="1" a="1"/>
  <c r="P33" i="1" s="1"/>
  <c r="Q33" i="1" a="1"/>
  <c r="Q33" i="1" s="1"/>
  <c r="O34" i="1" a="1"/>
  <c r="O34" i="1" s="1"/>
  <c r="P34" i="1" a="1"/>
  <c r="P34" i="1" s="1"/>
  <c r="Q34" i="1" a="1"/>
  <c r="Q34" i="1" s="1"/>
  <c r="O35" i="1" a="1"/>
  <c r="O35" i="1" s="1"/>
  <c r="P35" i="1" a="1"/>
  <c r="P35" i="1" s="1"/>
  <c r="Q35" i="1" a="1"/>
  <c r="Q35" i="1" s="1"/>
  <c r="O36" i="1" a="1"/>
  <c r="O36" i="1" s="1"/>
  <c r="P36" i="1" a="1"/>
  <c r="P36" i="1" s="1"/>
  <c r="Q36" i="1" a="1"/>
  <c r="Q36" i="1" s="1"/>
  <c r="O37" i="1" a="1"/>
  <c r="O37" i="1" s="1"/>
  <c r="P37" i="1" a="1"/>
  <c r="P37" i="1" s="1"/>
  <c r="Q37" i="1" a="1"/>
  <c r="Q37" i="1" s="1"/>
  <c r="O38" i="1" a="1"/>
  <c r="O38" i="1" s="1"/>
  <c r="P38" i="1" a="1"/>
  <c r="P38" i="1" s="1"/>
  <c r="Q38" i="1" a="1"/>
  <c r="Q38" i="1" s="1"/>
  <c r="O39" i="1" a="1"/>
  <c r="O39" i="1" s="1"/>
  <c r="P39" i="1" a="1"/>
  <c r="P39" i="1" s="1"/>
  <c r="Q39" i="1" a="1"/>
  <c r="Q39" i="1" s="1"/>
  <c r="O40" i="1" a="1"/>
  <c r="O40" i="1" s="1"/>
  <c r="P40" i="1" a="1"/>
  <c r="P40" i="1" s="1"/>
  <c r="Q40" i="1" a="1"/>
  <c r="Q40" i="1" s="1"/>
  <c r="O41" i="1" a="1"/>
  <c r="O41" i="1" s="1"/>
  <c r="P41" i="1" a="1"/>
  <c r="P41" i="1" s="1"/>
  <c r="Q41" i="1" a="1"/>
  <c r="Q41" i="1" s="1"/>
  <c r="O42" i="1" a="1"/>
  <c r="O42" i="1" s="1"/>
  <c r="P42" i="1" a="1"/>
  <c r="P42" i="1" s="1"/>
  <c r="Q42" i="1" a="1"/>
  <c r="Q42" i="1" s="1"/>
  <c r="O43" i="1" a="1"/>
  <c r="O43" i="1" s="1"/>
  <c r="P43" i="1" a="1"/>
  <c r="P43" i="1" s="1"/>
  <c r="Q43" i="1" a="1"/>
  <c r="Q43" i="1" s="1"/>
  <c r="O44" i="1" a="1"/>
  <c r="O44" i="1" s="1"/>
  <c r="P44" i="1" a="1"/>
  <c r="P44" i="1" s="1"/>
  <c r="Q44" i="1" a="1"/>
  <c r="Q44" i="1" s="1"/>
  <c r="O45" i="1" a="1"/>
  <c r="O45" i="1" s="1"/>
  <c r="P45" i="1" a="1"/>
  <c r="P45" i="1" s="1"/>
  <c r="Q45" i="1" a="1"/>
  <c r="Q45" i="1" s="1"/>
  <c r="O46" i="1" a="1"/>
  <c r="O46" i="1" s="1"/>
  <c r="P46" i="1" a="1"/>
  <c r="P46" i="1" s="1"/>
  <c r="Q46" i="1" a="1"/>
  <c r="Q46" i="1" s="1"/>
  <c r="O47" i="1" a="1"/>
  <c r="O47" i="1" s="1"/>
  <c r="P47" i="1" a="1"/>
  <c r="P47" i="1" s="1"/>
  <c r="Q47" i="1" a="1"/>
  <c r="Q47" i="1" s="1"/>
  <c r="O48" i="1" a="1"/>
  <c r="O48" i="1" s="1"/>
  <c r="P48" i="1" a="1"/>
  <c r="P48" i="1" s="1"/>
  <c r="Q48" i="1" a="1"/>
  <c r="Q48" i="1" s="1"/>
  <c r="O49" i="1" a="1"/>
  <c r="O49" i="1" s="1"/>
  <c r="P49" i="1" a="1"/>
  <c r="P49" i="1" s="1"/>
  <c r="Q49" i="1" a="1"/>
  <c r="Q49" i="1" s="1"/>
  <c r="O50" i="1" a="1"/>
  <c r="O50" i="1" s="1"/>
  <c r="P50" i="1" a="1"/>
  <c r="P50" i="1" s="1"/>
  <c r="Q50" i="1" a="1"/>
  <c r="Q50" i="1" s="1"/>
  <c r="O51" i="1" a="1"/>
  <c r="O51" i="1" s="1"/>
  <c r="P51" i="1" a="1"/>
  <c r="P51" i="1" s="1"/>
  <c r="Q51" i="1" a="1"/>
  <c r="Q51" i="1" s="1"/>
  <c r="O52" i="1" a="1"/>
  <c r="O52" i="1" s="1"/>
  <c r="P52" i="1" a="1"/>
  <c r="P52" i="1" s="1"/>
  <c r="Q52" i="1" a="1"/>
  <c r="Q52" i="1" s="1"/>
  <c r="O53" i="1" a="1"/>
  <c r="O53" i="1" s="1"/>
  <c r="P53" i="1" a="1"/>
  <c r="P53" i="1" s="1"/>
  <c r="Q53" i="1" a="1"/>
  <c r="Q53" i="1" s="1"/>
  <c r="O54" i="1" a="1"/>
  <c r="O54" i="1" s="1"/>
  <c r="P54" i="1" a="1"/>
  <c r="P54" i="1" s="1"/>
  <c r="Q54" i="1" a="1"/>
  <c r="Q54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<sst xmlns="http://schemas.openxmlformats.org/spreadsheetml/2006/main" count="209" uniqueCount="71">
  <si>
    <t>Symbol Name</t>
  </si>
  <si>
    <t>LTP</t>
  </si>
  <si>
    <t>Qty.</t>
  </si>
  <si>
    <t>Chg</t>
  </si>
  <si>
    <t>% Chg</t>
  </si>
  <si>
    <t>Total Bid</t>
  </si>
  <si>
    <t>T.Volume</t>
  </si>
  <si>
    <t>1Yr Return%</t>
  </si>
  <si>
    <t>1M Return%</t>
  </si>
  <si>
    <t>ADANI ENTERPRISES LIMITED</t>
  </si>
  <si>
    <t>ADANI PORT &amp; SEZ LTD</t>
  </si>
  <si>
    <t>APOLLO HOSPITALS ENTER. L</t>
  </si>
  <si>
    <t>ASIAN PAINTS LIMITED</t>
  </si>
  <si>
    <t>AXIS BANK LIMITED</t>
  </si>
  <si>
    <t>BAJAJ AUTO LIMITED</t>
  </si>
  <si>
    <t>BAJAJ FINSERV LTD.</t>
  </si>
  <si>
    <t>BAJAJ FINANCE LIMITED</t>
  </si>
  <si>
    <t>BHARAT ELECTRONICS LTD</t>
  </si>
  <si>
    <t>BHARTI AIRTEL LIMITED</t>
  </si>
  <si>
    <t>CIPLA LTD</t>
  </si>
  <si>
    <t>COAL INDIA LTD</t>
  </si>
  <si>
    <t>DR. REDDY S LABORATORIES</t>
  </si>
  <si>
    <t>EICHER MOTORS LTD</t>
  </si>
  <si>
    <t>ETERNAL LIMITED</t>
  </si>
  <si>
    <t>GRASIM INDUSTRIES LTD</t>
  </si>
  <si>
    <t>HCL TECHNOLOGIES LTD</t>
  </si>
  <si>
    <t>HDFC BANK LTD</t>
  </si>
  <si>
    <t>HDFC LIFE INS CO LTD</t>
  </si>
  <si>
    <t>HERO MOTOCORP LIMITED</t>
  </si>
  <si>
    <t>HINDALCO  INDUSTRIES  LTD</t>
  </si>
  <si>
    <t>HINDUSTAN UNILEVER LTD.</t>
  </si>
  <si>
    <t>ICICI BANK LTD.</t>
  </si>
  <si>
    <t>INDUSIND BANK LIMITED</t>
  </si>
  <si>
    <t>INFOSYS LIMITED</t>
  </si>
  <si>
    <t>ITC LTD</t>
  </si>
  <si>
    <t>JIO FIN SERVICES LTD</t>
  </si>
  <si>
    <t>JSW STEEL LIMITED</t>
  </si>
  <si>
    <t>KOTAK MAHINDRA BANK LTD</t>
  </si>
  <si>
    <t>LARSEN &amp; TOUBRO LTD.</t>
  </si>
  <si>
    <t>MAHINDRA &amp; MAHINDRA LTD</t>
  </si>
  <si>
    <t>MARUTI SUZUKI INDIA LTD.</t>
  </si>
  <si>
    <t>NESTLE INDIA LIMITED</t>
  </si>
  <si>
    <t>NTPC LTD</t>
  </si>
  <si>
    <t>OIL AND NATURAL GAS CORP.</t>
  </si>
  <si>
    <t>POWER GRID CORP. LTD.</t>
  </si>
  <si>
    <t>RELIANCE INDUSTRIES LTD</t>
  </si>
  <si>
    <t>SBI LIFE INSURANCE CO LTD</t>
  </si>
  <si>
    <t>STATE BANK OF INDIA</t>
  </si>
  <si>
    <t>SHRIRAM FINANCE LIMITED</t>
  </si>
  <si>
    <t>SUN PHARMACEUTICAL IND L</t>
  </si>
  <si>
    <t>TATA CONSUMER PRODUCT LTD</t>
  </si>
  <si>
    <t>TATA MOTORS LIMITED</t>
  </si>
  <si>
    <t>TATA STEEL LIMITED</t>
  </si>
  <si>
    <t>TATA CONSULTANCY SERV LT</t>
  </si>
  <si>
    <t>TECH MAHINDRA LIMITED</t>
  </si>
  <si>
    <t>TITAN COMPANY LIMITED</t>
  </si>
  <si>
    <t>TRENT LTD</t>
  </si>
  <si>
    <t>ULTRATECH CEMENT LIMITED</t>
  </si>
  <si>
    <t>WIPRO LTD</t>
  </si>
  <si>
    <t>Sum of 1Yr Return%</t>
  </si>
  <si>
    <t>Row Labels</t>
  </si>
  <si>
    <t>Grand Total</t>
  </si>
  <si>
    <t>Sum of T.Volume</t>
  </si>
  <si>
    <t>Sum of LTP</t>
  </si>
  <si>
    <t>Sum of % Chg</t>
  </si>
  <si>
    <t>Bid Qty</t>
  </si>
  <si>
    <t>Ask Qty</t>
  </si>
  <si>
    <t>IV</t>
  </si>
  <si>
    <t>Sum of Bid Qty</t>
  </si>
  <si>
    <t>Sum of Ask Qty</t>
  </si>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</sst>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!top 5 stock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  <a:r>
              <a:rPr lang="en-US" baseline="0"/>
              <a:t> best yoy return</a:t>
            </a:r>
          </a:p>
        </c:rich>
      </c:tx>
      <c:layout>
        <c:manualLayout>
          <c:xMode val="edge"/>
          <c:yMode val="edge"/>
          <c:x val="0.34375638792814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yoy return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'best yoy return '!$A$4:$A$8</c:f>
              <c:strCache>
                <c:ptCount val="5"/>
                <c:pt idx="0">
                  <c:v>SHRIRAM FINANCE LIMITED</c:v>
                </c:pt>
                <c:pt idx="1">
                  <c:v>HDFC LIFE INS CO LTD</c:v>
                </c:pt>
                <c:pt idx="2">
                  <c:v>ETERNAL LIMITED</c:v>
                </c:pt>
                <c:pt idx="3">
                  <c:v>BHARAT ELECTRONICS LTD</c:v>
                </c:pt>
                <c:pt idx="4">
                  <c:v>BAJAJ FINANCE LIMITED</c:v>
                </c:pt>
              </c:strCache>
            </c:strRef>
          </c:cat>
          <c:val>
            <c:numRef>
              <c:f>'best yoy return '!$B$4:$B$8</c:f>
              <c:numCache>
                <c:formatCode>General</c:formatCode>
                <c:ptCount val="5"/>
                <c:pt idx="0">
                  <c:v>39.71</c:v>
                </c:pt>
                <c:pt idx="1">
                  <c:v>35.07</c:v>
                </c:pt>
                <c:pt idx="2">
                  <c:v>39.590000000000003</c:v>
                </c:pt>
                <c:pt idx="3">
                  <c:v>38.58</c:v>
                </c:pt>
                <c:pt idx="4">
                  <c:v>33.6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7-4247-91A8-1A8AB121C2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238591"/>
        <c:axId val="142232831"/>
      </c:barChart>
      <c:catAx>
        <c:axId val="14223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2831"/>
        <c:crosses val="autoZero"/>
        <c:auto val="1"/>
        <c:lblAlgn val="ctr"/>
        <c:lblOffset val="100"/>
        <c:noMultiLvlLbl val="0"/>
      </c:catAx>
      <c:valAx>
        <c:axId val="14223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!best volume in the stock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best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7222222222222221E-2"/>
              <c:y val="-2.777777777777780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61111111111111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5000000000000025E-2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3.240740740740738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7222222222222235E-2"/>
              <c:y val="-4.629629629629714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'best yoy return '!$B$15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908-4D83-AAD7-46115FD95D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08-4D83-AAD7-46115FD95D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908-4D83-AAD7-46115FD95D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908-4D83-AAD7-46115FD95D8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08-4D83-AAD7-46115FD95D82}"/>
              </c:ext>
            </c:extLst>
          </c:dPt>
          <c:dLbls>
            <c:dLbl>
              <c:idx val="0"/>
              <c:layout>
                <c:manualLayout>
                  <c:x val="4.7222222222222221E-2"/>
                  <c:y val="-2.777777777777780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908-4D83-AAD7-46115FD95D82}"/>
                </c:ext>
              </c:extLst>
            </c:dLbl>
            <c:dLbl>
              <c:idx val="1"/>
              <c:layout>
                <c:manualLayout>
                  <c:x val="0.1361111111111111"/>
                  <c:y val="-4.6296296296296294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908-4D83-AAD7-46115FD95D82}"/>
                </c:ext>
              </c:extLst>
            </c:dLbl>
            <c:dLbl>
              <c:idx val="2"/>
              <c:layout>
                <c:manualLayout>
                  <c:x val="-7.5000000000000025E-2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E908-4D83-AAD7-46115FD95D82}"/>
                </c:ext>
              </c:extLst>
            </c:dLbl>
            <c:dLbl>
              <c:idx val="3"/>
              <c:layout>
                <c:manualLayout>
                  <c:x val="-4.7222222222222235E-2"/>
                  <c:y val="-4.6296296296297144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E908-4D83-AAD7-46115FD95D82}"/>
                </c:ext>
              </c:extLst>
            </c:dLbl>
            <c:dLbl>
              <c:idx val="4"/>
              <c:layout>
                <c:manualLayout>
                  <c:x val="-8.3333333333333329E-2"/>
                  <c:y val="3.240740740740738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E908-4D83-AAD7-46115FD95D8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'best yoy return '!$A$16:$A$20</c:f>
              <c:strCache>
                <c:ptCount val="5"/>
                <c:pt idx="0">
                  <c:v>BHARAT ELECTRONICS LTD</c:v>
                </c:pt>
                <c:pt idx="1">
                  <c:v>ETERNAL LIMITED</c:v>
                </c:pt>
                <c:pt idx="2">
                  <c:v>JIO FIN SERVICES LTD</c:v>
                </c:pt>
                <c:pt idx="3">
                  <c:v>TATA MOTORS LIMITED</c:v>
                </c:pt>
                <c:pt idx="4">
                  <c:v>TATA STEEL LIMITED</c:v>
                </c:pt>
              </c:strCache>
            </c:strRef>
          </c:cat>
          <c:val>
            <c:numRef>
              <c:f>'best yoy return '!$B$16:$B$20</c:f>
              <c:numCache>
                <c:formatCode>General</c:formatCode>
                <c:ptCount val="5"/>
                <c:pt idx="0">
                  <c:v>21694292</c:v>
                </c:pt>
                <c:pt idx="1">
                  <c:v>18129613</c:v>
                </c:pt>
                <c:pt idx="2">
                  <c:v>11311956</c:v>
                </c:pt>
                <c:pt idx="3">
                  <c:v>14432955</c:v>
                </c:pt>
                <c:pt idx="4">
                  <c:v>14956905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8-4D83-AAD7-46115FD95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!total change in 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sum of %chg = top 5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yoy return 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'best yoy return '!$A$33:$A$38</c:f>
              <c:strCache>
                <c:ptCount val="5"/>
                <c:pt idx="0">
                  <c:v>ADANI ENTERPRISES LIMITED</c:v>
                </c:pt>
                <c:pt idx="1">
                  <c:v>DR. REDDY S LABORATORIES</c:v>
                </c:pt>
                <c:pt idx="2">
                  <c:v>GRASIM INDUSTRIES LTD</c:v>
                </c:pt>
                <c:pt idx="3">
                  <c:v>TATA MOTORS LIMITED</c:v>
                </c:pt>
                <c:pt idx="4">
                  <c:v>TECH MAHINDRA LIMITED</c:v>
                </c:pt>
              </c:strCache>
            </c:strRef>
          </c:cat>
          <c:val>
            <c:numRef>
              <c:f>'best yoy return '!$B$33:$B$38</c:f>
              <c:numCache>
                <c:formatCode>General</c:formatCode>
                <c:ptCount val="5"/>
                <c:pt idx="0">
                  <c:v>1.83</c:v>
                </c:pt>
                <c:pt idx="1">
                  <c:v>3.13</c:v>
                </c:pt>
                <c:pt idx="2">
                  <c:v>4.01</c:v>
                </c:pt>
                <c:pt idx="3">
                  <c:v>2.16</c:v>
                </c:pt>
                <c:pt idx="4">
                  <c:v>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B-4833-9B4C-88DD51D387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1625663"/>
        <c:axId val="651626143"/>
      </c:barChart>
      <c:catAx>
        <c:axId val="6516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26143"/>
        <c:crosses val="autoZero"/>
        <c:auto val="1"/>
        <c:lblAlgn val="ctr"/>
        <c:lblOffset val="100"/>
        <c:noMultiLvlLbl val="0"/>
      </c:catAx>
      <c:valAx>
        <c:axId val="65162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!top 5 stock people is buying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stock = That people is buying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yoy return '!$B$64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yoy return '!$A$65:$A$69</c:f>
              <c:strCache>
                <c:ptCount val="5"/>
                <c:pt idx="0">
                  <c:v>BHARAT ELECTRONICS LTD</c:v>
                </c:pt>
                <c:pt idx="1">
                  <c:v>HINDALCO  INDUSTRIES  LTD</c:v>
                </c:pt>
                <c:pt idx="2">
                  <c:v>JIO FIN SERVICES LTD</c:v>
                </c:pt>
                <c:pt idx="3">
                  <c:v>NTPC LTD</c:v>
                </c:pt>
                <c:pt idx="4">
                  <c:v>SHRIRAM FINANCE LIMITED</c:v>
                </c:pt>
              </c:strCache>
            </c:strRef>
          </c:cat>
          <c:val>
            <c:numRef>
              <c:f>'best yoy return '!$B$65:$B$69</c:f>
              <c:numCache>
                <c:formatCode>General</c:formatCode>
                <c:ptCount val="5"/>
                <c:pt idx="0">
                  <c:v>1377</c:v>
                </c:pt>
                <c:pt idx="1">
                  <c:v>1630</c:v>
                </c:pt>
                <c:pt idx="2">
                  <c:v>2083</c:v>
                </c:pt>
                <c:pt idx="3">
                  <c:v>1873</c:v>
                </c:pt>
                <c:pt idx="4">
                  <c:v>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0-4F9B-8AB0-58CA3C03F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639583"/>
        <c:axId val="651640063"/>
      </c:barChart>
      <c:catAx>
        <c:axId val="65163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40063"/>
        <c:crosses val="autoZero"/>
        <c:auto val="1"/>
        <c:lblAlgn val="ctr"/>
        <c:lblOffset val="100"/>
        <c:noMultiLvlLbl val="0"/>
      </c:catAx>
      <c:valAx>
        <c:axId val="65164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3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stock = that peopl is selling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gradFill>
              <a:gsLst>
                <a:gs pos="0">
                  <a:schemeClr val="accent3">
                    <a:lumMod val="50000"/>
                  </a:schemeClr>
                </a:gs>
                <a:gs pos="100000">
                  <a:schemeClr val="accent5">
                    <a:lumMod val="75000"/>
                  </a:schemeClr>
                </a:gs>
              </a:gsLst>
              <a:lin ang="5400000" scaled="1"/>
            </a:gradFill>
            <a:round/>
          </a:ln>
          <a:effectLst>
            <a:outerShdw blurRad="88900" dist="127000" dir="7200000" sx="103000" sy="103000" algn="ctr" rotWithShape="0">
              <a:srgbClr val="000000">
                <a:alpha val="43137"/>
              </a:srgbClr>
            </a:outerShdw>
          </a:effectLst>
        </c:spPr>
        <c:marker>
          <c:symbol val="diamond"/>
          <c:size val="7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>
              <a:outerShdw blurRad="88900" dist="127000" dir="7200000" sx="103000" sy="103000" algn="ctr" rotWithShape="0">
                <a:srgbClr val="000000">
                  <a:alpha val="43137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'best yoy return '!$B$83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gradFill>
                <a:gsLst>
                  <a:gs pos="0">
                    <a:schemeClr val="accent3">
                      <a:lumMod val="50000"/>
                    </a:schemeClr>
                  </a:gs>
                  <a:gs pos="100000">
                    <a:schemeClr val="accent5">
                      <a:lumMod val="75000"/>
                    </a:schemeClr>
                  </a:gs>
                </a:gsLst>
                <a:lin ang="5400000" scaled="1"/>
              </a:gradFill>
              <a:round/>
            </a:ln>
            <a:effectLst>
              <a:outerShdw blurRad="88900" dist="127000" dir="7200000" sx="103000" sy="103000" algn="ctr" rotWithShape="0">
                <a:srgbClr val="000000">
                  <a:alpha val="43137"/>
                </a:srgbClr>
              </a:outerShdw>
            </a:effectLst>
          </c:spPr>
          <c:marker>
            <c:symbol val="diamond"/>
            <c:size val="7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>
                <a:outerShdw blurRad="88900" dist="127000" dir="7200000" sx="103000" sy="103000" algn="ctr" rotWithShape="0">
                  <a:srgbClr val="000000">
                    <a:alpha val="43137"/>
                  </a:srgbClr>
                </a:outerShdw>
              </a:effectLst>
            </c:spPr>
          </c:marker>
          <c:cat>
            <c:strRef>
              <c:f>'best yoy return '!$A$84:$A$88</c:f>
              <c:strCache>
                <c:ptCount val="5"/>
                <c:pt idx="0">
                  <c:v>BHARAT ELECTRONICS LTD</c:v>
                </c:pt>
                <c:pt idx="1">
                  <c:v>JIO FIN SERVICES LTD</c:v>
                </c:pt>
                <c:pt idx="2">
                  <c:v>NTPC LTD</c:v>
                </c:pt>
                <c:pt idx="3">
                  <c:v>POWER GRID CORP. LTD.</c:v>
                </c:pt>
                <c:pt idx="4">
                  <c:v>RELIANCE INDUSTRIES LTD</c:v>
                </c:pt>
              </c:strCache>
            </c:strRef>
          </c:cat>
          <c:val>
            <c:numRef>
              <c:f>'best yoy return '!$B$84:$B$88</c:f>
              <c:numCache>
                <c:formatCode>General</c:formatCode>
                <c:ptCount val="5"/>
                <c:pt idx="0">
                  <c:v>3155</c:v>
                </c:pt>
                <c:pt idx="1">
                  <c:v>2407</c:v>
                </c:pt>
                <c:pt idx="2">
                  <c:v>6734</c:v>
                </c:pt>
                <c:pt idx="3">
                  <c:v>3251</c:v>
                </c:pt>
                <c:pt idx="4">
                  <c:v>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2-451B-9277-A170F246A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618943"/>
        <c:axId val="651607903"/>
      </c:lineChart>
      <c:catAx>
        <c:axId val="65161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07903"/>
        <c:crosses val="autoZero"/>
        <c:auto val="1"/>
        <c:lblAlgn val="ctr"/>
        <c:lblOffset val="100"/>
        <c:noMultiLvlLbl val="0"/>
      </c:catAx>
      <c:valAx>
        <c:axId val="65160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1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!top 5 stock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0" i="0" u="none" strike="noStrike" baseline="0" dirty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1Yr Return% = top 5 stock</a:t>
            </a:r>
          </a:p>
        </c:rich>
      </c:tx>
      <c:layout>
        <c:manualLayout>
          <c:xMode val="edge"/>
          <c:yMode val="edge"/>
          <c:x val="0.25945035080731638"/>
          <c:y val="1.6666666666666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bg1"/>
              </a:solidFill>
              <a:latin typeface="Aptos ExtraBold" panose="020B00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FF0000"/>
              </a:gs>
              <a:gs pos="59000">
                <a:srgbClr val="5576A0"/>
              </a:gs>
              <a:gs pos="43000">
                <a:srgbClr val="875371"/>
              </a:gs>
              <a:gs pos="100000">
                <a:srgbClr val="00B0F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#,###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yoy return 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F0000"/>
                </a:gs>
                <a:gs pos="59000">
                  <a:srgbClr val="5576A0"/>
                </a:gs>
                <a:gs pos="43000">
                  <a:srgbClr val="875371"/>
                </a:gs>
                <a:gs pos="100000">
                  <a:srgbClr val="00B0F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numFmt formatCode="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'best yoy return '!$A$4:$A$8</c:f>
              <c:strCache>
                <c:ptCount val="5"/>
                <c:pt idx="0">
                  <c:v>SHRIRAM FINANCE LIMITED</c:v>
                </c:pt>
                <c:pt idx="1">
                  <c:v>HDFC LIFE INS CO LTD</c:v>
                </c:pt>
                <c:pt idx="2">
                  <c:v>ETERNAL LIMITED</c:v>
                </c:pt>
                <c:pt idx="3">
                  <c:v>BHARAT ELECTRONICS LTD</c:v>
                </c:pt>
                <c:pt idx="4">
                  <c:v>BAJAJ FINANCE LIMITED</c:v>
                </c:pt>
              </c:strCache>
            </c:strRef>
          </c:cat>
          <c:val>
            <c:numRef>
              <c:f>'best yoy return '!$B$4:$B$8</c:f>
              <c:numCache>
                <c:formatCode>General</c:formatCode>
                <c:ptCount val="5"/>
                <c:pt idx="0">
                  <c:v>39.71</c:v>
                </c:pt>
                <c:pt idx="1">
                  <c:v>35.07</c:v>
                </c:pt>
                <c:pt idx="2">
                  <c:v>39.590000000000003</c:v>
                </c:pt>
                <c:pt idx="3">
                  <c:v>38.58</c:v>
                </c:pt>
                <c:pt idx="4">
                  <c:v>33.6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0-4920-94E3-2800C48CDF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238591"/>
        <c:axId val="142232831"/>
      </c:barChart>
      <c:catAx>
        <c:axId val="14223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2831"/>
        <c:crosses val="autoZero"/>
        <c:auto val="1"/>
        <c:lblAlgn val="ctr"/>
        <c:lblOffset val="100"/>
        <c:noMultiLvlLbl val="0"/>
      </c:catAx>
      <c:valAx>
        <c:axId val="142232831"/>
        <c:scaling>
          <c:orientation val="minMax"/>
          <c:min val="0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gradFill>
        <a:gsLst>
          <a:gs pos="0">
            <a:schemeClr val="accent1">
              <a:lumMod val="45000"/>
              <a:lumOff val="55000"/>
            </a:schemeClr>
          </a:gs>
          <a:gs pos="100000">
            <a:schemeClr val="accent2">
              <a:lumMod val="60000"/>
              <a:lumOff val="4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!best volume in the stock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normalizeH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0" i="0" u="none" strike="noStrike" kern="1200" spc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volume = Top 5 best </a:t>
            </a:r>
          </a:p>
        </c:rich>
      </c:tx>
      <c:layout>
        <c:manualLayout>
          <c:xMode val="edge"/>
          <c:yMode val="edge"/>
          <c:x val="0.3040318154147081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normalizeH="0" baseline="0">
              <a:solidFill>
                <a:schemeClr val="bg1"/>
              </a:solidFill>
              <a:latin typeface="Aptos ExtraBold" panose="020B00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4.7222222222222221E-2"/>
              <c:y val="-2.7777777777777801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0.1361111111111111"/>
              <c:y val="-4.6296296296296294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7.5000000000000025E-2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8.3333333333333329E-2"/>
              <c:y val="3.2407407407407385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4.7222222222222235E-2"/>
              <c:y val="-4.6296296296297144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4.7222222222222221E-2"/>
              <c:y val="-2.7777777777777801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1361111111111111"/>
              <c:y val="-4.6296296296296294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5000000000000025E-2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4.7222222222222235E-2"/>
              <c:y val="-4.6296296296297144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8.3333333333333329E-2"/>
              <c:y val="3.2407407407407385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5739249323872535E-2"/>
              <c:y val="3.3130161055449463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61111111111111"/>
              <c:y val="-4.6296296296296294E-3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569708491761725"/>
              <c:y val="-8.3056478405315617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0390706865063938E-2"/>
              <c:y val="-0.1209088689495209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333333333333329E-2"/>
              <c:y val="3.2407407407407385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'best yoy return '!$B$15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0C-4E26-A5BE-8FA219AF6AF0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0C-4E26-A5BE-8FA219AF6AF0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0C-4E26-A5BE-8FA219AF6AF0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0C-4E26-A5BE-8FA219AF6AF0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0C-4E26-A5BE-8FA219AF6AF0}"/>
              </c:ext>
            </c:extLst>
          </c:dPt>
          <c:dLbls>
            <c:dLbl>
              <c:idx val="0"/>
              <c:layout>
                <c:manualLayout>
                  <c:x val="7.5739249323872535E-2"/>
                  <c:y val="3.3130161055449463E-2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A90C-4E26-A5BE-8FA219AF6AF0}"/>
                </c:ext>
              </c:extLst>
            </c:dLbl>
            <c:dLbl>
              <c:idx val="1"/>
              <c:layout>
                <c:manualLayout>
                  <c:x val="0.1361111111111111"/>
                  <c:y val="-4.6296296296296294E-3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A90C-4E26-A5BE-8FA219AF6AF0}"/>
                </c:ext>
              </c:extLst>
            </c:dLbl>
            <c:dLbl>
              <c:idx val="2"/>
              <c:layout>
                <c:manualLayout>
                  <c:x val="-0.12569708491761725"/>
                  <c:y val="-8.3056478405315617E-2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A90C-4E26-A5BE-8FA219AF6AF0}"/>
                </c:ext>
              </c:extLst>
            </c:dLbl>
            <c:dLbl>
              <c:idx val="3"/>
              <c:layout>
                <c:manualLayout>
                  <c:x val="-5.0390706865063938E-2"/>
                  <c:y val="-0.1209088689495209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A90C-4E26-A5BE-8FA219AF6AF0}"/>
                </c:ext>
              </c:extLst>
            </c:dLbl>
            <c:dLbl>
              <c:idx val="4"/>
              <c:layout>
                <c:manualLayout>
                  <c:x val="-8.3333333333333329E-2"/>
                  <c:y val="3.2407407407407385E-2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A90C-4E26-A5BE-8FA219AF6AF0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'best yoy return '!$A$16:$A$20</c:f>
              <c:strCache>
                <c:ptCount val="5"/>
                <c:pt idx="0">
                  <c:v>BHARAT ELECTRONICS LTD</c:v>
                </c:pt>
                <c:pt idx="1">
                  <c:v>ETERNAL LIMITED</c:v>
                </c:pt>
                <c:pt idx="2">
                  <c:v>JIO FIN SERVICES LTD</c:v>
                </c:pt>
                <c:pt idx="3">
                  <c:v>TATA MOTORS LIMITED</c:v>
                </c:pt>
                <c:pt idx="4">
                  <c:v>TATA STEEL LIMITED</c:v>
                </c:pt>
              </c:strCache>
            </c:strRef>
          </c:cat>
          <c:val>
            <c:numRef>
              <c:f>'best yoy return '!$B$16:$B$20</c:f>
              <c:numCache>
                <c:formatCode>General</c:formatCode>
                <c:ptCount val="5"/>
                <c:pt idx="0">
                  <c:v>21694292</c:v>
                </c:pt>
                <c:pt idx="1">
                  <c:v>18129613</c:v>
                </c:pt>
                <c:pt idx="2">
                  <c:v>11311956</c:v>
                </c:pt>
                <c:pt idx="3">
                  <c:v>14432955</c:v>
                </c:pt>
                <c:pt idx="4">
                  <c:v>14956905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0C-4E26-A5BE-8FA219AF6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!total change in 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0" i="0" u="none" strike="noStrike" kern="1200" spc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sum of %chg = top 5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chemeClr val="bg1"/>
              </a:solidFill>
              <a:latin typeface="Aptos ExtraBold" panose="020B00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FFFF00"/>
              </a:gs>
              <a:gs pos="64350">
                <a:srgbClr val="92617A"/>
              </a:gs>
              <a:gs pos="38000">
                <a:srgbClr val="AB855E"/>
              </a:gs>
              <a:gs pos="100000">
                <a:srgbClr val="7030A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#,##0.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yoy return '!$B$32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FFF00"/>
                </a:gs>
                <a:gs pos="64350">
                  <a:srgbClr val="92617A"/>
                </a:gs>
                <a:gs pos="38000">
                  <a:srgbClr val="AB855E"/>
                </a:gs>
                <a:gs pos="100000">
                  <a:srgbClr val="7030A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'best yoy return '!$A$33:$A$38</c:f>
              <c:strCache>
                <c:ptCount val="5"/>
                <c:pt idx="0">
                  <c:v>ADANI ENTERPRISES LIMITED</c:v>
                </c:pt>
                <c:pt idx="1">
                  <c:v>DR. REDDY S LABORATORIES</c:v>
                </c:pt>
                <c:pt idx="2">
                  <c:v>GRASIM INDUSTRIES LTD</c:v>
                </c:pt>
                <c:pt idx="3">
                  <c:v>TATA MOTORS LIMITED</c:v>
                </c:pt>
                <c:pt idx="4">
                  <c:v>TECH MAHINDRA LIMITED</c:v>
                </c:pt>
              </c:strCache>
            </c:strRef>
          </c:cat>
          <c:val>
            <c:numRef>
              <c:f>'best yoy return '!$B$33:$B$38</c:f>
              <c:numCache>
                <c:formatCode>General</c:formatCode>
                <c:ptCount val="5"/>
                <c:pt idx="0">
                  <c:v>1.83</c:v>
                </c:pt>
                <c:pt idx="1">
                  <c:v>3.13</c:v>
                </c:pt>
                <c:pt idx="2">
                  <c:v>4.01</c:v>
                </c:pt>
                <c:pt idx="3">
                  <c:v>2.16</c:v>
                </c:pt>
                <c:pt idx="4">
                  <c:v>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1-44D0-915D-498AC47740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1625663"/>
        <c:axId val="651626143"/>
      </c:barChart>
      <c:catAx>
        <c:axId val="6516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26143"/>
        <c:crosses val="autoZero"/>
        <c:auto val="1"/>
        <c:lblAlgn val="ctr"/>
        <c:lblOffset val="100"/>
        <c:noMultiLvlLbl val="0"/>
      </c:catAx>
      <c:valAx>
        <c:axId val="65162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gradFill>
        <a:gsLst>
          <a:gs pos="0">
            <a:schemeClr val="accent1">
              <a:lumMod val="45000"/>
              <a:lumOff val="55000"/>
            </a:schemeClr>
          </a:gs>
          <a:gs pos="100000">
            <a:schemeClr val="accent2">
              <a:lumMod val="60000"/>
              <a:lumOff val="4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!top 5 stock people is buying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0" i="0" u="none" strike="noStrike" baseline="0">
                <a:solidFill>
                  <a:schemeClr val="bg1"/>
                </a:solidFill>
              </a:rPr>
              <a:t>Top 5 stocks that people are buying.</a:t>
            </a:r>
            <a:endParaRPr lang="en-US" sz="1400" b="0" i="0" u="none" strike="noStrike" kern="1200" spc="0" baseline="0">
              <a:solidFill>
                <a:schemeClr val="bg1"/>
              </a:solidFill>
              <a:latin typeface="Aptos ExtraBold" panose="020B000402020202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0.1778370967247771"/>
          <c:y val="3.484320557491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chemeClr val="bg1"/>
              </a:solidFill>
              <a:latin typeface="Aptos ExtraBold" panose="020B00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7030A0"/>
              </a:gs>
              <a:gs pos="70000">
                <a:srgbClr val="D10F33"/>
              </a:gs>
              <a:gs pos="26000">
                <a:srgbClr val="9C216F"/>
              </a:gs>
              <a:gs pos="100000">
                <a:srgbClr val="FF000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yoy return '!$B$64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7030A0"/>
                </a:gs>
                <a:gs pos="70000">
                  <a:srgbClr val="D10F33"/>
                </a:gs>
                <a:gs pos="26000">
                  <a:srgbClr val="9C216F"/>
                </a:gs>
                <a:gs pos="100000">
                  <a:srgbClr val="FF00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'best yoy return '!$A$65:$A$69</c:f>
              <c:strCache>
                <c:ptCount val="5"/>
                <c:pt idx="0">
                  <c:v>BHARAT ELECTRONICS LTD</c:v>
                </c:pt>
                <c:pt idx="1">
                  <c:v>HINDALCO  INDUSTRIES  LTD</c:v>
                </c:pt>
                <c:pt idx="2">
                  <c:v>JIO FIN SERVICES LTD</c:v>
                </c:pt>
                <c:pt idx="3">
                  <c:v>NTPC LTD</c:v>
                </c:pt>
                <c:pt idx="4">
                  <c:v>SHRIRAM FINANCE LIMITED</c:v>
                </c:pt>
              </c:strCache>
            </c:strRef>
          </c:cat>
          <c:val>
            <c:numRef>
              <c:f>'best yoy return '!$B$65:$B$69</c:f>
              <c:numCache>
                <c:formatCode>General</c:formatCode>
                <c:ptCount val="5"/>
                <c:pt idx="0">
                  <c:v>1377</c:v>
                </c:pt>
                <c:pt idx="1">
                  <c:v>1630</c:v>
                </c:pt>
                <c:pt idx="2">
                  <c:v>2083</c:v>
                </c:pt>
                <c:pt idx="3">
                  <c:v>1873</c:v>
                </c:pt>
                <c:pt idx="4">
                  <c:v>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9-49A0-A065-EC5B2553FE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1639583"/>
        <c:axId val="651640063"/>
      </c:barChart>
      <c:catAx>
        <c:axId val="65163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40063"/>
        <c:crosses val="autoZero"/>
        <c:auto val="1"/>
        <c:lblAlgn val="ctr"/>
        <c:lblOffset val="100"/>
        <c:noMultiLvlLbl val="0"/>
      </c:catAx>
      <c:valAx>
        <c:axId val="651640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3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 LIVE DATA.xlsx]best yoy return 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0" i="0" u="none" strike="noStrike" kern="1200" spc="0" baseline="0">
                <a:solidFill>
                  <a:schemeClr val="bg1"/>
                </a:solidFill>
                <a:latin typeface="Aptos ExtraBold" panose="020B000402020202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Top 5 stock = that peopl is selling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chemeClr val="bg1"/>
              </a:solidFill>
              <a:latin typeface="Aptos ExtraBold" panose="020B000402020202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2225" cap="rnd">
            <a:gradFill>
              <a:gsLst>
                <a:gs pos="0">
                  <a:schemeClr val="accent3">
                    <a:lumMod val="50000"/>
                  </a:schemeClr>
                </a:gs>
                <a:gs pos="100000">
                  <a:schemeClr val="accent5">
                    <a:lumMod val="75000"/>
                  </a:schemeClr>
                </a:gs>
              </a:gsLst>
              <a:lin ang="5400000" scaled="1"/>
            </a:gradFill>
            <a:round/>
          </a:ln>
          <a:effectLst>
            <a:outerShdw blurRad="88900" dist="127000" dir="7200000" sx="103000" sy="103000" algn="ctr" rotWithShape="0">
              <a:srgbClr val="000000">
                <a:alpha val="43137"/>
              </a:srgbClr>
            </a:outerShdw>
          </a:effectLst>
        </c:spPr>
        <c:marker>
          <c:symbol val="diamond"/>
          <c:size val="7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>
              <a:outerShdw blurRad="88900" dist="127000" dir="7200000" sx="103000" sy="103000" algn="ctr" rotWithShape="0">
                <a:srgbClr val="000000">
                  <a:alpha val="43137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2225" cap="rnd">
            <a:gradFill>
              <a:gsLst>
                <a:gs pos="0">
                  <a:schemeClr val="accent3">
                    <a:lumMod val="50000"/>
                  </a:schemeClr>
                </a:gs>
                <a:gs pos="100000">
                  <a:schemeClr val="accent5">
                    <a:lumMod val="75000"/>
                  </a:schemeClr>
                </a:gs>
              </a:gsLst>
              <a:lin ang="5400000" scaled="1"/>
            </a:gradFill>
            <a:round/>
          </a:ln>
          <a:effectLst>
            <a:outerShdw blurRad="88900" dist="127000" dir="7200000" sx="103000" sy="103000" algn="ctr" rotWithShape="0">
              <a:srgbClr val="000000">
                <a:alpha val="43137"/>
              </a:srgbClr>
            </a:outerShdw>
          </a:effectLst>
        </c:spPr>
        <c:marker>
          <c:symbol val="diamond"/>
          <c:size val="7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>
              <a:outerShdw blurRad="88900" dist="127000" dir="7200000" sx="103000" sy="103000" algn="ctr" rotWithShape="0">
                <a:srgbClr val="000000">
                  <a:alpha val="43137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bg1"/>
            </a:solidFill>
            <a:round/>
          </a:ln>
          <a:effectLst>
            <a:outerShdw blurRad="88900" dist="127000" dir="7200000" sx="103000" sy="103000" algn="ctr" rotWithShape="0">
              <a:srgbClr val="000000">
                <a:alpha val="43137"/>
              </a:srgbClr>
            </a:outerShdw>
          </a:effectLst>
        </c:spPr>
        <c:marker>
          <c:symbol val="diamond"/>
          <c:size val="7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>
              <a:outerShdw blurRad="88900" dist="127000" dir="7200000" sx="103000" sy="103000" algn="ctr" rotWithShape="0">
                <a:srgbClr val="000000">
                  <a:alpha val="43137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'best yoy return '!$B$83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bg1"/>
              </a:solidFill>
              <a:round/>
            </a:ln>
            <a:effectLst>
              <a:outerShdw blurRad="88900" dist="127000" dir="7200000" sx="103000" sy="103000" algn="ctr" rotWithShape="0">
                <a:srgbClr val="000000">
                  <a:alpha val="43137"/>
                </a:srgbClr>
              </a:outerShdw>
            </a:effectLst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>
                <a:outerShdw blurRad="88900" dist="127000" dir="7200000" sx="103000" sy="103000" algn="ctr" rotWithShape="0">
                  <a:srgbClr val="000000">
                    <a:alpha val="43137"/>
                  </a:srgbClr>
                </a:outerShdw>
              </a:effectLst>
            </c:spPr>
          </c:marker>
          <c:cat>
            <c:strRef>
              <c:f>'best yoy return '!$A$84:$A$88</c:f>
              <c:strCache>
                <c:ptCount val="5"/>
                <c:pt idx="0">
                  <c:v>BHARAT ELECTRONICS LTD</c:v>
                </c:pt>
                <c:pt idx="1">
                  <c:v>JIO FIN SERVICES LTD</c:v>
                </c:pt>
                <c:pt idx="2">
                  <c:v>NTPC LTD</c:v>
                </c:pt>
                <c:pt idx="3">
                  <c:v>POWER GRID CORP. LTD.</c:v>
                </c:pt>
                <c:pt idx="4">
                  <c:v>RELIANCE INDUSTRIES LTD</c:v>
                </c:pt>
              </c:strCache>
            </c:strRef>
          </c:cat>
          <c:val>
            <c:numRef>
              <c:f>'best yoy return '!$B$84:$B$88</c:f>
              <c:numCache>
                <c:formatCode>General</c:formatCode>
                <c:ptCount val="5"/>
                <c:pt idx="0">
                  <c:v>3155</c:v>
                </c:pt>
                <c:pt idx="1">
                  <c:v>2407</c:v>
                </c:pt>
                <c:pt idx="2">
                  <c:v>6734</c:v>
                </c:pt>
                <c:pt idx="3">
                  <c:v>3251</c:v>
                </c:pt>
                <c:pt idx="4">
                  <c:v>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D-431B-B03F-AA46CE50F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618943"/>
        <c:axId val="651607903"/>
      </c:lineChart>
      <c:catAx>
        <c:axId val="65161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07903"/>
        <c:crosses val="autoZero"/>
        <c:auto val="1"/>
        <c:lblAlgn val="ctr"/>
        <c:lblOffset val="100"/>
        <c:noMultiLvlLbl val="0"/>
      </c:catAx>
      <c:valAx>
        <c:axId val="65160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1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</cx:chartData>
  <cx:chart>
    <cx:plotArea>
      <cx:plotAreaRegion>
        <cx:series layoutId="treemap" uniqueId="{19840F4C-C6AC-4640-9713-0F1C90EE85FA}" formatIdx="0">
          <cx:tx>
            <cx:txData>
              <cx:f>_xlchart.v1.1</cx:f>
              <cx:v>Sum of LTP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3D31F83-C077-435C-8798-EF8500DAC79B}" formatIdx="1">
          <cx:tx>
            <cx:txData>
              <cx:f>_xlchart.v1.3</cx:f>
              <cx:v>Sum of % Chg</cx:v>
            </cx:txData>
          </cx:tx>
          <cx:dataLabels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_xlchart.v1.12</cx:f>
      </cx:numDim>
    </cx:data>
    <cx:data id="1">
      <cx:strDim type="cat">
        <cx:f>_xlchart.v1.10</cx:f>
      </cx:strDim>
      <cx:numDim type="size">
        <cx:f>_xlchart.v1.14</cx:f>
      </cx:numDim>
    </cx:data>
  </cx:chartData>
  <cx:chart>
    <cx:plotArea>
      <cx:plotAreaRegion>
        <cx:series layoutId="treemap" uniqueId="{19840F4C-C6AC-4640-9713-0F1C90EE85FA}" formatIdx="0">
          <cx:tx>
            <cx:txData>
              <cx:f>_xlchart.v1.11</cx:f>
              <cx:v>Sum of LTP</cx:v>
            </cx:txData>
          </cx:tx>
          <cx:spPr>
            <a:solidFill>
              <a:srgbClr val="FF0000"/>
            </a:solidFill>
          </cx:spPr>
          <cx:dataPt idx="2">
            <cx:spPr>
              <a:solidFill>
                <a:srgbClr val="92D050"/>
              </a:solidFill>
            </cx:spPr>
          </cx:dataPt>
          <cx:dataPt idx="5">
            <cx:spPr>
              <a:solidFill>
                <a:srgbClr val="92D050"/>
              </a:solidFill>
            </cx:spPr>
          </cx:dataPt>
          <cx:dataPt idx="6">
            <cx:spPr>
              <a:solidFill>
                <a:srgbClr val="92D050"/>
              </a:solidFill>
            </cx:spPr>
          </cx:dataPt>
          <cx:dataPt idx="31">
            <cx:spPr>
              <a:solidFill>
                <a:srgbClr val="92D050"/>
              </a:solidFill>
            </cx:spPr>
          </cx:dataPt>
          <cx:dataPt idx="41">
            <cx:spPr>
              <a:solidFill>
                <a:srgbClr val="00B050"/>
              </a:solidFill>
            </cx:spPr>
          </cx:dataPt>
          <cx:dataPt idx="47">
            <cx:spPr>
              <a:solidFill>
                <a:srgbClr val="00B050"/>
              </a:solidFill>
            </cx:spPr>
          </cx:dataPt>
          <cx:dataPt idx="48">
            <cx:spPr>
              <a:solidFill>
                <a:srgbClr val="92D050"/>
              </a:solidFill>
            </cx:spPr>
          </cx:dataPt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3D31F83-C077-435C-8798-EF8500DAC79B}" formatIdx="1">
          <cx:tx>
            <cx:txData>
              <cx:f>_xlchart.v1.13</cx:f>
              <cx:v>Sum of % Chg</cx:v>
            </cx:txData>
          </cx:tx>
          <cx:dataLabels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microsoft.com/office/2014/relationships/chartEx" Target="../charts/chartEx2.xml"/><Relationship Id="rId2" Type="http://schemas.openxmlformats.org/officeDocument/2006/relationships/chart" Target="../charts/chart6.xml"/><Relationship Id="rId1" Type="http://schemas.openxmlformats.org/officeDocument/2006/relationships/image" Target="../media/image1.jp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1</xdr:row>
      <xdr:rowOff>156210</xdr:rowOff>
    </xdr:from>
    <xdr:to>
      <xdr:col>8</xdr:col>
      <xdr:colOff>541020</xdr:colOff>
      <xdr:row>11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9829A-EF78-CF6D-A2A0-EEAB55B19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320040</xdr:colOff>
      <xdr:row>12</xdr:row>
      <xdr:rowOff>133350</xdr:rowOff>
    </xdr:from>
    <xdr:to>
      <xdr:col>6</xdr:col>
      <xdr:colOff>7620</xdr:colOff>
      <xdr:row>25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DBFCF7-0932-FE6C-6230-78977D25A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449580</xdr:colOff>
      <xdr:row>27</xdr:row>
      <xdr:rowOff>19050</xdr:rowOff>
    </xdr:from>
    <xdr:to>
      <xdr:col>8</xdr:col>
      <xdr:colOff>68580</xdr:colOff>
      <xdr:row>42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9DFFE1-3EDA-F00C-BAFD-1479098DF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22860</xdr:colOff>
      <xdr:row>62</xdr:row>
      <xdr:rowOff>19050</xdr:rowOff>
    </xdr:from>
    <xdr:to>
      <xdr:col>8</xdr:col>
      <xdr:colOff>190500</xdr:colOff>
      <xdr:row>77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0CDA80-E552-AE69-B904-116A82022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708660</xdr:colOff>
      <xdr:row>78</xdr:row>
      <xdr:rowOff>148590</xdr:rowOff>
    </xdr:from>
    <xdr:to>
      <xdr:col>7</xdr:col>
      <xdr:colOff>571500</xdr:colOff>
      <xdr:row>93</xdr:row>
      <xdr:rowOff>148590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D241C7-B365-8606-338C-A08D60AD1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419100</xdr:colOff>
      <xdr:row>130</xdr:row>
      <xdr:rowOff>34290</xdr:rowOff>
    </xdr:from>
    <xdr:to>
      <xdr:col>15</xdr:col>
      <xdr:colOff>114300</xdr:colOff>
      <xdr:row>145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6241D7-1262-F86D-EC0C-0E6502E238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9660" y="23808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25</xdr:col>
      <xdr:colOff>457200</xdr:colOff>
      <xdr:row>30</xdr:row>
      <xdr:rowOff>32862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2D8850-0530-7B67-66A6-46EB62705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0"/>
          <a:ext cx="16855440" cy="5519262"/>
        </a:xfrm>
        <a:prstGeom prst="rect">
          <a:avLst/>
        </a:prstGeom>
      </xdr:spPr>
    </xdr:pic>
    <xdr:clientData/>
  </xdr:twoCellAnchor>
  <xdr:twoCellAnchor>
    <xdr:from>
      <xdr:col>0</xdr:col>
      <xdr:colOff>83820</xdr:colOff>
      <xdr:row>0</xdr:row>
      <xdr:rowOff>60960</xdr:rowOff>
    </xdr:from>
    <xdr:to>
      <xdr:col>23</xdr:col>
      <xdr:colOff>335280</xdr:colOff>
      <xdr:row>3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BE745D-2F05-5641-58AA-9ED9A6D194A9}"/>
            </a:ext>
          </a:extLst>
        </xdr:cNvPr>
        <xdr:cNvSpPr/>
      </xdr:nvSpPr>
      <xdr:spPr>
        <a:xfrm>
          <a:off x="83820" y="60960"/>
          <a:ext cx="14272260" cy="62484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144780</xdr:colOff>
      <xdr:row>0</xdr:row>
      <xdr:rowOff>99060</xdr:rowOff>
    </xdr:from>
    <xdr:to>
      <xdr:col>23</xdr:col>
      <xdr:colOff>198120</xdr:colOff>
      <xdr:row>3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4386DA-0096-639D-7F91-297C01625FC9}"/>
            </a:ext>
          </a:extLst>
        </xdr:cNvPr>
        <xdr:cNvSpPr txBox="1"/>
      </xdr:nvSpPr>
      <xdr:spPr>
        <a:xfrm>
          <a:off x="144780" y="99060"/>
          <a:ext cx="14074140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latin typeface="Aptos ExtraBold" panose="020B0004020202020204" pitchFamily="34" charset="0"/>
            </a:rPr>
            <a:t>Top</a:t>
          </a:r>
          <a:r>
            <a:rPr lang="en-US" sz="2400" baseline="0">
              <a:latin typeface="Aptos ExtraBold" panose="020B0004020202020204" pitchFamily="34" charset="0"/>
            </a:rPr>
            <a:t> 5 Best Performing stock of Nifty 50</a:t>
          </a:r>
          <a:endParaRPr lang="en-US" sz="2400">
            <a:latin typeface="Aptos ExtraBold" panose="020B0004020202020204" pitchFamily="34" charset="0"/>
          </a:endParaRPr>
        </a:p>
      </xdr:txBody>
    </xdr:sp>
    <xdr:clientData/>
  </xdr:twoCellAnchor>
  <xdr:twoCellAnchor>
    <xdr:from>
      <xdr:col>0</xdr:col>
      <xdr:colOff>160020</xdr:colOff>
      <xdr:row>4</xdr:row>
      <xdr:rowOff>53340</xdr:rowOff>
    </xdr:from>
    <xdr:to>
      <xdr:col>6</xdr:col>
      <xdr:colOff>419100</xdr:colOff>
      <xdr:row>16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027A94-87DF-4AA7-9513-342144695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</xdr:colOff>
      <xdr:row>4</xdr:row>
      <xdr:rowOff>76200</xdr:rowOff>
    </xdr:from>
    <xdr:to>
      <xdr:col>13</xdr:col>
      <xdr:colOff>381000</xdr:colOff>
      <xdr:row>16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F1921A-A2B4-4C63-A750-26B580081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556260</xdr:colOff>
      <xdr:row>4</xdr:row>
      <xdr:rowOff>83820</xdr:rowOff>
    </xdr:from>
    <xdr:to>
      <xdr:col>21</xdr:col>
      <xdr:colOff>281940</xdr:colOff>
      <xdr:row>17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7D79C0-31FF-4842-A29C-2ED14D9F2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236220</xdr:colOff>
      <xdr:row>17</xdr:row>
      <xdr:rowOff>99060</xdr:rowOff>
    </xdr:from>
    <xdr:to>
      <xdr:col>5</xdr:col>
      <xdr:colOff>548640</xdr:colOff>
      <xdr:row>29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04B8BF3-A4E6-4726-B4CF-CBB7BA903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480060</xdr:colOff>
      <xdr:row>17</xdr:row>
      <xdr:rowOff>121920</xdr:rowOff>
    </xdr:from>
    <xdr:to>
      <xdr:col>13</xdr:col>
      <xdr:colOff>274320</xdr:colOff>
      <xdr:row>29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5BC737-C228-4AC8-84C8-D58D8E498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441960</xdr:colOff>
      <xdr:row>17</xdr:row>
      <xdr:rowOff>121920</xdr:rowOff>
    </xdr:from>
    <xdr:to>
      <xdr:col>21</xdr:col>
      <xdr:colOff>251460</xdr:colOff>
      <xdr:row>29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73664B2-65E6-4386-8922-87F06CC621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2620" y="3230880"/>
              <a:ext cx="4686300" cy="2164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TPRICE">
    <ddeItems>
      <ddeItem name="1000025_0" advise="1">
        <values>
          <value>
            <val>2629.3</val>
          </value>
        </values>
      </ddeItem>
      <ddeItem name="1000157_0" advise="1">
        <values>
          <value>
            <val>6925</val>
          </value>
        </values>
      </ddeItem>
      <ddeItem name="1000236_0" advise="1">
        <values>
          <value>
            <val>2223.1999999999998</val>
          </value>
        </values>
      </ddeItem>
      <ddeItem name="1000317_0" advise="1">
        <values>
          <value>
            <val>9506</val>
          </value>
        </values>
      </ddeItem>
      <ddeItem name="1000383_0" advise="1">
        <values>
          <value>
            <val>397</val>
          </value>
        </values>
      </ddeItem>
      <ddeItem name="1000467_0" advise="1">
        <values>
          <value>
            <val>759.4</val>
          </value>
        </values>
      </ddeItem>
      <ddeItem name="1000694_0" advise="1">
        <values>
          <value>
            <val>1510.4</val>
          </value>
        </values>
      </ddeItem>
      <ddeItem name="1000881_0" advise="1">
        <values>
          <value>
            <val>1360.4</val>
          </value>
        </values>
      </ddeItem>
      <ddeItem name="1000910_0" advise="1">
        <values>
          <value>
            <val>5393.5</val>
          </value>
        </values>
      </ddeItem>
      <ddeItem name="1001232_0" advise="1">
        <values>
          <value>
            <val>2713</val>
          </value>
        </values>
      </ddeItem>
      <ddeItem name="1001333_0" advise="1">
        <values>
          <value>
            <val>1964.6</val>
          </value>
        </values>
      </ddeItem>
      <ddeItem name="1001348_0" advise="1">
        <values>
          <value>
            <val>4384</val>
          </value>
        </values>
      </ddeItem>
      <ddeItem name="1001363_0" advise="1">
        <values>
          <value>
            <val>659.6</val>
          </value>
        </values>
      </ddeItem>
      <ddeItem name="1001394_0" advise="1">
        <values>
          <value>
            <val>2394.6999999999998</val>
          </value>
        </values>
      </ddeItem>
      <ddeItem name="1001594_0" advise="1">
        <values>
          <value>
            <val>1595.9</val>
          </value>
        </values>
      </ddeItem>
      <ddeItem name="1001660_0" advise="1">
        <values>
          <value>
            <val>428.05</val>
          </value>
        </values>
      </ddeItem>
      <ddeItem name="1001922_0" advise="1">
        <values>
          <value>
            <val>2156.8000000000002</val>
          </value>
        </values>
      </ddeItem>
      <ddeItem name="1001964_0" advise="1">
        <values>
          <value>
            <val>5841</val>
          </value>
        </values>
      </ddeItem>
      <ddeItem name="1002031_0" advise="1">
        <values>
          <value>
            <val>3084</val>
          </value>
        </values>
      </ddeItem>
      <ddeItem name="1002475_0" advise="1">
        <values>
          <value>
            <val>243.5</val>
          </value>
        </values>
      </ddeItem>
      <ddeItem name="1002885_0" advise="1">
        <values>
          <value>
            <val>1440.7</val>
          </value>
        </values>
      </ddeItem>
      <ddeItem name="1003045_0" advise="1">
        <values>
          <value>
            <val>817.3</val>
          </value>
        </values>
      </ddeItem>
      <ddeItem name="1003351_0" advise="1">
        <values>
          <value>
            <val>1690.2</val>
          </value>
        </values>
      </ddeItem>
      <ddeItem name="1003432_0" advise="1">
        <values>
          <value>
            <val>1121.0999999999999</val>
          </value>
        </values>
      </ddeItem>
      <ddeItem name="1003456_0" advise="1">
        <values>
          <value>
            <val>733.3</val>
          </value>
        </values>
      </ddeItem>
      <ddeItem name="1003499_0" advise="1">
        <values>
          <value>
            <val>156.25</val>
          </value>
        </values>
      </ddeItem>
      <ddeItem name="1003506_0" advise="1">
        <values>
          <value>
            <val>3521.2</val>
          </value>
        </values>
      </ddeItem>
      <ddeItem name="1003787_0" advise="1">
        <values>
          <value>
            <val>254.73</val>
          </value>
        </values>
      </ddeItem>
      <ddeItem name="1004306_0" advise="1">
        <values>
          <value>
            <val>696.55</val>
          </value>
        </values>
      </ddeItem>
      <ddeItem name="1004963_0" advise="1">
        <values>
          <value>
            <val>1423.8</val>
          </value>
        </values>
      </ddeItem>
      <ddeItem name="1005097_0" advise="1">
        <values>
          <value>
            <val>254.48</val>
          </value>
        </values>
      </ddeItem>
      <ddeItem name="1005258_0" advise="1">
        <values>
          <value>
            <val>845.55</val>
          </value>
        </values>
      </ddeItem>
      <ddeItem name="1005900_0" advise="1">
        <values>
          <value>
            <val>1228.8</val>
          </value>
        </values>
      </ddeItem>
      <ddeItem name="1007229_0" advise="1">
        <values>
          <value>
            <val>1668.6</val>
          </value>
        </values>
      </ddeItem>
      <ddeItem name="1010604_0" advise="1">
        <values>
          <value>
            <val>1859.2</val>
          </value>
        </values>
      </ddeItem>
      <ddeItem name="1010999_0" advise="1">
        <values>
          <value>
            <val>12618</val>
          </value>
        </values>
      </ddeItem>
      <ddeItem name="1011483_0" advise="1">
        <values>
          <value>
            <val>3676.7</val>
          </value>
        </values>
      </ddeItem>
      <ddeItem name="1011532_0" advise="1">
        <values>
          <value>
            <val>11420</val>
          </value>
        </values>
      </ddeItem>
      <ddeItem name="1011536_0" advise="1">
        <values>
          <value>
            <val>3462.9</val>
          </value>
        </values>
      </ddeItem>
      <ddeItem name="1011630_0" advise="1">
        <values>
          <value>
            <val>339.7</val>
          </value>
        </values>
      </ddeItem>
      <ddeItem name="1011723_0" advise="1">
        <values>
          <value>
            <val>1005.65</val>
          </value>
        </values>
      </ddeItem>
      <ddeItem name="1013538_0" advise="1">
        <values>
          <value>
            <val>1614</val>
          </value>
        </values>
      </ddeItem>
      <ddeItem name="1014977_0" advise="1">
        <values>
          <value>
            <val>300.8</val>
          </value>
        </values>
      </ddeItem>
      <ddeItem name="1015083_0" advise="1">
        <values>
          <value>
            <val>1477.7</val>
          </value>
        </values>
      </ddeItem>
      <ddeItem name="1016669_0" advise="1">
        <values>
          <value>
            <val>8640.5</val>
          </value>
        </values>
      </ddeItem>
      <ddeItem name="1016675_0" advise="1">
        <values>
          <value>
            <val>2004.2</val>
          </value>
        </values>
      </ddeItem>
      <ddeItem name="1017963_0" advise="1">
        <values>
          <value>
            <val>2434</val>
          </value>
        </values>
      </ddeItem>
      <ddeItem name="1018143_0" advise="1">
        <values>
          <value>
            <val>303.64999999999998</val>
          </value>
        </values>
      </ddeItem>
      <ddeItem name="1020374_0" advise="1">
        <values>
          <value>
            <val>400.8</val>
          </value>
        </values>
      </ddeItem>
      <ddeItem name="1021808_0" advise="1">
        <values>
          <value>
            <val>1780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VOLUME">
    <ddeItems>
      <ddeItem name="1000025_0" advise="1">
        <values>
          <value>
            <val>1</val>
          </value>
        </values>
      </ddeItem>
      <ddeItem name="1000157_0" advise="1">
        <values>
          <value>
            <val>4</val>
          </value>
        </values>
      </ddeItem>
      <ddeItem name="1000236_0" advise="1">
        <values>
          <value>
            <val>44</val>
          </value>
        </values>
      </ddeItem>
      <ddeItem name="1000317_0" advise="1">
        <values>
          <value>
            <val>3</val>
          </value>
        </values>
      </ddeItem>
      <ddeItem name="1000383_0" advise="1">
        <values>
          <value>
            <val>323</val>
          </value>
        </values>
      </ddeItem>
      <ddeItem name="1000467_0" advise="1">
        <values>
          <value>
            <val>83</val>
          </value>
        </values>
      </ddeItem>
      <ddeItem name="1000694_0" advise="1">
        <values>
          <value>
            <val>77</val>
          </value>
        </values>
      </ddeItem>
      <ddeItem name="1000881_0" advise="1">
        <values>
          <value>
            <val>2</val>
          </value>
        </values>
      </ddeItem>
      <ddeItem name="1000910_0" advise="1">
        <values>
          <value>
            <val>1</val>
          </value>
        </values>
      </ddeItem>
      <ddeItem name="1001232_0" advise="1">
        <values>
          <value>
            <val>72</val>
          </value>
        </values>
      </ddeItem>
      <ddeItem name="1001333_0" advise="1">
        <values>
          <value>
            <val>441</val>
          </value>
        </values>
      </ddeItem>
      <ddeItem name="1001348_0" advise="1">
        <values>
          <value>
            <val>18</val>
          </value>
        </values>
      </ddeItem>
      <ddeItem name="1001363_0" advise="1">
        <values>
          <value>
            <val>1898</val>
          </value>
        </values>
      </ddeItem>
      <ddeItem name="1001394_0" advise="1">
        <values>
          <value>
            <val>44</val>
          </value>
        </values>
      </ddeItem>
      <ddeItem name="1001594_0" advise="1">
        <values>
          <value>
            <val>16</val>
          </value>
        </values>
      </ddeItem>
      <ddeItem name="1001660_0" advise="1">
        <values>
          <value>
            <val>2364</val>
          </value>
        </values>
      </ddeItem>
      <ddeItem name="1001922_0" advise="1">
        <values>
          <value>
            <val>31</val>
          </value>
        </values>
      </ddeItem>
      <ddeItem name="1001964_0" advise="1">
        <values>
          <value>
            <val>51</val>
          </value>
        </values>
      </ddeItem>
      <ddeItem name="1002031_0" advise="1">
        <values>
          <value>
            <val>3</val>
          </value>
        </values>
      </ddeItem>
      <ddeItem name="1002475_0" advise="1">
        <values>
          <value>
            <val>5</val>
          </value>
        </values>
      </ddeItem>
      <ddeItem name="1002885_0" advise="1">
        <values>
          <value>
            <val>2820</val>
          </value>
        </values>
      </ddeItem>
      <ddeItem name="1003045_0" advise="1">
        <values>
          <value>
            <val>2</val>
          </value>
        </values>
      </ddeItem>
      <ddeItem name="1003351_0" advise="1">
        <values>
          <value>
            <val>26</val>
          </value>
        </values>
      </ddeItem>
      <ddeItem name="1003432_0" advise="1">
        <values>
          <value>
            <val>11</val>
          </value>
        </values>
      </ddeItem>
      <ddeItem name="1003456_0" advise="1">
        <values>
          <value>
            <val>18</val>
          </value>
        </values>
      </ddeItem>
      <ddeItem name="1003499_0" advise="1">
        <values>
          <value>
            <val>473</val>
          </value>
        </values>
      </ddeItem>
      <ddeItem name="1003506_0" advise="1">
        <values>
          <value>
            <val>30</val>
          </value>
        </values>
      </ddeItem>
      <ddeItem name="1003787_0" advise="1">
        <values>
          <value>
            <val>11</val>
          </value>
        </values>
      </ddeItem>
      <ddeItem name="1004306_0" advise="1">
        <values>
          <value>
            <val>1057</val>
          </value>
        </values>
      </ddeItem>
      <ddeItem name="1004963_0" advise="1">
        <values>
          <value>
            <val>96</val>
          </value>
        </values>
      </ddeItem>
      <ddeItem name="1005097_0" advise="1">
        <values>
          <value>
            <val>2658</val>
          </value>
        </values>
      </ddeItem>
      <ddeItem name="1005258_0" advise="1">
        <values>
          <value>
            <val>189</val>
          </value>
        </values>
      </ddeItem>
      <ddeItem name="1005900_0" advise="1">
        <values>
          <value>
            <val>211</val>
          </value>
        </values>
      </ddeItem>
      <ddeItem name="1007229_0" advise="1">
        <values>
          <value>
            <val>14</val>
          </value>
        </values>
      </ddeItem>
      <ddeItem name="1010604_0" advise="1">
        <values>
          <value>
            <val>14</val>
          </value>
        </values>
      </ddeItem>
      <ddeItem name="1010999_0" advise="1">
        <values>
          <value>
            <val>17</val>
          </value>
        </values>
      </ddeItem>
      <ddeItem name="1011483_0" advise="1">
        <values>
          <value>
            <val>1</val>
          </value>
        </values>
      </ddeItem>
      <ddeItem name="1011532_0" advise="1">
        <values>
          <value>
            <val>2</val>
          </value>
        </values>
      </ddeItem>
      <ddeItem name="1011536_0" advise="1">
        <values>
          <value>
            <val>1</val>
          </value>
        </values>
      </ddeItem>
      <ddeItem name="1011630_0" advise="1">
        <values>
          <value>
            <val>992</val>
          </value>
        </values>
      </ddeItem>
      <ddeItem name="1011723_0" advise="1">
        <values>
          <value>
            <val>2</val>
          </value>
        </values>
      </ddeItem>
      <ddeItem name="1013538_0" advise="1">
        <values>
          <value>
            <val>79</val>
          </value>
        </values>
      </ddeItem>
      <ddeItem name="1014977_0" advise="1">
        <values>
          <value>
            <val>1123</val>
          </value>
        </values>
      </ddeItem>
      <ddeItem name="1015083_0" advise="1">
        <values>
          <value>
            <val>343</val>
          </value>
        </values>
      </ddeItem>
      <ddeItem name="1016669_0" advise="1">
        <values>
          <value>
            <val>10</val>
          </value>
        </values>
      </ddeItem>
      <ddeItem name="1016675_0" advise="1">
        <values>
          <value>
            <val>1971</val>
          </value>
        </values>
      </ddeItem>
      <ddeItem name="1017963_0" advise="1">
        <values>
          <value>
            <val>21</val>
          </value>
        </values>
      </ddeItem>
      <ddeItem name="1018143_0" advise="1">
        <values>
          <value>
            <val>106</val>
          </value>
        </values>
      </ddeItem>
      <ddeItem name="1020374_0" advise="1">
        <values>
          <value>
            <val>927</val>
          </value>
        </values>
      </ddeItem>
      <ddeItem name="1021808_0" advise="1">
        <values>
          <value>
            <val>249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CHANGE">
    <ddeItems>
      <ddeItem name="1000025_0" advise="1">
        <values>
          <value>
            <val>47.2</val>
          </value>
        </values>
      </ddeItem>
      <ddeItem name="1000157_0" advise="1">
        <values>
          <value>
            <val>-7</val>
          </value>
        </values>
      </ddeItem>
      <ddeItem name="1000236_0" advise="1">
        <values>
          <value>
            <val>-24.7</val>
          </value>
        </values>
      </ddeItem>
      <ddeItem name="1000317_0" advise="1">
        <values>
          <value>
            <val>-101.5</val>
          </value>
        </values>
      </ddeItem>
      <ddeItem name="1000383_0" advise="1">
        <values>
          <value>
            <val>4.55</val>
          </value>
        </values>
      </ddeItem>
      <ddeItem name="1000467_0" advise="1">
        <values>
          <value>
            <val>-1</val>
          </value>
        </values>
      </ddeItem>
      <ddeItem name="1000694_0" advise="1">
        <values>
          <value>
            <val>3.8</val>
          </value>
        </values>
      </ddeItem>
      <ddeItem name="1000881_0" advise="1">
        <values>
          <value>
            <val>41.3</val>
          </value>
        </values>
      </ddeItem>
      <ddeItem name="1000910_0" advise="1">
        <values>
          <value>
            <val>2.5</val>
          </value>
        </values>
      </ddeItem>
      <ddeItem name="1001232_0" advise="1">
        <values>
          <value>
            <val>104.5</val>
          </value>
        </values>
      </ddeItem>
      <ddeItem name="1001333_0" advise="1">
        <values>
          <value>
            <val>-14.3</val>
          </value>
        </values>
      </ddeItem>
      <ddeItem name="1001348_0" advise="1">
        <values>
          <value>
            <val>34.6</val>
          </value>
        </values>
      </ddeItem>
      <ddeItem name="1001363_0" advise="1">
        <values>
          <value>
            <val>8.8000000000000007</val>
          </value>
        </values>
      </ddeItem>
      <ddeItem name="1001394_0" advise="1">
        <values>
          <value>
            <val>1.5</val>
          </value>
        </values>
      </ddeItem>
      <ddeItem name="1001594_0" advise="1">
        <values>
          <value>
            <val>23</val>
          </value>
        </values>
      </ddeItem>
      <ddeItem name="1001660_0" advise="1">
        <values>
          <value>
            <val>5</val>
          </value>
        </values>
      </ddeItem>
      <ddeItem name="1001922_0" advise="1">
        <values>
          <value>
            <val>18.600000000000001</val>
          </value>
        </values>
      </ddeItem>
      <ddeItem name="1001964_0" advise="1">
        <values>
          <value>
            <val>-72.5</val>
          </value>
        </values>
      </ddeItem>
      <ddeItem name="1002031_0" advise="1">
        <values>
          <value>
            <val>-3.4</val>
          </value>
        </values>
      </ddeItem>
      <ddeItem name="1002475_0" advise="1">
        <values>
          <value>
            <val>0.7</val>
          </value>
        </values>
      </ddeItem>
      <ddeItem name="1002885_0" advise="1">
        <values>
          <value>
            <val>-8.1</val>
          </value>
        </values>
      </ddeItem>
      <ddeItem name="1003045_0" advise="1">
        <values>
          <value>
            <val>-2.75</val>
          </value>
        </values>
      </ddeItem>
      <ddeItem name="1003351_0" advise="1">
        <values>
          <value>
            <val>-4.2</val>
          </value>
        </values>
      </ddeItem>
      <ddeItem name="1003432_0" advise="1">
        <values>
          <value>
            <val>-0.1</val>
          </value>
        </values>
      </ddeItem>
      <ddeItem name="1003456_0" advise="1">
        <values>
          <value>
            <val>15.5</val>
          </value>
        </values>
      </ddeItem>
      <ddeItem name="1003499_0" advise="1">
        <values>
          <value>
            <val>-1.07</val>
          </value>
        </values>
      </ddeItem>
      <ddeItem name="1003506_0" advise="1">
        <values>
          <value>
            <val>-12.7</val>
          </value>
        </values>
      </ddeItem>
      <ddeItem name="1003787_0" advise="1">
        <values>
          <value>
            <val>3.44</val>
          </value>
        </values>
      </ddeItem>
      <ddeItem name="1004306_0" advise="1">
        <values>
          <value>
            <val>-1.45</val>
          </value>
        </values>
      </ddeItem>
      <ddeItem name="1004963_0" advise="1">
        <values>
          <value>
            <val>-11</val>
          </value>
        </values>
      </ddeItem>
      <ddeItem name="1005097_0" advise="1">
        <values>
          <value>
            <val>-2.36</val>
          </value>
        </values>
      </ddeItem>
      <ddeItem name="1005258_0" advise="1">
        <values>
          <value>
            <val>8.9</val>
          </value>
        </values>
      </ddeItem>
      <ddeItem name="1005900_0" advise="1">
        <values>
          <value>
            <val>8.9</val>
          </value>
        </values>
      </ddeItem>
      <ddeItem name="1007229_0" advise="1">
        <values>
          <value>
            <val>20.3</val>
          </value>
        </values>
      </ddeItem>
      <ddeItem name="1010604_0" advise="1">
        <values>
          <value>
            <val>-5.9</val>
          </value>
        </values>
      </ddeItem>
      <ddeItem name="1010999_0" advise="1">
        <values>
          <value>
            <val>-19</val>
          </value>
        </values>
      </ddeItem>
      <ddeItem name="1011483_0" advise="1">
        <values>
          <value>
            <val>-2.2000000000000002</val>
          </value>
        </values>
      </ddeItem>
      <ddeItem name="1011532_0" advise="1">
        <values>
          <value>
            <val>160</val>
          </value>
        </values>
      </ddeItem>
      <ddeItem name="1011536_0" advise="1">
        <values>
          <value>
            <val>41</val>
          </value>
        </values>
      </ddeItem>
      <ddeItem name="1011630_0" advise="1">
        <values>
          <value>
            <val>2.6</val>
          </value>
        </values>
      </ddeItem>
      <ddeItem name="1011723_0" advise="1">
        <values>
          <value>
            <val>-2.35</val>
          </value>
        </values>
      </ddeItem>
      <ddeItem name="1013538_0" advise="1">
        <values>
          <value>
            <val>34.9</val>
          </value>
        </values>
      </ddeItem>
      <ddeItem name="1014977_0" advise="1">
        <values>
          <value>
            <val>0.3</val>
          </value>
        </values>
      </ddeItem>
      <ddeItem name="1015083_0" advise="1">
        <values>
          <value>
            <val>10.6</val>
          </value>
        </values>
      </ddeItem>
      <ddeItem name="1016669_0" advise="1">
        <values>
          <value>
            <val>-0.5</val>
          </value>
        </values>
      </ddeItem>
      <ddeItem name="1016675_0" advise="1">
        <values>
          <value>
            <val>-13.2</val>
          </value>
        </values>
      </ddeItem>
      <ddeItem name="1017963_0" advise="1">
        <values>
          <value>
            <val>18.7</val>
          </value>
        </values>
      </ddeItem>
      <ddeItem name="1018143_0" advise="1">
        <values>
          <value>
            <val>-0.6</val>
          </value>
        </values>
      </ddeItem>
      <ddeItem name="1020374_0" advise="1">
        <values>
          <value>
            <val>-0.2</val>
          </value>
        </values>
      </ddeItem>
      <ddeItem name="1021808_0" advise="1">
        <values>
          <value>
            <val>-10.8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CHANGEPC">
    <ddeItems>
      <ddeItem name="1000025_0" advise="1">
        <values>
          <value>
            <val>1.83</val>
          </value>
        </values>
      </ddeItem>
      <ddeItem name="1000157_0" advise="1">
        <values>
          <value>
            <val>-0.1</val>
          </value>
        </values>
      </ddeItem>
      <ddeItem name="1000236_0" advise="1">
        <values>
          <value>
            <val>-1.1000000000000001</val>
          </value>
        </values>
      </ddeItem>
      <ddeItem name="1000317_0" advise="1">
        <values>
          <value>
            <val>-1.06</val>
          </value>
        </values>
      </ddeItem>
      <ddeItem name="1000383_0" advise="1">
        <values>
          <value>
            <val>1.1599999999999999</val>
          </value>
        </values>
      </ddeItem>
      <ddeItem name="1000467_0" advise="1">
        <values>
          <value>
            <val>-0.13</val>
          </value>
        </values>
      </ddeItem>
      <ddeItem name="1000694_0" advise="1">
        <values>
          <value>
            <val>0.25</val>
          </value>
        </values>
      </ddeItem>
      <ddeItem name="1000881_0" advise="1">
        <values>
          <value>
            <val>3.13</val>
          </value>
        </values>
      </ddeItem>
      <ddeItem name="1000910_0" advise="1">
        <values>
          <value>
            <val>0.05</val>
          </value>
        </values>
      </ddeItem>
      <ddeItem name="1001232_0" advise="1">
        <values>
          <value>
            <val>4.01</val>
          </value>
        </values>
      </ddeItem>
      <ddeItem name="1001333_0" advise="1">
        <values>
          <value>
            <val>-0.72</val>
          </value>
        </values>
      </ddeItem>
      <ddeItem name="1001348_0" advise="1">
        <values>
          <value>
            <val>0.8</val>
          </value>
        </values>
      </ddeItem>
      <ddeItem name="1001363_0" advise="1">
        <values>
          <value>
            <val>1.35</val>
          </value>
        </values>
      </ddeItem>
      <ddeItem name="1001394_0" advise="1">
        <values>
          <value>
            <val>0.06</val>
          </value>
        </values>
      </ddeItem>
      <ddeItem name="1001594_0" advise="1">
        <values>
          <value>
            <val>1.46</val>
          </value>
        </values>
      </ddeItem>
      <ddeItem name="1001660_0" advise="1">
        <values>
          <value>
            <val>1.18</val>
          </value>
        </values>
      </ddeItem>
      <ddeItem name="1001922_0" advise="1">
        <values>
          <value>
            <val>0.87</val>
          </value>
        </values>
      </ddeItem>
      <ddeItem name="1001964_0" advise="1">
        <values>
          <value>
            <val>-1.23</val>
          </value>
        </values>
      </ddeItem>
      <ddeItem name="1002031_0" advise="1">
        <values>
          <value>
            <val>-0.11</val>
          </value>
        </values>
      </ddeItem>
      <ddeItem name="1002475_0" advise="1">
        <values>
          <value>
            <val>0.28999999999999998</val>
          </value>
        </values>
      </ddeItem>
      <ddeItem name="1002885_0" advise="1">
        <values>
          <value>
            <val>-0.56000000000000005</val>
          </value>
        </values>
      </ddeItem>
      <ddeItem name="1003045_0" advise="1">
        <values>
          <value>
            <val>-0.34</val>
          </value>
        </values>
      </ddeItem>
      <ddeItem name="1003351_0" advise="1">
        <values>
          <value>
            <val>-0.25</val>
          </value>
        </values>
      </ddeItem>
      <ddeItem name="1003432_0" advise="1">
        <values>
          <value>
            <val>-0.01</val>
          </value>
        </values>
      </ddeItem>
      <ddeItem name="1003456_0" advise="1">
        <values>
          <value>
            <val>2.16</val>
          </value>
        </values>
      </ddeItem>
      <ddeItem name="1003499_0" advise="1">
        <values>
          <value>
            <val>-0.68</val>
          </value>
        </values>
      </ddeItem>
      <ddeItem name="1003506_0" advise="1">
        <values>
          <value>
            <val>-0.36</val>
          </value>
        </values>
      </ddeItem>
      <ddeItem name="1003787_0" advise="1">
        <values>
          <value>
            <val>1.37</val>
          </value>
        </values>
      </ddeItem>
      <ddeItem name="1004306_0" advise="1">
        <values>
          <value>
            <val>-0.21</val>
          </value>
        </values>
      </ddeItem>
      <ddeItem name="1004963_0" advise="1">
        <values>
          <value>
            <val>-0.77</val>
          </value>
        </values>
      </ddeItem>
      <ddeItem name="1005097_0" advise="1">
        <values>
          <value>
            <val>-0.92</val>
          </value>
        </values>
      </ddeItem>
      <ddeItem name="1005258_0" advise="1">
        <values>
          <value>
            <val>1.06</val>
          </value>
        </values>
      </ddeItem>
      <ddeItem name="1005900_0" advise="1">
        <values>
          <value>
            <val>0.73</val>
          </value>
        </values>
      </ddeItem>
      <ddeItem name="1007229_0" advise="1">
        <values>
          <value>
            <val>1.23</val>
          </value>
        </values>
      </ddeItem>
      <ddeItem name="1010604_0" advise="1">
        <values>
          <value>
            <val>-0.32</val>
          </value>
        </values>
      </ddeItem>
      <ddeItem name="1010999_0" advise="1">
        <values>
          <value>
            <val>-0.15</val>
          </value>
        </values>
      </ddeItem>
      <ddeItem name="1011483_0" advise="1">
        <values>
          <value>
            <val>-0.06</val>
          </value>
        </values>
      </ddeItem>
      <ddeItem name="1011532_0" advise="1">
        <values>
          <value>
            <val>1.42</val>
          </value>
        </values>
      </ddeItem>
      <ddeItem name="1011536_0" advise="1">
        <values>
          <value>
            <val>1.2</val>
          </value>
        </values>
      </ddeItem>
      <ddeItem name="1011630_0" advise="1">
        <values>
          <value>
            <val>0.77</val>
          </value>
        </values>
      </ddeItem>
      <ddeItem name="1011723_0" advise="1">
        <values>
          <value>
            <val>-0.23</val>
          </value>
        </values>
      </ddeItem>
      <ddeItem name="1013538_0" advise="1">
        <values>
          <value>
            <val>2.21</val>
          </value>
        </values>
      </ddeItem>
      <ddeItem name="1014977_0" advise="1">
        <values>
          <value>
            <val>0.1</val>
          </value>
        </values>
      </ddeItem>
      <ddeItem name="1015083_0" advise="1">
        <values>
          <value>
            <val>0.72</val>
          </value>
        </values>
      </ddeItem>
      <ddeItem name="1016669_0" advise="1">
        <values>
          <value>
            <val>-0.01</val>
          </value>
        </values>
      </ddeItem>
      <ddeItem name="1016675_0" advise="1">
        <values>
          <value>
            <val>-0.65</val>
          </value>
        </values>
      </ddeItem>
      <ddeItem name="1017963_0" advise="1">
        <values>
          <value>
            <val>0.77</val>
          </value>
        </values>
      </ddeItem>
      <ddeItem name="1018143_0" advise="1">
        <values>
          <value>
            <val>-0.2</val>
          </value>
        </values>
      </ddeItem>
      <ddeItem name="1020374_0" advise="1">
        <values>
          <value>
            <val>-0.05</val>
          </value>
        </values>
      </ddeItem>
      <ddeItem name="1021808_0" advise="1">
        <values>
          <value>
            <val>-0.6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TOTBID">
    <ddeItems>
      <ddeItem name="1000025_0" advise="1">
        <values>
          <value>
            <val>119332</val>
          </value>
        </values>
      </ddeItem>
      <ddeItem name="1000157_0" advise="1">
        <values>
          <value>
            <val>28619</val>
          </value>
        </values>
      </ddeItem>
      <ddeItem name="1000236_0" advise="1">
        <values>
          <value>
            <val>191751</val>
          </value>
        </values>
      </ddeItem>
      <ddeItem name="1000317_0" advise="1">
        <values>
          <value>
            <val>54621</val>
          </value>
        </values>
      </ddeItem>
      <ddeItem name="1000383_0" advise="1">
        <values>
          <value>
            <val>1604754</val>
          </value>
        </values>
      </ddeItem>
      <ddeItem name="1000467_0" advise="1">
        <values>
          <value>
            <val>281830</val>
          </value>
        </values>
      </ddeItem>
      <ddeItem name="1000694_0" advise="1">
        <values>
          <value>
            <val>136189</val>
          </value>
        </values>
      </ddeItem>
      <ddeItem name="1000881_0" advise="1">
        <values>
          <value>
            <val>216416</val>
          </value>
        </values>
      </ddeItem>
      <ddeItem name="1000910_0" advise="1">
        <values>
          <value>
            <val>40974</val>
          </value>
        </values>
      </ddeItem>
      <ddeItem name="1001232_0" advise="1">
        <values>
          <value>
            <val>108669</val>
          </value>
        </values>
      </ddeItem>
      <ddeItem name="1001333_0" advise="1">
        <values>
          <value>
            <val>256287</val>
          </value>
        </values>
      </ddeItem>
      <ddeItem name="1001348_0" advise="1">
        <values>
          <value>
            <val>48075</val>
          </value>
        </values>
      </ddeItem>
      <ddeItem name="1001363_0" advise="1">
        <values>
          <value>
            <val>445571</val>
          </value>
        </values>
      </ddeItem>
      <ddeItem name="1001394_0" advise="1">
        <values>
          <value>
            <val>131756</val>
          </value>
        </values>
      </ddeItem>
      <ddeItem name="1001594_0" advise="1">
        <values>
          <value>
            <val>965277</val>
          </value>
        </values>
      </ddeItem>
      <ddeItem name="1001660_0" advise="1">
        <values>
          <value>
            <val>1098452</val>
          </value>
        </values>
      </ddeItem>
      <ddeItem name="1001922_0" advise="1">
        <values>
          <value>
            <val>190215</val>
          </value>
        </values>
      </ddeItem>
      <ddeItem name="1001964_0" advise="1">
        <values>
          <value>
            <val>0</val>
          </value>
        </values>
      </ddeItem>
      <ddeItem name="1002031_0" advise="1">
        <values>
          <value>
            <val>100102</val>
          </value>
        </values>
      </ddeItem>
      <ddeItem name="1002475_0" advise="1">
        <values>
          <value>
            <val>963284</val>
          </value>
        </values>
      </ddeItem>
      <ddeItem name="1002885_0" advise="1">
        <values>
          <value>
            <val>297643</val>
          </value>
        </values>
      </ddeItem>
      <ddeItem name="1003045_0" advise="1">
        <values>
          <value>
            <val>575902</val>
          </value>
        </values>
      </ddeItem>
      <ddeItem name="1003351_0" advise="1">
        <values>
          <value>
            <val>0</val>
          </value>
        </values>
      </ddeItem>
      <ddeItem name="1003432_0" advise="1">
        <values>
          <value>
            <val>0</val>
          </value>
        </values>
      </ddeItem>
      <ddeItem name="1003456_0" advise="1">
        <values>
          <value>
            <val>0</val>
          </value>
        </values>
      </ddeItem>
      <ddeItem name="1003499_0" advise="1">
        <values>
          <value>
            <val>0</val>
          </value>
        </values>
      </ddeItem>
      <ddeItem name="1003506_0" advise="1">
        <values>
          <value>
            <val>0</val>
          </value>
        </values>
      </ddeItem>
      <ddeItem name="1003787_0" advise="1">
        <values>
          <value>
            <val>0</val>
          </value>
        </values>
      </ddeItem>
      <ddeItem name="1004306_0" advise="1">
        <values>
          <value>
            <val>382035</val>
          </value>
        </values>
      </ddeItem>
      <ddeItem name="1004963_0" advise="1">
        <values>
          <value>
            <val>460000</val>
          </value>
        </values>
      </ddeItem>
      <ddeItem name="1005097_0" advise="1">
        <values>
          <value>
            <val>1535095</val>
          </value>
        </values>
      </ddeItem>
      <ddeItem name="1005258_0" advise="1">
        <values>
          <value>
            <val>386675</val>
          </value>
        </values>
      </ddeItem>
      <ddeItem name="1005900_0" advise="1">
        <values>
          <value>
            <val>263350</val>
          </value>
        </values>
      </ddeItem>
      <ddeItem name="1007229_0" advise="1">
        <values>
          <value>
            <val>170961</val>
          </value>
        </values>
      </ddeItem>
      <ddeItem name="1010604_0" advise="1">
        <values>
          <value>
            <val>221163</val>
          </value>
        </values>
      </ddeItem>
      <ddeItem name="1010999_0" advise="1">
        <values>
          <value>
            <val>17957</val>
          </value>
        </values>
      </ddeItem>
      <ddeItem name="1011483_0" advise="1">
        <values>
          <value>
            <val>87870</val>
          </value>
        </values>
      </ddeItem>
      <ddeItem name="1011532_0" advise="1">
        <values>
          <value>
            <val>0</val>
          </value>
        </values>
      </ddeItem>
      <ddeItem name="1011536_0" advise="1">
        <values>
          <value>
            <val>0</val>
          </value>
        </values>
      </ddeItem>
      <ddeItem name="1011630_0" advise="1">
        <values>
          <value>
            <val>828812</val>
          </value>
        </values>
      </ddeItem>
      <ddeItem name="1011723_0" advise="1">
        <values>
          <value>
            <val>170552</val>
          </value>
        </values>
      </ddeItem>
      <ddeItem name="1013538_0" advise="1">
        <values>
          <value>
            <val>0</val>
          </value>
        </values>
      </ddeItem>
      <ddeItem name="1014977_0" advise="1">
        <values>
          <value>
            <val>898614</val>
          </value>
        </values>
      </ddeItem>
      <ddeItem name="1015083_0" advise="1">
        <values>
          <value>
            <val>169720</val>
          </value>
        </values>
      </ddeItem>
      <ddeItem name="1016669_0" advise="1">
        <values>
          <value>
            <val>34362</val>
          </value>
        </values>
      </ddeItem>
      <ddeItem name="1016675_0" advise="1">
        <values>
          <value>
            <val>216655</val>
          </value>
        </values>
      </ddeItem>
      <ddeItem name="1017963_0" advise="1">
        <values>
          <value>
            <val>75968</val>
          </value>
        </values>
      </ddeItem>
      <ddeItem name="1018143_0" advise="1">
        <values>
          <value>
            <val>1648875</val>
          </value>
        </values>
      </ddeItem>
      <ddeItem name="1020374_0" advise="1">
        <values>
          <value>
            <val>585709</val>
          </value>
        </values>
      </ddeItem>
      <ddeItem name="1021808_0" advise="1">
        <values>
          <value>
            <val>93734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TOTVOL">
    <ddeItems>
      <ddeItem name="1000025_0" advise="1">
        <values>
          <value>
            <val>1544087</val>
          </value>
        </values>
      </ddeItem>
      <ddeItem name="1000157_0" advise="1">
        <values>
          <value>
            <val>427550</val>
          </value>
        </values>
      </ddeItem>
      <ddeItem name="1000236_0" advise="1">
        <values>
          <value>
            <val>864225</val>
          </value>
        </values>
      </ddeItem>
      <ddeItem name="1000317_0" advise="1">
        <values>
          <value>
            <val>595763</val>
          </value>
        </values>
      </ddeItem>
      <ddeItem name="1000383_0" advise="1">
        <values>
          <value>
            <val>21694292</val>
          </value>
        </values>
      </ddeItem>
      <ddeItem name="1000467_0" advise="1">
        <values>
          <value>
            <val>1444514</val>
          </value>
        </values>
      </ddeItem>
      <ddeItem name="1000694_0" advise="1">
        <values>
          <value>
            <val>451770</val>
          </value>
        </values>
      </ddeItem>
      <ddeItem name="1000881_0" advise="1">
        <values>
          <value>
            <val>1572624</val>
          </value>
        </values>
      </ddeItem>
      <ddeItem name="1000910_0" advise="1">
        <values>
          <value>
            <val>255216</val>
          </value>
        </values>
      </ddeItem>
      <ddeItem name="1001232_0" advise="1">
        <values>
          <value>
            <val>2426447</val>
          </value>
        </values>
      </ddeItem>
      <ddeItem name="1001333_0" advise="1">
        <values>
          <value>
            <val>4101126</val>
          </value>
        </values>
      </ddeItem>
      <ddeItem name="1001348_0" advise="1">
        <values>
          <value>
            <val>289133</val>
          </value>
        </values>
      </ddeItem>
      <ddeItem name="1001363_0" advise="1">
        <values>
          <value>
            <val>3964066</val>
          </value>
        </values>
      </ddeItem>
      <ddeItem name="1001394_0" advise="1">
        <values>
          <value>
            <val>1034296</val>
          </value>
        </values>
      </ddeItem>
      <ddeItem name="1001594_0" advise="1">
        <values>
          <value>
            <val>6011622</val>
          </value>
        </values>
      </ddeItem>
      <ddeItem name="1001660_0" advise="1">
        <values>
          <value>
            <val>7682182</val>
          </value>
        </values>
      </ddeItem>
      <ddeItem name="1001922_0" advise="1">
        <values>
          <value>
            <val>3503986</val>
          </value>
        </values>
      </ddeItem>
      <ddeItem name="1001964_0" advise="1">
        <values>
          <value>
            <val>458635</val>
          </value>
        </values>
      </ddeItem>
      <ddeItem name="1002031_0" advise="1">
        <values>
          <value>
            <val>912897</val>
          </value>
        </values>
      </ddeItem>
      <ddeItem name="1002475_0" advise="1">
        <values>
          <value>
            <val>4366878</val>
          </value>
        </values>
      </ddeItem>
      <ddeItem name="1002885_0" advise="1">
        <values>
          <value>
            <val>3856260</val>
          </value>
        </values>
      </ddeItem>
      <ddeItem name="1003045_0" advise="1">
        <values>
          <value>
            <val>4316066</val>
          </value>
        </values>
      </ddeItem>
      <ddeItem name="1003351_0" advise="1">
        <values>
          <value>
            <val>1471096</val>
          </value>
        </values>
      </ddeItem>
      <ddeItem name="1003432_0" advise="1">
        <values>
          <value>
            <val>217123</val>
          </value>
        </values>
      </ddeItem>
      <ddeItem name="1003456_0" advise="1">
        <values>
          <value>
            <val>14432955</val>
          </value>
        </values>
      </ddeItem>
      <ddeItem name="1003499_0" advise="1">
        <values>
          <value>
            <val>14956905</val>
          </value>
        </values>
      </ddeItem>
      <ddeItem name="1003506_0" advise="1">
        <values>
          <value>
            <val>250112</val>
          </value>
        </values>
      </ddeItem>
      <ddeItem name="1003787_0" advise="1">
        <values>
          <value>
            <val>8227446</val>
          </value>
        </values>
      </ddeItem>
      <ddeItem name="1004306_0" advise="1">
        <values>
          <value>
            <val>4070218</val>
          </value>
        </values>
      </ddeItem>
      <ddeItem name="1004963_0" advise="1">
        <values>
          <value>
            <val>9388874</val>
          </value>
        </values>
      </ddeItem>
      <ddeItem name="1005097_0" advise="1">
        <values>
          <value>
            <val>18129613</val>
          </value>
        </values>
      </ddeItem>
      <ddeItem name="1005258_0" advise="1">
        <values>
          <value>
            <val>7876093</val>
          </value>
        </values>
      </ddeItem>
      <ddeItem name="1005900_0" advise="1">
        <values>
          <value>
            <val>4591044</val>
          </value>
        </values>
      </ddeItem>
      <ddeItem name="1007229_0" advise="1">
        <values>
          <value>
            <val>2048297</val>
          </value>
        </values>
      </ddeItem>
      <ddeItem name="1010604_0" advise="1">
        <values>
          <value>
            <val>4354364</val>
          </value>
        </values>
      </ddeItem>
      <ddeItem name="1010999_0" advise="1">
        <values>
          <value>
            <val>176880</val>
          </value>
        </values>
      </ddeItem>
      <ddeItem name="1011483_0" advise="1">
        <values>
          <value>
            <val>770708</val>
          </value>
        </values>
      </ddeItem>
      <ddeItem name="1011532_0" advise="1">
        <values>
          <value>
            <val>198202</val>
          </value>
        </values>
      </ddeItem>
      <ddeItem name="1011536_0" advise="1">
        <values>
          <value>
            <val>1803066</val>
          </value>
        </values>
      </ddeItem>
      <ddeItem name="1011630_0" advise="1">
        <values>
          <value>
            <val>7289426</val>
          </value>
        </values>
      </ddeItem>
      <ddeItem name="1011723_0" advise="1">
        <values>
          <value>
            <val>1395231</val>
          </value>
        </values>
      </ddeItem>
      <ddeItem name="1013538_0" advise="1">
        <values>
          <value>
            <val>2534543</val>
          </value>
        </values>
      </ddeItem>
      <ddeItem name="1014977_0" advise="1">
        <values>
          <value>
            <val>3357198</val>
          </value>
        </values>
      </ddeItem>
      <ddeItem name="1015083_0" advise="1">
        <values>
          <value>
            <val>1445138</val>
          </value>
        </values>
      </ddeItem>
      <ddeItem name="1016669_0" advise="1">
        <values>
          <value>
            <val>256670</val>
          </value>
        </values>
      </ddeItem>
      <ddeItem name="1016675_0" advise="1">
        <values>
          <value>
            <val>2573964</val>
          </value>
        </values>
      </ddeItem>
      <ddeItem name="1017963_0" advise="1">
        <values>
          <value>
            <val>441608</val>
          </value>
        </values>
      </ddeItem>
      <ddeItem name="1018143_0" advise="1">
        <values>
          <value>
            <val>11311956</val>
          </value>
        </values>
      </ddeItem>
      <ddeItem name="1020374_0" advise="1">
        <values>
          <value>
            <val>4634219</val>
          </value>
        </values>
      </ddeItem>
      <ddeItem name="1021808_0" advise="1">
        <values>
          <value>
            <val>581665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BIDQTY">
    <ddeItems>
      <ddeItem name="1000025_0" advise="1">
        <values>
          <value>
            <val>4</val>
          </value>
        </values>
      </ddeItem>
      <ddeItem name="1000157_0" advise="1">
        <values>
          <value>
            <val>18</val>
          </value>
        </values>
      </ddeItem>
      <ddeItem name="1000236_0" advise="1">
        <values>
          <value>
            <val>9</val>
          </value>
        </values>
      </ddeItem>
      <ddeItem name="1000317_0" advise="1">
        <values>
          <value>
            <val>10</val>
          </value>
        </values>
      </ddeItem>
      <ddeItem name="1000383_0" advise="1">
        <values>
          <value>
            <val>3155</val>
          </value>
        </values>
      </ddeItem>
      <ddeItem name="1000467_0" advise="1">
        <values>
          <value>
            <val>222</val>
          </value>
        </values>
      </ddeItem>
      <ddeItem name="1000694_0" advise="1">
        <values>
          <value>
            <val>12</val>
          </value>
        </values>
      </ddeItem>
      <ddeItem name="1000881_0" advise="1">
        <values>
          <value>
            <val>1</val>
          </value>
        </values>
      </ddeItem>
      <ddeItem name="1000910_0" advise="1">
        <values>
          <value>
            <val>5</val>
          </value>
        </values>
      </ddeItem>
      <ddeItem name="1001232_0" advise="1">
        <values>
          <value>
            <val>43</val>
          </value>
        </values>
      </ddeItem>
      <ddeItem name="1001333_0" advise="1">
        <values>
          <value>
            <val>396</val>
          </value>
        </values>
      </ddeItem>
      <ddeItem name="1001348_0" advise="1">
        <values>
          <value>
            <val>1</val>
          </value>
        </values>
      </ddeItem>
      <ddeItem name="1001363_0" advise="1">
        <values>
          <value>
            <val>159</val>
          </value>
        </values>
      </ddeItem>
      <ddeItem name="1001394_0" advise="1">
        <values>
          <value>
            <val>30</val>
          </value>
        </values>
      </ddeItem>
      <ddeItem name="1001594_0" advise="1">
        <values>
          <value>
            <val>34</val>
          </value>
        </values>
      </ddeItem>
      <ddeItem name="1001660_0" advise="1">
        <values>
          <value>
            <val>531</val>
          </value>
        </values>
      </ddeItem>
      <ddeItem name="1001922_0" advise="1">
        <values>
          <value>
            <val>25</val>
          </value>
        </values>
      </ddeItem>
      <ddeItem name="1001964_0" advise="1">
        <values>
          <value>
            <val>0</val>
          </value>
        </values>
      </ddeItem>
      <ddeItem name="1002031_0" advise="1">
        <values>
          <value>
            <val>1</val>
          </value>
        </values>
      </ddeItem>
      <ddeItem name="1002475_0" advise="1">
        <values>
          <value>
            <val>150</val>
          </value>
        </values>
      </ddeItem>
      <ddeItem name="1002885_0" advise="1">
        <values>
          <value>
            <val>1844</val>
          </value>
        </values>
      </ddeItem>
      <ddeItem name="1003045_0" advise="1">
        <values>
          <value>
            <val>1658</val>
          </value>
        </values>
      </ddeItem>
      <ddeItem name="1003351_0" advise="1">
        <values>
          <value>
            <val>0</val>
          </value>
        </values>
      </ddeItem>
      <ddeItem name="1003432_0" advise="1">
        <values>
          <value>
            <val>0</val>
          </value>
        </values>
      </ddeItem>
      <ddeItem name="1003456_0" advise="1">
        <values>
          <value>
            <val>0</val>
          </value>
        </values>
      </ddeItem>
      <ddeItem name="1003499_0" advise="1">
        <values>
          <value>
            <val>0</val>
          </value>
        </values>
      </ddeItem>
      <ddeItem name="1003506_0" advise="1">
        <values>
          <value>
            <val>0</val>
          </value>
        </values>
      </ddeItem>
      <ddeItem name="1003787_0" advise="1">
        <values>
          <value>
            <val>0</val>
          </value>
        </values>
      </ddeItem>
      <ddeItem name="1004306_0" advise="1">
        <values>
          <value>
            <val>1</val>
          </value>
        </values>
      </ddeItem>
      <ddeItem name="1004963_0" advise="1">
        <values>
          <value>
            <val>971</val>
          </value>
        </values>
      </ddeItem>
      <ddeItem name="1005097_0" advise="1">
        <values>
          <value>
            <val>403</val>
          </value>
        </values>
      </ddeItem>
      <ddeItem name="1005258_0" advise="1">
        <values>
          <value>
            <val>83</val>
          </value>
        </values>
      </ddeItem>
      <ddeItem name="1005900_0" advise="1">
        <values>
          <value>
            <val>263</val>
          </value>
        </values>
      </ddeItem>
      <ddeItem name="1007229_0" advise="1">
        <values>
          <value>
            <val>1</val>
          </value>
        </values>
      </ddeItem>
      <ddeItem name="1010604_0" advise="1">
        <values>
          <value>
            <val>2</val>
          </value>
        </values>
      </ddeItem>
      <ddeItem name="1010999_0" advise="1">
        <values>
          <value>
            <val>18</val>
          </value>
        </values>
      </ddeItem>
      <ddeItem name="1011483_0" advise="1">
        <values>
          <value>
            <val>5</val>
          </value>
        </values>
      </ddeItem>
      <ddeItem name="1011532_0" advise="1">
        <values>
          <value>
            <val>0</val>
          </value>
        </values>
      </ddeItem>
      <ddeItem name="1011536_0" advise="1">
        <values>
          <value>
            <val>0</val>
          </value>
        </values>
      </ddeItem>
      <ddeItem name="1011630_0" advise="1">
        <values>
          <value>
            <val>6734</val>
          </value>
        </values>
      </ddeItem>
      <ddeItem name="1011723_0" advise="1">
        <values>
          <value>
            <val>1</val>
          </value>
        </values>
      </ddeItem>
      <ddeItem name="1013538_0" advise="1">
        <values>
          <value>
            <val>0</val>
          </value>
        </values>
      </ddeItem>
      <ddeItem name="1014977_0" advise="1">
        <values>
          <value>
            <val>3251</val>
          </value>
        </values>
      </ddeItem>
      <ddeItem name="1015083_0" advise="1">
        <values>
          <value>
            <val>800</val>
          </value>
        </values>
      </ddeItem>
      <ddeItem name="1016669_0" advise="1">
        <values>
          <value>
            <val>8</val>
          </value>
        </values>
      </ddeItem>
      <ddeItem name="1016675_0" advise="1">
        <values>
          <value>
            <val>248</val>
          </value>
        </values>
      </ddeItem>
      <ddeItem name="1017963_0" advise="1">
        <values>
          <value>
            <val>2</val>
          </value>
        </values>
      </ddeItem>
      <ddeItem name="1018143_0" advise="1">
        <values>
          <value>
            <val>2407</val>
          </value>
        </values>
      </ddeItem>
      <ddeItem name="1020374_0" advise="1">
        <values>
          <value>
            <val>562</val>
          </value>
        </values>
      </ddeItem>
      <ddeItem name="1021808_0" advise="1">
        <values>
          <value>
            <val>297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SYMBOL_ASKQTY">
    <ddeItems>
      <ddeItem name="1000025_0" advise="1">
        <values>
          <value>
            <val>39</val>
          </value>
        </values>
      </ddeItem>
      <ddeItem name="1000157_0" advise="1">
        <values>
          <value>
            <val>225</val>
          </value>
        </values>
      </ddeItem>
      <ddeItem name="1000236_0" advise="1">
        <values>
          <value>
            <val>30</val>
          </value>
        </values>
      </ddeItem>
      <ddeItem name="1000317_0" advise="1">
        <values>
          <value>
            <val>25</val>
          </value>
        </values>
      </ddeItem>
      <ddeItem name="1000383_0" advise="1">
        <values>
          <value>
            <val>1377</val>
          </value>
        </values>
      </ddeItem>
      <ddeItem name="1000467_0" advise="1">
        <values>
          <value>
            <val>71</val>
          </value>
        </values>
      </ddeItem>
      <ddeItem name="1000694_0" advise="1">
        <values>
          <value>
            <val>258</val>
          </value>
        </values>
      </ddeItem>
      <ddeItem name="1000881_0" advise="1">
        <values>
          <value>
            <val>117</val>
          </value>
        </values>
      </ddeItem>
      <ddeItem name="1000910_0" advise="1">
        <values>
          <value>
            <val>14</val>
          </value>
        </values>
      </ddeItem>
      <ddeItem name="1001232_0" advise="1">
        <values>
          <value>
            <val>1139</val>
          </value>
        </values>
      </ddeItem>
      <ddeItem name="1001333_0" advise="1">
        <values>
          <value>
            <val>1081</val>
          </value>
        </values>
      </ddeItem>
      <ddeItem name="1001348_0" advise="1">
        <values>
          <value>
            <val>22</val>
          </value>
        </values>
      </ddeItem>
      <ddeItem name="1001363_0" advise="1">
        <values>
          <value>
            <val>1630</val>
          </value>
        </values>
      </ddeItem>
      <ddeItem name="1001394_0" advise="1">
        <values>
          <value>
            <val>4</val>
          </value>
        </values>
      </ddeItem>
      <ddeItem name="1001594_0" advise="1">
        <values>
          <value>
            <val>157</val>
          </value>
        </values>
      </ddeItem>
      <ddeItem name="1001660_0" advise="1">
        <values>
          <value>
            <val>428</val>
          </value>
        </values>
      </ddeItem>
      <ddeItem name="1001922_0" advise="1">
        <values>
          <value>
            <val>1</val>
          </value>
        </values>
      </ddeItem>
      <ddeItem name="1001964_0" advise="1">
        <values>
          <value>
            <val>0</val>
          </value>
        </values>
      </ddeItem>
      <ddeItem name="1002031_0" advise="1">
        <values>
          <value>
            <val>6</val>
          </value>
        </values>
      </ddeItem>
      <ddeItem name="1002475_0" advise="1">
        <values>
          <value>
            <val>288</val>
          </value>
        </values>
      </ddeItem>
      <ddeItem name="1002885_0" advise="1">
        <values>
          <value>
            <val>87</val>
          </value>
        </values>
      </ddeItem>
      <ddeItem name="1003045_0" advise="1">
        <values>
          <value>
            <val>3</val>
          </value>
        </values>
      </ddeItem>
      <ddeItem name="1003351_0" advise="1">
        <values>
          <value>
            <val>0</val>
          </value>
        </values>
      </ddeItem>
      <ddeItem name="1003432_0" advise="1">
        <values>
          <value>
            <val>0</val>
          </value>
        </values>
      </ddeItem>
      <ddeItem name="1003456_0" advise="1">
        <values>
          <value>
            <val>0</val>
          </value>
        </values>
      </ddeItem>
      <ddeItem name="1003499_0" advise="1">
        <values>
          <value>
            <val>0</val>
          </value>
        </values>
      </ddeItem>
      <ddeItem name="1003506_0" advise="1">
        <values>
          <value>
            <val>0</val>
          </value>
        </values>
      </ddeItem>
      <ddeItem name="1003787_0" advise="1">
        <values>
          <value>
            <val>0</val>
          </value>
        </values>
      </ddeItem>
      <ddeItem name="1004306_0" advise="1">
        <values>
          <value>
            <val>1528</val>
          </value>
        </values>
      </ddeItem>
      <ddeItem name="1004963_0" advise="1">
        <values>
          <value>
            <val>1</val>
          </value>
        </values>
      </ddeItem>
      <ddeItem name="1005097_0" advise="1">
        <values>
          <value>
            <val>452</val>
          </value>
        </values>
      </ddeItem>
      <ddeItem name="1005258_0" advise="1">
        <values>
          <value>
            <val>112</val>
          </value>
        </values>
      </ddeItem>
      <ddeItem name="1005900_0" advise="1">
        <values>
          <value>
            <val>420</val>
          </value>
        </values>
      </ddeItem>
      <ddeItem name="1007229_0" advise="1">
        <values>
          <value>
            <val>1</val>
          </value>
        </values>
      </ddeItem>
      <ddeItem name="1010604_0" advise="1">
        <values>
          <value>
            <val>293</val>
          </value>
        </values>
      </ddeItem>
      <ddeItem name="1010999_0" advise="1">
        <values>
          <value>
            <val>33</val>
          </value>
        </values>
      </ddeItem>
      <ddeItem name="1011483_0" advise="1">
        <values>
          <value>
            <val>7</val>
          </value>
        </values>
      </ddeItem>
      <ddeItem name="1011532_0" advise="1">
        <values>
          <value>
            <val>0</val>
          </value>
        </values>
      </ddeItem>
      <ddeItem name="1011536_0" advise="1">
        <values>
          <value>
            <val>0</val>
          </value>
        </values>
      </ddeItem>
      <ddeItem name="1011630_0" advise="1">
        <values>
          <value>
            <val>1873</val>
          </value>
        </values>
      </ddeItem>
      <ddeItem name="1011723_0" advise="1">
        <values>
          <value>
            <val>79</val>
          </value>
        </values>
      </ddeItem>
      <ddeItem name="1013538_0" advise="1">
        <values>
          <value>
            <val>0</val>
          </value>
        </values>
      </ddeItem>
      <ddeItem name="1014977_0" advise="1">
        <values>
          <value>
            <val>19</val>
          </value>
        </values>
      </ddeItem>
      <ddeItem name="1015083_0" advise="1">
        <values>
          <value>
            <val>72</val>
          </value>
        </values>
      </ddeItem>
      <ddeItem name="1016669_0" advise="1">
        <values>
          <value>
            <val>29</val>
          </value>
        </values>
      </ddeItem>
      <ddeItem name="1016675_0" advise="1">
        <values>
          <value>
            <val>52</val>
          </value>
        </values>
      </ddeItem>
      <ddeItem name="1017963_0" advise="1">
        <values>
          <value>
            <val>1</val>
          </value>
        </values>
      </ddeItem>
      <ddeItem name="1018143_0" advise="1">
        <values>
          <value>
            <val>2083</val>
          </value>
        </values>
      </ddeItem>
      <ddeItem name="1020374_0" advise="1">
        <values>
          <value>
            <val>23</val>
          </value>
        </values>
      </ddeItem>
      <ddeItem name="1021808_0" advise="1">
        <values>
          <value>
            <val>78</val>
          </value>
        </values>
      </ddeItem>
      <ddeItem name="StdDocumentName" ole="1" advise="1"/>
    </ddeItems>
  </dd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DARTSCRDE" ddeTopic="IMPVOL">
    <ddeItems>
      <ddeItem name="1000025_0" advise="1">
        <values>
          <value>
            <val>0</val>
          </value>
        </values>
      </ddeItem>
      <ddeItem name="1000157_0" advise="1">
        <values>
          <value>
            <val>0</val>
          </value>
        </values>
      </ddeItem>
      <ddeItem name="1000236_0" advise="1">
        <values>
          <value>
            <val>0</val>
          </value>
        </values>
      </ddeItem>
      <ddeItem name="1000317_0" advise="1">
        <values>
          <value>
            <val>0</val>
          </value>
        </values>
      </ddeItem>
      <ddeItem name="1000383_0" advise="1">
        <values>
          <value>
            <val>0</val>
          </value>
        </values>
      </ddeItem>
      <ddeItem name="1000467_0" advise="1">
        <values>
          <value>
            <val>0</val>
          </value>
        </values>
      </ddeItem>
      <ddeItem name="1000694_0" advise="1">
        <values>
          <value>
            <val>0</val>
          </value>
        </values>
      </ddeItem>
      <ddeItem name="1000881_0" advise="1">
        <values>
          <value>
            <val>0</val>
          </value>
        </values>
      </ddeItem>
      <ddeItem name="1000910_0" advise="1">
        <values>
          <value>
            <val>0</val>
          </value>
        </values>
      </ddeItem>
      <ddeItem name="1001232_0" advise="1">
        <values>
          <value>
            <val>0</val>
          </value>
        </values>
      </ddeItem>
      <ddeItem name="1001333_0" advise="1">
        <values>
          <value>
            <val>0</val>
          </value>
        </values>
      </ddeItem>
      <ddeItem name="1001348_0" advise="1">
        <values>
          <value>
            <val>0</val>
          </value>
        </values>
      </ddeItem>
      <ddeItem name="1001363_0" advise="1">
        <values>
          <value>
            <val>0</val>
          </value>
        </values>
      </ddeItem>
      <ddeItem name="1001394_0" advise="1">
        <values>
          <value>
            <val>0</val>
          </value>
        </values>
      </ddeItem>
      <ddeItem name="1001594_0" advise="1">
        <values>
          <value>
            <val>0</val>
          </value>
        </values>
      </ddeItem>
      <ddeItem name="1001660_0" advise="1">
        <values>
          <value>
            <val>0</val>
          </value>
        </values>
      </ddeItem>
      <ddeItem name="1001922_0" advise="1">
        <values>
          <value>
            <val>0</val>
          </value>
        </values>
      </ddeItem>
      <ddeItem name="1001964_0" advise="1">
        <values>
          <value>
            <val>0</val>
          </value>
        </values>
      </ddeItem>
      <ddeItem name="1002031_0" advise="1">
        <values>
          <value>
            <val>0</val>
          </value>
        </values>
      </ddeItem>
      <ddeItem name="1002475_0" advise="1">
        <values>
          <value>
            <val>0</val>
          </value>
        </values>
      </ddeItem>
      <ddeItem name="1002885_0" advise="1">
        <values>
          <value>
            <val>0</val>
          </value>
        </values>
      </ddeItem>
      <ddeItem name="1003045_0" advise="1">
        <values>
          <value>
            <val>0</val>
          </value>
        </values>
      </ddeItem>
      <ddeItem name="1003351_0" advise="1">
        <values>
          <value>
            <val>0</val>
          </value>
        </values>
      </ddeItem>
      <ddeItem name="1003432_0" advise="1">
        <values>
          <value>
            <val>0</val>
          </value>
        </values>
      </ddeItem>
      <ddeItem name="1003456_0" advise="1">
        <values>
          <value>
            <val>0</val>
          </value>
        </values>
      </ddeItem>
      <ddeItem name="1003499_0" advise="1">
        <values>
          <value>
            <val>0</val>
          </value>
        </values>
      </ddeItem>
      <ddeItem name="1003506_0" advise="1">
        <values>
          <value>
            <val>0</val>
          </value>
        </values>
      </ddeItem>
      <ddeItem name="1003787_0" advise="1">
        <values>
          <value>
            <val>0</val>
          </value>
        </values>
      </ddeItem>
      <ddeItem name="1004306_0" advise="1">
        <values>
          <value>
            <val>0</val>
          </value>
        </values>
      </ddeItem>
      <ddeItem name="1004963_0" advise="1">
        <values>
          <value>
            <val>0</val>
          </value>
        </values>
      </ddeItem>
      <ddeItem name="1005097_0" advise="1">
        <values>
          <value>
            <val>0</val>
          </value>
        </values>
      </ddeItem>
      <ddeItem name="1005258_0" advise="1">
        <values>
          <value>
            <val>0</val>
          </value>
        </values>
      </ddeItem>
      <ddeItem name="1005900_0" advise="1">
        <values>
          <value>
            <val>0</val>
          </value>
        </values>
      </ddeItem>
      <ddeItem name="1007229_0" advise="1">
        <values>
          <value>
            <val>0</val>
          </value>
        </values>
      </ddeItem>
      <ddeItem name="1010604_0" advise="1">
        <values>
          <value>
            <val>0</val>
          </value>
        </values>
      </ddeItem>
      <ddeItem name="1010999_0" advise="1">
        <values>
          <value>
            <val>0</val>
          </value>
        </values>
      </ddeItem>
      <ddeItem name="1011483_0" advise="1">
        <values>
          <value>
            <val>0</val>
          </value>
        </values>
      </ddeItem>
      <ddeItem name="1011532_0" advise="1">
        <values>
          <value>
            <val>0</val>
          </value>
        </values>
      </ddeItem>
      <ddeItem name="1011536_0" advise="1">
        <values>
          <value>
            <val>0</val>
          </value>
        </values>
      </ddeItem>
      <ddeItem name="1011630_0" advise="1">
        <values>
          <value>
            <val>0</val>
          </value>
        </values>
      </ddeItem>
      <ddeItem name="1011723_0" advise="1">
        <values>
          <value>
            <val>0</val>
          </value>
        </values>
      </ddeItem>
      <ddeItem name="1013538_0" advise="1">
        <values>
          <value>
            <val>0</val>
          </value>
        </values>
      </ddeItem>
      <ddeItem name="1014977_0" advise="1">
        <values>
          <value>
            <val>0</val>
          </value>
        </values>
      </ddeItem>
      <ddeItem name="1015083_0" advise="1">
        <values>
          <value>
            <val>0</val>
          </value>
        </values>
      </ddeItem>
      <ddeItem name="1016669_0" advise="1">
        <values>
          <value>
            <val>0</val>
          </value>
        </values>
      </ddeItem>
      <ddeItem name="1016675_0" advise="1">
        <values>
          <value>
            <val>0</val>
          </value>
        </values>
      </ddeItem>
      <ddeItem name="1017963_0" advise="1">
        <values>
          <value>
            <val>0</val>
          </value>
        </values>
      </ddeItem>
      <ddeItem name="1018143_0" advise="1">
        <values>
          <value>
            <val>0</val>
          </value>
        </values>
      </ddeItem>
      <ddeItem name="1020374_0" advise="1">
        <values>
          <value>
            <val>0</val>
          </value>
        </values>
      </ddeItem>
      <ddeItem name="1021808_0" advise="1">
        <values>
          <value>
            <val>0</val>
          </value>
        </values>
      </ddeItem>
      <ddeItem name="StdDocumentName" ole="1" advise="1"/>
    </ddeItems>
  </ddeLin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un prajapati" refreshedDate="45818.633103356478" createdVersion="8" refreshedVersion="8" minRefreshableVersion="3" recordCount="50" xr:uid="{7D63E9E0-0E68-484A-B889-4A0F893F00A6}">
  <cacheSource type="worksheet">
    <worksheetSource name="Table1"/>
  </cacheSource>
  <cacheFields count="9">
    <cacheField name="Symbol Name" numFmtId="0">
      <sharedItems count="50">
        <s v="ADANI ENTERPRISES LIMITED"/>
        <s v="ADANI PORT &amp; SEZ LTD"/>
        <s v="APOLLO HOSPITALS ENTER. L"/>
        <s v="ASIAN PAINTS LIMITED"/>
        <s v="AXIS BANK LIMITED"/>
        <s v="BAJAJ AUTO LIMITED"/>
        <s v="BAJAJ FINSERV LTD."/>
        <s v="BAJAJ FINANCE LIMITED"/>
        <s v="BHARAT ELECTRONICS LTD"/>
        <s v="BHARTI AIRTEL LIMITED"/>
        <s v="CIPLA LTD"/>
        <s v="COAL INDIA LTD"/>
        <s v="DR. REDDY S LABORATORIES"/>
        <s v="EICHER MOTORS LTD"/>
        <s v="ETERNAL LIMITED"/>
        <s v="GRASIM INDUSTRIES LTD"/>
        <s v="HCL TECHNOLOGIES LTD"/>
        <s v="HDFC BANK LTD"/>
        <s v="HDFC LIFE INS CO LTD"/>
        <s v="HERO MOTOCORP LIMITED"/>
        <s v="HINDALCO  INDUSTRIES  LTD"/>
        <s v="HINDUSTAN UNILEVER LTD."/>
        <s v="ICICI BANK LTD."/>
        <s v="INDUSIND BANK LIMITED"/>
        <s v="INFOSYS LIMITED"/>
        <s v="ITC LTD"/>
        <s v="JIO FIN SERVICES LTD"/>
        <s v="JSW STEEL LIMITED"/>
        <s v="KOTAK MAHINDRA BANK LTD"/>
        <s v="LARSEN &amp; TOUBRO LTD."/>
        <s v="MAHINDRA &amp; MAHINDRA LTD"/>
        <s v="MARUTI SUZUKI INDIA LTD."/>
        <s v="NESTLE INDIA LIMITED"/>
        <s v="NTPC LTD"/>
        <s v="OIL AND NATURAL GAS CORP."/>
        <s v="POWER GRID CORP. LTD."/>
        <s v="RELIANCE INDUSTRIES LTD"/>
        <s v="SBI LIFE INSURANCE CO LTD"/>
        <s v="STATE BANK OF INDIA"/>
        <s v="SHRIRAM FINANCE LIMITED"/>
        <s v="SUN PHARMACEUTICAL IND L"/>
        <s v="TATA CONSUMER PRODUCT LTD"/>
        <s v="TATA MOTORS LIMITED"/>
        <s v="TATA STEEL LIMITED"/>
        <s v="TATA CONSULTANCY SERV LT"/>
        <s v="TECH MAHINDRA LIMITED"/>
        <s v="TITAN COMPANY LIMITED"/>
        <s v="TRENT LTD"/>
        <s v="ULTRATECH CEMENT LIMITED"/>
        <s v="WIPRO LTD"/>
      </sharedItems>
    </cacheField>
    <cacheField name="LTP" numFmtId="0">
      <sharedItems containsSemiMixedTypes="0" containsString="0" containsNumber="1" minValue="156.25" maxValue="12618"/>
    </cacheField>
    <cacheField name="Qty." numFmtId="0">
      <sharedItems containsSemiMixedTypes="0" containsString="0" containsNumber="1" containsInteger="1" minValue="1" maxValue="2820"/>
    </cacheField>
    <cacheField name="Chg" numFmtId="0">
      <sharedItems containsSemiMixedTypes="0" containsString="0" containsNumber="1" minValue="-101.5" maxValue="160"/>
    </cacheField>
    <cacheField name="% Chg" numFmtId="0">
      <sharedItems containsSemiMixedTypes="0" containsString="0" containsNumber="1" minValue="-1.23" maxValue="4.01"/>
    </cacheField>
    <cacheField name="Total Bid" numFmtId="0">
      <sharedItems containsSemiMixedTypes="0" containsString="0" containsNumber="1" containsInteger="1" minValue="0" maxValue="1648875"/>
    </cacheField>
    <cacheField name="T.Volume" numFmtId="0">
      <sharedItems containsSemiMixedTypes="0" containsString="0" containsNumber="1" containsInteger="1" minValue="176880" maxValue="21694292"/>
    </cacheField>
    <cacheField name="1Yr Return%" numFmtId="0">
      <sharedItems containsSemiMixedTypes="0" containsString="0" containsNumber="1" minValue="-43.93" maxValue="39.71"/>
    </cacheField>
    <cacheField name="1M Return%" numFmtId="0">
      <sharedItems containsSemiMixedTypes="0" containsString="0" containsNumber="1" minValue="-2.89" maxValue="24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un prajapati" refreshedDate="45818.633103819448" createdVersion="8" refreshedVersion="8" minRefreshableVersion="3" recordCount="50" xr:uid="{ED67F76A-0610-4ABA-BD14-71CC25D836D6}">
  <cacheSource type="worksheet">
    <worksheetSource name="Table3"/>
  </cacheSource>
  <cacheFields count="4">
    <cacheField name="Symbol Name" numFmtId="0">
      <sharedItems count="50">
        <s v="ADANI ENTERPRISES LIMITED"/>
        <s v="ADANI PORT &amp; SEZ LTD"/>
        <s v="APOLLO HOSPITALS ENTER. L"/>
        <s v="ASIAN PAINTS LIMITED"/>
        <s v="AXIS BANK LIMITED"/>
        <s v="BAJAJ AUTO LIMITED"/>
        <s v="BAJAJ FINSERV LTD."/>
        <s v="BAJAJ FINANCE LIMITED"/>
        <s v="BHARAT ELECTRONICS LTD"/>
        <s v="BHARTI AIRTEL LIMITED"/>
        <s v="CIPLA LTD"/>
        <s v="COAL INDIA LTD"/>
        <s v="DR. REDDY S LABORATORIES"/>
        <s v="EICHER MOTORS LTD"/>
        <s v="ETERNAL LIMITED"/>
        <s v="GRASIM INDUSTRIES LTD"/>
        <s v="HCL TECHNOLOGIES LTD"/>
        <s v="HDFC BANK LTD"/>
        <s v="HDFC LIFE INS CO LTD"/>
        <s v="HERO MOTOCORP LIMITED"/>
        <s v="HINDALCO  INDUSTRIES  LTD"/>
        <s v="HINDUSTAN UNILEVER LTD."/>
        <s v="ICICI BANK LTD."/>
        <s v="INDUSIND BANK LIMITED"/>
        <s v="INFOSYS LIMITED"/>
        <s v="ITC LTD"/>
        <s v="JIO FIN SERVICES LTD"/>
        <s v="JSW STEEL LIMITED"/>
        <s v="KOTAK MAHINDRA BANK LTD"/>
        <s v="LARSEN &amp; TOUBRO LTD."/>
        <s v="MAHINDRA &amp; MAHINDRA LTD"/>
        <s v="MARUTI SUZUKI INDIA LTD."/>
        <s v="NESTLE INDIA LIMITED"/>
        <s v="NTPC LTD"/>
        <s v="OIL AND NATURAL GAS CORP."/>
        <s v="POWER GRID CORP. LTD."/>
        <s v="RELIANCE INDUSTRIES LTD"/>
        <s v="SBI LIFE INSURANCE CO LTD"/>
        <s v="STATE BANK OF INDIA"/>
        <s v="SHRIRAM FINANCE LIMITED"/>
        <s v="SUN PHARMACEUTICAL IND L"/>
        <s v="TATA CONSUMER PRODUCT LTD"/>
        <s v="TATA MOTORS LIMITED"/>
        <s v="TATA STEEL LIMITED"/>
        <s v="TATA CONSULTANCY SERV LT"/>
        <s v="TECH MAHINDRA LIMITED"/>
        <s v="TITAN COMPANY LIMITED"/>
        <s v="TRENT LTD"/>
        <s v="ULTRATECH CEMENT LIMITED"/>
        <s v="WIPRO LTD"/>
      </sharedItems>
    </cacheField>
    <cacheField name="Bid Qty" numFmtId="0">
      <sharedItems containsSemiMixedTypes="0" containsString="0" containsNumber="1" containsInteger="1" minValue="0" maxValue="6734"/>
    </cacheField>
    <cacheField name="Ask Qty" numFmtId="0">
      <sharedItems containsSemiMixedTypes="0" containsString="0" containsNumber="1" containsInteger="1" minValue="0" maxValue="2083"/>
    </cacheField>
    <cacheField name="IV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629.3"/>
    <n v="1"/>
    <n v="47.2"/>
    <n v="1.83"/>
    <n v="119332"/>
    <n v="1544087"/>
    <n v="-19.8"/>
    <n v="14.71"/>
  </r>
  <r>
    <x v="1"/>
    <n v="1477.7"/>
    <n v="343"/>
    <n v="10.6"/>
    <n v="0.72"/>
    <n v="169720"/>
    <n v="1445138"/>
    <n v="6.4"/>
    <n v="12.31"/>
  </r>
  <r>
    <x v="2"/>
    <n v="6925"/>
    <n v="4"/>
    <n v="-7"/>
    <n v="-0.1"/>
    <n v="28619"/>
    <n v="427550"/>
    <n v="15.25"/>
    <n v="3.12"/>
  </r>
  <r>
    <x v="3"/>
    <n v="2223.1999999999998"/>
    <n v="44"/>
    <n v="-24.7"/>
    <n v="-1.1000000000000001"/>
    <n v="191751"/>
    <n v="864225"/>
    <n v="-23.22"/>
    <n v="-2.25"/>
  </r>
  <r>
    <x v="4"/>
    <n v="1228.8"/>
    <n v="211"/>
    <n v="8.9"/>
    <n v="0.73"/>
    <n v="263350"/>
    <n v="4591044"/>
    <n v="2.79"/>
    <n v="5.98"/>
  </r>
  <r>
    <x v="5"/>
    <n v="8640.5"/>
    <n v="10"/>
    <n v="-0.5"/>
    <n v="-0.01"/>
    <n v="34362"/>
    <n v="256670"/>
    <n v="-11.15"/>
    <n v="12.48"/>
  </r>
  <r>
    <x v="6"/>
    <n v="2004.2"/>
    <n v="1971"/>
    <n v="-13.2"/>
    <n v="-0.65"/>
    <n v="216655"/>
    <n v="2573964"/>
    <n v="28.69"/>
    <n v="2.41"/>
  </r>
  <r>
    <x v="7"/>
    <n v="9506"/>
    <n v="3"/>
    <n v="-101.5"/>
    <n v="-1.06"/>
    <n v="54621"/>
    <n v="595763"/>
    <n v="33.6"/>
    <n v="11.19"/>
  </r>
  <r>
    <x v="8"/>
    <n v="397"/>
    <n v="323"/>
    <n v="4.55"/>
    <n v="1.1599999999999999"/>
    <n v="1604754"/>
    <n v="21694292"/>
    <n v="38.58"/>
    <n v="24.25"/>
  </r>
  <r>
    <x v="9"/>
    <n v="1859.2"/>
    <n v="14"/>
    <n v="-5.9"/>
    <n v="-0.32"/>
    <n v="221163"/>
    <n v="4354364"/>
    <n v="30.86"/>
    <n v="0.9"/>
  </r>
  <r>
    <x v="10"/>
    <n v="1510.4"/>
    <n v="77"/>
    <n v="3.8"/>
    <n v="0.25"/>
    <n v="136189"/>
    <n v="451770"/>
    <n v="0.62"/>
    <n v="1.8"/>
  </r>
  <r>
    <x v="11"/>
    <n v="400.8"/>
    <n v="927"/>
    <n v="-0.2"/>
    <n v="-0.05"/>
    <n v="585709"/>
    <n v="4634219"/>
    <n v="-16.309999999999999"/>
    <n v="4.8600000000000003"/>
  </r>
  <r>
    <x v="12"/>
    <n v="1360.4"/>
    <n v="2"/>
    <n v="41.3"/>
    <n v="3.13"/>
    <n v="216416"/>
    <n v="1572624"/>
    <n v="8.81"/>
    <n v="14.12"/>
  </r>
  <r>
    <x v="13"/>
    <n v="5393.5"/>
    <n v="1"/>
    <n v="2.5"/>
    <n v="0.05"/>
    <n v="40974"/>
    <n v="255216"/>
    <n v="13.21"/>
    <n v="1.26"/>
  </r>
  <r>
    <x v="14"/>
    <n v="254.48"/>
    <n v="2658"/>
    <n v="-2.36"/>
    <n v="-0.92"/>
    <n v="1535095"/>
    <n v="18129613"/>
    <n v="39.590000000000003"/>
    <n v="13.08"/>
  </r>
  <r>
    <x v="15"/>
    <n v="2713"/>
    <n v="72"/>
    <n v="104.5"/>
    <n v="4.01"/>
    <n v="108669"/>
    <n v="2426447"/>
    <n v="9.61"/>
    <n v="-1"/>
  </r>
  <r>
    <x v="16"/>
    <n v="1668.6"/>
    <n v="14"/>
    <n v="20.3"/>
    <n v="1.23"/>
    <n v="170961"/>
    <n v="2048297"/>
    <n v="15.14"/>
    <n v="5.03"/>
  </r>
  <r>
    <x v="17"/>
    <n v="1964.6"/>
    <n v="441"/>
    <n v="-14.3"/>
    <n v="-0.72"/>
    <n v="256287"/>
    <n v="4101126"/>
    <n v="25.78"/>
    <n v="4.72"/>
  </r>
  <r>
    <x v="18"/>
    <n v="759.4"/>
    <n v="83"/>
    <n v="-1"/>
    <n v="-0.13"/>
    <n v="281830"/>
    <n v="1444514"/>
    <n v="35.07"/>
    <n v="6.56"/>
  </r>
  <r>
    <x v="19"/>
    <n v="4384"/>
    <n v="18"/>
    <n v="34.6"/>
    <n v="0.8"/>
    <n v="48075"/>
    <n v="289133"/>
    <n v="-22.08"/>
    <n v="12.86"/>
  </r>
  <r>
    <x v="20"/>
    <n v="659.6"/>
    <n v="1898"/>
    <n v="8.8000000000000007"/>
    <n v="1.35"/>
    <n v="445571"/>
    <n v="3964066"/>
    <n v="-4.34"/>
    <n v="3.77"/>
  </r>
  <r>
    <x v="21"/>
    <n v="2394.6999999999998"/>
    <n v="44"/>
    <n v="1.5"/>
    <n v="0.06"/>
    <n v="131756"/>
    <n v="1034296"/>
    <n v="-7.16"/>
    <n v="2.58"/>
  </r>
  <r>
    <x v="22"/>
    <n v="1423.8"/>
    <n v="96"/>
    <n v="-11"/>
    <n v="-0.77"/>
    <n v="460000"/>
    <n v="9388874"/>
    <n v="27.91"/>
    <n v="3.3"/>
  </r>
  <r>
    <x v="23"/>
    <n v="845.55"/>
    <n v="189"/>
    <n v="8.9"/>
    <n v="1.06"/>
    <n v="386675"/>
    <n v="7876093"/>
    <n v="-43.93"/>
    <n v="2.25"/>
  </r>
  <r>
    <x v="24"/>
    <n v="1595.9"/>
    <n v="16"/>
    <n v="23"/>
    <n v="1.46"/>
    <n v="965277"/>
    <n v="6011622"/>
    <n v="2.56"/>
    <n v="4.33"/>
  </r>
  <r>
    <x v="25"/>
    <n v="428.05"/>
    <n v="2364"/>
    <n v="5"/>
    <n v="1.18"/>
    <n v="1098452"/>
    <n v="7682182"/>
    <n v="-3.67"/>
    <n v="-0.12"/>
  </r>
  <r>
    <x v="26"/>
    <n v="303.64999999999998"/>
    <n v="106"/>
    <n v="-0.6"/>
    <n v="-0.2"/>
    <n v="1648875"/>
    <n v="11311956"/>
    <n v="-13.85"/>
    <n v="22.51"/>
  </r>
  <r>
    <x v="27"/>
    <n v="1005.65"/>
    <n v="2"/>
    <n v="-2.35"/>
    <n v="-0.23"/>
    <n v="170552"/>
    <n v="1395231"/>
    <n v="10.51"/>
    <n v="5.33"/>
  </r>
  <r>
    <x v="28"/>
    <n v="2156.8000000000002"/>
    <n v="31"/>
    <n v="18.600000000000001"/>
    <n v="0.87"/>
    <n v="190215"/>
    <n v="3503986"/>
    <n v="21.93"/>
    <n v="1.67"/>
  </r>
  <r>
    <x v="29"/>
    <n v="3676.7"/>
    <n v="1"/>
    <n v="-2.2000000000000002"/>
    <n v="-0.06"/>
    <n v="87870"/>
    <n v="770708"/>
    <n v="4.1399999999999997"/>
    <n v="6.82"/>
  </r>
  <r>
    <x v="30"/>
    <n v="3084"/>
    <n v="3"/>
    <n v="-3.4"/>
    <n v="-0.11"/>
    <n v="100102"/>
    <n v="912897"/>
    <n v="8.0500000000000007"/>
    <n v="3.53"/>
  </r>
  <r>
    <x v="31"/>
    <n v="12618"/>
    <n v="17"/>
    <n v="-19"/>
    <n v="-0.15"/>
    <n v="17957"/>
    <n v="176880"/>
    <n v="-1.36"/>
    <n v="3.16"/>
  </r>
  <r>
    <x v="32"/>
    <n v="2434"/>
    <n v="21"/>
    <n v="18.7"/>
    <n v="0.77"/>
    <n v="75968"/>
    <n v="441608"/>
    <n v="-3.48"/>
    <n v="3.87"/>
  </r>
  <r>
    <x v="33"/>
    <n v="339.7"/>
    <n v="992"/>
    <n v="2.6"/>
    <n v="0.77"/>
    <n v="828812"/>
    <n v="7289426"/>
    <n v="-6.52"/>
    <n v="0.7"/>
  </r>
  <r>
    <x v="34"/>
    <n v="243.5"/>
    <n v="5"/>
    <n v="0.7"/>
    <n v="0.28999999999999998"/>
    <n v="963284"/>
    <n v="4366878"/>
    <n v="-6.76"/>
    <n v="3.34"/>
  </r>
  <r>
    <x v="35"/>
    <n v="300.8"/>
    <n v="1123"/>
    <n v="0.3"/>
    <n v="0.1"/>
    <n v="898614"/>
    <n v="3357198"/>
    <n v="-2.86"/>
    <n v="0.4"/>
  </r>
  <r>
    <x v="36"/>
    <n v="1440.7"/>
    <n v="2820"/>
    <n v="-8.1"/>
    <n v="-0.56000000000000005"/>
    <n v="297643"/>
    <n v="3856260"/>
    <n v="-1.44"/>
    <n v="5.2"/>
  </r>
  <r>
    <x v="37"/>
    <n v="1780"/>
    <n v="249"/>
    <n v="-10.8"/>
    <n v="-0.6"/>
    <n v="93734"/>
    <n v="581665"/>
    <n v="25.6"/>
    <n v="5.35"/>
  </r>
  <r>
    <x v="38"/>
    <n v="817.3"/>
    <n v="2"/>
    <n v="-2.75"/>
    <n v="-0.34"/>
    <n v="575902"/>
    <n v="4316066"/>
    <n v="-1.19"/>
    <n v="5.24"/>
  </r>
  <r>
    <x v="39"/>
    <n v="696.55"/>
    <n v="1057"/>
    <n v="-1.45"/>
    <n v="-0.21"/>
    <n v="382035"/>
    <n v="4070218"/>
    <n v="39.71"/>
    <n v="16.05"/>
  </r>
  <r>
    <x v="40"/>
    <n v="1690.2"/>
    <n v="26"/>
    <n v="-4.2"/>
    <n v="-0.25"/>
    <n v="0"/>
    <n v="1471096"/>
    <n v="12.45"/>
    <n v="-2.89"/>
  </r>
  <r>
    <x v="41"/>
    <n v="1121.0999999999999"/>
    <n v="11"/>
    <n v="-0.1"/>
    <n v="-0.01"/>
    <n v="0"/>
    <n v="217123"/>
    <n v="-1.27"/>
    <n v="0.67"/>
  </r>
  <r>
    <x v="42"/>
    <n v="733.3"/>
    <n v="18"/>
    <n v="15.5"/>
    <n v="2.16"/>
    <n v="0"/>
    <n v="14432955"/>
    <n v="-26.04"/>
    <n v="1.31"/>
  </r>
  <r>
    <x v="43"/>
    <n v="156.25"/>
    <n v="473"/>
    <n v="-1.07"/>
    <n v="-0.68"/>
    <n v="0"/>
    <n v="14956905"/>
    <n v="-12.06"/>
    <n v="10.18"/>
  </r>
  <r>
    <x v="44"/>
    <n v="3462.9"/>
    <n v="1"/>
    <n v="41"/>
    <n v="1.2"/>
    <n v="0"/>
    <n v="1803066"/>
    <n v="-12.12"/>
    <n v="-0.53"/>
  </r>
  <r>
    <x v="45"/>
    <n v="1614"/>
    <n v="79"/>
    <n v="34.9"/>
    <n v="2.21"/>
    <n v="0"/>
    <n v="2534543"/>
    <n v="14.63"/>
    <n v="5.72"/>
  </r>
  <r>
    <x v="46"/>
    <n v="3521.2"/>
    <n v="30"/>
    <n v="-12.7"/>
    <n v="-0.36"/>
    <n v="0"/>
    <n v="250112"/>
    <n v="2.61"/>
    <n v="0.67"/>
  </r>
  <r>
    <x v="47"/>
    <n v="5841"/>
    <n v="51"/>
    <n v="-72.5"/>
    <n v="-1.23"/>
    <n v="0"/>
    <n v="458635"/>
    <n v="19.11"/>
    <n v="15.66"/>
  </r>
  <r>
    <x v="48"/>
    <n v="11420"/>
    <n v="2"/>
    <n v="160"/>
    <n v="1.42"/>
    <n v="0"/>
    <n v="198202"/>
    <n v="7.62"/>
    <n v="-0.92"/>
  </r>
  <r>
    <x v="49"/>
    <n v="254.73"/>
    <n v="11"/>
    <n v="3.44"/>
    <n v="1.37"/>
    <n v="0"/>
    <n v="8227446"/>
    <n v="3.72"/>
    <n v="3.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4"/>
    <n v="39"/>
    <n v="0"/>
  </r>
  <r>
    <x v="1"/>
    <n v="800"/>
    <n v="72"/>
    <n v="0"/>
  </r>
  <r>
    <x v="2"/>
    <n v="18"/>
    <n v="225"/>
    <n v="0"/>
  </r>
  <r>
    <x v="3"/>
    <n v="9"/>
    <n v="30"/>
    <n v="0"/>
  </r>
  <r>
    <x v="4"/>
    <n v="263"/>
    <n v="420"/>
    <n v="0"/>
  </r>
  <r>
    <x v="5"/>
    <n v="8"/>
    <n v="29"/>
    <n v="0"/>
  </r>
  <r>
    <x v="6"/>
    <n v="248"/>
    <n v="52"/>
    <n v="0"/>
  </r>
  <r>
    <x v="7"/>
    <n v="10"/>
    <n v="25"/>
    <n v="0"/>
  </r>
  <r>
    <x v="8"/>
    <n v="3155"/>
    <n v="1377"/>
    <n v="0"/>
  </r>
  <r>
    <x v="9"/>
    <n v="2"/>
    <n v="293"/>
    <n v="0"/>
  </r>
  <r>
    <x v="10"/>
    <n v="12"/>
    <n v="258"/>
    <n v="0"/>
  </r>
  <r>
    <x v="11"/>
    <n v="562"/>
    <n v="23"/>
    <n v="0"/>
  </r>
  <r>
    <x v="12"/>
    <n v="1"/>
    <n v="117"/>
    <n v="0"/>
  </r>
  <r>
    <x v="13"/>
    <n v="5"/>
    <n v="14"/>
    <n v="0"/>
  </r>
  <r>
    <x v="14"/>
    <n v="403"/>
    <n v="452"/>
    <n v="0"/>
  </r>
  <r>
    <x v="15"/>
    <n v="43"/>
    <n v="1139"/>
    <n v="0"/>
  </r>
  <r>
    <x v="16"/>
    <n v="1"/>
    <n v="1"/>
    <n v="0"/>
  </r>
  <r>
    <x v="17"/>
    <n v="396"/>
    <n v="1081"/>
    <n v="0"/>
  </r>
  <r>
    <x v="18"/>
    <n v="222"/>
    <n v="71"/>
    <n v="0"/>
  </r>
  <r>
    <x v="19"/>
    <n v="1"/>
    <n v="22"/>
    <n v="0"/>
  </r>
  <r>
    <x v="20"/>
    <n v="159"/>
    <n v="1630"/>
    <n v="0"/>
  </r>
  <r>
    <x v="21"/>
    <n v="30"/>
    <n v="4"/>
    <n v="0"/>
  </r>
  <r>
    <x v="22"/>
    <n v="971"/>
    <n v="1"/>
    <n v="0"/>
  </r>
  <r>
    <x v="23"/>
    <n v="83"/>
    <n v="112"/>
    <n v="0"/>
  </r>
  <r>
    <x v="24"/>
    <n v="34"/>
    <n v="157"/>
    <n v="0"/>
  </r>
  <r>
    <x v="25"/>
    <n v="531"/>
    <n v="428"/>
    <n v="0"/>
  </r>
  <r>
    <x v="26"/>
    <n v="2407"/>
    <n v="2083"/>
    <n v="0"/>
  </r>
  <r>
    <x v="27"/>
    <n v="1"/>
    <n v="79"/>
    <n v="0"/>
  </r>
  <r>
    <x v="28"/>
    <n v="25"/>
    <n v="1"/>
    <n v="0"/>
  </r>
  <r>
    <x v="29"/>
    <n v="5"/>
    <n v="7"/>
    <n v="0"/>
  </r>
  <r>
    <x v="30"/>
    <n v="1"/>
    <n v="6"/>
    <n v="0"/>
  </r>
  <r>
    <x v="31"/>
    <n v="18"/>
    <n v="33"/>
    <n v="0"/>
  </r>
  <r>
    <x v="32"/>
    <n v="2"/>
    <n v="1"/>
    <n v="0"/>
  </r>
  <r>
    <x v="33"/>
    <n v="6734"/>
    <n v="1873"/>
    <n v="0"/>
  </r>
  <r>
    <x v="34"/>
    <n v="150"/>
    <n v="288"/>
    <n v="0"/>
  </r>
  <r>
    <x v="35"/>
    <n v="3251"/>
    <n v="19"/>
    <n v="0"/>
  </r>
  <r>
    <x v="36"/>
    <n v="1844"/>
    <n v="87"/>
    <n v="0"/>
  </r>
  <r>
    <x v="37"/>
    <n v="297"/>
    <n v="78"/>
    <n v="0"/>
  </r>
  <r>
    <x v="38"/>
    <n v="1658"/>
    <n v="3"/>
    <n v="0"/>
  </r>
  <r>
    <x v="39"/>
    <n v="1"/>
    <n v="1528"/>
    <n v="0"/>
  </r>
  <r>
    <x v="40"/>
    <n v="0"/>
    <n v="0"/>
    <n v="0"/>
  </r>
  <r>
    <x v="41"/>
    <n v="0"/>
    <n v="0"/>
    <n v="0"/>
  </r>
  <r>
    <x v="42"/>
    <n v="0"/>
    <n v="0"/>
    <n v="0"/>
  </r>
  <r>
    <x v="43"/>
    <n v="0"/>
    <n v="0"/>
    <n v="0"/>
  </r>
  <r>
    <x v="44"/>
    <n v="0"/>
    <n v="0"/>
    <n v="0"/>
  </r>
  <r>
    <x v="45"/>
    <n v="0"/>
    <n v="0"/>
    <n v="0"/>
  </r>
  <r>
    <x v="46"/>
    <n v="0"/>
    <n v="0"/>
    <n v="0"/>
  </r>
  <r>
    <x v="47"/>
    <n v="0"/>
    <n v="0"/>
    <n v="0"/>
  </r>
  <r>
    <x v="48"/>
    <n v="0"/>
    <n v="0"/>
    <n v="0"/>
  </r>
  <r>
    <x v="49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CC875-70D1-4603-BB8D-5CF799B01B86}" name="PivotTable1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TOCK NAME">
  <location ref="A103:C153" firstHeaderRow="0" firstDataRow="1" firstDataCol="1"/>
  <pivotFields count="9">
    <pivotField axis="axisRow" showAll="0" sortType="ascending">
      <items count="51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4"/>
        <item x="41"/>
        <item x="42"/>
        <item x="43"/>
        <item x="45"/>
        <item x="46"/>
        <item x="47"/>
        <item x="48"/>
        <item x="49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Fields count="1">
    <field x="-2"/>
  </colFields>
  <colItems count="2">
    <i>
      <x/>
    </i>
    <i i="1">
      <x v="1"/>
    </i>
  </colItems>
  <dataFields count="2">
    <dataField name="Sum of LTP" fld="1" baseField="0" baseItem="0"/>
    <dataField name="Sum of % Chg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99FBF-4EE4-4508-951E-7B2B74C77124}" name="top 5 stock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>
  <location ref="A3:B8" firstHeaderRow="1" firstDataRow="1" firstDataCol="1"/>
  <pivotFields count="9">
    <pivotField axis="axisRow" showAll="0" measureFilter="1" sortType="descending">
      <items count="51">
        <item x="49"/>
        <item x="48"/>
        <item x="47"/>
        <item x="46"/>
        <item x="45"/>
        <item x="43"/>
        <item x="42"/>
        <item x="41"/>
        <item x="44"/>
        <item x="40"/>
        <item x="38"/>
        <item x="39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6"/>
        <item x="7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">
    <i>
      <x v="11"/>
    </i>
    <i>
      <x v="31"/>
    </i>
    <i>
      <x v="35"/>
    </i>
    <i>
      <x v="41"/>
    </i>
    <i>
      <x v="43"/>
    </i>
  </rowItems>
  <colItems count="1">
    <i/>
  </colItems>
  <dataFields count="1">
    <dataField name="Sum of 1Yr Return%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D38F41-F116-4A0C-A60A-D53330900074}" name="top 5 stock people is buying" cacheId="6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A64:B69" firstHeaderRow="1" firstDataRow="1" firstDataCol="1"/>
  <pivotFields count="4">
    <pivotField axis="axisRow" showAll="0" measureFilter="1">
      <items count="51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4"/>
        <item x="41"/>
        <item x="42"/>
        <item x="43"/>
        <item x="45"/>
        <item x="46"/>
        <item x="47"/>
        <item x="48"/>
        <item x="49"/>
        <item t="default"/>
      </items>
    </pivotField>
    <pivotField showAll="0"/>
    <pivotField dataField="1" showAll="0"/>
    <pivotField showAll="0"/>
  </pivotFields>
  <rowFields count="1">
    <field x="0"/>
  </rowFields>
  <rowItems count="5">
    <i>
      <x v="8"/>
    </i>
    <i>
      <x v="20"/>
    </i>
    <i>
      <x v="26"/>
    </i>
    <i>
      <x v="33"/>
    </i>
    <i>
      <x v="38"/>
    </i>
  </rowItems>
  <colItems count="1">
    <i/>
  </colItems>
  <dataFields count="1">
    <dataField name="Sum of Ask Qty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32FF4-A9AF-46A7-A016-FA5F92EE922C}" name="live price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50:B55" firstHeaderRow="1" firstDataRow="1" firstDataCol="1"/>
  <pivotFields count="9">
    <pivotField axis="axisRow" showAll="0" measureFilter="1">
      <items count="51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4"/>
        <item x="41"/>
        <item x="42"/>
        <item x="43"/>
        <item x="45"/>
        <item x="46"/>
        <item x="47"/>
        <item x="48"/>
        <item x="4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2"/>
    </i>
    <i>
      <x v="5"/>
    </i>
    <i>
      <x v="6"/>
    </i>
    <i>
      <x v="31"/>
    </i>
    <i>
      <x v="48"/>
    </i>
  </rowItems>
  <colItems count="1">
    <i/>
  </colItems>
  <dataFields count="1">
    <dataField name="Sum of LTP" fld="1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5EBA1-9B2F-4B79-80CE-52E023F1FC81}" name="total change in 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2:B38" firstHeaderRow="1" firstDataRow="1" firstDataCol="1"/>
  <pivotFields count="9">
    <pivotField axis="axisRow" showAll="0" measureFilter="1">
      <items count="51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4"/>
        <item x="41"/>
        <item x="42"/>
        <item x="43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2"/>
    </i>
    <i>
      <x v="15"/>
    </i>
    <i>
      <x v="43"/>
    </i>
    <i>
      <x v="45"/>
    </i>
    <i t="grand">
      <x/>
    </i>
  </rowItems>
  <colItems count="1">
    <i/>
  </colItems>
  <dataFields count="1">
    <dataField name="Sum of % Chg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E9DF7B-B4CC-4949-A8A9-4BF1927C056D}" name="best volume in the stock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>
  <location ref="A15:B20" firstHeaderRow="1" firstDataRow="1" firstDataCol="1"/>
  <pivotFields count="9">
    <pivotField axis="axisRow" showAll="0" measureFilter="1">
      <items count="51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4"/>
        <item x="41"/>
        <item x="42"/>
        <item x="43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 v="8"/>
    </i>
    <i>
      <x v="14"/>
    </i>
    <i>
      <x v="26"/>
    </i>
    <i>
      <x v="43"/>
    </i>
    <i>
      <x v="44"/>
    </i>
  </rowItems>
  <colItems count="1">
    <i/>
  </colItems>
  <dataFields count="1">
    <dataField name="Sum of T.Volume" fld="6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1E185-ED55-430C-8B5F-8AA24C7AC8AD}" name="PivotTable10" cacheId="6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A83:B88" firstHeaderRow="1" firstDataRow="1" firstDataCol="1"/>
  <pivotFields count="4">
    <pivotField axis="axisRow" showAll="0" measureFilter="1">
      <items count="51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4"/>
        <item x="41"/>
        <item x="42"/>
        <item x="43"/>
        <item x="45"/>
        <item x="46"/>
        <item x="47"/>
        <item x="48"/>
        <item x="49"/>
        <item t="default"/>
      </items>
    </pivotField>
    <pivotField dataField="1" showAll="0"/>
    <pivotField showAll="0"/>
    <pivotField showAll="0"/>
  </pivotFields>
  <rowFields count="1">
    <field x="0"/>
  </rowFields>
  <rowItems count="5">
    <i>
      <x v="8"/>
    </i>
    <i>
      <x v="26"/>
    </i>
    <i>
      <x v="33"/>
    </i>
    <i>
      <x v="35"/>
    </i>
    <i>
      <x v="36"/>
    </i>
  </rowItems>
  <colItems count="1">
    <i/>
  </colItems>
  <dataFields count="1">
    <dataField name="Sum of Bid Qty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84724-8871-4626-9F43-77B30112B1AA}" name="Table1" displayName="Table1" ref="C4:K54" totalsRowShown="0">
  <autoFilter ref="C4:K54" xr:uid="{CB584724-8871-4626-9F43-77B30112B1AA}"/>
  <tableColumns count="9">
    <tableColumn id="1" xr3:uid="{A16B96FB-9964-4F18-AA96-5252D0104955}" name="Symbol Name"/>
    <tableColumn id="2" xr3:uid="{CB4F3B7E-61F9-4D7B-BBDC-7DF77B50FB07}" name="LTP"/>
    <tableColumn id="3" xr3:uid="{6FD1DE97-12FB-4E3E-AE30-B4DBBC114DF0}" name="Qty."/>
    <tableColumn id="4" xr3:uid="{72DB6583-9670-4790-9430-ABDD31BFE0D6}" name="Chg"/>
    <tableColumn id="5" xr3:uid="{B690F432-C9A1-4006-8430-A88A691A6D0B}" name="% Chg"/>
    <tableColumn id="6" xr3:uid="{F3DB0E2C-2724-4FAA-B4C5-FBC479AA0126}" name="Total Bid"/>
    <tableColumn id="7" xr3:uid="{D8F74F09-F8C4-495D-B8FD-5AE292FBC2FF}" name="T.Volume"/>
    <tableColumn id="8" xr3:uid="{9AE0FFCE-F0A7-4236-82B0-16F6BDAC9742}" name="1Yr Return%"/>
    <tableColumn id="9" xr3:uid="{4B1DF18B-A2FF-41B7-AD18-2D8538D3045A}" name="1M Return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385D39-AE9C-4DC1-B50F-33D2763C9BFF}" name="Table3" displayName="Table3" ref="N4:Q54" totalsRowShown="0">
  <autoFilter ref="N4:Q54" xr:uid="{9C385D39-AE9C-4DC1-B50F-33D2763C9BFF}"/>
  <tableColumns count="4">
    <tableColumn id="1" xr3:uid="{BF5CBF17-40FB-46E5-A36D-5FA6E0EB5595}" name="Symbol Name"/>
    <tableColumn id="2" xr3:uid="{A3905A50-778A-47BC-B1CE-B687B7937746}" name="Bid Qty"/>
    <tableColumn id="3" xr3:uid="{B3A5671E-EF59-4DD2-8280-033F0961CC35}" name="Ask Qty"/>
    <tableColumn id="4" xr3:uid="{DCECC2B4-C70D-48E7-B1CF-41B74EBC31DF}" name="I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48F6-C6A9-4D71-9341-64BDA076B15F}">
  <dimension ref="A3:G153"/>
  <sheetViews>
    <sheetView topLeftCell="A143" workbookViewId="0">
      <selection activeCell="P139" sqref="P139"/>
    </sheetView>
  </sheetViews>
  <sheetFormatPr defaultRowHeight="14.4" x14ac:dyDescent="0.3"/>
  <cols>
    <col min="1" max="1" width="23.109375" bestFit="1" customWidth="1"/>
    <col min="2" max="2" width="13.109375" bestFit="1" customWidth="1"/>
    <col min="3" max="3" width="12" bestFit="1" customWidth="1"/>
    <col min="4" max="4" width="23.109375" bestFit="1" customWidth="1"/>
    <col min="5" max="5" width="27.21875" bestFit="1" customWidth="1"/>
    <col min="6" max="6" width="9.6640625" bestFit="1" customWidth="1"/>
    <col min="7" max="7" width="11.77734375" bestFit="1" customWidth="1"/>
  </cols>
  <sheetData>
    <row r="3" spans="1:2" x14ac:dyDescent="0.3">
      <c r="A3" s="1" t="s">
        <v>60</v>
      </c>
      <c r="B3" t="s">
        <v>59</v>
      </c>
    </row>
    <row r="4" spans="1:2" x14ac:dyDescent="0.3">
      <c r="A4" s="2" t="s">
        <v>48</v>
      </c>
      <c r="B4" s="4">
        <v>39.71</v>
      </c>
    </row>
    <row r="5" spans="1:2" x14ac:dyDescent="0.3">
      <c r="A5" s="2" t="s">
        <v>27</v>
      </c>
      <c r="B5" s="4">
        <v>35.07</v>
      </c>
    </row>
    <row r="6" spans="1:2" x14ac:dyDescent="0.3">
      <c r="A6" s="2" t="s">
        <v>23</v>
      </c>
      <c r="B6" s="4">
        <v>39.590000000000003</v>
      </c>
    </row>
    <row r="7" spans="1:2" x14ac:dyDescent="0.3">
      <c r="A7" s="2" t="s">
        <v>17</v>
      </c>
      <c r="B7" s="4">
        <v>38.58</v>
      </c>
    </row>
    <row r="8" spans="1:2" x14ac:dyDescent="0.3">
      <c r="A8" s="2" t="s">
        <v>16</v>
      </c>
      <c r="B8" s="4">
        <v>33.6</v>
      </c>
    </row>
    <row r="15" spans="1:2" x14ac:dyDescent="0.3">
      <c r="A15" s="1" t="s">
        <v>60</v>
      </c>
      <c r="B15" t="s">
        <v>62</v>
      </c>
    </row>
    <row r="16" spans="1:2" x14ac:dyDescent="0.3">
      <c r="A16" s="2" t="s">
        <v>17</v>
      </c>
      <c r="B16" s="4">
        <v>21694292</v>
      </c>
    </row>
    <row r="17" spans="1:2" x14ac:dyDescent="0.3">
      <c r="A17" s="2" t="s">
        <v>23</v>
      </c>
      <c r="B17" s="4">
        <v>18129613</v>
      </c>
    </row>
    <row r="18" spans="1:2" x14ac:dyDescent="0.3">
      <c r="A18" s="2" t="s">
        <v>35</v>
      </c>
      <c r="B18" s="4">
        <v>11311956</v>
      </c>
    </row>
    <row r="19" spans="1:2" x14ac:dyDescent="0.3">
      <c r="A19" s="2" t="s">
        <v>51</v>
      </c>
      <c r="B19" s="4">
        <v>14432955</v>
      </c>
    </row>
    <row r="20" spans="1:2" x14ac:dyDescent="0.3">
      <c r="A20" s="2" t="s">
        <v>52</v>
      </c>
      <c r="B20" s="4">
        <v>14956905</v>
      </c>
    </row>
    <row r="32" spans="1:2" x14ac:dyDescent="0.3">
      <c r="A32" s="1" t="s">
        <v>60</v>
      </c>
      <c r="B32" t="s">
        <v>64</v>
      </c>
    </row>
    <row r="33" spans="1:2" x14ac:dyDescent="0.3">
      <c r="A33" s="2" t="s">
        <v>9</v>
      </c>
      <c r="B33" s="4">
        <v>1.83</v>
      </c>
    </row>
    <row r="34" spans="1:2" x14ac:dyDescent="0.3">
      <c r="A34" s="2" t="s">
        <v>21</v>
      </c>
      <c r="B34" s="4">
        <v>3.13</v>
      </c>
    </row>
    <row r="35" spans="1:2" x14ac:dyDescent="0.3">
      <c r="A35" s="2" t="s">
        <v>24</v>
      </c>
      <c r="B35" s="4">
        <v>4.01</v>
      </c>
    </row>
    <row r="36" spans="1:2" x14ac:dyDescent="0.3">
      <c r="A36" s="2" t="s">
        <v>51</v>
      </c>
      <c r="B36" s="4">
        <v>2.16</v>
      </c>
    </row>
    <row r="37" spans="1:2" x14ac:dyDescent="0.3">
      <c r="A37" s="2" t="s">
        <v>54</v>
      </c>
      <c r="B37" s="4">
        <v>2.21</v>
      </c>
    </row>
    <row r="38" spans="1:2" x14ac:dyDescent="0.3">
      <c r="A38" s="2" t="s">
        <v>61</v>
      </c>
      <c r="B38" s="4">
        <v>13.34</v>
      </c>
    </row>
    <row r="50" spans="1:2" x14ac:dyDescent="0.3">
      <c r="A50" s="1" t="s">
        <v>60</v>
      </c>
      <c r="B50" t="s">
        <v>63</v>
      </c>
    </row>
    <row r="51" spans="1:2" x14ac:dyDescent="0.3">
      <c r="A51" s="2" t="s">
        <v>11</v>
      </c>
      <c r="B51" s="4">
        <v>6925</v>
      </c>
    </row>
    <row r="52" spans="1:2" x14ac:dyDescent="0.3">
      <c r="A52" s="2" t="s">
        <v>14</v>
      </c>
      <c r="B52" s="4">
        <v>8640.5</v>
      </c>
    </row>
    <row r="53" spans="1:2" x14ac:dyDescent="0.3">
      <c r="A53" s="2" t="s">
        <v>16</v>
      </c>
      <c r="B53" s="4">
        <v>9506</v>
      </c>
    </row>
    <row r="54" spans="1:2" x14ac:dyDescent="0.3">
      <c r="A54" s="2" t="s">
        <v>40</v>
      </c>
      <c r="B54" s="4">
        <v>12618</v>
      </c>
    </row>
    <row r="55" spans="1:2" x14ac:dyDescent="0.3">
      <c r="A55" s="2" t="s">
        <v>57</v>
      </c>
      <c r="B55" s="4">
        <v>11420</v>
      </c>
    </row>
    <row r="64" spans="1:2" x14ac:dyDescent="0.3">
      <c r="A64" s="1" t="s">
        <v>60</v>
      </c>
      <c r="B64" t="s">
        <v>69</v>
      </c>
    </row>
    <row r="65" spans="1:2" x14ac:dyDescent="0.3">
      <c r="A65" s="2" t="s">
        <v>17</v>
      </c>
      <c r="B65" s="4">
        <v>1377</v>
      </c>
    </row>
    <row r="66" spans="1:2" x14ac:dyDescent="0.3">
      <c r="A66" s="2" t="s">
        <v>29</v>
      </c>
      <c r="B66" s="4">
        <v>1630</v>
      </c>
    </row>
    <row r="67" spans="1:2" x14ac:dyDescent="0.3">
      <c r="A67" s="2" t="s">
        <v>35</v>
      </c>
      <c r="B67" s="4">
        <v>2083</v>
      </c>
    </row>
    <row r="68" spans="1:2" x14ac:dyDescent="0.3">
      <c r="A68" s="2" t="s">
        <v>42</v>
      </c>
      <c r="B68" s="4">
        <v>1873</v>
      </c>
    </row>
    <row r="69" spans="1:2" x14ac:dyDescent="0.3">
      <c r="A69" s="2" t="s">
        <v>48</v>
      </c>
      <c r="B69" s="4">
        <v>1528</v>
      </c>
    </row>
    <row r="83" spans="1:2" x14ac:dyDescent="0.3">
      <c r="A83" s="1" t="s">
        <v>60</v>
      </c>
      <c r="B83" t="s">
        <v>68</v>
      </c>
    </row>
    <row r="84" spans="1:2" x14ac:dyDescent="0.3">
      <c r="A84" s="2" t="s">
        <v>17</v>
      </c>
      <c r="B84" s="4">
        <v>3155</v>
      </c>
    </row>
    <row r="85" spans="1:2" x14ac:dyDescent="0.3">
      <c r="A85" s="2" t="s">
        <v>35</v>
      </c>
      <c r="B85" s="4">
        <v>2407</v>
      </c>
    </row>
    <row r="86" spans="1:2" x14ac:dyDescent="0.3">
      <c r="A86" s="2" t="s">
        <v>42</v>
      </c>
      <c r="B86" s="4">
        <v>6734</v>
      </c>
    </row>
    <row r="87" spans="1:2" x14ac:dyDescent="0.3">
      <c r="A87" s="2" t="s">
        <v>44</v>
      </c>
      <c r="B87" s="4">
        <v>3251</v>
      </c>
    </row>
    <row r="88" spans="1:2" x14ac:dyDescent="0.3">
      <c r="A88" s="2" t="s">
        <v>45</v>
      </c>
      <c r="B88" s="4">
        <v>1844</v>
      </c>
    </row>
    <row r="103" spans="1:7" x14ac:dyDescent="0.3">
      <c r="A103" s="1" t="s">
        <v>70</v>
      </c>
      <c r="B103" t="s">
        <v>63</v>
      </c>
      <c r="C103" t="s">
        <v>64</v>
      </c>
      <c r="E103" t="str" cm="1">
        <f t="array" ref="E103:G153">A103:C153</f>
        <v>STOCK NAME</v>
      </c>
      <c r="F103" t="str">
        <v>Sum of LTP</v>
      </c>
      <c r="G103" t="str">
        <v>Sum of % Chg</v>
      </c>
    </row>
    <row r="104" spans="1:7" x14ac:dyDescent="0.3">
      <c r="A104" s="2" t="s">
        <v>9</v>
      </c>
      <c r="B104" s="4">
        <v>2629.3</v>
      </c>
      <c r="C104" s="4">
        <v>1.83</v>
      </c>
      <c r="E104" t="str">
        <v>ADANI ENTERPRISES LIMITED</v>
      </c>
      <c r="F104">
        <v>2629.3</v>
      </c>
      <c r="G104">
        <v>1.83</v>
      </c>
    </row>
    <row r="105" spans="1:7" x14ac:dyDescent="0.3">
      <c r="A105" s="2" t="s">
        <v>10</v>
      </c>
      <c r="B105" s="4">
        <v>1477.7</v>
      </c>
      <c r="C105" s="4">
        <v>0.72</v>
      </c>
      <c r="E105" t="str">
        <v>ADANI PORT &amp; SEZ LTD</v>
      </c>
      <c r="F105">
        <v>1477.7</v>
      </c>
      <c r="G105">
        <v>0.72</v>
      </c>
    </row>
    <row r="106" spans="1:7" x14ac:dyDescent="0.3">
      <c r="A106" s="2" t="s">
        <v>11</v>
      </c>
      <c r="B106" s="4">
        <v>6925</v>
      </c>
      <c r="C106" s="4">
        <v>-0.1</v>
      </c>
      <c r="E106" t="str">
        <v>APOLLO HOSPITALS ENTER. L</v>
      </c>
      <c r="F106">
        <v>6925</v>
      </c>
      <c r="G106">
        <v>-0.1</v>
      </c>
    </row>
    <row r="107" spans="1:7" x14ac:dyDescent="0.3">
      <c r="A107" s="2" t="s">
        <v>12</v>
      </c>
      <c r="B107" s="4">
        <v>2223.1999999999998</v>
      </c>
      <c r="C107" s="4">
        <v>-1.1000000000000001</v>
      </c>
      <c r="E107" t="str">
        <v>ASIAN PAINTS LIMITED</v>
      </c>
      <c r="F107">
        <v>2223.1999999999998</v>
      </c>
      <c r="G107">
        <v>-1.1000000000000001</v>
      </c>
    </row>
    <row r="108" spans="1:7" x14ac:dyDescent="0.3">
      <c r="A108" s="2" t="s">
        <v>13</v>
      </c>
      <c r="B108" s="4">
        <v>1228.8</v>
      </c>
      <c r="C108" s="4">
        <v>0.73</v>
      </c>
      <c r="E108" t="str">
        <v>AXIS BANK LIMITED</v>
      </c>
      <c r="F108">
        <v>1228.8</v>
      </c>
      <c r="G108">
        <v>0.73</v>
      </c>
    </row>
    <row r="109" spans="1:7" x14ac:dyDescent="0.3">
      <c r="A109" s="2" t="s">
        <v>14</v>
      </c>
      <c r="B109" s="4">
        <v>8640.5</v>
      </c>
      <c r="C109" s="4">
        <v>-0.01</v>
      </c>
      <c r="E109" t="str">
        <v>BAJAJ AUTO LIMITED</v>
      </c>
      <c r="F109">
        <v>8640.5</v>
      </c>
      <c r="G109">
        <v>-0.01</v>
      </c>
    </row>
    <row r="110" spans="1:7" x14ac:dyDescent="0.3">
      <c r="A110" s="2" t="s">
        <v>16</v>
      </c>
      <c r="B110" s="4">
        <v>9506</v>
      </c>
      <c r="C110" s="4">
        <v>-1.06</v>
      </c>
      <c r="E110" t="str">
        <v>BAJAJ FINANCE LIMITED</v>
      </c>
      <c r="F110">
        <v>9506</v>
      </c>
      <c r="G110">
        <v>-1.06</v>
      </c>
    </row>
    <row r="111" spans="1:7" x14ac:dyDescent="0.3">
      <c r="A111" s="2" t="s">
        <v>15</v>
      </c>
      <c r="B111" s="4">
        <v>2004.2</v>
      </c>
      <c r="C111" s="4">
        <v>-0.65</v>
      </c>
      <c r="E111" t="str">
        <v>BAJAJ FINSERV LTD.</v>
      </c>
      <c r="F111">
        <v>2004.2</v>
      </c>
      <c r="G111">
        <v>-0.65</v>
      </c>
    </row>
    <row r="112" spans="1:7" x14ac:dyDescent="0.3">
      <c r="A112" s="2" t="s">
        <v>17</v>
      </c>
      <c r="B112" s="4">
        <v>397</v>
      </c>
      <c r="C112" s="4">
        <v>1.1599999999999999</v>
      </c>
      <c r="E112" t="str">
        <v>BHARAT ELECTRONICS LTD</v>
      </c>
      <c r="F112">
        <v>397</v>
      </c>
      <c r="G112">
        <v>1.1599999999999999</v>
      </c>
    </row>
    <row r="113" spans="1:7" x14ac:dyDescent="0.3">
      <c r="A113" s="2" t="s">
        <v>18</v>
      </c>
      <c r="B113" s="4">
        <v>1859.2</v>
      </c>
      <c r="C113" s="4">
        <v>-0.32</v>
      </c>
      <c r="E113" t="str">
        <v>BHARTI AIRTEL LIMITED</v>
      </c>
      <c r="F113">
        <v>1859.2</v>
      </c>
      <c r="G113">
        <v>-0.32</v>
      </c>
    </row>
    <row r="114" spans="1:7" x14ac:dyDescent="0.3">
      <c r="A114" s="2" t="s">
        <v>19</v>
      </c>
      <c r="B114" s="4">
        <v>1510.4</v>
      </c>
      <c r="C114" s="4">
        <v>0.25</v>
      </c>
      <c r="E114" t="str">
        <v>CIPLA LTD</v>
      </c>
      <c r="F114">
        <v>1510.4</v>
      </c>
      <c r="G114">
        <v>0.25</v>
      </c>
    </row>
    <row r="115" spans="1:7" x14ac:dyDescent="0.3">
      <c r="A115" s="2" t="s">
        <v>20</v>
      </c>
      <c r="B115" s="4">
        <v>400.8</v>
      </c>
      <c r="C115" s="4">
        <v>-0.05</v>
      </c>
      <c r="E115" t="str">
        <v>COAL INDIA LTD</v>
      </c>
      <c r="F115">
        <v>400.8</v>
      </c>
      <c r="G115">
        <v>-0.05</v>
      </c>
    </row>
    <row r="116" spans="1:7" x14ac:dyDescent="0.3">
      <c r="A116" s="2" t="s">
        <v>21</v>
      </c>
      <c r="B116" s="4">
        <v>1360.4</v>
      </c>
      <c r="C116" s="4">
        <v>3.13</v>
      </c>
      <c r="E116" t="str">
        <v>DR. REDDY S LABORATORIES</v>
      </c>
      <c r="F116">
        <v>1360.4</v>
      </c>
      <c r="G116">
        <v>3.13</v>
      </c>
    </row>
    <row r="117" spans="1:7" x14ac:dyDescent="0.3">
      <c r="A117" s="2" t="s">
        <v>22</v>
      </c>
      <c r="B117" s="4">
        <v>5393.5</v>
      </c>
      <c r="C117" s="4">
        <v>0.05</v>
      </c>
      <c r="E117" t="str">
        <v>EICHER MOTORS LTD</v>
      </c>
      <c r="F117">
        <v>5393.5</v>
      </c>
      <c r="G117">
        <v>0.05</v>
      </c>
    </row>
    <row r="118" spans="1:7" x14ac:dyDescent="0.3">
      <c r="A118" s="2" t="s">
        <v>23</v>
      </c>
      <c r="B118" s="4">
        <v>254.48</v>
      </c>
      <c r="C118" s="4">
        <v>-0.92</v>
      </c>
      <c r="E118" t="str">
        <v>ETERNAL LIMITED</v>
      </c>
      <c r="F118">
        <v>254.48</v>
      </c>
      <c r="G118">
        <v>-0.92</v>
      </c>
    </row>
    <row r="119" spans="1:7" x14ac:dyDescent="0.3">
      <c r="A119" s="2" t="s">
        <v>24</v>
      </c>
      <c r="B119" s="4">
        <v>2713</v>
      </c>
      <c r="C119" s="4">
        <v>4.01</v>
      </c>
      <c r="E119" t="str">
        <v>GRASIM INDUSTRIES LTD</v>
      </c>
      <c r="F119">
        <v>2713</v>
      </c>
      <c r="G119">
        <v>4.01</v>
      </c>
    </row>
    <row r="120" spans="1:7" x14ac:dyDescent="0.3">
      <c r="A120" s="2" t="s">
        <v>25</v>
      </c>
      <c r="B120" s="4">
        <v>1668.6</v>
      </c>
      <c r="C120" s="4">
        <v>1.23</v>
      </c>
      <c r="E120" t="str">
        <v>HCL TECHNOLOGIES LTD</v>
      </c>
      <c r="F120">
        <v>1668.6</v>
      </c>
      <c r="G120">
        <v>1.23</v>
      </c>
    </row>
    <row r="121" spans="1:7" x14ac:dyDescent="0.3">
      <c r="A121" s="2" t="s">
        <v>26</v>
      </c>
      <c r="B121" s="4">
        <v>1964.6</v>
      </c>
      <c r="C121" s="4">
        <v>-0.72</v>
      </c>
      <c r="E121" t="str">
        <v>HDFC BANK LTD</v>
      </c>
      <c r="F121">
        <v>1964.6</v>
      </c>
      <c r="G121">
        <v>-0.72</v>
      </c>
    </row>
    <row r="122" spans="1:7" x14ac:dyDescent="0.3">
      <c r="A122" s="2" t="s">
        <v>27</v>
      </c>
      <c r="B122" s="4">
        <v>759.4</v>
      </c>
      <c r="C122" s="4">
        <v>-0.13</v>
      </c>
      <c r="E122" t="str">
        <v>HDFC LIFE INS CO LTD</v>
      </c>
      <c r="F122">
        <v>759.4</v>
      </c>
      <c r="G122">
        <v>-0.13</v>
      </c>
    </row>
    <row r="123" spans="1:7" x14ac:dyDescent="0.3">
      <c r="A123" s="2" t="s">
        <v>28</v>
      </c>
      <c r="B123" s="4">
        <v>4384</v>
      </c>
      <c r="C123" s="4">
        <v>0.8</v>
      </c>
      <c r="E123" t="str">
        <v>HERO MOTOCORP LIMITED</v>
      </c>
      <c r="F123">
        <v>4384</v>
      </c>
      <c r="G123">
        <v>0.8</v>
      </c>
    </row>
    <row r="124" spans="1:7" x14ac:dyDescent="0.3">
      <c r="A124" s="2" t="s">
        <v>29</v>
      </c>
      <c r="B124" s="4">
        <v>659.6</v>
      </c>
      <c r="C124" s="4">
        <v>1.35</v>
      </c>
      <c r="E124" t="str">
        <v>HINDALCO  INDUSTRIES  LTD</v>
      </c>
      <c r="F124">
        <v>659.6</v>
      </c>
      <c r="G124">
        <v>1.35</v>
      </c>
    </row>
    <row r="125" spans="1:7" x14ac:dyDescent="0.3">
      <c r="A125" s="2" t="s">
        <v>30</v>
      </c>
      <c r="B125" s="4">
        <v>2394.6999999999998</v>
      </c>
      <c r="C125" s="4">
        <v>0.06</v>
      </c>
      <c r="E125" t="str">
        <v>HINDUSTAN UNILEVER LTD.</v>
      </c>
      <c r="F125">
        <v>2394.6999999999998</v>
      </c>
      <c r="G125">
        <v>0.06</v>
      </c>
    </row>
    <row r="126" spans="1:7" x14ac:dyDescent="0.3">
      <c r="A126" s="2" t="s">
        <v>31</v>
      </c>
      <c r="B126" s="4">
        <v>1423.8</v>
      </c>
      <c r="C126" s="4">
        <v>-0.77</v>
      </c>
      <c r="E126" t="str">
        <v>ICICI BANK LTD.</v>
      </c>
      <c r="F126">
        <v>1423.8</v>
      </c>
      <c r="G126">
        <v>-0.77</v>
      </c>
    </row>
    <row r="127" spans="1:7" x14ac:dyDescent="0.3">
      <c r="A127" s="2" t="s">
        <v>32</v>
      </c>
      <c r="B127" s="4">
        <v>845.55</v>
      </c>
      <c r="C127" s="4">
        <v>1.06</v>
      </c>
      <c r="E127" t="str">
        <v>INDUSIND BANK LIMITED</v>
      </c>
      <c r="F127">
        <v>845.55</v>
      </c>
      <c r="G127">
        <v>1.06</v>
      </c>
    </row>
    <row r="128" spans="1:7" x14ac:dyDescent="0.3">
      <c r="A128" s="2" t="s">
        <v>33</v>
      </c>
      <c r="B128" s="4">
        <v>1595.9</v>
      </c>
      <c r="C128" s="4">
        <v>1.46</v>
      </c>
      <c r="E128" t="str">
        <v>INFOSYS LIMITED</v>
      </c>
      <c r="F128">
        <v>1595.9</v>
      </c>
      <c r="G128">
        <v>1.46</v>
      </c>
    </row>
    <row r="129" spans="1:7" x14ac:dyDescent="0.3">
      <c r="A129" s="2" t="s">
        <v>34</v>
      </c>
      <c r="B129" s="4">
        <v>428.05</v>
      </c>
      <c r="C129" s="4">
        <v>1.18</v>
      </c>
      <c r="E129" t="str">
        <v>ITC LTD</v>
      </c>
      <c r="F129">
        <v>428.05</v>
      </c>
      <c r="G129">
        <v>1.18</v>
      </c>
    </row>
    <row r="130" spans="1:7" x14ac:dyDescent="0.3">
      <c r="A130" s="2" t="s">
        <v>35</v>
      </c>
      <c r="B130" s="4">
        <v>303.64999999999998</v>
      </c>
      <c r="C130" s="4">
        <v>-0.2</v>
      </c>
      <c r="E130" t="str">
        <v>JIO FIN SERVICES LTD</v>
      </c>
      <c r="F130">
        <v>303.64999999999998</v>
      </c>
      <c r="G130">
        <v>-0.2</v>
      </c>
    </row>
    <row r="131" spans="1:7" x14ac:dyDescent="0.3">
      <c r="A131" s="2" t="s">
        <v>36</v>
      </c>
      <c r="B131" s="4">
        <v>1005.65</v>
      </c>
      <c r="C131" s="4">
        <v>-0.23</v>
      </c>
      <c r="E131" t="str">
        <v>JSW STEEL LIMITED</v>
      </c>
      <c r="F131">
        <v>1005.65</v>
      </c>
      <c r="G131">
        <v>-0.23</v>
      </c>
    </row>
    <row r="132" spans="1:7" x14ac:dyDescent="0.3">
      <c r="A132" s="2" t="s">
        <v>37</v>
      </c>
      <c r="B132" s="4">
        <v>2156.8000000000002</v>
      </c>
      <c r="C132" s="4">
        <v>0.87</v>
      </c>
      <c r="E132" t="str">
        <v>KOTAK MAHINDRA BANK LTD</v>
      </c>
      <c r="F132">
        <v>2156.8000000000002</v>
      </c>
      <c r="G132">
        <v>0.87</v>
      </c>
    </row>
    <row r="133" spans="1:7" x14ac:dyDescent="0.3">
      <c r="A133" s="2" t="s">
        <v>38</v>
      </c>
      <c r="B133" s="4">
        <v>3676.7</v>
      </c>
      <c r="C133" s="4">
        <v>-0.06</v>
      </c>
      <c r="E133" t="str">
        <v>LARSEN &amp; TOUBRO LTD.</v>
      </c>
      <c r="F133">
        <v>3676.7</v>
      </c>
      <c r="G133">
        <v>-0.06</v>
      </c>
    </row>
    <row r="134" spans="1:7" x14ac:dyDescent="0.3">
      <c r="A134" s="2" t="s">
        <v>39</v>
      </c>
      <c r="B134" s="4">
        <v>3084</v>
      </c>
      <c r="C134" s="4">
        <v>-0.11</v>
      </c>
      <c r="E134" t="str">
        <v>MAHINDRA &amp; MAHINDRA LTD</v>
      </c>
      <c r="F134">
        <v>3084</v>
      </c>
      <c r="G134">
        <v>-0.11</v>
      </c>
    </row>
    <row r="135" spans="1:7" x14ac:dyDescent="0.3">
      <c r="A135" s="2" t="s">
        <v>40</v>
      </c>
      <c r="B135" s="4">
        <v>12618</v>
      </c>
      <c r="C135" s="4">
        <v>-0.15</v>
      </c>
      <c r="E135" t="str">
        <v>MARUTI SUZUKI INDIA LTD.</v>
      </c>
      <c r="F135">
        <v>12618</v>
      </c>
      <c r="G135">
        <v>-0.15</v>
      </c>
    </row>
    <row r="136" spans="1:7" x14ac:dyDescent="0.3">
      <c r="A136" s="2" t="s">
        <v>41</v>
      </c>
      <c r="B136" s="4">
        <v>2434</v>
      </c>
      <c r="C136" s="4">
        <v>0.77</v>
      </c>
      <c r="E136" t="str">
        <v>NESTLE INDIA LIMITED</v>
      </c>
      <c r="F136">
        <v>2434</v>
      </c>
      <c r="G136">
        <v>0.77</v>
      </c>
    </row>
    <row r="137" spans="1:7" x14ac:dyDescent="0.3">
      <c r="A137" s="2" t="s">
        <v>42</v>
      </c>
      <c r="B137" s="4">
        <v>339.7</v>
      </c>
      <c r="C137" s="4">
        <v>0.77</v>
      </c>
      <c r="E137" t="str">
        <v>NTPC LTD</v>
      </c>
      <c r="F137">
        <v>339.7</v>
      </c>
      <c r="G137">
        <v>0.77</v>
      </c>
    </row>
    <row r="138" spans="1:7" x14ac:dyDescent="0.3">
      <c r="A138" s="2" t="s">
        <v>43</v>
      </c>
      <c r="B138" s="4">
        <v>243.5</v>
      </c>
      <c r="C138" s="4">
        <v>0.28999999999999998</v>
      </c>
      <c r="E138" t="str">
        <v>OIL AND NATURAL GAS CORP.</v>
      </c>
      <c r="F138">
        <v>243.5</v>
      </c>
      <c r="G138">
        <v>0.28999999999999998</v>
      </c>
    </row>
    <row r="139" spans="1:7" x14ac:dyDescent="0.3">
      <c r="A139" s="2" t="s">
        <v>44</v>
      </c>
      <c r="B139" s="4">
        <v>300.8</v>
      </c>
      <c r="C139" s="4">
        <v>0.1</v>
      </c>
      <c r="E139" t="str">
        <v>POWER GRID CORP. LTD.</v>
      </c>
      <c r="F139">
        <v>300.8</v>
      </c>
      <c r="G139">
        <v>0.1</v>
      </c>
    </row>
    <row r="140" spans="1:7" x14ac:dyDescent="0.3">
      <c r="A140" s="2" t="s">
        <v>45</v>
      </c>
      <c r="B140" s="4">
        <v>1440.7</v>
      </c>
      <c r="C140" s="4">
        <v>-0.56000000000000005</v>
      </c>
      <c r="E140" t="str">
        <v>RELIANCE INDUSTRIES LTD</v>
      </c>
      <c r="F140">
        <v>1440.7</v>
      </c>
      <c r="G140">
        <v>-0.56000000000000005</v>
      </c>
    </row>
    <row r="141" spans="1:7" x14ac:dyDescent="0.3">
      <c r="A141" s="2" t="s">
        <v>46</v>
      </c>
      <c r="B141" s="4">
        <v>1780</v>
      </c>
      <c r="C141" s="4">
        <v>-0.6</v>
      </c>
      <c r="E141" t="str">
        <v>SBI LIFE INSURANCE CO LTD</v>
      </c>
      <c r="F141">
        <v>1780</v>
      </c>
      <c r="G141">
        <v>-0.6</v>
      </c>
    </row>
    <row r="142" spans="1:7" x14ac:dyDescent="0.3">
      <c r="A142" s="2" t="s">
        <v>48</v>
      </c>
      <c r="B142" s="4">
        <v>696.55</v>
      </c>
      <c r="C142" s="4">
        <v>-0.21</v>
      </c>
      <c r="E142" t="str">
        <v>SHRIRAM FINANCE LIMITED</v>
      </c>
      <c r="F142">
        <v>696.55</v>
      </c>
      <c r="G142">
        <v>-0.21</v>
      </c>
    </row>
    <row r="143" spans="1:7" x14ac:dyDescent="0.3">
      <c r="A143" s="2" t="s">
        <v>47</v>
      </c>
      <c r="B143" s="4">
        <v>817.3</v>
      </c>
      <c r="C143" s="4">
        <v>-0.34</v>
      </c>
      <c r="E143" t="str">
        <v>STATE BANK OF INDIA</v>
      </c>
      <c r="F143">
        <v>817.3</v>
      </c>
      <c r="G143">
        <v>-0.34</v>
      </c>
    </row>
    <row r="144" spans="1:7" x14ac:dyDescent="0.3">
      <c r="A144" s="2" t="s">
        <v>49</v>
      </c>
      <c r="B144" s="4">
        <v>1690.2</v>
      </c>
      <c r="C144" s="4">
        <v>-0.25</v>
      </c>
      <c r="E144" t="str">
        <v>SUN PHARMACEUTICAL IND L</v>
      </c>
      <c r="F144">
        <v>1690.2</v>
      </c>
      <c r="G144">
        <v>-0.25</v>
      </c>
    </row>
    <row r="145" spans="1:7" x14ac:dyDescent="0.3">
      <c r="A145" s="2" t="s">
        <v>53</v>
      </c>
      <c r="B145" s="4">
        <v>3462.9</v>
      </c>
      <c r="C145" s="4">
        <v>1.2</v>
      </c>
      <c r="E145" t="str">
        <v>TATA CONSULTANCY SERV LT</v>
      </c>
      <c r="F145">
        <v>3462.9</v>
      </c>
      <c r="G145">
        <v>1.2</v>
      </c>
    </row>
    <row r="146" spans="1:7" x14ac:dyDescent="0.3">
      <c r="A146" s="2" t="s">
        <v>50</v>
      </c>
      <c r="B146" s="4">
        <v>1121.0999999999999</v>
      </c>
      <c r="C146" s="4">
        <v>-0.01</v>
      </c>
      <c r="E146" t="str">
        <v>TATA CONSUMER PRODUCT LTD</v>
      </c>
      <c r="F146">
        <v>1121.0999999999999</v>
      </c>
      <c r="G146">
        <v>-0.01</v>
      </c>
    </row>
    <row r="147" spans="1:7" x14ac:dyDescent="0.3">
      <c r="A147" s="2" t="s">
        <v>51</v>
      </c>
      <c r="B147" s="4">
        <v>733.3</v>
      </c>
      <c r="C147" s="4">
        <v>2.16</v>
      </c>
      <c r="E147" t="str">
        <v>TATA MOTORS LIMITED</v>
      </c>
      <c r="F147">
        <v>733.3</v>
      </c>
      <c r="G147">
        <v>2.16</v>
      </c>
    </row>
    <row r="148" spans="1:7" x14ac:dyDescent="0.3">
      <c r="A148" s="2" t="s">
        <v>52</v>
      </c>
      <c r="B148" s="4">
        <v>156.25</v>
      </c>
      <c r="C148" s="4">
        <v>-0.68</v>
      </c>
      <c r="E148" t="str">
        <v>TATA STEEL LIMITED</v>
      </c>
      <c r="F148">
        <v>156.25</v>
      </c>
      <c r="G148">
        <v>-0.68</v>
      </c>
    </row>
    <row r="149" spans="1:7" x14ac:dyDescent="0.3">
      <c r="A149" s="2" t="s">
        <v>54</v>
      </c>
      <c r="B149" s="4">
        <v>1614</v>
      </c>
      <c r="C149" s="4">
        <v>2.21</v>
      </c>
      <c r="E149" t="str">
        <v>TECH MAHINDRA LIMITED</v>
      </c>
      <c r="F149">
        <v>1614</v>
      </c>
      <c r="G149">
        <v>2.21</v>
      </c>
    </row>
    <row r="150" spans="1:7" x14ac:dyDescent="0.3">
      <c r="A150" s="2" t="s">
        <v>55</v>
      </c>
      <c r="B150" s="4">
        <v>3521.2</v>
      </c>
      <c r="C150" s="4">
        <v>-0.36</v>
      </c>
      <c r="E150" t="str">
        <v>TITAN COMPANY LIMITED</v>
      </c>
      <c r="F150">
        <v>3521.2</v>
      </c>
      <c r="G150">
        <v>-0.36</v>
      </c>
    </row>
    <row r="151" spans="1:7" x14ac:dyDescent="0.3">
      <c r="A151" s="2" t="s">
        <v>56</v>
      </c>
      <c r="B151" s="4">
        <v>5841</v>
      </c>
      <c r="C151" s="4">
        <v>-1.23</v>
      </c>
      <c r="E151" t="str">
        <v>TRENT LTD</v>
      </c>
      <c r="F151">
        <v>5841</v>
      </c>
      <c r="G151">
        <v>-1.23</v>
      </c>
    </row>
    <row r="152" spans="1:7" x14ac:dyDescent="0.3">
      <c r="A152" s="2" t="s">
        <v>57</v>
      </c>
      <c r="B152" s="4">
        <v>11420</v>
      </c>
      <c r="C152" s="4">
        <v>1.42</v>
      </c>
      <c r="E152" t="str">
        <v>ULTRATECH CEMENT LIMITED</v>
      </c>
      <c r="F152">
        <v>11420</v>
      </c>
      <c r="G152">
        <v>1.42</v>
      </c>
    </row>
    <row r="153" spans="1:7" x14ac:dyDescent="0.3">
      <c r="A153" s="2" t="s">
        <v>58</v>
      </c>
      <c r="B153" s="4">
        <v>254.73</v>
      </c>
      <c r="C153" s="4">
        <v>1.37</v>
      </c>
      <c r="E153" t="str">
        <v>WIPRO LTD</v>
      </c>
      <c r="F153">
        <v>254.73</v>
      </c>
      <c r="G153">
        <v>1.37</v>
      </c>
    </row>
  </sheetData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EDC-B5A3-4842-A2E8-488E08FD3104}">
  <dimension ref="A1"/>
  <sheetViews>
    <sheetView showGridLines="0" showRowColHeaders="0" topLeftCell="A2" workbookViewId="0">
      <selection activeCell="N9" sqref="N9"/>
    </sheetView>
  </sheetViews>
  <sheetFormatPr defaultRowHeight="14.4" x14ac:dyDescent="0.3"/>
  <cols>
    <col min="1" max="1" width="8.88671875" style="3"/>
    <col min="2" max="2" width="24.88671875" style="3" bestFit="1" customWidth="1"/>
    <col min="3" max="3" width="9.88671875" style="3" bestFit="1" customWidth="1"/>
    <col min="4" max="16384" width="8.88671875" style="3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1E6B-E13E-4412-BBB9-3294D1402643}">
  <dimension ref="C4:Q54"/>
  <sheetViews>
    <sheetView tabSelected="1" workbookViewId="0">
      <selection activeCell="A3" sqref="A3"/>
    </sheetView>
  </sheetViews>
  <sheetFormatPr defaultRowHeight="14.4" x14ac:dyDescent="0.3"/>
  <cols>
    <col min="3" max="3" width="27.21875" bestFit="1" customWidth="1"/>
    <col min="4" max="4" width="7" bestFit="1" customWidth="1"/>
    <col min="5" max="5" width="6.6640625" bestFit="1" customWidth="1"/>
    <col min="8" max="8" width="10.109375" customWidth="1"/>
    <col min="9" max="9" width="11" bestFit="1" customWidth="1"/>
    <col min="10" max="10" width="12.88671875" customWidth="1"/>
    <col min="11" max="11" width="12.6640625" customWidth="1"/>
    <col min="14" max="14" width="27.21875" bestFit="1" customWidth="1"/>
    <col min="15" max="15" width="8.88671875" customWidth="1"/>
    <col min="16" max="16" width="9.109375" customWidth="1"/>
  </cols>
  <sheetData>
    <row r="4" spans="3:17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N4" t="s">
        <v>0</v>
      </c>
      <c r="O4" t="s">
        <v>65</v>
      </c>
      <c r="P4" t="s">
        <v>66</v>
      </c>
      <c r="Q4" t="s">
        <v>67</v>
      </c>
    </row>
    <row r="5" spans="3:17" x14ac:dyDescent="0.3">
      <c r="C5" t="s">
        <v>9</v>
      </c>
      <c r="D5" cm="1">
        <f t="array" ref="D5">[1]!'1000025_0'</f>
        <v>2629.3</v>
      </c>
      <c r="E5" cm="1">
        <f t="array" ref="E5">[2]!'1000025_0'</f>
        <v>1</v>
      </c>
      <c r="F5" cm="1">
        <f t="array" ref="F5">[3]!'1000025_0'</f>
        <v>47.2</v>
      </c>
      <c r="G5" cm="1">
        <f t="array" ref="G5">[4]!'1000025_0'</f>
        <v>1.83</v>
      </c>
      <c r="H5" cm="1">
        <f t="array" ref="H5">[5]!'1000025_0'</f>
        <v>119332</v>
      </c>
      <c r="I5" cm="1">
        <f t="array" ref="I5">[6]!'1000025_0'</f>
        <v>1544087</v>
      </c>
      <c r="J5">
        <v>-19.8</v>
      </c>
      <c r="K5">
        <v>14.71</v>
      </c>
      <c r="N5" t="s">
        <v>9</v>
      </c>
      <c r="O5" cm="1">
        <f t="array" ref="O5">[7]!'1000025_0'</f>
        <v>4</v>
      </c>
      <c r="P5" cm="1">
        <f t="array" ref="P5">[8]!'1000025_0'</f>
        <v>39</v>
      </c>
      <c r="Q5" cm="1">
        <f t="array" ref="Q5">[9]!'1000025_0'</f>
        <v>0</v>
      </c>
    </row>
    <row r="6" spans="3:17" x14ac:dyDescent="0.3">
      <c r="C6" t="s">
        <v>10</v>
      </c>
      <c r="D6" cm="1">
        <f t="array" ref="D6">[1]!'1015083_0'</f>
        <v>1477.7</v>
      </c>
      <c r="E6" cm="1">
        <f t="array" ref="E6">[2]!'1015083_0'</f>
        <v>343</v>
      </c>
      <c r="F6" cm="1">
        <f t="array" ref="F6">[3]!'1015083_0'</f>
        <v>10.6</v>
      </c>
      <c r="G6" cm="1">
        <f t="array" ref="G6">[4]!'1015083_0'</f>
        <v>0.72</v>
      </c>
      <c r="H6" cm="1">
        <f t="array" ref="H6">[5]!'1015083_0'</f>
        <v>169720</v>
      </c>
      <c r="I6" cm="1">
        <f t="array" ref="I6">[6]!'1015083_0'</f>
        <v>1445138</v>
      </c>
      <c r="J6">
        <v>6.4</v>
      </c>
      <c r="K6">
        <v>12.31</v>
      </c>
      <c r="N6" t="s">
        <v>10</v>
      </c>
      <c r="O6" cm="1">
        <f t="array" ref="O6">[7]!'1015083_0'</f>
        <v>800</v>
      </c>
      <c r="P6" cm="1">
        <f t="array" ref="P6">[8]!'1015083_0'</f>
        <v>72</v>
      </c>
      <c r="Q6" cm="1">
        <f t="array" ref="Q6">[9]!'1015083_0'</f>
        <v>0</v>
      </c>
    </row>
    <row r="7" spans="3:17" x14ac:dyDescent="0.3">
      <c r="C7" t="s">
        <v>11</v>
      </c>
      <c r="D7" cm="1">
        <f t="array" ref="D7">[1]!'1000157_0'</f>
        <v>6925</v>
      </c>
      <c r="E7" cm="1">
        <f t="array" ref="E7">[2]!'1000157_0'</f>
        <v>4</v>
      </c>
      <c r="F7" cm="1">
        <f t="array" ref="F7">[3]!'1000157_0'</f>
        <v>-7</v>
      </c>
      <c r="G7" cm="1">
        <f t="array" ref="G7">[4]!'1000157_0'</f>
        <v>-0.1</v>
      </c>
      <c r="H7" cm="1">
        <f t="array" ref="H7">[5]!'1000157_0'</f>
        <v>28619</v>
      </c>
      <c r="I7" cm="1">
        <f t="array" ref="I7">[6]!'1000157_0'</f>
        <v>427550</v>
      </c>
      <c r="J7">
        <v>15.25</v>
      </c>
      <c r="K7">
        <v>3.12</v>
      </c>
      <c r="N7" t="s">
        <v>11</v>
      </c>
      <c r="O7" cm="1">
        <f t="array" ref="O7">[7]!'1000157_0'</f>
        <v>18</v>
      </c>
      <c r="P7" cm="1">
        <f t="array" ref="P7">[8]!'1000157_0'</f>
        <v>225</v>
      </c>
      <c r="Q7" cm="1">
        <f t="array" ref="Q7">[9]!'1000157_0'</f>
        <v>0</v>
      </c>
    </row>
    <row r="8" spans="3:17" x14ac:dyDescent="0.3">
      <c r="C8" t="s">
        <v>12</v>
      </c>
      <c r="D8" cm="1">
        <f t="array" ref="D8">[1]!'1000236_0'</f>
        <v>2223.1999999999998</v>
      </c>
      <c r="E8" cm="1">
        <f t="array" ref="E8">[2]!'1000236_0'</f>
        <v>44</v>
      </c>
      <c r="F8" cm="1">
        <f t="array" ref="F8">[3]!'1000236_0'</f>
        <v>-24.7</v>
      </c>
      <c r="G8" cm="1">
        <f t="array" ref="G8">[4]!'1000236_0'</f>
        <v>-1.1000000000000001</v>
      </c>
      <c r="H8" cm="1">
        <f t="array" ref="H8">[5]!'1000236_0'</f>
        <v>191751</v>
      </c>
      <c r="I8" cm="1">
        <f t="array" ref="I8">[6]!'1000236_0'</f>
        <v>864225</v>
      </c>
      <c r="J8">
        <v>-23.22</v>
      </c>
      <c r="K8">
        <v>-2.25</v>
      </c>
      <c r="N8" t="s">
        <v>12</v>
      </c>
      <c r="O8" cm="1">
        <f t="array" ref="O8">[7]!'1000236_0'</f>
        <v>9</v>
      </c>
      <c r="P8" cm="1">
        <f t="array" ref="P8">[8]!'1000236_0'</f>
        <v>30</v>
      </c>
      <c r="Q8" cm="1">
        <f t="array" ref="Q8">[9]!'1000236_0'</f>
        <v>0</v>
      </c>
    </row>
    <row r="9" spans="3:17" x14ac:dyDescent="0.3">
      <c r="C9" t="s">
        <v>13</v>
      </c>
      <c r="D9" cm="1">
        <f t="array" ref="D9">[1]!'1005900_0'</f>
        <v>1228.8</v>
      </c>
      <c r="E9" cm="1">
        <f t="array" ref="E9">[2]!'1005900_0'</f>
        <v>211</v>
      </c>
      <c r="F9" cm="1">
        <f t="array" ref="F9">[3]!'1005900_0'</f>
        <v>8.9</v>
      </c>
      <c r="G9" cm="1">
        <f t="array" ref="G9">[4]!'1005900_0'</f>
        <v>0.73</v>
      </c>
      <c r="H9" cm="1">
        <f t="array" ref="H9">[5]!'1005900_0'</f>
        <v>263350</v>
      </c>
      <c r="I9" cm="1">
        <f t="array" ref="I9">[6]!'1005900_0'</f>
        <v>4591044</v>
      </c>
      <c r="J9">
        <v>2.79</v>
      </c>
      <c r="K9">
        <v>5.98</v>
      </c>
      <c r="N9" t="s">
        <v>13</v>
      </c>
      <c r="O9" cm="1">
        <f t="array" ref="O9">[7]!'1005900_0'</f>
        <v>263</v>
      </c>
      <c r="P9" cm="1">
        <f t="array" ref="P9">[8]!'1005900_0'</f>
        <v>420</v>
      </c>
      <c r="Q9" cm="1">
        <f t="array" ref="Q9">[9]!'1005900_0'</f>
        <v>0</v>
      </c>
    </row>
    <row r="10" spans="3:17" x14ac:dyDescent="0.3">
      <c r="C10" t="s">
        <v>14</v>
      </c>
      <c r="D10" cm="1">
        <f t="array" ref="D10">[1]!'1016669_0'</f>
        <v>8640.5</v>
      </c>
      <c r="E10" cm="1">
        <f t="array" ref="E10">[2]!'1016669_0'</f>
        <v>10</v>
      </c>
      <c r="F10" cm="1">
        <f t="array" ref="F10">[3]!'1016669_0'</f>
        <v>-0.5</v>
      </c>
      <c r="G10" cm="1">
        <f t="array" ref="G10">[4]!'1016669_0'</f>
        <v>-0.01</v>
      </c>
      <c r="H10" cm="1">
        <f t="array" ref="H10">[5]!'1016669_0'</f>
        <v>34362</v>
      </c>
      <c r="I10" cm="1">
        <f t="array" ref="I10">[6]!'1016669_0'</f>
        <v>256670</v>
      </c>
      <c r="J10">
        <v>-11.15</v>
      </c>
      <c r="K10">
        <v>12.48</v>
      </c>
      <c r="N10" t="s">
        <v>14</v>
      </c>
      <c r="O10" cm="1">
        <f t="array" ref="O10">[7]!'1016669_0'</f>
        <v>8</v>
      </c>
      <c r="P10" cm="1">
        <f t="array" ref="P10">[8]!'1016669_0'</f>
        <v>29</v>
      </c>
      <c r="Q10" cm="1">
        <f t="array" ref="Q10">[9]!'1016669_0'</f>
        <v>0</v>
      </c>
    </row>
    <row r="11" spans="3:17" x14ac:dyDescent="0.3">
      <c r="C11" t="s">
        <v>15</v>
      </c>
      <c r="D11" cm="1">
        <f t="array" ref="D11">[1]!'1016675_0'</f>
        <v>2004.2</v>
      </c>
      <c r="E11" cm="1">
        <f t="array" ref="E11">[2]!'1016675_0'</f>
        <v>1971</v>
      </c>
      <c r="F11" cm="1">
        <f t="array" ref="F11">[3]!'1016675_0'</f>
        <v>-13.2</v>
      </c>
      <c r="G11" cm="1">
        <f t="array" ref="G11">[4]!'1016675_0'</f>
        <v>-0.65</v>
      </c>
      <c r="H11" cm="1">
        <f t="array" ref="H11">[5]!'1016675_0'</f>
        <v>216655</v>
      </c>
      <c r="I11" cm="1">
        <f t="array" ref="I11">[6]!'1016675_0'</f>
        <v>2573964</v>
      </c>
      <c r="J11">
        <v>28.69</v>
      </c>
      <c r="K11">
        <v>2.41</v>
      </c>
      <c r="N11" t="s">
        <v>15</v>
      </c>
      <c r="O11" cm="1">
        <f t="array" ref="O11">[7]!'1016675_0'</f>
        <v>248</v>
      </c>
      <c r="P11" cm="1">
        <f t="array" ref="P11">[8]!'1016675_0'</f>
        <v>52</v>
      </c>
      <c r="Q11" cm="1">
        <f t="array" ref="Q11">[9]!'1016675_0'</f>
        <v>0</v>
      </c>
    </row>
    <row r="12" spans="3:17" x14ac:dyDescent="0.3">
      <c r="C12" t="s">
        <v>16</v>
      </c>
      <c r="D12" cm="1">
        <f t="array" ref="D12">[1]!'1000317_0'</f>
        <v>9506</v>
      </c>
      <c r="E12" cm="1">
        <f t="array" ref="E12">[2]!'1000317_0'</f>
        <v>3</v>
      </c>
      <c r="F12" cm="1">
        <f t="array" ref="F12">[3]!'1000317_0'</f>
        <v>-101.5</v>
      </c>
      <c r="G12" cm="1">
        <f t="array" ref="G12">[4]!'1000317_0'</f>
        <v>-1.06</v>
      </c>
      <c r="H12" cm="1">
        <f t="array" ref="H12">[5]!'1000317_0'</f>
        <v>54621</v>
      </c>
      <c r="I12" cm="1">
        <f t="array" ref="I12">[6]!'1000317_0'</f>
        <v>595763</v>
      </c>
      <c r="J12">
        <v>33.6</v>
      </c>
      <c r="K12">
        <v>11.19</v>
      </c>
      <c r="N12" t="s">
        <v>16</v>
      </c>
      <c r="O12" cm="1">
        <f t="array" ref="O12">[7]!'1000317_0'</f>
        <v>10</v>
      </c>
      <c r="P12" cm="1">
        <f t="array" ref="P12">[8]!'1000317_0'</f>
        <v>25</v>
      </c>
      <c r="Q12" cm="1">
        <f t="array" ref="Q12">[9]!'1000317_0'</f>
        <v>0</v>
      </c>
    </row>
    <row r="13" spans="3:17" x14ac:dyDescent="0.3">
      <c r="C13" t="s">
        <v>17</v>
      </c>
      <c r="D13" cm="1">
        <f t="array" ref="D13">[1]!'1000383_0'</f>
        <v>397</v>
      </c>
      <c r="E13" cm="1">
        <f t="array" ref="E13">[2]!'1000383_0'</f>
        <v>323</v>
      </c>
      <c r="F13" cm="1">
        <f t="array" ref="F13">[3]!'1000383_0'</f>
        <v>4.55</v>
      </c>
      <c r="G13" cm="1">
        <f t="array" ref="G13">[4]!'1000383_0'</f>
        <v>1.1599999999999999</v>
      </c>
      <c r="H13" cm="1">
        <f t="array" ref="H13">[5]!'1000383_0'</f>
        <v>1604754</v>
      </c>
      <c r="I13" cm="1">
        <f t="array" ref="I13">[6]!'1000383_0'</f>
        <v>21694292</v>
      </c>
      <c r="J13">
        <v>38.58</v>
      </c>
      <c r="K13">
        <v>24.25</v>
      </c>
      <c r="N13" t="s">
        <v>17</v>
      </c>
      <c r="O13" cm="1">
        <f t="array" ref="O13">[7]!'1000383_0'</f>
        <v>3155</v>
      </c>
      <c r="P13" cm="1">
        <f t="array" ref="P13">[8]!'1000383_0'</f>
        <v>1377</v>
      </c>
      <c r="Q13" cm="1">
        <f t="array" ref="Q13">[9]!'1000383_0'</f>
        <v>0</v>
      </c>
    </row>
    <row r="14" spans="3:17" x14ac:dyDescent="0.3">
      <c r="C14" t="s">
        <v>18</v>
      </c>
      <c r="D14" cm="1">
        <f t="array" ref="D14">[1]!'1010604_0'</f>
        <v>1859.2</v>
      </c>
      <c r="E14" cm="1">
        <f t="array" ref="E14">[2]!'1010604_0'</f>
        <v>14</v>
      </c>
      <c r="F14" cm="1">
        <f t="array" ref="F14">[3]!'1010604_0'</f>
        <v>-5.9</v>
      </c>
      <c r="G14" cm="1">
        <f t="array" ref="G14">[4]!'1010604_0'</f>
        <v>-0.32</v>
      </c>
      <c r="H14" cm="1">
        <f t="array" ref="H14">[5]!'1010604_0'</f>
        <v>221163</v>
      </c>
      <c r="I14" cm="1">
        <f t="array" ref="I14">[6]!'1010604_0'</f>
        <v>4354364</v>
      </c>
      <c r="J14">
        <v>30.86</v>
      </c>
      <c r="K14">
        <v>0.9</v>
      </c>
      <c r="N14" t="s">
        <v>18</v>
      </c>
      <c r="O14" cm="1">
        <f t="array" ref="O14">[7]!'1010604_0'</f>
        <v>2</v>
      </c>
      <c r="P14" cm="1">
        <f t="array" ref="P14">[8]!'1010604_0'</f>
        <v>293</v>
      </c>
      <c r="Q14" cm="1">
        <f t="array" ref="Q14">[9]!'1010604_0'</f>
        <v>0</v>
      </c>
    </row>
    <row r="15" spans="3:17" x14ac:dyDescent="0.3">
      <c r="C15" t="s">
        <v>19</v>
      </c>
      <c r="D15" cm="1">
        <f t="array" ref="D15">[1]!'1000694_0'</f>
        <v>1510.4</v>
      </c>
      <c r="E15" cm="1">
        <f t="array" ref="E15">[2]!'1000694_0'</f>
        <v>77</v>
      </c>
      <c r="F15" cm="1">
        <f t="array" ref="F15">[3]!'1000694_0'</f>
        <v>3.8</v>
      </c>
      <c r="G15" cm="1">
        <f t="array" ref="G15">[4]!'1000694_0'</f>
        <v>0.25</v>
      </c>
      <c r="H15" cm="1">
        <f t="array" ref="H15">[5]!'1000694_0'</f>
        <v>136189</v>
      </c>
      <c r="I15" cm="1">
        <f t="array" ref="I15">[6]!'1000694_0'</f>
        <v>451770</v>
      </c>
      <c r="J15">
        <v>0.62</v>
      </c>
      <c r="K15">
        <v>1.8</v>
      </c>
      <c r="N15" t="s">
        <v>19</v>
      </c>
      <c r="O15" cm="1">
        <f t="array" ref="O15">[7]!'1000694_0'</f>
        <v>12</v>
      </c>
      <c r="P15" cm="1">
        <f t="array" ref="P15">[8]!'1000694_0'</f>
        <v>258</v>
      </c>
      <c r="Q15" cm="1">
        <f t="array" ref="Q15">[9]!'1000694_0'</f>
        <v>0</v>
      </c>
    </row>
    <row r="16" spans="3:17" x14ac:dyDescent="0.3">
      <c r="C16" t="s">
        <v>20</v>
      </c>
      <c r="D16" cm="1">
        <f t="array" ref="D16">[1]!'1020374_0'</f>
        <v>400.8</v>
      </c>
      <c r="E16" cm="1">
        <f t="array" ref="E16">[2]!'1020374_0'</f>
        <v>927</v>
      </c>
      <c r="F16" cm="1">
        <f t="array" ref="F16">[3]!'1020374_0'</f>
        <v>-0.2</v>
      </c>
      <c r="G16" cm="1">
        <f t="array" ref="G16">[4]!'1020374_0'</f>
        <v>-0.05</v>
      </c>
      <c r="H16" cm="1">
        <f t="array" ref="H16">[5]!'1020374_0'</f>
        <v>585709</v>
      </c>
      <c r="I16" cm="1">
        <f t="array" ref="I16">[6]!'1020374_0'</f>
        <v>4634219</v>
      </c>
      <c r="J16">
        <v>-16.309999999999999</v>
      </c>
      <c r="K16">
        <v>4.8600000000000003</v>
      </c>
      <c r="N16" t="s">
        <v>20</v>
      </c>
      <c r="O16" cm="1">
        <f t="array" ref="O16">[7]!'1020374_0'</f>
        <v>562</v>
      </c>
      <c r="P16" cm="1">
        <f t="array" ref="P16">[8]!'1020374_0'</f>
        <v>23</v>
      </c>
      <c r="Q16" cm="1">
        <f t="array" ref="Q16">[9]!'1020374_0'</f>
        <v>0</v>
      </c>
    </row>
    <row r="17" spans="3:17" x14ac:dyDescent="0.3">
      <c r="C17" t="s">
        <v>21</v>
      </c>
      <c r="D17" cm="1">
        <f t="array" ref="D17">[1]!'1000881_0'</f>
        <v>1360.4</v>
      </c>
      <c r="E17" cm="1">
        <f t="array" ref="E17">[2]!'1000881_0'</f>
        <v>2</v>
      </c>
      <c r="F17" cm="1">
        <f t="array" ref="F17">[3]!'1000881_0'</f>
        <v>41.3</v>
      </c>
      <c r="G17" cm="1">
        <f t="array" ref="G17">[4]!'1000881_0'</f>
        <v>3.13</v>
      </c>
      <c r="H17" cm="1">
        <f t="array" ref="H17">[5]!'1000881_0'</f>
        <v>216416</v>
      </c>
      <c r="I17" cm="1">
        <f t="array" ref="I17">[6]!'1000881_0'</f>
        <v>1572624</v>
      </c>
      <c r="J17">
        <v>8.81</v>
      </c>
      <c r="K17">
        <v>14.12</v>
      </c>
      <c r="N17" t="s">
        <v>21</v>
      </c>
      <c r="O17" cm="1">
        <f t="array" ref="O17">[7]!'1000881_0'</f>
        <v>1</v>
      </c>
      <c r="P17" cm="1">
        <f t="array" ref="P17">[8]!'1000881_0'</f>
        <v>117</v>
      </c>
      <c r="Q17" cm="1">
        <f t="array" ref="Q17">[9]!'1000881_0'</f>
        <v>0</v>
      </c>
    </row>
    <row r="18" spans="3:17" x14ac:dyDescent="0.3">
      <c r="C18" t="s">
        <v>22</v>
      </c>
      <c r="D18" cm="1">
        <f t="array" ref="D18">[1]!'1000910_0'</f>
        <v>5393.5</v>
      </c>
      <c r="E18" cm="1">
        <f t="array" ref="E18">[2]!'1000910_0'</f>
        <v>1</v>
      </c>
      <c r="F18" cm="1">
        <f t="array" ref="F18">[3]!'1000910_0'</f>
        <v>2.5</v>
      </c>
      <c r="G18" cm="1">
        <f t="array" ref="G18">[4]!'1000910_0'</f>
        <v>0.05</v>
      </c>
      <c r="H18" cm="1">
        <f t="array" ref="H18">[5]!'1000910_0'</f>
        <v>40974</v>
      </c>
      <c r="I18" cm="1">
        <f t="array" ref="I18">[6]!'1000910_0'</f>
        <v>255216</v>
      </c>
      <c r="J18">
        <v>13.21</v>
      </c>
      <c r="K18">
        <v>1.26</v>
      </c>
      <c r="N18" t="s">
        <v>22</v>
      </c>
      <c r="O18" cm="1">
        <f t="array" ref="O18">[7]!'1000910_0'</f>
        <v>5</v>
      </c>
      <c r="P18" cm="1">
        <f t="array" ref="P18">[8]!'1000910_0'</f>
        <v>14</v>
      </c>
      <c r="Q18" cm="1">
        <f t="array" ref="Q18">[9]!'1000910_0'</f>
        <v>0</v>
      </c>
    </row>
    <row r="19" spans="3:17" x14ac:dyDescent="0.3">
      <c r="C19" t="s">
        <v>23</v>
      </c>
      <c r="D19" cm="1">
        <f t="array" ref="D19">[1]!'1005097_0'</f>
        <v>254.48</v>
      </c>
      <c r="E19" cm="1">
        <f t="array" ref="E19">[2]!'1005097_0'</f>
        <v>2658</v>
      </c>
      <c r="F19" cm="1">
        <f t="array" ref="F19">[3]!'1005097_0'</f>
        <v>-2.36</v>
      </c>
      <c r="G19" cm="1">
        <f t="array" ref="G19">[4]!'1005097_0'</f>
        <v>-0.92</v>
      </c>
      <c r="H19" cm="1">
        <f t="array" ref="H19">[5]!'1005097_0'</f>
        <v>1535095</v>
      </c>
      <c r="I19" cm="1">
        <f t="array" ref="I19">[6]!'1005097_0'</f>
        <v>18129613</v>
      </c>
      <c r="J19">
        <v>39.590000000000003</v>
      </c>
      <c r="K19">
        <v>13.08</v>
      </c>
      <c r="N19" t="s">
        <v>23</v>
      </c>
      <c r="O19" cm="1">
        <f t="array" ref="O19">[7]!'1005097_0'</f>
        <v>403</v>
      </c>
      <c r="P19" cm="1">
        <f t="array" ref="P19">[8]!'1005097_0'</f>
        <v>452</v>
      </c>
      <c r="Q19" cm="1">
        <f t="array" ref="Q19">[9]!'1005097_0'</f>
        <v>0</v>
      </c>
    </row>
    <row r="20" spans="3:17" x14ac:dyDescent="0.3">
      <c r="C20" t="s">
        <v>24</v>
      </c>
      <c r="D20" cm="1">
        <f t="array" ref="D20">[1]!'1001232_0'</f>
        <v>2713</v>
      </c>
      <c r="E20" cm="1">
        <f t="array" ref="E20">[2]!'1001232_0'</f>
        <v>72</v>
      </c>
      <c r="F20" cm="1">
        <f t="array" ref="F20">[3]!'1001232_0'</f>
        <v>104.5</v>
      </c>
      <c r="G20" cm="1">
        <f t="array" ref="G20">[4]!'1001232_0'</f>
        <v>4.01</v>
      </c>
      <c r="H20" cm="1">
        <f t="array" ref="H20">[5]!'1001232_0'</f>
        <v>108669</v>
      </c>
      <c r="I20" cm="1">
        <f t="array" ref="I20">[6]!'1001232_0'</f>
        <v>2426447</v>
      </c>
      <c r="J20">
        <v>9.61</v>
      </c>
      <c r="K20">
        <v>-1</v>
      </c>
      <c r="N20" t="s">
        <v>24</v>
      </c>
      <c r="O20" cm="1">
        <f t="array" ref="O20">[7]!'1001232_0'</f>
        <v>43</v>
      </c>
      <c r="P20" cm="1">
        <f t="array" ref="P20">[8]!'1001232_0'</f>
        <v>1139</v>
      </c>
      <c r="Q20" cm="1">
        <f t="array" ref="Q20">[9]!'1001232_0'</f>
        <v>0</v>
      </c>
    </row>
    <row r="21" spans="3:17" x14ac:dyDescent="0.3">
      <c r="C21" t="s">
        <v>25</v>
      </c>
      <c r="D21" cm="1">
        <f t="array" ref="D21">[1]!'1007229_0'</f>
        <v>1668.6</v>
      </c>
      <c r="E21" cm="1">
        <f t="array" ref="E21">[2]!'1007229_0'</f>
        <v>14</v>
      </c>
      <c r="F21" cm="1">
        <f t="array" ref="F21">[3]!'1007229_0'</f>
        <v>20.3</v>
      </c>
      <c r="G21" cm="1">
        <f t="array" ref="G21">[4]!'1007229_0'</f>
        <v>1.23</v>
      </c>
      <c r="H21" cm="1">
        <f t="array" ref="H21">[5]!'1007229_0'</f>
        <v>170961</v>
      </c>
      <c r="I21" cm="1">
        <f t="array" ref="I21">[6]!'1007229_0'</f>
        <v>2048297</v>
      </c>
      <c r="J21">
        <v>15.14</v>
      </c>
      <c r="K21">
        <v>5.03</v>
      </c>
      <c r="N21" t="s">
        <v>25</v>
      </c>
      <c r="O21" cm="1">
        <f t="array" ref="O21">[7]!'1007229_0'</f>
        <v>1</v>
      </c>
      <c r="P21" cm="1">
        <f t="array" ref="P21">[8]!'1007229_0'</f>
        <v>1</v>
      </c>
      <c r="Q21" cm="1">
        <f t="array" ref="Q21">[9]!'1007229_0'</f>
        <v>0</v>
      </c>
    </row>
    <row r="22" spans="3:17" x14ac:dyDescent="0.3">
      <c r="C22" t="s">
        <v>26</v>
      </c>
      <c r="D22" cm="1">
        <f t="array" ref="D22">[1]!'1001333_0'</f>
        <v>1964.6</v>
      </c>
      <c r="E22" cm="1">
        <f t="array" ref="E22">[2]!'1001333_0'</f>
        <v>441</v>
      </c>
      <c r="F22" cm="1">
        <f t="array" ref="F22">[3]!'1001333_0'</f>
        <v>-14.3</v>
      </c>
      <c r="G22" cm="1">
        <f t="array" ref="G22">[4]!'1001333_0'</f>
        <v>-0.72</v>
      </c>
      <c r="H22" cm="1">
        <f t="array" ref="H22">[5]!'1001333_0'</f>
        <v>256287</v>
      </c>
      <c r="I22" cm="1">
        <f t="array" ref="I22">[6]!'1001333_0'</f>
        <v>4101126</v>
      </c>
      <c r="J22">
        <v>25.78</v>
      </c>
      <c r="K22">
        <v>4.72</v>
      </c>
      <c r="N22" t="s">
        <v>26</v>
      </c>
      <c r="O22" cm="1">
        <f t="array" ref="O22">[7]!'1001333_0'</f>
        <v>396</v>
      </c>
      <c r="P22" cm="1">
        <f t="array" ref="P22">[8]!'1001333_0'</f>
        <v>1081</v>
      </c>
      <c r="Q22" cm="1">
        <f t="array" ref="Q22">[9]!'1001333_0'</f>
        <v>0</v>
      </c>
    </row>
    <row r="23" spans="3:17" x14ac:dyDescent="0.3">
      <c r="C23" t="s">
        <v>27</v>
      </c>
      <c r="D23" cm="1">
        <f t="array" ref="D23">[1]!'1000467_0'</f>
        <v>759.4</v>
      </c>
      <c r="E23" cm="1">
        <f t="array" ref="E23">[2]!'1000467_0'</f>
        <v>83</v>
      </c>
      <c r="F23" cm="1">
        <f t="array" ref="F23">[3]!'1000467_0'</f>
        <v>-1</v>
      </c>
      <c r="G23" cm="1">
        <f t="array" ref="G23">[4]!'1000467_0'</f>
        <v>-0.13</v>
      </c>
      <c r="H23" cm="1">
        <f t="array" ref="H23">[5]!'1000467_0'</f>
        <v>281830</v>
      </c>
      <c r="I23" cm="1">
        <f t="array" ref="I23">[6]!'1000467_0'</f>
        <v>1444514</v>
      </c>
      <c r="J23">
        <v>35.07</v>
      </c>
      <c r="K23">
        <v>6.56</v>
      </c>
      <c r="N23" t="s">
        <v>27</v>
      </c>
      <c r="O23" cm="1">
        <f t="array" ref="O23">[7]!'1000467_0'</f>
        <v>222</v>
      </c>
      <c r="P23" cm="1">
        <f t="array" ref="P23">[8]!'1000467_0'</f>
        <v>71</v>
      </c>
      <c r="Q23" cm="1">
        <f t="array" ref="Q23">[9]!'1000467_0'</f>
        <v>0</v>
      </c>
    </row>
    <row r="24" spans="3:17" x14ac:dyDescent="0.3">
      <c r="C24" t="s">
        <v>28</v>
      </c>
      <c r="D24" cm="1">
        <f t="array" ref="D24">[1]!'1001348_0'</f>
        <v>4384</v>
      </c>
      <c r="E24" cm="1">
        <f t="array" ref="E24">[2]!'1001348_0'</f>
        <v>18</v>
      </c>
      <c r="F24" cm="1">
        <f t="array" ref="F24">[3]!'1001348_0'</f>
        <v>34.6</v>
      </c>
      <c r="G24" cm="1">
        <f t="array" ref="G24">[4]!'1001348_0'</f>
        <v>0.8</v>
      </c>
      <c r="H24" cm="1">
        <f t="array" ref="H24">[5]!'1001348_0'</f>
        <v>48075</v>
      </c>
      <c r="I24" cm="1">
        <f t="array" ref="I24">[6]!'1001348_0'</f>
        <v>289133</v>
      </c>
      <c r="J24">
        <v>-22.08</v>
      </c>
      <c r="K24">
        <v>12.86</v>
      </c>
      <c r="N24" t="s">
        <v>28</v>
      </c>
      <c r="O24" cm="1">
        <f t="array" ref="O24">[7]!'1001348_0'</f>
        <v>1</v>
      </c>
      <c r="P24" cm="1">
        <f t="array" ref="P24">[8]!'1001348_0'</f>
        <v>22</v>
      </c>
      <c r="Q24" cm="1">
        <f t="array" ref="Q24">[9]!'1001348_0'</f>
        <v>0</v>
      </c>
    </row>
    <row r="25" spans="3:17" x14ac:dyDescent="0.3">
      <c r="C25" t="s">
        <v>29</v>
      </c>
      <c r="D25" cm="1">
        <f t="array" ref="D25">[1]!'1001363_0'</f>
        <v>659.6</v>
      </c>
      <c r="E25" cm="1">
        <f t="array" ref="E25">[2]!'1001363_0'</f>
        <v>1898</v>
      </c>
      <c r="F25" cm="1">
        <f t="array" ref="F25">[3]!'1001363_0'</f>
        <v>8.8000000000000007</v>
      </c>
      <c r="G25" cm="1">
        <f t="array" ref="G25">[4]!'1001363_0'</f>
        <v>1.35</v>
      </c>
      <c r="H25" cm="1">
        <f t="array" ref="H25">[5]!'1001363_0'</f>
        <v>445571</v>
      </c>
      <c r="I25" cm="1">
        <f t="array" ref="I25">[6]!'1001363_0'</f>
        <v>3964066</v>
      </c>
      <c r="J25">
        <v>-4.34</v>
      </c>
      <c r="K25">
        <v>3.77</v>
      </c>
      <c r="N25" t="s">
        <v>29</v>
      </c>
      <c r="O25" cm="1">
        <f t="array" ref="O25">[7]!'1001363_0'</f>
        <v>159</v>
      </c>
      <c r="P25" cm="1">
        <f t="array" ref="P25">[8]!'1001363_0'</f>
        <v>1630</v>
      </c>
      <c r="Q25" cm="1">
        <f t="array" ref="Q25">[9]!'1001363_0'</f>
        <v>0</v>
      </c>
    </row>
    <row r="26" spans="3:17" x14ac:dyDescent="0.3">
      <c r="C26" t="s">
        <v>30</v>
      </c>
      <c r="D26" cm="1">
        <f t="array" ref="D26">[1]!'1001394_0'</f>
        <v>2394.6999999999998</v>
      </c>
      <c r="E26" cm="1">
        <f t="array" ref="E26">[2]!'1001394_0'</f>
        <v>44</v>
      </c>
      <c r="F26" cm="1">
        <f t="array" ref="F26">[3]!'1001394_0'</f>
        <v>1.5</v>
      </c>
      <c r="G26" cm="1">
        <f t="array" ref="G26">[4]!'1001394_0'</f>
        <v>0.06</v>
      </c>
      <c r="H26" cm="1">
        <f t="array" ref="H26">[5]!'1001394_0'</f>
        <v>131756</v>
      </c>
      <c r="I26" cm="1">
        <f t="array" ref="I26">[6]!'1001394_0'</f>
        <v>1034296</v>
      </c>
      <c r="J26">
        <v>-7.16</v>
      </c>
      <c r="K26">
        <v>2.58</v>
      </c>
      <c r="N26" t="s">
        <v>30</v>
      </c>
      <c r="O26" cm="1">
        <f t="array" ref="O26">[7]!'1001394_0'</f>
        <v>30</v>
      </c>
      <c r="P26" cm="1">
        <f t="array" ref="P26">[8]!'1001394_0'</f>
        <v>4</v>
      </c>
      <c r="Q26" cm="1">
        <f t="array" ref="Q26">[9]!'1001394_0'</f>
        <v>0</v>
      </c>
    </row>
    <row r="27" spans="3:17" x14ac:dyDescent="0.3">
      <c r="C27" t="s">
        <v>31</v>
      </c>
      <c r="D27" cm="1">
        <f t="array" ref="D27">[1]!'1004963_0'</f>
        <v>1423.8</v>
      </c>
      <c r="E27" cm="1">
        <f t="array" ref="E27">[2]!'1004963_0'</f>
        <v>96</v>
      </c>
      <c r="F27" cm="1">
        <f t="array" ref="F27">[3]!'1004963_0'</f>
        <v>-11</v>
      </c>
      <c r="G27" cm="1">
        <f t="array" ref="G27">[4]!'1004963_0'</f>
        <v>-0.77</v>
      </c>
      <c r="H27" cm="1">
        <f t="array" ref="H27">[5]!'1004963_0'</f>
        <v>460000</v>
      </c>
      <c r="I27" cm="1">
        <f t="array" ref="I27">[6]!'1004963_0'</f>
        <v>9388874</v>
      </c>
      <c r="J27">
        <v>27.91</v>
      </c>
      <c r="K27">
        <v>3.3</v>
      </c>
      <c r="N27" t="s">
        <v>31</v>
      </c>
      <c r="O27" cm="1">
        <f t="array" ref="O27">[7]!'1004963_0'</f>
        <v>971</v>
      </c>
      <c r="P27" cm="1">
        <f t="array" ref="P27">[8]!'1004963_0'</f>
        <v>1</v>
      </c>
      <c r="Q27" cm="1">
        <f t="array" ref="Q27">[9]!'1004963_0'</f>
        <v>0</v>
      </c>
    </row>
    <row r="28" spans="3:17" x14ac:dyDescent="0.3">
      <c r="C28" t="s">
        <v>32</v>
      </c>
      <c r="D28" cm="1">
        <f t="array" ref="D28">[1]!'1005258_0'</f>
        <v>845.55</v>
      </c>
      <c r="E28" cm="1">
        <f t="array" ref="E28">[2]!'1005258_0'</f>
        <v>189</v>
      </c>
      <c r="F28" cm="1">
        <f t="array" ref="F28">[3]!'1005258_0'</f>
        <v>8.9</v>
      </c>
      <c r="G28" cm="1">
        <f t="array" ref="G28">[4]!'1005258_0'</f>
        <v>1.06</v>
      </c>
      <c r="H28" cm="1">
        <f t="array" ref="H28">[5]!'1005258_0'</f>
        <v>386675</v>
      </c>
      <c r="I28" cm="1">
        <f t="array" ref="I28">[6]!'1005258_0'</f>
        <v>7876093</v>
      </c>
      <c r="J28">
        <v>-43.93</v>
      </c>
      <c r="K28">
        <v>2.25</v>
      </c>
      <c r="N28" t="s">
        <v>32</v>
      </c>
      <c r="O28" cm="1">
        <f t="array" ref="O28">[7]!'1005258_0'</f>
        <v>83</v>
      </c>
      <c r="P28" cm="1">
        <f t="array" ref="P28">[8]!'1005258_0'</f>
        <v>112</v>
      </c>
      <c r="Q28" cm="1">
        <f t="array" ref="Q28">[9]!'1005258_0'</f>
        <v>0</v>
      </c>
    </row>
    <row r="29" spans="3:17" x14ac:dyDescent="0.3">
      <c r="C29" t="s">
        <v>33</v>
      </c>
      <c r="D29" cm="1">
        <f t="array" ref="D29">[1]!'1001594_0'</f>
        <v>1595.9</v>
      </c>
      <c r="E29" cm="1">
        <f t="array" ref="E29">[2]!'1001594_0'</f>
        <v>16</v>
      </c>
      <c r="F29" cm="1">
        <f t="array" ref="F29">[3]!'1001594_0'</f>
        <v>23</v>
      </c>
      <c r="G29" cm="1">
        <f t="array" ref="G29">[4]!'1001594_0'</f>
        <v>1.46</v>
      </c>
      <c r="H29" cm="1">
        <f t="array" ref="H29">[5]!'1001594_0'</f>
        <v>965277</v>
      </c>
      <c r="I29" cm="1">
        <f t="array" ref="I29">[6]!'1001594_0'</f>
        <v>6011622</v>
      </c>
      <c r="J29">
        <v>2.56</v>
      </c>
      <c r="K29">
        <v>4.33</v>
      </c>
      <c r="N29" t="s">
        <v>33</v>
      </c>
      <c r="O29" cm="1">
        <f t="array" ref="O29">[7]!'1001594_0'</f>
        <v>34</v>
      </c>
      <c r="P29" cm="1">
        <f t="array" ref="P29">[8]!'1001594_0'</f>
        <v>157</v>
      </c>
      <c r="Q29" cm="1">
        <f t="array" ref="Q29">[9]!'1001594_0'</f>
        <v>0</v>
      </c>
    </row>
    <row r="30" spans="3:17" x14ac:dyDescent="0.3">
      <c r="C30" t="s">
        <v>34</v>
      </c>
      <c r="D30" cm="1">
        <f t="array" ref="D30">[1]!'1001660_0'</f>
        <v>428.05</v>
      </c>
      <c r="E30" cm="1">
        <f t="array" ref="E30">[2]!'1001660_0'</f>
        <v>2364</v>
      </c>
      <c r="F30" cm="1">
        <f t="array" ref="F30">[3]!'1001660_0'</f>
        <v>5</v>
      </c>
      <c r="G30" cm="1">
        <f t="array" ref="G30">[4]!'1001660_0'</f>
        <v>1.18</v>
      </c>
      <c r="H30" cm="1">
        <f t="array" ref="H30">[5]!'1001660_0'</f>
        <v>1098452</v>
      </c>
      <c r="I30" cm="1">
        <f t="array" ref="I30">[6]!'1001660_0'</f>
        <v>7682182</v>
      </c>
      <c r="J30">
        <v>-3.67</v>
      </c>
      <c r="K30">
        <v>-0.12</v>
      </c>
      <c r="N30" t="s">
        <v>34</v>
      </c>
      <c r="O30" cm="1">
        <f t="array" ref="O30">[7]!'1001660_0'</f>
        <v>531</v>
      </c>
      <c r="P30" cm="1">
        <f t="array" ref="P30">[8]!'1001660_0'</f>
        <v>428</v>
      </c>
      <c r="Q30" cm="1">
        <f t="array" ref="Q30">[9]!'1001660_0'</f>
        <v>0</v>
      </c>
    </row>
    <row r="31" spans="3:17" x14ac:dyDescent="0.3">
      <c r="C31" t="s">
        <v>35</v>
      </c>
      <c r="D31" cm="1">
        <f t="array" ref="D31">[1]!'1018143_0'</f>
        <v>303.64999999999998</v>
      </c>
      <c r="E31" cm="1">
        <f t="array" ref="E31">[2]!'1018143_0'</f>
        <v>106</v>
      </c>
      <c r="F31" cm="1">
        <f t="array" ref="F31">[3]!'1018143_0'</f>
        <v>-0.6</v>
      </c>
      <c r="G31" cm="1">
        <f t="array" ref="G31">[4]!'1018143_0'</f>
        <v>-0.2</v>
      </c>
      <c r="H31" cm="1">
        <f t="array" ref="H31">[5]!'1018143_0'</f>
        <v>1648875</v>
      </c>
      <c r="I31" cm="1">
        <f t="array" ref="I31">[6]!'1018143_0'</f>
        <v>11311956</v>
      </c>
      <c r="J31">
        <v>-13.85</v>
      </c>
      <c r="K31">
        <v>22.51</v>
      </c>
      <c r="N31" t="s">
        <v>35</v>
      </c>
      <c r="O31" cm="1">
        <f t="array" ref="O31">[7]!'1018143_0'</f>
        <v>2407</v>
      </c>
      <c r="P31" cm="1">
        <f t="array" ref="P31">[8]!'1018143_0'</f>
        <v>2083</v>
      </c>
      <c r="Q31" cm="1">
        <f t="array" ref="Q31">[9]!'1018143_0'</f>
        <v>0</v>
      </c>
    </row>
    <row r="32" spans="3:17" x14ac:dyDescent="0.3">
      <c r="C32" t="s">
        <v>36</v>
      </c>
      <c r="D32" cm="1">
        <f t="array" ref="D32">[1]!'1011723_0'</f>
        <v>1005.65</v>
      </c>
      <c r="E32" cm="1">
        <f t="array" ref="E32">[2]!'1011723_0'</f>
        <v>2</v>
      </c>
      <c r="F32" cm="1">
        <f t="array" ref="F32">[3]!'1011723_0'</f>
        <v>-2.35</v>
      </c>
      <c r="G32" cm="1">
        <f t="array" ref="G32">[4]!'1011723_0'</f>
        <v>-0.23</v>
      </c>
      <c r="H32" cm="1">
        <f t="array" ref="H32">[5]!'1011723_0'</f>
        <v>170552</v>
      </c>
      <c r="I32" cm="1">
        <f t="array" ref="I32">[6]!'1011723_0'</f>
        <v>1395231</v>
      </c>
      <c r="J32">
        <v>10.51</v>
      </c>
      <c r="K32">
        <v>5.33</v>
      </c>
      <c r="N32" t="s">
        <v>36</v>
      </c>
      <c r="O32" cm="1">
        <f t="array" ref="O32">[7]!'1011723_0'</f>
        <v>1</v>
      </c>
      <c r="P32" cm="1">
        <f t="array" ref="P32">[8]!'1011723_0'</f>
        <v>79</v>
      </c>
      <c r="Q32" cm="1">
        <f t="array" ref="Q32">[9]!'1011723_0'</f>
        <v>0</v>
      </c>
    </row>
    <row r="33" spans="3:17" x14ac:dyDescent="0.3">
      <c r="C33" t="s">
        <v>37</v>
      </c>
      <c r="D33" cm="1">
        <f t="array" ref="D33">[1]!'1001922_0'</f>
        <v>2156.8000000000002</v>
      </c>
      <c r="E33" cm="1">
        <f t="array" ref="E33">[2]!'1001922_0'</f>
        <v>31</v>
      </c>
      <c r="F33" cm="1">
        <f t="array" ref="F33">[3]!'1001922_0'</f>
        <v>18.600000000000001</v>
      </c>
      <c r="G33" cm="1">
        <f t="array" ref="G33">[4]!'1001922_0'</f>
        <v>0.87</v>
      </c>
      <c r="H33" cm="1">
        <f t="array" ref="H33">[5]!'1001922_0'</f>
        <v>190215</v>
      </c>
      <c r="I33" cm="1">
        <f t="array" ref="I33">[6]!'1001922_0'</f>
        <v>3503986</v>
      </c>
      <c r="J33">
        <v>21.93</v>
      </c>
      <c r="K33">
        <v>1.67</v>
      </c>
      <c r="N33" t="s">
        <v>37</v>
      </c>
      <c r="O33" cm="1">
        <f t="array" ref="O33">[7]!'1001922_0'</f>
        <v>25</v>
      </c>
      <c r="P33" cm="1">
        <f t="array" ref="P33">[8]!'1001922_0'</f>
        <v>1</v>
      </c>
      <c r="Q33" cm="1">
        <f t="array" ref="Q33">[9]!'1001922_0'</f>
        <v>0</v>
      </c>
    </row>
    <row r="34" spans="3:17" x14ac:dyDescent="0.3">
      <c r="C34" t="s">
        <v>38</v>
      </c>
      <c r="D34" cm="1">
        <f t="array" ref="D34">[1]!'1011483_0'</f>
        <v>3676.7</v>
      </c>
      <c r="E34" cm="1">
        <f t="array" ref="E34">[2]!'1011483_0'</f>
        <v>1</v>
      </c>
      <c r="F34" cm="1">
        <f t="array" ref="F34">[3]!'1011483_0'</f>
        <v>-2.2000000000000002</v>
      </c>
      <c r="G34" cm="1">
        <f t="array" ref="G34">[4]!'1011483_0'</f>
        <v>-0.06</v>
      </c>
      <c r="H34" cm="1">
        <f t="array" ref="H34">[5]!'1011483_0'</f>
        <v>87870</v>
      </c>
      <c r="I34" cm="1">
        <f t="array" ref="I34">[6]!'1011483_0'</f>
        <v>770708</v>
      </c>
      <c r="J34">
        <v>4.1399999999999997</v>
      </c>
      <c r="K34">
        <v>6.82</v>
      </c>
      <c r="N34" t="s">
        <v>38</v>
      </c>
      <c r="O34" cm="1">
        <f t="array" ref="O34">[7]!'1011483_0'</f>
        <v>5</v>
      </c>
      <c r="P34" cm="1">
        <f t="array" ref="P34">[8]!'1011483_0'</f>
        <v>7</v>
      </c>
      <c r="Q34" cm="1">
        <f t="array" ref="Q34">[9]!'1011483_0'</f>
        <v>0</v>
      </c>
    </row>
    <row r="35" spans="3:17" x14ac:dyDescent="0.3">
      <c r="C35" t="s">
        <v>39</v>
      </c>
      <c r="D35" cm="1">
        <f t="array" ref="D35">[1]!'1002031_0'</f>
        <v>3084</v>
      </c>
      <c r="E35" cm="1">
        <f t="array" ref="E35">[2]!'1002031_0'</f>
        <v>3</v>
      </c>
      <c r="F35" cm="1">
        <f t="array" ref="F35">[3]!'1002031_0'</f>
        <v>-3.4</v>
      </c>
      <c r="G35" cm="1">
        <f t="array" ref="G35">[4]!'1002031_0'</f>
        <v>-0.11</v>
      </c>
      <c r="H35" cm="1">
        <f t="array" ref="H35">[5]!'1002031_0'</f>
        <v>100102</v>
      </c>
      <c r="I35" cm="1">
        <f t="array" ref="I35">[6]!'1002031_0'</f>
        <v>912897</v>
      </c>
      <c r="J35">
        <v>8.0500000000000007</v>
      </c>
      <c r="K35">
        <v>3.53</v>
      </c>
      <c r="N35" t="s">
        <v>39</v>
      </c>
      <c r="O35" cm="1">
        <f t="array" ref="O35">[7]!'1002031_0'</f>
        <v>1</v>
      </c>
      <c r="P35" cm="1">
        <f t="array" ref="P35">[8]!'1002031_0'</f>
        <v>6</v>
      </c>
      <c r="Q35" cm="1">
        <f t="array" ref="Q35">[9]!'1002031_0'</f>
        <v>0</v>
      </c>
    </row>
    <row r="36" spans="3:17" x14ac:dyDescent="0.3">
      <c r="C36" t="s">
        <v>40</v>
      </c>
      <c r="D36" cm="1">
        <f t="array" ref="D36">[1]!'1010999_0'</f>
        <v>12618</v>
      </c>
      <c r="E36" cm="1">
        <f t="array" ref="E36">[2]!'1010999_0'</f>
        <v>17</v>
      </c>
      <c r="F36" cm="1">
        <f t="array" ref="F36">[3]!'1010999_0'</f>
        <v>-19</v>
      </c>
      <c r="G36" cm="1">
        <f t="array" ref="G36">[4]!'1010999_0'</f>
        <v>-0.15</v>
      </c>
      <c r="H36" cm="1">
        <f t="array" ref="H36">[5]!'1010999_0'</f>
        <v>17957</v>
      </c>
      <c r="I36" cm="1">
        <f t="array" ref="I36">[6]!'1010999_0'</f>
        <v>176880</v>
      </c>
      <c r="J36">
        <v>-1.36</v>
      </c>
      <c r="K36">
        <v>3.16</v>
      </c>
      <c r="N36" t="s">
        <v>40</v>
      </c>
      <c r="O36" cm="1">
        <f t="array" ref="O36">[7]!'1010999_0'</f>
        <v>18</v>
      </c>
      <c r="P36" cm="1">
        <f t="array" ref="P36">[8]!'1010999_0'</f>
        <v>33</v>
      </c>
      <c r="Q36" cm="1">
        <f t="array" ref="Q36">[9]!'1010999_0'</f>
        <v>0</v>
      </c>
    </row>
    <row r="37" spans="3:17" x14ac:dyDescent="0.3">
      <c r="C37" t="s">
        <v>41</v>
      </c>
      <c r="D37" cm="1">
        <f t="array" ref="D37">[1]!'1017963_0'</f>
        <v>2434</v>
      </c>
      <c r="E37" cm="1">
        <f t="array" ref="E37">[2]!'1017963_0'</f>
        <v>21</v>
      </c>
      <c r="F37" cm="1">
        <f t="array" ref="F37">[3]!'1017963_0'</f>
        <v>18.7</v>
      </c>
      <c r="G37" cm="1">
        <f t="array" ref="G37">[4]!'1017963_0'</f>
        <v>0.77</v>
      </c>
      <c r="H37" cm="1">
        <f t="array" ref="H37">[5]!'1017963_0'</f>
        <v>75968</v>
      </c>
      <c r="I37" cm="1">
        <f t="array" ref="I37">[6]!'1017963_0'</f>
        <v>441608</v>
      </c>
      <c r="J37">
        <v>-3.48</v>
      </c>
      <c r="K37">
        <v>3.87</v>
      </c>
      <c r="N37" t="s">
        <v>41</v>
      </c>
      <c r="O37" cm="1">
        <f t="array" ref="O37">[7]!'1017963_0'</f>
        <v>2</v>
      </c>
      <c r="P37" cm="1">
        <f t="array" ref="P37">[8]!'1017963_0'</f>
        <v>1</v>
      </c>
      <c r="Q37" cm="1">
        <f t="array" ref="Q37">[9]!'1017963_0'</f>
        <v>0</v>
      </c>
    </row>
    <row r="38" spans="3:17" x14ac:dyDescent="0.3">
      <c r="C38" t="s">
        <v>42</v>
      </c>
      <c r="D38" cm="1">
        <f t="array" ref="D38">[1]!'1011630_0'</f>
        <v>339.7</v>
      </c>
      <c r="E38" cm="1">
        <f t="array" ref="E38">[2]!'1011630_0'</f>
        <v>992</v>
      </c>
      <c r="F38" cm="1">
        <f t="array" ref="F38">[3]!'1011630_0'</f>
        <v>2.6</v>
      </c>
      <c r="G38" cm="1">
        <f t="array" ref="G38">[4]!'1011630_0'</f>
        <v>0.77</v>
      </c>
      <c r="H38" cm="1">
        <f t="array" ref="H38">[5]!'1011630_0'</f>
        <v>828812</v>
      </c>
      <c r="I38" cm="1">
        <f t="array" ref="I38">[6]!'1011630_0'</f>
        <v>7289426</v>
      </c>
      <c r="J38">
        <v>-6.52</v>
      </c>
      <c r="K38">
        <v>0.7</v>
      </c>
      <c r="N38" t="s">
        <v>42</v>
      </c>
      <c r="O38" cm="1">
        <f t="array" ref="O38">[7]!'1011630_0'</f>
        <v>6734</v>
      </c>
      <c r="P38" cm="1">
        <f t="array" ref="P38">[8]!'1011630_0'</f>
        <v>1873</v>
      </c>
      <c r="Q38" cm="1">
        <f t="array" ref="Q38">[9]!'1011630_0'</f>
        <v>0</v>
      </c>
    </row>
    <row r="39" spans="3:17" x14ac:dyDescent="0.3">
      <c r="C39" t="s">
        <v>43</v>
      </c>
      <c r="D39" cm="1">
        <f t="array" ref="D39">[1]!'1002475_0'</f>
        <v>243.5</v>
      </c>
      <c r="E39" cm="1">
        <f t="array" ref="E39">[2]!'1002475_0'</f>
        <v>5</v>
      </c>
      <c r="F39" cm="1">
        <f t="array" ref="F39">[3]!'1002475_0'</f>
        <v>0.7</v>
      </c>
      <c r="G39" cm="1">
        <f t="array" ref="G39">[4]!'1002475_0'</f>
        <v>0.28999999999999998</v>
      </c>
      <c r="H39" cm="1">
        <f t="array" ref="H39">[5]!'1002475_0'</f>
        <v>963284</v>
      </c>
      <c r="I39" cm="1">
        <f t="array" ref="I39">[6]!'1002475_0'</f>
        <v>4366878</v>
      </c>
      <c r="J39">
        <v>-6.76</v>
      </c>
      <c r="K39">
        <v>3.34</v>
      </c>
      <c r="N39" t="s">
        <v>43</v>
      </c>
      <c r="O39" cm="1">
        <f t="array" ref="O39">[7]!'1002475_0'</f>
        <v>150</v>
      </c>
      <c r="P39" cm="1">
        <f t="array" ref="P39">[8]!'1002475_0'</f>
        <v>288</v>
      </c>
      <c r="Q39" cm="1">
        <f t="array" ref="Q39">[9]!'1002475_0'</f>
        <v>0</v>
      </c>
    </row>
    <row r="40" spans="3:17" x14ac:dyDescent="0.3">
      <c r="C40" t="s">
        <v>44</v>
      </c>
      <c r="D40" cm="1">
        <f t="array" ref="D40">[1]!'1014977_0'</f>
        <v>300.8</v>
      </c>
      <c r="E40" cm="1">
        <f t="array" ref="E40">[2]!'1014977_0'</f>
        <v>1123</v>
      </c>
      <c r="F40" cm="1">
        <f t="array" ref="F40">[3]!'1014977_0'</f>
        <v>0.3</v>
      </c>
      <c r="G40" cm="1">
        <f t="array" ref="G40">[4]!'1014977_0'</f>
        <v>0.1</v>
      </c>
      <c r="H40" cm="1">
        <f t="array" ref="H40">[5]!'1014977_0'</f>
        <v>898614</v>
      </c>
      <c r="I40" cm="1">
        <f t="array" ref="I40">[6]!'1014977_0'</f>
        <v>3357198</v>
      </c>
      <c r="J40">
        <v>-2.86</v>
      </c>
      <c r="K40">
        <v>0.4</v>
      </c>
      <c r="N40" t="s">
        <v>44</v>
      </c>
      <c r="O40" cm="1">
        <f t="array" ref="O40">[7]!'1014977_0'</f>
        <v>3251</v>
      </c>
      <c r="P40" cm="1">
        <f t="array" ref="P40">[8]!'1014977_0'</f>
        <v>19</v>
      </c>
      <c r="Q40" cm="1">
        <f t="array" ref="Q40">[9]!'1014977_0'</f>
        <v>0</v>
      </c>
    </row>
    <row r="41" spans="3:17" x14ac:dyDescent="0.3">
      <c r="C41" t="s">
        <v>45</v>
      </c>
      <c r="D41" cm="1">
        <f t="array" ref="D41">[1]!'1002885_0'</f>
        <v>1440.7</v>
      </c>
      <c r="E41" cm="1">
        <f t="array" ref="E41">[2]!'1002885_0'</f>
        <v>2820</v>
      </c>
      <c r="F41" cm="1">
        <f t="array" ref="F41">[3]!'1002885_0'</f>
        <v>-8.1</v>
      </c>
      <c r="G41" cm="1">
        <f t="array" ref="G41">[4]!'1002885_0'</f>
        <v>-0.56000000000000005</v>
      </c>
      <c r="H41" cm="1">
        <f t="array" ref="H41">[5]!'1002885_0'</f>
        <v>297643</v>
      </c>
      <c r="I41" cm="1">
        <f t="array" ref="I41">[6]!'1002885_0'</f>
        <v>3856260</v>
      </c>
      <c r="J41">
        <v>-1.44</v>
      </c>
      <c r="K41">
        <v>5.2</v>
      </c>
      <c r="N41" t="s">
        <v>45</v>
      </c>
      <c r="O41" cm="1">
        <f t="array" ref="O41">[7]!'1002885_0'</f>
        <v>1844</v>
      </c>
      <c r="P41" cm="1">
        <f t="array" ref="P41">[8]!'1002885_0'</f>
        <v>87</v>
      </c>
      <c r="Q41" cm="1">
        <f t="array" ref="Q41">[9]!'1002885_0'</f>
        <v>0</v>
      </c>
    </row>
    <row r="42" spans="3:17" x14ac:dyDescent="0.3">
      <c r="C42" t="s">
        <v>46</v>
      </c>
      <c r="D42" cm="1">
        <f t="array" ref="D42">[1]!'1021808_0'</f>
        <v>1780</v>
      </c>
      <c r="E42" cm="1">
        <f t="array" ref="E42">[2]!'1021808_0'</f>
        <v>249</v>
      </c>
      <c r="F42" cm="1">
        <f t="array" ref="F42">[3]!'1021808_0'</f>
        <v>-10.8</v>
      </c>
      <c r="G42" cm="1">
        <f t="array" ref="G42">[4]!'1021808_0'</f>
        <v>-0.6</v>
      </c>
      <c r="H42" cm="1">
        <f t="array" ref="H42">[5]!'1021808_0'</f>
        <v>93734</v>
      </c>
      <c r="I42" cm="1">
        <f t="array" ref="I42">[6]!'1021808_0'</f>
        <v>581665</v>
      </c>
      <c r="J42">
        <v>25.6</v>
      </c>
      <c r="K42">
        <v>5.35</v>
      </c>
      <c r="N42" t="s">
        <v>46</v>
      </c>
      <c r="O42" cm="1">
        <f t="array" ref="O42">[7]!'1021808_0'</f>
        <v>297</v>
      </c>
      <c r="P42" cm="1">
        <f t="array" ref="P42">[8]!'1021808_0'</f>
        <v>78</v>
      </c>
      <c r="Q42" cm="1">
        <f t="array" ref="Q42">[9]!'1021808_0'</f>
        <v>0</v>
      </c>
    </row>
    <row r="43" spans="3:17" x14ac:dyDescent="0.3">
      <c r="C43" t="s">
        <v>47</v>
      </c>
      <c r="D43" cm="1">
        <f t="array" ref="D43">[1]!'1003045_0'</f>
        <v>817.3</v>
      </c>
      <c r="E43" cm="1">
        <f t="array" ref="E43">[2]!'1003045_0'</f>
        <v>2</v>
      </c>
      <c r="F43" cm="1">
        <f t="array" ref="F43">[3]!'1003045_0'</f>
        <v>-2.75</v>
      </c>
      <c r="G43" cm="1">
        <f t="array" ref="G43">[4]!'1003045_0'</f>
        <v>-0.34</v>
      </c>
      <c r="H43" cm="1">
        <f t="array" ref="H43">[5]!'1003045_0'</f>
        <v>575902</v>
      </c>
      <c r="I43" cm="1">
        <f t="array" ref="I43">[6]!'1003045_0'</f>
        <v>4316066</v>
      </c>
      <c r="J43">
        <v>-1.19</v>
      </c>
      <c r="K43">
        <v>5.24</v>
      </c>
      <c r="N43" t="s">
        <v>47</v>
      </c>
      <c r="O43" cm="1">
        <f t="array" ref="O43">[7]!'1003045_0'</f>
        <v>1658</v>
      </c>
      <c r="P43" cm="1">
        <f t="array" ref="P43">[8]!'1003045_0'</f>
        <v>3</v>
      </c>
      <c r="Q43" cm="1">
        <f t="array" ref="Q43">[9]!'1003045_0'</f>
        <v>0</v>
      </c>
    </row>
    <row r="44" spans="3:17" x14ac:dyDescent="0.3">
      <c r="C44" t="s">
        <v>48</v>
      </c>
      <c r="D44" cm="1">
        <f t="array" ref="D44">[1]!'1004306_0'</f>
        <v>696.55</v>
      </c>
      <c r="E44" cm="1">
        <f t="array" ref="E44">[2]!'1004306_0'</f>
        <v>1057</v>
      </c>
      <c r="F44" cm="1">
        <f t="array" ref="F44">[3]!'1004306_0'</f>
        <v>-1.45</v>
      </c>
      <c r="G44" cm="1">
        <f t="array" ref="G44">[4]!'1004306_0'</f>
        <v>-0.21</v>
      </c>
      <c r="H44" cm="1">
        <f t="array" ref="H44">[5]!'1004306_0'</f>
        <v>382035</v>
      </c>
      <c r="I44" cm="1">
        <f t="array" ref="I44">[6]!'1004306_0'</f>
        <v>4070218</v>
      </c>
      <c r="J44">
        <v>39.71</v>
      </c>
      <c r="K44">
        <v>16.05</v>
      </c>
      <c r="N44" t="s">
        <v>48</v>
      </c>
      <c r="O44" cm="1">
        <f t="array" ref="O44">[7]!'1004306_0'</f>
        <v>1</v>
      </c>
      <c r="P44" cm="1">
        <f t="array" ref="P44">[8]!'1004306_0'</f>
        <v>1528</v>
      </c>
      <c r="Q44" cm="1">
        <f t="array" ref="Q44">[9]!'1004306_0'</f>
        <v>0</v>
      </c>
    </row>
    <row r="45" spans="3:17" x14ac:dyDescent="0.3">
      <c r="C45" t="s">
        <v>49</v>
      </c>
      <c r="D45" cm="1">
        <f t="array" ref="D45">[1]!'1003351_0'</f>
        <v>1690.2</v>
      </c>
      <c r="E45" cm="1">
        <f t="array" ref="E45">[2]!'1003351_0'</f>
        <v>26</v>
      </c>
      <c r="F45" cm="1">
        <f t="array" ref="F45">[3]!'1003351_0'</f>
        <v>-4.2</v>
      </c>
      <c r="G45" cm="1">
        <f t="array" ref="G45">[4]!'1003351_0'</f>
        <v>-0.25</v>
      </c>
      <c r="H45" cm="1">
        <f t="array" ref="H45">[5]!'1003351_0'</f>
        <v>0</v>
      </c>
      <c r="I45" cm="1">
        <f t="array" ref="I45">[6]!'1003351_0'</f>
        <v>1471096</v>
      </c>
      <c r="J45">
        <v>12.45</v>
      </c>
      <c r="K45">
        <v>-2.89</v>
      </c>
      <c r="N45" t="s">
        <v>49</v>
      </c>
      <c r="O45" cm="1">
        <f t="array" ref="O45">[7]!'1003351_0'</f>
        <v>0</v>
      </c>
      <c r="P45" cm="1">
        <f t="array" ref="P45">[8]!'1003351_0'</f>
        <v>0</v>
      </c>
      <c r="Q45" cm="1">
        <f t="array" ref="Q45">[9]!'1003351_0'</f>
        <v>0</v>
      </c>
    </row>
    <row r="46" spans="3:17" x14ac:dyDescent="0.3">
      <c r="C46" t="s">
        <v>50</v>
      </c>
      <c r="D46" cm="1">
        <f t="array" ref="D46">[1]!'1003432_0'</f>
        <v>1121.0999999999999</v>
      </c>
      <c r="E46" cm="1">
        <f t="array" ref="E46">[2]!'1003432_0'</f>
        <v>11</v>
      </c>
      <c r="F46" cm="1">
        <f t="array" ref="F46">[3]!'1003432_0'</f>
        <v>-0.1</v>
      </c>
      <c r="G46" cm="1">
        <f t="array" ref="G46">[4]!'1003432_0'</f>
        <v>-0.01</v>
      </c>
      <c r="H46" cm="1">
        <f t="array" ref="H46">[5]!'1003432_0'</f>
        <v>0</v>
      </c>
      <c r="I46" cm="1">
        <f t="array" ref="I46">[6]!'1003432_0'</f>
        <v>217123</v>
      </c>
      <c r="J46">
        <v>-1.27</v>
      </c>
      <c r="K46">
        <v>0.67</v>
      </c>
      <c r="N46" t="s">
        <v>50</v>
      </c>
      <c r="O46" cm="1">
        <f t="array" ref="O46">[7]!'1003432_0'</f>
        <v>0</v>
      </c>
      <c r="P46" cm="1">
        <f t="array" ref="P46">[8]!'1003432_0'</f>
        <v>0</v>
      </c>
      <c r="Q46" cm="1">
        <f t="array" ref="Q46">[9]!'1003432_0'</f>
        <v>0</v>
      </c>
    </row>
    <row r="47" spans="3:17" x14ac:dyDescent="0.3">
      <c r="C47" t="s">
        <v>51</v>
      </c>
      <c r="D47" cm="1">
        <f t="array" ref="D47">[1]!'1003456_0'</f>
        <v>733.3</v>
      </c>
      <c r="E47" cm="1">
        <f t="array" ref="E47">[2]!'1003456_0'</f>
        <v>18</v>
      </c>
      <c r="F47" cm="1">
        <f t="array" ref="F47">[3]!'1003456_0'</f>
        <v>15.5</v>
      </c>
      <c r="G47" cm="1">
        <f t="array" ref="G47">[4]!'1003456_0'</f>
        <v>2.16</v>
      </c>
      <c r="H47" cm="1">
        <f t="array" ref="H47">[5]!'1003456_0'</f>
        <v>0</v>
      </c>
      <c r="I47" cm="1">
        <f t="array" ref="I47">[6]!'1003456_0'</f>
        <v>14432955</v>
      </c>
      <c r="J47">
        <v>-26.04</v>
      </c>
      <c r="K47">
        <v>1.31</v>
      </c>
      <c r="N47" t="s">
        <v>51</v>
      </c>
      <c r="O47" cm="1">
        <f t="array" ref="O47">[7]!'1003456_0'</f>
        <v>0</v>
      </c>
      <c r="P47" cm="1">
        <f t="array" ref="P47">[8]!'1003456_0'</f>
        <v>0</v>
      </c>
      <c r="Q47" cm="1">
        <f t="array" ref="Q47">[9]!'1003456_0'</f>
        <v>0</v>
      </c>
    </row>
    <row r="48" spans="3:17" x14ac:dyDescent="0.3">
      <c r="C48" t="s">
        <v>52</v>
      </c>
      <c r="D48" cm="1">
        <f t="array" ref="D48">[1]!'1003499_0'</f>
        <v>156.25</v>
      </c>
      <c r="E48" cm="1">
        <f t="array" ref="E48">[2]!'1003499_0'</f>
        <v>473</v>
      </c>
      <c r="F48" cm="1">
        <f t="array" ref="F48">[3]!'1003499_0'</f>
        <v>-1.07</v>
      </c>
      <c r="G48" cm="1">
        <f t="array" ref="G48">[4]!'1003499_0'</f>
        <v>-0.68</v>
      </c>
      <c r="H48" cm="1">
        <f t="array" ref="H48">[5]!'1003499_0'</f>
        <v>0</v>
      </c>
      <c r="I48" cm="1">
        <f t="array" ref="I48">[6]!'1003499_0'</f>
        <v>14956905</v>
      </c>
      <c r="J48">
        <v>-12.06</v>
      </c>
      <c r="K48">
        <v>10.18</v>
      </c>
      <c r="N48" t="s">
        <v>52</v>
      </c>
      <c r="O48" cm="1">
        <f t="array" ref="O48">[7]!'1003499_0'</f>
        <v>0</v>
      </c>
      <c r="P48" cm="1">
        <f t="array" ref="P48">[8]!'1003499_0'</f>
        <v>0</v>
      </c>
      <c r="Q48" cm="1">
        <f t="array" ref="Q48">[9]!'1003499_0'</f>
        <v>0</v>
      </c>
    </row>
    <row r="49" spans="3:17" x14ac:dyDescent="0.3">
      <c r="C49" t="s">
        <v>53</v>
      </c>
      <c r="D49" cm="1">
        <f t="array" ref="D49">[1]!'1011536_0'</f>
        <v>3462.9</v>
      </c>
      <c r="E49" cm="1">
        <f t="array" ref="E49">[2]!'1011536_0'</f>
        <v>1</v>
      </c>
      <c r="F49" cm="1">
        <f t="array" ref="F49">[3]!'1011536_0'</f>
        <v>41</v>
      </c>
      <c r="G49" cm="1">
        <f t="array" ref="G49">[4]!'1011536_0'</f>
        <v>1.2</v>
      </c>
      <c r="H49" cm="1">
        <f t="array" ref="H49">[5]!'1011536_0'</f>
        <v>0</v>
      </c>
      <c r="I49" cm="1">
        <f t="array" ref="I49">[6]!'1011536_0'</f>
        <v>1803066</v>
      </c>
      <c r="J49">
        <v>-12.12</v>
      </c>
      <c r="K49">
        <v>-0.53</v>
      </c>
      <c r="N49" t="s">
        <v>53</v>
      </c>
      <c r="O49" cm="1">
        <f t="array" ref="O49">[7]!'1011536_0'</f>
        <v>0</v>
      </c>
      <c r="P49" cm="1">
        <f t="array" ref="P49">[8]!'1011536_0'</f>
        <v>0</v>
      </c>
      <c r="Q49" cm="1">
        <f t="array" ref="Q49">[9]!'1011536_0'</f>
        <v>0</v>
      </c>
    </row>
    <row r="50" spans="3:17" x14ac:dyDescent="0.3">
      <c r="C50" t="s">
        <v>54</v>
      </c>
      <c r="D50" cm="1">
        <f t="array" ref="D50">[1]!'1013538_0'</f>
        <v>1614</v>
      </c>
      <c r="E50" cm="1">
        <f t="array" ref="E50">[2]!'1013538_0'</f>
        <v>79</v>
      </c>
      <c r="F50" cm="1">
        <f t="array" ref="F50">[3]!'1013538_0'</f>
        <v>34.9</v>
      </c>
      <c r="G50" cm="1">
        <f t="array" ref="G50">[4]!'1013538_0'</f>
        <v>2.21</v>
      </c>
      <c r="H50" cm="1">
        <f t="array" ref="H50">[5]!'1013538_0'</f>
        <v>0</v>
      </c>
      <c r="I50" cm="1">
        <f t="array" ref="I50">[6]!'1013538_0'</f>
        <v>2534543</v>
      </c>
      <c r="J50">
        <v>14.63</v>
      </c>
      <c r="K50">
        <v>5.72</v>
      </c>
      <c r="N50" t="s">
        <v>54</v>
      </c>
      <c r="O50" cm="1">
        <f t="array" ref="O50">[7]!'1013538_0'</f>
        <v>0</v>
      </c>
      <c r="P50" cm="1">
        <f t="array" ref="P50">[8]!'1013538_0'</f>
        <v>0</v>
      </c>
      <c r="Q50" cm="1">
        <f t="array" ref="Q50">[9]!'1013538_0'</f>
        <v>0</v>
      </c>
    </row>
    <row r="51" spans="3:17" x14ac:dyDescent="0.3">
      <c r="C51" t="s">
        <v>55</v>
      </c>
      <c r="D51" cm="1">
        <f t="array" ref="D51">[1]!'1003506_0'</f>
        <v>3521.2</v>
      </c>
      <c r="E51" cm="1">
        <f t="array" ref="E51">[2]!'1003506_0'</f>
        <v>30</v>
      </c>
      <c r="F51" cm="1">
        <f t="array" ref="F51">[3]!'1003506_0'</f>
        <v>-12.7</v>
      </c>
      <c r="G51" cm="1">
        <f t="array" ref="G51">[4]!'1003506_0'</f>
        <v>-0.36</v>
      </c>
      <c r="H51" cm="1">
        <f t="array" ref="H51">[5]!'1003506_0'</f>
        <v>0</v>
      </c>
      <c r="I51" cm="1">
        <f t="array" ref="I51">[6]!'1003506_0'</f>
        <v>250112</v>
      </c>
      <c r="J51">
        <v>2.61</v>
      </c>
      <c r="K51">
        <v>0.67</v>
      </c>
      <c r="N51" t="s">
        <v>55</v>
      </c>
      <c r="O51" cm="1">
        <f t="array" ref="O51">[7]!'1003506_0'</f>
        <v>0</v>
      </c>
      <c r="P51" cm="1">
        <f t="array" ref="P51">[8]!'1003506_0'</f>
        <v>0</v>
      </c>
      <c r="Q51" cm="1">
        <f t="array" ref="Q51">[9]!'1003506_0'</f>
        <v>0</v>
      </c>
    </row>
    <row r="52" spans="3:17" x14ac:dyDescent="0.3">
      <c r="C52" t="s">
        <v>56</v>
      </c>
      <c r="D52" cm="1">
        <f t="array" ref="D52">[1]!'1001964_0'</f>
        <v>5841</v>
      </c>
      <c r="E52" cm="1">
        <f t="array" ref="E52">[2]!'1001964_0'</f>
        <v>51</v>
      </c>
      <c r="F52" cm="1">
        <f t="array" ref="F52">[3]!'1001964_0'</f>
        <v>-72.5</v>
      </c>
      <c r="G52" cm="1">
        <f t="array" ref="G52">[4]!'1001964_0'</f>
        <v>-1.23</v>
      </c>
      <c r="H52" cm="1">
        <f t="array" ref="H52">[5]!'1001964_0'</f>
        <v>0</v>
      </c>
      <c r="I52" cm="1">
        <f t="array" ref="I52">[6]!'1001964_0'</f>
        <v>458635</v>
      </c>
      <c r="J52">
        <v>19.11</v>
      </c>
      <c r="K52">
        <v>15.66</v>
      </c>
      <c r="N52" t="s">
        <v>56</v>
      </c>
      <c r="O52" cm="1">
        <f t="array" ref="O52">[7]!'1001964_0'</f>
        <v>0</v>
      </c>
      <c r="P52" cm="1">
        <f t="array" ref="P52">[8]!'1001964_0'</f>
        <v>0</v>
      </c>
      <c r="Q52" cm="1">
        <f t="array" ref="Q52">[9]!'1001964_0'</f>
        <v>0</v>
      </c>
    </row>
    <row r="53" spans="3:17" x14ac:dyDescent="0.3">
      <c r="C53" t="s">
        <v>57</v>
      </c>
      <c r="D53" cm="1">
        <f t="array" ref="D53">[1]!'1011532_0'</f>
        <v>11420</v>
      </c>
      <c r="E53" cm="1">
        <f t="array" ref="E53">[2]!'1011532_0'</f>
        <v>2</v>
      </c>
      <c r="F53" cm="1">
        <f t="array" ref="F53">[3]!'1011532_0'</f>
        <v>160</v>
      </c>
      <c r="G53" cm="1">
        <f t="array" ref="G53">[4]!'1011532_0'</f>
        <v>1.42</v>
      </c>
      <c r="H53" cm="1">
        <f t="array" ref="H53">[5]!'1011532_0'</f>
        <v>0</v>
      </c>
      <c r="I53" cm="1">
        <f t="array" ref="I53">[6]!'1011532_0'</f>
        <v>198202</v>
      </c>
      <c r="J53">
        <v>7.62</v>
      </c>
      <c r="K53">
        <v>-0.92</v>
      </c>
      <c r="N53" t="s">
        <v>57</v>
      </c>
      <c r="O53" cm="1">
        <f t="array" ref="O53">[7]!'1011532_0'</f>
        <v>0</v>
      </c>
      <c r="P53" cm="1">
        <f t="array" ref="P53">[8]!'1011532_0'</f>
        <v>0</v>
      </c>
      <c r="Q53" cm="1">
        <f t="array" ref="Q53">[9]!'1011532_0'</f>
        <v>0</v>
      </c>
    </row>
    <row r="54" spans="3:17" x14ac:dyDescent="0.3">
      <c r="C54" t="s">
        <v>58</v>
      </c>
      <c r="D54" cm="1">
        <f t="array" ref="D54">[1]!'1003787_0'</f>
        <v>254.73</v>
      </c>
      <c r="E54" cm="1">
        <f t="array" ref="E54">[2]!'1003787_0'</f>
        <v>11</v>
      </c>
      <c r="F54" cm="1">
        <f t="array" ref="F54">[3]!'1003787_0'</f>
        <v>3.44</v>
      </c>
      <c r="G54" cm="1">
        <f t="array" ref="G54">[4]!'1003787_0'</f>
        <v>1.37</v>
      </c>
      <c r="H54" cm="1">
        <f t="array" ref="H54">[5]!'1003787_0'</f>
        <v>0</v>
      </c>
      <c r="I54" cm="1">
        <f t="array" ref="I54">[6]!'1003787_0'</f>
        <v>8227446</v>
      </c>
      <c r="J54">
        <v>3.72</v>
      </c>
      <c r="K54">
        <v>3.83</v>
      </c>
      <c r="N54" t="s">
        <v>58</v>
      </c>
      <c r="O54" cm="1">
        <f t="array" ref="O54">[7]!'1003787_0'</f>
        <v>0</v>
      </c>
      <c r="P54" cm="1">
        <f t="array" ref="P54">[8]!'1003787_0'</f>
        <v>0</v>
      </c>
      <c r="Q54" cm="1">
        <f t="array" ref="Q54">[9]!'1003787_0'</f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yoy return </vt:lpstr>
      <vt:lpstr>stock desboard</vt:lpstr>
      <vt:lpstr>stock live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prajapati</dc:creator>
  <cp:lastModifiedBy>arun prajapati</cp:lastModifiedBy>
  <dcterms:created xsi:type="dcterms:W3CDTF">2025-06-10T05:46:26Z</dcterms:created>
  <dcterms:modified xsi:type="dcterms:W3CDTF">2025-06-10T09:48:19Z</dcterms:modified>
</cp:coreProperties>
</file>