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Users\Arunscape\Downloads\Lab3 pics\"/>
    </mc:Choice>
  </mc:AlternateContent>
  <xr:revisionPtr revIDLastSave="0" documentId="13_ncr:1_{DA4619E9-4943-43B5-A9D8-44A0EBAA0B2A}" xr6:coauthVersionLast="28" xr6:coauthVersionMax="28" xr10:uidLastSave="{00000000-0000-0000-0000-000000000000}"/>
  <bookViews>
    <workbookView xWindow="0" yWindow="600" windowWidth="24720" windowHeight="12195" xr2:uid="{00000000-000D-0000-FFFF-FFFF00000000}"/>
  </bookViews>
  <sheets>
    <sheet name="Solenoid" sheetId="1" r:id="rId1"/>
  </sheets>
  <calcPr calcId="171027"/>
</workbook>
</file>

<file path=xl/calcChain.xml><?xml version="1.0" encoding="utf-8"?>
<calcChain xmlns="http://schemas.openxmlformats.org/spreadsheetml/2006/main">
  <c r="M14" i="1" l="1"/>
  <c r="M13" i="1"/>
  <c r="M12" i="1"/>
  <c r="M11" i="1"/>
  <c r="M10" i="1"/>
  <c r="M9" i="1"/>
  <c r="M8" i="1"/>
  <c r="M6" i="1"/>
  <c r="M7" i="1"/>
  <c r="M5" i="1"/>
  <c r="N5" i="1"/>
  <c r="N6" i="1"/>
  <c r="N7" i="1"/>
  <c r="N8" i="1"/>
  <c r="N9" i="1"/>
  <c r="N10" i="1"/>
  <c r="N11" i="1"/>
  <c r="N12" i="1"/>
  <c r="N13" i="1"/>
  <c r="N14" i="1"/>
  <c r="N34" i="1" l="1" a="1"/>
  <c r="N34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0" i="1"/>
  <c r="J12" i="1"/>
  <c r="N35" i="1" l="1"/>
  <c r="O34" i="1"/>
  <c r="O38" i="1"/>
  <c r="N37" i="1"/>
  <c r="N38" i="1"/>
  <c r="O36" i="1"/>
  <c r="N36" i="1"/>
  <c r="O35" i="1"/>
  <c r="O37" i="1"/>
  <c r="J16" i="1"/>
  <c r="J17" i="1" s="1"/>
  <c r="J18" i="1"/>
  <c r="J19" i="1"/>
  <c r="J20" i="1"/>
  <c r="G26" i="1" l="1"/>
  <c r="G22" i="1"/>
  <c r="G10" i="1"/>
  <c r="G24" i="1"/>
  <c r="G28" i="1"/>
  <c r="G12" i="1"/>
  <c r="G15" i="1"/>
  <c r="G13" i="1"/>
  <c r="G11" i="1"/>
  <c r="G29" i="1"/>
  <c r="G27" i="1"/>
  <c r="G25" i="1"/>
  <c r="G23" i="1"/>
  <c r="G21" i="1"/>
  <c r="G20" i="1"/>
  <c r="G19" i="1"/>
  <c r="G18" i="1"/>
  <c r="G17" i="1"/>
  <c r="G16" i="1"/>
  <c r="G14" i="1"/>
</calcChain>
</file>

<file path=xl/sharedStrings.xml><?xml version="1.0" encoding="utf-8"?>
<sst xmlns="http://schemas.openxmlformats.org/spreadsheetml/2006/main" count="49" uniqueCount="41">
  <si>
    <t>Performed by:</t>
  </si>
  <si>
    <t>Name 1?</t>
  </si>
  <si>
    <t>Name 2?</t>
  </si>
  <si>
    <t>Table I: Axial Magnetic Field of Solenoid along Axis</t>
  </si>
  <si>
    <t>Time</t>
  </si>
  <si>
    <t>Measured</t>
  </si>
  <si>
    <t>Position</t>
  </si>
  <si>
    <t>Corrected</t>
  </si>
  <si>
    <t>Theory</t>
  </si>
  <si>
    <t>Experimental Constants:</t>
  </si>
  <si>
    <t>t</t>
  </si>
  <si>
    <t>B</t>
  </si>
  <si>
    <t>x</t>
  </si>
  <si>
    <r>
      <t>(B - B</t>
    </r>
    <r>
      <rPr>
        <sz val="10"/>
        <rFont val="Tms Rmn"/>
      </rPr>
      <t>e</t>
    </r>
    <r>
      <rPr>
        <sz val="12"/>
        <rFont val="Tms Rmn"/>
      </rPr>
      <t>)  ± 2%</t>
    </r>
  </si>
  <si>
    <t>Bt</t>
  </si>
  <si>
    <t>L =</t>
  </si>
  <si>
    <t>m</t>
  </si>
  <si>
    <t>(sec)</t>
  </si>
  <si>
    <t>(mT)</t>
  </si>
  <si>
    <t>(m)</t>
  </si>
  <si>
    <t>(T)</t>
  </si>
  <si>
    <t>R =</t>
  </si>
  <si>
    <t>paste</t>
  </si>
  <si>
    <t>N =</t>
  </si>
  <si>
    <t>I =</t>
  </si>
  <si>
    <t>A</t>
  </si>
  <si>
    <r>
      <t>Center x</t>
    </r>
    <r>
      <rPr>
        <sz val="10"/>
        <rFont val="Tms Rmn"/>
      </rPr>
      <t>_c</t>
    </r>
    <r>
      <rPr>
        <sz val="12"/>
        <rFont val="Tms Rmn"/>
      </rPr>
      <t xml:space="preserve"> =</t>
    </r>
  </si>
  <si>
    <r>
      <t>B</t>
    </r>
    <r>
      <rPr>
        <sz val="10"/>
        <rFont val="Tms Rmn"/>
      </rPr>
      <t>e</t>
    </r>
    <r>
      <rPr>
        <sz val="12"/>
        <rFont val="Tms Rmn"/>
      </rPr>
      <t xml:space="preserve"> =</t>
    </r>
  </si>
  <si>
    <t>mT</t>
  </si>
  <si>
    <t>Calculated Constants:</t>
  </si>
  <si>
    <r>
      <t>µ</t>
    </r>
    <r>
      <rPr>
        <sz val="10"/>
        <rFont val="Tms Rmn"/>
      </rPr>
      <t>o</t>
    </r>
    <r>
      <rPr>
        <sz val="12"/>
        <rFont val="Tms Rmn"/>
      </rPr>
      <t xml:space="preserve"> =</t>
    </r>
  </si>
  <si>
    <t>T-m/A</t>
  </si>
  <si>
    <r>
      <t>µ</t>
    </r>
    <r>
      <rPr>
        <sz val="10"/>
        <rFont val="Tms Rmn"/>
      </rPr>
      <t>o</t>
    </r>
    <r>
      <rPr>
        <sz val="12"/>
        <rFont val="Tms Rmn"/>
      </rPr>
      <t xml:space="preserve"> N I/2/L =</t>
    </r>
  </si>
  <si>
    <t>T</t>
  </si>
  <si>
    <t>R^2 =</t>
  </si>
  <si>
    <t>m^2</t>
  </si>
  <si>
    <r>
      <t>x</t>
    </r>
    <r>
      <rPr>
        <sz val="10"/>
        <rFont val="Tms Rmn"/>
      </rPr>
      <t>_c</t>
    </r>
    <r>
      <rPr>
        <sz val="12"/>
        <rFont val="Tms Rmn"/>
      </rPr>
      <t xml:space="preserve"> - L/2 =</t>
    </r>
  </si>
  <si>
    <r>
      <t>x</t>
    </r>
    <r>
      <rPr>
        <sz val="10"/>
        <rFont val="Tms Rmn"/>
      </rPr>
      <t>_c</t>
    </r>
    <r>
      <rPr>
        <sz val="12"/>
        <rFont val="Tms Rmn"/>
      </rPr>
      <t xml:space="preserve"> + L/2 =</t>
    </r>
  </si>
  <si>
    <t>part2 shit</t>
  </si>
  <si>
    <t>Current (A)</t>
  </si>
  <si>
    <t>B-Field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</si>
</sst>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±General"/>
    <numFmt numFmtId="165" formatCode="0.000000"/>
    <numFmt numFmtId="166" formatCode="0.000"/>
    <numFmt numFmtId="167" formatCode="0.000E+00"/>
  </numFmts>
  <fonts count="5">
    <font>
      <sz val="10"/>
      <name val="Geneva"/>
    </font>
    <font>
      <b/>
      <sz val="12"/>
      <name val="Tms Rmn"/>
    </font>
    <font>
      <sz val="10"/>
      <name val="Arial"/>
    </font>
    <font>
      <sz val="12"/>
      <name val="Tms Rmn"/>
    </font>
    <font>
      <sz val="10"/>
      <name val="Tms Rm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1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11" fontId="3" fillId="0" borderId="5" xfId="0" applyNumberFormat="1" applyFont="1" applyBorder="1" applyAlignment="1">
      <alignment horizontal="center"/>
    </xf>
    <xf numFmtId="11" fontId="3" fillId="0" borderId="0" xfId="0" applyNumberFormat="1" applyFont="1"/>
    <xf numFmtId="165" fontId="3" fillId="0" borderId="0" xfId="0" applyNumberFormat="1" applyFont="1"/>
    <xf numFmtId="0" fontId="3" fillId="0" borderId="2" xfId="0" applyFont="1" applyBorder="1"/>
    <xf numFmtId="167" fontId="3" fillId="0" borderId="0" xfId="0" applyNumberFormat="1" applyFo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11" fontId="3" fillId="0" borderId="13" xfId="0" applyNumberFormat="1" applyFont="1" applyBorder="1" applyAlignment="1">
      <alignment horizontal="center"/>
    </xf>
    <xf numFmtId="11" fontId="3" fillId="0" borderId="15" xfId="0" applyNumberFormat="1" applyFon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r>
              <a:rPr lang="en-US"/>
              <a:t>Experimental</a:t>
            </a:r>
            <a:r>
              <a:rPr lang="en-US" baseline="0"/>
              <a:t> and Theoretical Values of B field V.s. Position along the Central Axis of a Solenoid</a:t>
            </a:r>
            <a:endParaRPr lang="en-US"/>
          </a:p>
        </c:rich>
      </c:tx>
      <c:layout>
        <c:manualLayout>
          <c:xMode val="edge"/>
          <c:yMode val="edge"/>
          <c:x val="0.1698211065050968"/>
          <c:y val="1.5506795320838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50075872534142"/>
          <c:y val="8.9456869009584661E-2"/>
          <c:w val="0.84825493171471922"/>
          <c:h val="0.81948881789137384"/>
        </c:manualLayout>
      </c:layout>
      <c:scatterChart>
        <c:scatterStyle val="lineMarker"/>
        <c:varyColors val="0"/>
        <c:ser>
          <c:idx val="0"/>
          <c:order val="0"/>
          <c:tx>
            <c:v>experiment</c:v>
          </c:tx>
          <c:spPr>
            <a:ln w="19050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y"/>
            <c:errBarType val="both"/>
            <c:errValType val="percentage"/>
            <c:noEndCap val="0"/>
            <c:val val="2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Solenoid!$E$10:$E$29</c:f>
              <c:numCache>
                <c:formatCode>General</c:formatCode>
                <c:ptCount val="20"/>
                <c:pt idx="0">
                  <c:v>9.9000000000000005E-2</c:v>
                </c:pt>
                <c:pt idx="1">
                  <c:v>0.11899999999999999</c:v>
                </c:pt>
                <c:pt idx="2">
                  <c:v>0.13900000000000001</c:v>
                </c:pt>
                <c:pt idx="3">
                  <c:v>0.159</c:v>
                </c:pt>
                <c:pt idx="4">
                  <c:v>0.17899999999999999</c:v>
                </c:pt>
                <c:pt idx="5">
                  <c:v>0.19900000000000001</c:v>
                </c:pt>
                <c:pt idx="6">
                  <c:v>0.219</c:v>
                </c:pt>
                <c:pt idx="7">
                  <c:v>0.23899999999999999</c:v>
                </c:pt>
                <c:pt idx="8">
                  <c:v>0.25900000000000001</c:v>
                </c:pt>
                <c:pt idx="9">
                  <c:v>0.27900000000000003</c:v>
                </c:pt>
                <c:pt idx="10">
                  <c:v>0.29899999999999999</c:v>
                </c:pt>
                <c:pt idx="11">
                  <c:v>0.31900000000000001</c:v>
                </c:pt>
                <c:pt idx="12">
                  <c:v>0.33900000000000002</c:v>
                </c:pt>
                <c:pt idx="13">
                  <c:v>0.35899999999999999</c:v>
                </c:pt>
                <c:pt idx="14">
                  <c:v>0.379</c:v>
                </c:pt>
                <c:pt idx="15">
                  <c:v>0.39900000000000002</c:v>
                </c:pt>
              </c:numCache>
            </c:numRef>
          </c:xVal>
          <c:yVal>
            <c:numRef>
              <c:f>Solenoid!$F$10:$F$29</c:f>
              <c:numCache>
                <c:formatCode>0.00E+00</c:formatCode>
                <c:ptCount val="20"/>
                <c:pt idx="0">
                  <c:v>7.5741405239400004E-4</c:v>
                </c:pt>
                <c:pt idx="1">
                  <c:v>1.65348992372E-3</c:v>
                </c:pt>
                <c:pt idx="2">
                  <c:v>2.2499067082499997E-3</c:v>
                </c:pt>
                <c:pt idx="3">
                  <c:v>2.4509185676799996E-3</c:v>
                </c:pt>
                <c:pt idx="4">
                  <c:v>2.52012878541E-3</c:v>
                </c:pt>
                <c:pt idx="5">
                  <c:v>2.5259617862899994E-3</c:v>
                </c:pt>
                <c:pt idx="6">
                  <c:v>2.5094299133199996E-3</c:v>
                </c:pt>
                <c:pt idx="7">
                  <c:v>2.5024786687500001E-3</c:v>
                </c:pt>
                <c:pt idx="8">
                  <c:v>2.50510805256E-3</c:v>
                </c:pt>
                <c:pt idx="9">
                  <c:v>2.5153838054099995E-3</c:v>
                </c:pt>
                <c:pt idx="10">
                  <c:v>2.51169662351E-3</c:v>
                </c:pt>
                <c:pt idx="11">
                  <c:v>2.4830454067399999E-3</c:v>
                </c:pt>
                <c:pt idx="12">
                  <c:v>2.4351120419699997E-3</c:v>
                </c:pt>
                <c:pt idx="13">
                  <c:v>2.2804921843799998E-3</c:v>
                </c:pt>
                <c:pt idx="14">
                  <c:v>1.82146826001E-3</c:v>
                </c:pt>
                <c:pt idx="15">
                  <c:v>9.1094588909400006E-4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4-40A1-AFA8-E83AEB2B5336}"/>
            </c:ext>
          </c:extLst>
        </c:ser>
        <c:ser>
          <c:idx val="1"/>
          <c:order val="1"/>
          <c:tx>
            <c:v>theory</c:v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Solenoid!$E$10:$E$29</c:f>
              <c:numCache>
                <c:formatCode>General</c:formatCode>
                <c:ptCount val="20"/>
                <c:pt idx="0">
                  <c:v>9.9000000000000005E-2</c:v>
                </c:pt>
                <c:pt idx="1">
                  <c:v>0.11899999999999999</c:v>
                </c:pt>
                <c:pt idx="2">
                  <c:v>0.13900000000000001</c:v>
                </c:pt>
                <c:pt idx="3">
                  <c:v>0.159</c:v>
                </c:pt>
                <c:pt idx="4">
                  <c:v>0.17899999999999999</c:v>
                </c:pt>
                <c:pt idx="5">
                  <c:v>0.19900000000000001</c:v>
                </c:pt>
                <c:pt idx="6">
                  <c:v>0.219</c:v>
                </c:pt>
                <c:pt idx="7">
                  <c:v>0.23899999999999999</c:v>
                </c:pt>
                <c:pt idx="8">
                  <c:v>0.25900000000000001</c:v>
                </c:pt>
                <c:pt idx="9">
                  <c:v>0.27900000000000003</c:v>
                </c:pt>
                <c:pt idx="10">
                  <c:v>0.29899999999999999</c:v>
                </c:pt>
                <c:pt idx="11">
                  <c:v>0.31900000000000001</c:v>
                </c:pt>
                <c:pt idx="12">
                  <c:v>0.33900000000000002</c:v>
                </c:pt>
                <c:pt idx="13">
                  <c:v>0.35899999999999999</c:v>
                </c:pt>
                <c:pt idx="14">
                  <c:v>0.379</c:v>
                </c:pt>
                <c:pt idx="15">
                  <c:v>0.39900000000000002</c:v>
                </c:pt>
              </c:numCache>
            </c:numRef>
          </c:xVal>
          <c:yVal>
            <c:numRef>
              <c:f>Solenoid!$G$10:$G$29</c:f>
              <c:numCache>
                <c:formatCode>0.00E+00</c:formatCode>
                <c:ptCount val="20"/>
                <c:pt idx="0">
                  <c:v>1.0251188985208111E-3</c:v>
                </c:pt>
                <c:pt idx="1">
                  <c:v>2.2051575125931621E-3</c:v>
                </c:pt>
                <c:pt idx="2">
                  <c:v>2.9282738568352966E-3</c:v>
                </c:pt>
                <c:pt idx="3">
                  <c:v>3.1770541936377282E-3</c:v>
                </c:pt>
                <c:pt idx="4">
                  <c:v>3.2705992247340433E-3</c:v>
                </c:pt>
                <c:pt idx="5">
                  <c:v>3.3118415625240233E-3</c:v>
                </c:pt>
                <c:pt idx="6">
                  <c:v>3.3313670938009683E-3</c:v>
                </c:pt>
                <c:pt idx="7">
                  <c:v>3.3396130075489952E-3</c:v>
                </c:pt>
                <c:pt idx="8">
                  <c:v>3.3401481096940119E-3</c:v>
                </c:pt>
                <c:pt idx="9">
                  <c:v>3.333186351181103E-3</c:v>
                </c:pt>
                <c:pt idx="10">
                  <c:v>3.3157759874804489E-3</c:v>
                </c:pt>
                <c:pt idx="11">
                  <c:v>3.2789717368892479E-3</c:v>
                </c:pt>
                <c:pt idx="12">
                  <c:v>3.1969515952366347E-3</c:v>
                </c:pt>
                <c:pt idx="13">
                  <c:v>2.984551784666003E-3</c:v>
                </c:pt>
                <c:pt idx="14">
                  <c:v>2.3611078623082698E-3</c:v>
                </c:pt>
                <c:pt idx="15">
                  <c:v>1.1811046237568037E-3</c:v>
                </c:pt>
                <c:pt idx="16">
                  <c:v>4.4244792060911493E-5</c:v>
                </c:pt>
                <c:pt idx="17">
                  <c:v>4.4244792060911493E-5</c:v>
                </c:pt>
                <c:pt idx="18">
                  <c:v>4.4244792060911493E-5</c:v>
                </c:pt>
                <c:pt idx="19">
                  <c:v>4.4244792060911493E-5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64-40A1-AFA8-E83AEB2B5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43104"/>
        <c:axId val="494243496"/>
      </c:scatterChart>
      <c:valAx>
        <c:axId val="49424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Tms Rmn"/>
                    <a:ea typeface="Tms Rmn"/>
                    <a:cs typeface="Tms Rmn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along the central axis of the solenoid (m)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71747837369657"/>
              <c:y val="0.952465600619205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  <c:crossAx val="494243496"/>
        <c:crosses val="autoZero"/>
        <c:crossBetween val="midCat"/>
      </c:valAx>
      <c:valAx>
        <c:axId val="494243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Tms Rmn"/>
                    <a:ea typeface="Tms Rmn"/>
                    <a:cs typeface="Tms Rmn"/>
                  </a:defRPr>
                </a:pPr>
                <a:r>
                  <a:rPr lang="en-US"/>
                  <a:t>Magnitude</a:t>
                </a:r>
                <a:r>
                  <a:rPr lang="en-US" baseline="0"/>
                  <a:t> of the corrected magnetic field (T)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984123207945243E-2"/>
              <c:y val="0.405162752730974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E+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  <c:crossAx val="4942431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8254931714719274"/>
          <c:y val="0.75559105431309903"/>
          <c:w val="0.12898330804248861"/>
          <c:h val="5.27156549520766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Tms Rmn"/>
              <a:ea typeface="Tms Rmn"/>
              <a:cs typeface="Tms Rm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ms Rmn"/>
          <a:ea typeface="Tms Rmn"/>
          <a:cs typeface="Tms Rmn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Bh as a function of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130341648401538"/>
                  <c:y val="0.100387981024214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Solenoid!$M$5:$M$14</c:f>
              <c:numCache>
                <c:formatCode>General</c:formatCode>
                <c:ptCount val="10"/>
                <c:pt idx="0">
                  <c:v>6.0755154361199591E-7</c:v>
                </c:pt>
                <c:pt idx="1">
                  <c:v>1.2151030872239918E-6</c:v>
                </c:pt>
                <c:pt idx="2">
                  <c:v>1.8226546308359879E-6</c:v>
                </c:pt>
                <c:pt idx="3">
                  <c:v>2.4302061744479836E-6</c:v>
                </c:pt>
                <c:pt idx="4">
                  <c:v>3.0377577180599798E-6</c:v>
                </c:pt>
                <c:pt idx="5">
                  <c:v>3.6453092616719759E-6</c:v>
                </c:pt>
                <c:pt idx="6">
                  <c:v>4.2528608052839716E-6</c:v>
                </c:pt>
                <c:pt idx="7">
                  <c:v>4.8604123488959673E-6</c:v>
                </c:pt>
                <c:pt idx="8">
                  <c:v>5.4679638925079647E-6</c:v>
                </c:pt>
                <c:pt idx="9">
                  <c:v>6.0755154361199595E-6</c:v>
                </c:pt>
              </c:numCache>
            </c:numRef>
          </c:xVal>
          <c:yVal>
            <c:numRef>
              <c:f>Solenoid!$N$5:$N$14</c:f>
              <c:numCache>
                <c:formatCode>General</c:formatCode>
                <c:ptCount val="10"/>
                <c:pt idx="0">
                  <c:v>-1.9486151911899999E-4</c:v>
                </c:pt>
                <c:pt idx="1">
                  <c:v>-1.3396257208099998E-4</c:v>
                </c:pt>
                <c:pt idx="2">
                  <c:v>-6.9980899188800002E-5</c:v>
                </c:pt>
                <c:pt idx="3">
                  <c:v>-1.21344552038E-5</c:v>
                </c:pt>
                <c:pt idx="4">
                  <c:v>4.3656838211300001E-5</c:v>
                </c:pt>
                <c:pt idx="5">
                  <c:v>1.0803140753600001E-4</c:v>
                </c:pt>
                <c:pt idx="6">
                  <c:v>1.68628126549E-4</c:v>
                </c:pt>
                <c:pt idx="7">
                  <c:v>2.30010638426E-4</c:v>
                </c:pt>
                <c:pt idx="8">
                  <c:v>2.8679928432399996E-4</c:v>
                </c:pt>
                <c:pt idx="9">
                  <c:v>3.5105296243900005E-4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A-4E3F-9915-E3DEBAE3D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895328"/>
        <c:axId val="275907088"/>
      </c:scatterChart>
      <c:valAx>
        <c:axId val="275895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07088"/>
        <c:crosses val="autoZero"/>
        <c:crossBetween val="midCat"/>
      </c:valAx>
      <c:valAx>
        <c:axId val="27590708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/>
                  <a:t>B</a:t>
                </a:r>
                <a:r>
                  <a:rPr lang="en-CA" sz="2000" baseline="-25000"/>
                  <a:t>H</a:t>
                </a:r>
                <a:r>
                  <a:rPr lang="en-CA" sz="2000" baseline="0"/>
                  <a:t> (mT)</a:t>
                </a:r>
                <a:endParaRPr lang="en-CA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89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104775</xdr:rowOff>
    </xdr:from>
    <xdr:to>
      <xdr:col>11</xdr:col>
      <xdr:colOff>723900</xdr:colOff>
      <xdr:row>64</xdr:row>
      <xdr:rowOff>152400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419077</xdr:colOff>
      <xdr:row>4</xdr:row>
      <xdr:rowOff>131078</xdr:rowOff>
    </xdr:from>
    <xdr:to>
      <xdr:col>27</xdr:col>
      <xdr:colOff>297110</xdr:colOff>
      <xdr:row>28</xdr:row>
      <xdr:rowOff>26216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"/>
  <sheetViews>
    <sheetView tabSelected="1" topLeftCell="A31" zoomScale="109" workbookViewId="0">
      <selection activeCell="Q53" sqref="Q53"/>
    </sheetView>
  </sheetViews>
  <sheetFormatPr defaultRowHeight="12.75"/>
  <cols>
    <col min="1" max="1" width="2.85546875" customWidth="1"/>
    <col min="2" max="2" width="8.7109375" customWidth="1"/>
    <col min="3" max="3" width="9.7109375" customWidth="1"/>
    <col min="4" max="4" width="10.7109375" hidden="1" customWidth="1"/>
    <col min="5" max="5" width="8.7109375" customWidth="1"/>
    <col min="6" max="6" width="12.28515625" customWidth="1"/>
    <col min="7" max="7" width="12" customWidth="1"/>
    <col min="8" max="8" width="5.7109375" customWidth="1"/>
    <col min="9" max="9" width="8" customWidth="1"/>
    <col min="10" max="10" width="9.42578125" customWidth="1"/>
    <col min="11" max="11" width="5.85546875" customWidth="1"/>
    <col min="12" max="254" width="11.42578125" customWidth="1"/>
  </cols>
  <sheetData>
    <row r="1" spans="1:16" ht="14.1" customHeight="1">
      <c r="A1" s="2"/>
      <c r="B1" s="2" t="s">
        <v>0</v>
      </c>
      <c r="C1" s="2"/>
      <c r="D1" s="3"/>
      <c r="E1" s="4" t="s">
        <v>1</v>
      </c>
      <c r="F1" s="2"/>
      <c r="G1" s="5"/>
      <c r="H1" s="2"/>
      <c r="I1" s="5"/>
      <c r="J1" s="2"/>
      <c r="K1" s="2"/>
      <c r="L1" s="2"/>
      <c r="M1" s="1"/>
    </row>
    <row r="2" spans="1:16" ht="14.1" customHeight="1">
      <c r="A2" s="2"/>
      <c r="B2" s="2"/>
      <c r="C2" s="2"/>
      <c r="D2" s="2"/>
      <c r="E2" s="4" t="s">
        <v>2</v>
      </c>
      <c r="F2" s="3"/>
      <c r="G2" s="5"/>
      <c r="H2" s="2"/>
      <c r="I2" s="2"/>
      <c r="J2" s="2"/>
      <c r="K2" s="2"/>
      <c r="L2" s="2"/>
      <c r="M2" t="s">
        <v>38</v>
      </c>
    </row>
    <row r="3" spans="1:16" ht="14.1" customHeight="1">
      <c r="A3" s="2"/>
      <c r="B3" s="2"/>
      <c r="C3" s="2"/>
      <c r="D3" s="2"/>
      <c r="E3" s="4"/>
      <c r="F3" s="3"/>
      <c r="G3" s="5"/>
      <c r="H3" s="2"/>
      <c r="I3" s="2"/>
      <c r="J3" s="2"/>
      <c r="K3" s="2"/>
      <c r="L3" s="2"/>
      <c r="M3" s="1"/>
    </row>
    <row r="4" spans="1:16" ht="14.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t="s">
        <v>39</v>
      </c>
      <c r="N4" t="s">
        <v>40</v>
      </c>
    </row>
    <row r="5" spans="1:16" ht="14.1" customHeight="1">
      <c r="A5" s="2"/>
      <c r="B5" s="6" t="s">
        <v>3</v>
      </c>
      <c r="C5" s="2"/>
      <c r="D5" s="2"/>
      <c r="E5" s="2"/>
      <c r="F5" s="2"/>
      <c r="G5" s="2"/>
      <c r="H5" s="2"/>
      <c r="I5" s="2"/>
      <c r="J5" s="2"/>
      <c r="K5" s="2"/>
      <c r="L5" s="2">
        <v>0.1</v>
      </c>
      <c r="M5">
        <f>0.1*32*(3.14159265)*(10^-7)/SQRT(125)/(14.8/100)</f>
        <v>6.0755154361199591E-7</v>
      </c>
      <c r="N5">
        <f>P5/1000</f>
        <v>-1.9486151911899999E-4</v>
      </c>
      <c r="P5">
        <v>-0.19486151911899999</v>
      </c>
    </row>
    <row r="6" spans="1:16" ht="14.1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>
        <v>0.2</v>
      </c>
      <c r="M6">
        <f>0.2*32*(3.14159265)*(10^-7)/SQRT(125)/(14.8/100)</f>
        <v>1.2151030872239918E-6</v>
      </c>
      <c r="N6">
        <f t="shared" ref="N6:N14" si="0">P6/1000</f>
        <v>-1.3396257208099998E-4</v>
      </c>
      <c r="P6">
        <v>-0.13396257208099999</v>
      </c>
    </row>
    <row r="7" spans="1:16" ht="14.1" customHeight="1">
      <c r="A7" s="2"/>
      <c r="B7" s="7" t="s">
        <v>4</v>
      </c>
      <c r="C7" s="8" t="s">
        <v>5</v>
      </c>
      <c r="D7" s="8" t="s">
        <v>5</v>
      </c>
      <c r="E7" s="26" t="s">
        <v>6</v>
      </c>
      <c r="F7" s="8" t="s">
        <v>7</v>
      </c>
      <c r="G7" s="9" t="s">
        <v>8</v>
      </c>
      <c r="H7" s="2"/>
      <c r="I7" s="2" t="s">
        <v>9</v>
      </c>
      <c r="J7" s="2"/>
      <c r="K7" s="2"/>
      <c r="L7" s="2">
        <v>0.3</v>
      </c>
      <c r="M7">
        <f>0.3*32*(3.14159265)*(10^-7)/SQRT(125)/(14.8/100)</f>
        <v>1.8226546308359879E-6</v>
      </c>
      <c r="N7">
        <f t="shared" si="0"/>
        <v>-6.9980899188800002E-5</v>
      </c>
      <c r="P7">
        <v>-6.9980899188800003E-2</v>
      </c>
    </row>
    <row r="8" spans="1:16" ht="14.1" customHeight="1">
      <c r="A8" s="2"/>
      <c r="B8" s="10" t="s">
        <v>10</v>
      </c>
      <c r="C8" s="11" t="s">
        <v>11</v>
      </c>
      <c r="D8" s="11" t="s">
        <v>11</v>
      </c>
      <c r="E8" s="27" t="s">
        <v>12</v>
      </c>
      <c r="F8" s="11" t="s">
        <v>13</v>
      </c>
      <c r="G8" s="12" t="s">
        <v>14</v>
      </c>
      <c r="H8" s="2"/>
      <c r="I8" s="13" t="s">
        <v>15</v>
      </c>
      <c r="J8" s="14">
        <v>0.28000000000000003</v>
      </c>
      <c r="K8" s="2" t="s">
        <v>16</v>
      </c>
      <c r="L8" s="2">
        <v>0.4</v>
      </c>
      <c r="M8">
        <f>0.4*32*(3.14159265)*(10^-7)/SQRT(125)/(14.8/100)</f>
        <v>2.4302061744479836E-6</v>
      </c>
      <c r="N8">
        <f t="shared" si="0"/>
        <v>-1.21344552038E-5</v>
      </c>
      <c r="P8">
        <v>-1.21344552038E-2</v>
      </c>
    </row>
    <row r="9" spans="1:16" ht="14.1" customHeight="1" thickBot="1">
      <c r="A9" s="2"/>
      <c r="B9" s="15" t="s">
        <v>17</v>
      </c>
      <c r="C9" s="16" t="s">
        <v>18</v>
      </c>
      <c r="D9" s="17" t="s">
        <v>18</v>
      </c>
      <c r="E9" s="28" t="s">
        <v>19</v>
      </c>
      <c r="F9" s="16" t="s">
        <v>20</v>
      </c>
      <c r="G9" s="18" t="s">
        <v>20</v>
      </c>
      <c r="H9" s="2"/>
      <c r="I9" s="13" t="s">
        <v>21</v>
      </c>
      <c r="J9" s="2">
        <v>2.69E-2</v>
      </c>
      <c r="K9" s="2" t="s">
        <v>16</v>
      </c>
      <c r="L9" s="2">
        <v>0.5</v>
      </c>
      <c r="M9">
        <f>0.5*32*(3.14159265)*(10^-7)/SQRT(125)/(14.8/100)</f>
        <v>3.0377577180599798E-6</v>
      </c>
      <c r="N9">
        <f t="shared" si="0"/>
        <v>4.3656838211300001E-5</v>
      </c>
      <c r="P9">
        <v>4.3656838211300002E-2</v>
      </c>
    </row>
    <row r="10" spans="1:16" ht="14.1" customHeight="1">
      <c r="A10" s="2"/>
      <c r="B10" s="30" t="s">
        <v>22</v>
      </c>
      <c r="C10" s="31">
        <v>0.50041405239400005</v>
      </c>
      <c r="D10" s="32"/>
      <c r="E10" s="36">
        <v>9.9000000000000005E-2</v>
      </c>
      <c r="F10" s="34">
        <f>(C10/1000-(-0.257/1000))</f>
        <v>7.5741405239400004E-4</v>
      </c>
      <c r="G10" s="35">
        <f t="shared" ref="G10:G25" si="1">J$17*((E10-J$19)/SQRT((E10-J$19)^2+J$18)-(E10-J$20)/SQRT((E10-J$20)^2+J$18))</f>
        <v>1.0251188985208111E-3</v>
      </c>
      <c r="H10" s="2"/>
      <c r="I10" s="13" t="s">
        <v>23</v>
      </c>
      <c r="J10" s="2">
        <v>758</v>
      </c>
      <c r="K10" s="2"/>
      <c r="L10" s="2">
        <v>0.6</v>
      </c>
      <c r="M10">
        <f>0.6*32*(3.14159265)*(10^-7)/SQRT(125)/(14.8/100)</f>
        <v>3.6453092616719759E-6</v>
      </c>
      <c r="N10">
        <f t="shared" si="0"/>
        <v>1.0803140753600001E-4</v>
      </c>
      <c r="P10">
        <v>0.108031407536</v>
      </c>
    </row>
    <row r="11" spans="1:16" ht="14.1" customHeight="1">
      <c r="A11" s="2"/>
      <c r="B11" s="30"/>
      <c r="C11" s="31">
        <v>1.3964899237199999</v>
      </c>
      <c r="D11" s="32"/>
      <c r="E11" s="36">
        <v>0.11899999999999999</v>
      </c>
      <c r="F11" s="34">
        <f t="shared" ref="F11:F25" si="2">(C11/1000-(-0.257/1000))</f>
        <v>1.65348992372E-3</v>
      </c>
      <c r="G11" s="35">
        <f t="shared" si="1"/>
        <v>2.2051575125931621E-3</v>
      </c>
      <c r="H11" s="2"/>
      <c r="I11" s="13" t="s">
        <v>24</v>
      </c>
      <c r="J11" s="2">
        <v>1</v>
      </c>
      <c r="K11" s="2" t="s">
        <v>25</v>
      </c>
      <c r="L11" s="2">
        <v>0.7</v>
      </c>
      <c r="M11">
        <f>0.7*32*(3.14159265)*(10^-7)/SQRT(125)/(14.8/100)</f>
        <v>4.2528608052839716E-6</v>
      </c>
      <c r="N11">
        <f t="shared" si="0"/>
        <v>1.68628126549E-4</v>
      </c>
      <c r="P11">
        <v>0.168628126549</v>
      </c>
    </row>
    <row r="12" spans="1:16" ht="14.1" customHeight="1">
      <c r="A12" s="2"/>
      <c r="B12" s="30"/>
      <c r="C12" s="31">
        <v>1.99290670825</v>
      </c>
      <c r="D12" s="32"/>
      <c r="E12" s="36">
        <v>0.13900000000000001</v>
      </c>
      <c r="F12" s="34">
        <f t="shared" si="2"/>
        <v>2.2499067082499997E-3</v>
      </c>
      <c r="G12" s="35">
        <f t="shared" si="1"/>
        <v>2.9282738568352966E-3</v>
      </c>
      <c r="H12" s="2"/>
      <c r="I12" s="13" t="s">
        <v>26</v>
      </c>
      <c r="J12" s="14">
        <f>25.05/100</f>
        <v>0.2505</v>
      </c>
      <c r="K12" s="2" t="s">
        <v>16</v>
      </c>
      <c r="L12" s="2">
        <v>0.8</v>
      </c>
      <c r="M12">
        <f>0.8*32*(3.14159265)*(10^-7)/SQRT(125)/(14.8/100)</f>
        <v>4.8604123488959673E-6</v>
      </c>
      <c r="N12">
        <f t="shared" si="0"/>
        <v>2.30010638426E-4</v>
      </c>
      <c r="P12">
        <v>0.230010638426</v>
      </c>
    </row>
    <row r="13" spans="1:16" ht="14.1" customHeight="1">
      <c r="A13" s="2"/>
      <c r="B13" s="30"/>
      <c r="C13" s="31">
        <v>2.1939185676799999</v>
      </c>
      <c r="D13" s="32"/>
      <c r="E13" s="36">
        <v>0.159</v>
      </c>
      <c r="F13" s="34">
        <f t="shared" si="2"/>
        <v>2.4509185676799996E-3</v>
      </c>
      <c r="G13" s="35">
        <f t="shared" si="1"/>
        <v>3.1770541936377282E-3</v>
      </c>
      <c r="H13" s="2"/>
      <c r="I13" s="13" t="s">
        <v>27</v>
      </c>
      <c r="J13" s="2">
        <v>-0.25700000000000001</v>
      </c>
      <c r="K13" s="2" t="s">
        <v>28</v>
      </c>
      <c r="L13" s="2">
        <v>0.9</v>
      </c>
      <c r="M13">
        <f>0.9*32*(3.14159265)*(10^-7)/SQRT(125)/(14.8/100)</f>
        <v>5.4679638925079647E-6</v>
      </c>
      <c r="N13">
        <f t="shared" si="0"/>
        <v>2.8679928432399996E-4</v>
      </c>
      <c r="P13">
        <v>0.28679928432399998</v>
      </c>
    </row>
    <row r="14" spans="1:16" ht="14.1" customHeight="1">
      <c r="A14" s="2"/>
      <c r="B14" s="30"/>
      <c r="C14" s="31">
        <v>2.2631287854100002</v>
      </c>
      <c r="D14" s="32"/>
      <c r="E14" s="36">
        <v>0.17899999999999999</v>
      </c>
      <c r="F14" s="34">
        <f t="shared" si="2"/>
        <v>2.52012878541E-3</v>
      </c>
      <c r="G14" s="35">
        <f t="shared" si="1"/>
        <v>3.2705992247340433E-3</v>
      </c>
      <c r="H14" s="2"/>
      <c r="I14" s="2"/>
      <c r="J14" s="2"/>
      <c r="K14" s="2"/>
      <c r="L14" s="2">
        <v>1</v>
      </c>
      <c r="M14">
        <f>1*32*(3.14159265)*(10^-7)/SQRT(125)/(14.8/100)</f>
        <v>6.0755154361199595E-6</v>
      </c>
      <c r="N14">
        <f t="shared" si="0"/>
        <v>3.5105296243900005E-4</v>
      </c>
      <c r="P14">
        <v>0.35105296243900003</v>
      </c>
    </row>
    <row r="15" spans="1:16" ht="14.1" customHeight="1">
      <c r="A15" s="2"/>
      <c r="B15" s="30"/>
      <c r="C15" s="31">
        <v>2.2689617862899998</v>
      </c>
      <c r="D15" s="32"/>
      <c r="E15" s="36">
        <v>0.19900000000000001</v>
      </c>
      <c r="F15" s="34">
        <f t="shared" si="2"/>
        <v>2.5259617862899994E-3</v>
      </c>
      <c r="G15" s="35">
        <f t="shared" si="1"/>
        <v>3.3118415625240233E-3</v>
      </c>
      <c r="H15" s="2"/>
      <c r="I15" s="2" t="s">
        <v>29</v>
      </c>
      <c r="J15" s="2"/>
      <c r="K15" s="2"/>
      <c r="L15" s="2"/>
      <c r="M15" s="1"/>
    </row>
    <row r="16" spans="1:16" ht="14.1" customHeight="1">
      <c r="A16" s="2"/>
      <c r="B16" s="30"/>
      <c r="C16" s="31">
        <v>2.2524299133199999</v>
      </c>
      <c r="D16" s="32"/>
      <c r="E16" s="36">
        <v>0.219</v>
      </c>
      <c r="F16" s="34">
        <f t="shared" si="2"/>
        <v>2.5094299133199996E-3</v>
      </c>
      <c r="G16" s="35">
        <f t="shared" si="1"/>
        <v>3.3313670938009683E-3</v>
      </c>
      <c r="H16" s="2"/>
      <c r="I16" s="13" t="s">
        <v>30</v>
      </c>
      <c r="J16" s="25">
        <f>0.0000004*PI()</f>
        <v>1.2566370614359173E-6</v>
      </c>
      <c r="K16" s="2" t="s">
        <v>31</v>
      </c>
      <c r="L16" s="2"/>
      <c r="M16" s="1"/>
    </row>
    <row r="17" spans="1:13" ht="14.1" customHeight="1">
      <c r="A17" s="2"/>
      <c r="B17" s="30"/>
      <c r="C17" s="31">
        <v>2.2454786687500001</v>
      </c>
      <c r="D17" s="32"/>
      <c r="E17" s="36">
        <v>0.23899999999999999</v>
      </c>
      <c r="F17" s="34">
        <f t="shared" si="2"/>
        <v>2.5024786687500001E-3</v>
      </c>
      <c r="G17" s="35">
        <f t="shared" si="1"/>
        <v>3.3396130075489952E-3</v>
      </c>
      <c r="H17" s="2"/>
      <c r="I17" s="13" t="s">
        <v>32</v>
      </c>
      <c r="J17" s="22">
        <f>J16*J10*J11/2/J8</f>
        <v>1.7009480224436165E-3</v>
      </c>
      <c r="K17" s="2" t="s">
        <v>33</v>
      </c>
      <c r="L17" s="2"/>
      <c r="M17" s="1"/>
    </row>
    <row r="18" spans="1:13" ht="14.1" customHeight="1">
      <c r="A18" s="2"/>
      <c r="B18" s="30"/>
      <c r="C18" s="31">
        <v>2.2481080525600001</v>
      </c>
      <c r="D18" s="32"/>
      <c r="E18" s="36">
        <v>0.25900000000000001</v>
      </c>
      <c r="F18" s="34">
        <f t="shared" si="2"/>
        <v>2.50510805256E-3</v>
      </c>
      <c r="G18" s="35">
        <f t="shared" si="1"/>
        <v>3.3401481096940119E-3</v>
      </c>
      <c r="H18" s="2"/>
      <c r="I18" s="13" t="s">
        <v>34</v>
      </c>
      <c r="J18" s="23">
        <f>J9^2</f>
        <v>7.2360999999999997E-4</v>
      </c>
      <c r="K18" s="2" t="s">
        <v>35</v>
      </c>
      <c r="L18" s="2"/>
      <c r="M18" s="1"/>
    </row>
    <row r="19" spans="1:13" ht="14.1" customHeight="1">
      <c r="A19" s="2"/>
      <c r="B19" s="30"/>
      <c r="C19" s="31">
        <v>2.2583838054099998</v>
      </c>
      <c r="D19" s="32"/>
      <c r="E19" s="36">
        <v>0.27900000000000003</v>
      </c>
      <c r="F19" s="34">
        <f t="shared" si="2"/>
        <v>2.5153838054099995E-3</v>
      </c>
      <c r="G19" s="35">
        <f t="shared" si="1"/>
        <v>3.333186351181103E-3</v>
      </c>
      <c r="H19" s="2"/>
      <c r="I19" s="13" t="s">
        <v>36</v>
      </c>
      <c r="J19" s="14">
        <f>J12-J8/2</f>
        <v>0.11049999999999999</v>
      </c>
      <c r="K19" s="2" t="s">
        <v>16</v>
      </c>
      <c r="L19" s="2"/>
      <c r="M19" s="1"/>
    </row>
    <row r="20" spans="1:13" ht="14.1" customHeight="1">
      <c r="A20" s="2"/>
      <c r="B20" s="30"/>
      <c r="C20" s="31">
        <v>2.2546966235100001</v>
      </c>
      <c r="D20" s="32"/>
      <c r="E20" s="36">
        <v>0.29899999999999999</v>
      </c>
      <c r="F20" s="34">
        <f t="shared" si="2"/>
        <v>2.51169662351E-3</v>
      </c>
      <c r="G20" s="35">
        <f t="shared" si="1"/>
        <v>3.3157759874804489E-3</v>
      </c>
      <c r="H20" s="2"/>
      <c r="I20" s="13" t="s">
        <v>37</v>
      </c>
      <c r="J20" s="14">
        <f>J12+J8/2</f>
        <v>0.39050000000000001</v>
      </c>
      <c r="K20" s="2" t="s">
        <v>16</v>
      </c>
      <c r="L20" s="2"/>
      <c r="M20" s="1"/>
    </row>
    <row r="21" spans="1:13" ht="14.1" customHeight="1">
      <c r="A21" s="2"/>
      <c r="B21" s="30"/>
      <c r="C21" s="31">
        <v>2.22604540674</v>
      </c>
      <c r="D21" s="32"/>
      <c r="E21" s="36">
        <v>0.31900000000000001</v>
      </c>
      <c r="F21" s="34">
        <f t="shared" si="2"/>
        <v>2.4830454067399999E-3</v>
      </c>
      <c r="G21" s="35">
        <f t="shared" si="1"/>
        <v>3.2789717368892479E-3</v>
      </c>
      <c r="H21" s="2"/>
      <c r="I21" s="2"/>
      <c r="J21" s="2"/>
      <c r="K21" s="2"/>
      <c r="L21" s="2"/>
      <c r="M21" s="1"/>
    </row>
    <row r="22" spans="1:13" ht="14.1" customHeight="1">
      <c r="A22" s="2"/>
      <c r="B22" s="30"/>
      <c r="C22" s="31">
        <v>2.17811204197</v>
      </c>
      <c r="D22" s="32"/>
      <c r="E22" s="36">
        <v>0.33900000000000002</v>
      </c>
      <c r="F22" s="34">
        <f t="shared" si="2"/>
        <v>2.4351120419699997E-3</v>
      </c>
      <c r="G22" s="35">
        <f t="shared" si="1"/>
        <v>3.1969515952366347E-3</v>
      </c>
      <c r="H22" s="2"/>
      <c r="I22" s="2"/>
      <c r="J22" s="2"/>
      <c r="K22" s="2"/>
      <c r="L22" s="2"/>
      <c r="M22" s="1"/>
    </row>
    <row r="23" spans="1:13" ht="14.1" customHeight="1">
      <c r="A23" s="2"/>
      <c r="B23" s="30"/>
      <c r="C23" s="31">
        <v>2.0234921843799998</v>
      </c>
      <c r="D23" s="32"/>
      <c r="E23" s="36">
        <v>0.35899999999999999</v>
      </c>
      <c r="F23" s="34">
        <f t="shared" si="2"/>
        <v>2.2804921843799998E-3</v>
      </c>
      <c r="G23" s="35">
        <f t="shared" si="1"/>
        <v>2.984551784666003E-3</v>
      </c>
      <c r="H23" s="2"/>
      <c r="I23" s="2"/>
      <c r="J23" s="2"/>
      <c r="K23" s="2"/>
      <c r="L23" s="2"/>
      <c r="M23" s="1"/>
    </row>
    <row r="24" spans="1:13" ht="14.1" customHeight="1">
      <c r="A24" s="2"/>
      <c r="B24" s="30"/>
      <c r="C24" s="31">
        <v>1.5644682600099999</v>
      </c>
      <c r="D24" s="32"/>
      <c r="E24" s="36">
        <v>0.379</v>
      </c>
      <c r="F24" s="34">
        <f t="shared" si="2"/>
        <v>1.82146826001E-3</v>
      </c>
      <c r="G24" s="35">
        <f t="shared" si="1"/>
        <v>2.3611078623082698E-3</v>
      </c>
      <c r="H24" s="2"/>
      <c r="I24" s="2"/>
      <c r="J24" s="2"/>
      <c r="K24" s="2"/>
      <c r="L24" s="2"/>
      <c r="M24" s="1"/>
    </row>
    <row r="25" spans="1:13" ht="14.1" customHeight="1">
      <c r="A25" s="2"/>
      <c r="B25" s="30"/>
      <c r="C25" s="31">
        <v>0.65394588909399998</v>
      </c>
      <c r="D25" s="32"/>
      <c r="E25" s="36">
        <v>0.39900000000000002</v>
      </c>
      <c r="F25" s="34">
        <f t="shared" si="2"/>
        <v>9.1094588909400006E-4</v>
      </c>
      <c r="G25" s="35">
        <f t="shared" si="1"/>
        <v>1.1811046237568037E-3</v>
      </c>
      <c r="H25" s="2"/>
      <c r="I25" s="2"/>
      <c r="J25" s="2"/>
      <c r="K25" s="2"/>
      <c r="L25" s="2"/>
      <c r="M25" s="1"/>
    </row>
    <row r="26" spans="1:13" ht="14.1" customHeight="1">
      <c r="A26" s="2"/>
      <c r="B26" s="30"/>
      <c r="C26" s="31"/>
      <c r="D26" s="32"/>
      <c r="E26" s="33"/>
      <c r="F26" s="34"/>
      <c r="G26" s="35">
        <f t="shared" ref="G26:G29" si="3">J$17*((E26-J$19)/SQRT((E26-J$19)^2+J$18)-(E26-J$20)/SQRT((E26-J$20)^2+J$18))</f>
        <v>4.4244792060911493E-5</v>
      </c>
      <c r="H26" s="2"/>
      <c r="I26" s="2"/>
      <c r="J26" s="2"/>
      <c r="K26" s="2"/>
      <c r="L26" s="2"/>
      <c r="M26" s="1"/>
    </row>
    <row r="27" spans="1:13" ht="14.1" customHeight="1">
      <c r="A27" s="2"/>
      <c r="B27" s="30"/>
      <c r="C27" s="31"/>
      <c r="D27" s="32"/>
      <c r="E27" s="33"/>
      <c r="F27" s="34"/>
      <c r="G27" s="35">
        <f t="shared" si="3"/>
        <v>4.4244792060911493E-5</v>
      </c>
      <c r="H27" s="2"/>
      <c r="I27" s="2"/>
      <c r="J27" s="2"/>
      <c r="K27" s="2"/>
      <c r="L27" s="2"/>
      <c r="M27" s="1"/>
    </row>
    <row r="28" spans="1:13" ht="14.1" customHeight="1">
      <c r="A28" s="2"/>
      <c r="B28" s="30"/>
      <c r="C28" s="31"/>
      <c r="D28" s="32"/>
      <c r="E28" s="33"/>
      <c r="F28" s="34"/>
      <c r="G28" s="35">
        <f t="shared" si="3"/>
        <v>4.4244792060911493E-5</v>
      </c>
      <c r="H28" s="2"/>
      <c r="I28" s="2"/>
      <c r="J28" s="2"/>
      <c r="K28" s="2"/>
      <c r="L28" s="2"/>
      <c r="M28" s="1"/>
    </row>
    <row r="29" spans="1:13" ht="14.1" customHeight="1" thickBot="1">
      <c r="A29" s="2"/>
      <c r="B29" s="10"/>
      <c r="C29" s="19"/>
      <c r="D29" s="11"/>
      <c r="E29" s="29"/>
      <c r="F29" s="20"/>
      <c r="G29" s="21">
        <f t="shared" si="3"/>
        <v>4.4244792060911493E-5</v>
      </c>
      <c r="H29" s="2"/>
      <c r="I29" s="2"/>
      <c r="J29" s="2"/>
      <c r="K29" s="2"/>
      <c r="L29" s="2"/>
      <c r="M29" s="1"/>
    </row>
    <row r="30" spans="1:13" ht="14.1" customHeight="1">
      <c r="A30" s="2"/>
      <c r="B30" s="24"/>
      <c r="C30" s="24"/>
      <c r="D30" s="24"/>
      <c r="E30" s="24"/>
      <c r="F30" s="24"/>
      <c r="G30" s="24"/>
      <c r="H30" s="2"/>
      <c r="I30" s="2"/>
      <c r="J30" s="2"/>
      <c r="K30" s="2"/>
      <c r="L30" s="2"/>
      <c r="M30" s="1"/>
    </row>
    <row r="31" spans="1:13" ht="14.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ht="14.1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5" ht="14.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5" ht="14.1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N34">
        <f t="array" ref="N34:O38">LINEST(N5:N14,M5:M14,1,1)</f>
        <v>99.407286721660086</v>
      </c>
      <c r="O34">
        <v>-2.5444879652786672E-4</v>
      </c>
    </row>
    <row r="35" spans="1:15" ht="14.1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N35">
        <v>0.38739577065585601</v>
      </c>
      <c r="O35">
        <v>1.4603883790739865E-6</v>
      </c>
    </row>
    <row r="36" spans="1:15" ht="14.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N36">
        <v>0.99987851839113695</v>
      </c>
      <c r="O36">
        <v>2.1377896885072401E-6</v>
      </c>
    </row>
    <row r="37" spans="1:15" ht="14.1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N37">
        <v>65845.589484634475</v>
      </c>
      <c r="O37">
        <v>8</v>
      </c>
    </row>
    <row r="38" spans="1:15" ht="14.1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N38">
        <v>3.0092387524450448E-7</v>
      </c>
      <c r="O38">
        <v>3.6561158018303068E-11</v>
      </c>
    </row>
    <row r="39" spans="1:15" ht="14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5" ht="14.1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5" ht="14.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5" ht="14.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5" ht="14.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5" ht="14.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5" ht="14.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5" ht="14.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5" ht="14.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5" ht="14.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4.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4.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4.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4.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4.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4.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4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4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4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4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4.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4.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4.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</sheetData>
  <printOptions horizontalCentered="1"/>
  <pageMargins left="0.75" right="0.75" top="0.75" bottom="0.75" header="0.5" footer="0.5"/>
  <pageSetup orientation="portrait" horizontalDpi="4294967292" verticalDpi="4294967292" r:id="rId1"/>
  <headerFooter alignWithMargins="0">
    <oddHeader>&amp;L&amp;"Arial,Regular"&amp;D&amp;C&amp;"Arial,Regular"Experiment #18:  Analysis of Axial Magnetic Field&amp;R&amp;"Arial,Regular"&amp;T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Solenoid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Arunscape</cp:lastModifiedBy>
  <dcterms:created xsi:type="dcterms:W3CDTF">2018-03-22T21:07:50Z</dcterms:created>
  <dcterms:modified xsi:type="dcterms:W3CDTF">2018-03-23T02:14:33Z</dcterms:modified>
</cp:coreProperties>
</file>