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gaparan\Desktop\"/>
    </mc:Choice>
  </mc:AlternateContent>
  <xr:revisionPtr revIDLastSave="0" documentId="8_{B4297DB5-91BE-461E-ADBF-D25F872D2ADD}" xr6:coauthVersionLast="47" xr6:coauthVersionMax="47" xr10:uidLastSave="{00000000-0000-0000-0000-000000000000}"/>
  <bookViews>
    <workbookView xWindow="7365" yWindow="2363" windowWidth="16200" windowHeight="7162" xr2:uid="{00000000-000D-0000-FFFF-FFFF00000000}"/>
  </bookViews>
  <sheets>
    <sheet name="Sheet1 (3)" sheetId="3" r:id="rId1"/>
    <sheet name="Sheet1" sheetId="4" r:id="rId2"/>
  </sheets>
  <definedNames>
    <definedName name="S" localSheetId="0">'Sheet1 (3)'!$C$51</definedName>
    <definedName name="S">#REF!</definedName>
    <definedName name="solver_adj" localSheetId="0" hidden="1">'Sheet1 (3)'!$C$63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'Sheet1 (3)'!$C$63</definedName>
    <definedName name="solver_lhs2" localSheetId="0" hidden="1">'Sheet1 (3)'!$E$18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'Sheet1 (3)'!$E$174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70</definedName>
    <definedName name="solver_rhs2" localSheetId="0" hidden="1">0.4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250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3" l="1"/>
  <c r="C51" i="3"/>
  <c r="C50" i="3"/>
  <c r="C42" i="3"/>
  <c r="C36" i="3" l="1"/>
  <c r="E17" i="3" l="1"/>
  <c r="C181" i="3"/>
  <c r="C179" i="3"/>
  <c r="C79" i="3" l="1"/>
  <c r="C111" i="3" s="1"/>
  <c r="G166" i="3" l="1"/>
  <c r="C123" i="3"/>
  <c r="K18" i="3"/>
  <c r="C58" i="3"/>
  <c r="N24" i="3"/>
  <c r="O18" i="3"/>
  <c r="Q15" i="3"/>
  <c r="C157" i="3" s="1"/>
  <c r="G53" i="3" l="1"/>
  <c r="E19" i="3"/>
  <c r="G52" i="3" l="1"/>
  <c r="C174" i="3"/>
  <c r="C68" i="3"/>
  <c r="C177" i="3" s="1"/>
  <c r="C73" i="3" l="1"/>
  <c r="C178" i="3" s="1"/>
  <c r="C80" i="3" l="1"/>
  <c r="C74" i="3"/>
  <c r="C143" i="3"/>
  <c r="C149" i="3" s="1"/>
  <c r="C153" i="3" s="1"/>
  <c r="C158" i="3" s="1"/>
  <c r="G89" i="3" l="1"/>
  <c r="H89" i="3" s="1"/>
  <c r="C85" i="3" s="1"/>
  <c r="C89" i="3" s="1"/>
  <c r="C144" i="3"/>
  <c r="G186" i="3"/>
  <c r="F162" i="3"/>
  <c r="G162" i="3"/>
  <c r="C162" i="3" s="1"/>
  <c r="C180" i="3" l="1"/>
  <c r="C93" i="3"/>
  <c r="C99" i="3" s="1"/>
  <c r="C104" i="3" s="1"/>
  <c r="C118" i="3" s="1"/>
  <c r="C186" i="3"/>
  <c r="F118" i="3" l="1"/>
  <c r="H137" i="3"/>
  <c r="I137" i="3" s="1"/>
  <c r="H130" i="3"/>
  <c r="I130" i="3" s="1"/>
  <c r="F128" i="3" s="1"/>
  <c r="C128" i="3" s="1"/>
  <c r="F129" i="3" s="1"/>
  <c r="C168" i="3" s="1"/>
  <c r="E63" i="3" l="1"/>
  <c r="D174" i="3"/>
  <c r="E174" i="3" s="1"/>
  <c r="C133" i="3"/>
  <c r="F133" i="3"/>
</calcChain>
</file>

<file path=xl/sharedStrings.xml><?xml version="1.0" encoding="utf-8"?>
<sst xmlns="http://schemas.openxmlformats.org/spreadsheetml/2006/main" count="176" uniqueCount="159">
  <si>
    <t>Data</t>
  </si>
  <si>
    <t>Tube Side Fluid</t>
  </si>
  <si>
    <t>Mass flowrate</t>
  </si>
  <si>
    <t>Heat Capacity</t>
  </si>
  <si>
    <t>Symbol</t>
  </si>
  <si>
    <t>Value</t>
  </si>
  <si>
    <t>Input Tempratue</t>
  </si>
  <si>
    <t>Output Tempratue</t>
  </si>
  <si>
    <t>µ</t>
  </si>
  <si>
    <t>k</t>
  </si>
  <si>
    <t>ŋ</t>
  </si>
  <si>
    <t>ƿ</t>
  </si>
  <si>
    <t>Kinematic Viscousity</t>
  </si>
  <si>
    <t>Density</t>
  </si>
  <si>
    <t>Heat conductivity</t>
  </si>
  <si>
    <t>Dynamic Viscousity</t>
  </si>
  <si>
    <t>Shell Side Fluid</t>
  </si>
  <si>
    <t>kg/s</t>
  </si>
  <si>
    <t>J/kg.K</t>
  </si>
  <si>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</si>
  <si>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kg/ms</t>
  </si>
  <si>
    <t>W/mK</t>
  </si>
  <si>
    <t xml:space="preserve"> </t>
  </si>
  <si>
    <t>Crude oil</t>
  </si>
  <si>
    <t>Vacuum residue</t>
  </si>
  <si>
    <t>Mass flow rate (kg/s)</t>
  </si>
  <si>
    <t>40 kg/s</t>
  </si>
  <si>
    <t>-</t>
  </si>
  <si>
    <t>Step 1</t>
  </si>
  <si>
    <t>BWG</t>
  </si>
  <si>
    <t>m</t>
  </si>
  <si>
    <t>Step 2</t>
  </si>
  <si>
    <t>Step 3</t>
  </si>
  <si>
    <t>Tube material</t>
  </si>
  <si>
    <t>Conductivity</t>
  </si>
  <si>
    <r>
      <t>W/m</t>
    </r>
    <r>
      <rPr>
        <sz val="11"/>
        <color theme="1"/>
        <rFont val="Calibri"/>
        <family val="2"/>
      </rPr>
      <t>°C</t>
    </r>
  </si>
  <si>
    <t>Step 4</t>
  </si>
  <si>
    <t>Step 5</t>
  </si>
  <si>
    <t>LMTD - counter current</t>
  </si>
  <si>
    <t>Step 6</t>
  </si>
  <si>
    <t>For 1 shell-2 tube pass exchanger</t>
  </si>
  <si>
    <t>R</t>
  </si>
  <si>
    <t>S</t>
  </si>
  <si>
    <t>Step 7</t>
  </si>
  <si>
    <t>Step 8</t>
  </si>
  <si>
    <t>Step 9</t>
  </si>
  <si>
    <t>Step 10</t>
  </si>
  <si>
    <t>Step 11</t>
  </si>
  <si>
    <t>Step 12</t>
  </si>
  <si>
    <t>Kl</t>
  </si>
  <si>
    <t>nl</t>
  </si>
  <si>
    <t>Square pitch</t>
  </si>
  <si>
    <t>BDC</t>
  </si>
  <si>
    <t>for U tube</t>
  </si>
  <si>
    <t>Step 13</t>
  </si>
  <si>
    <t>Step 14</t>
  </si>
  <si>
    <t>Step 15</t>
  </si>
  <si>
    <t>Step 16</t>
  </si>
  <si>
    <t>Step 17</t>
  </si>
  <si>
    <t>Step 18</t>
  </si>
  <si>
    <t>Re</t>
  </si>
  <si>
    <t>us</t>
  </si>
  <si>
    <t>Step 19</t>
  </si>
  <si>
    <t>Pr</t>
  </si>
  <si>
    <t>Step 20</t>
  </si>
  <si>
    <t>Nu</t>
  </si>
  <si>
    <t>jh</t>
  </si>
  <si>
    <t>hs</t>
  </si>
  <si>
    <t>uw</t>
  </si>
  <si>
    <t>Step 21</t>
  </si>
  <si>
    <t>jf</t>
  </si>
  <si>
    <r>
      <t>D</t>
    </r>
    <r>
      <rPr>
        <vertAlign val="subscript"/>
        <sz val="11"/>
        <color theme="1"/>
        <rFont val="Calibri"/>
        <family val="2"/>
        <scheme val="minor"/>
      </rPr>
      <t>b</t>
    </r>
  </si>
  <si>
    <t>Step 22</t>
  </si>
  <si>
    <t>(Baffle Spacing)</t>
  </si>
  <si>
    <t>Number of passes</t>
  </si>
  <si>
    <t>Approximate</t>
  </si>
  <si>
    <t>Step 23</t>
  </si>
  <si>
    <t>Shell Side</t>
  </si>
  <si>
    <t>Tube Side</t>
  </si>
  <si>
    <t>Step 24</t>
  </si>
  <si>
    <t>Step 25</t>
  </si>
  <si>
    <t>Step 26</t>
  </si>
  <si>
    <t>for Re&lt;2100</t>
  </si>
  <si>
    <t>Step 27</t>
  </si>
  <si>
    <t>Step 28</t>
  </si>
  <si>
    <t>U</t>
  </si>
  <si>
    <t>Assumed value</t>
  </si>
  <si>
    <t>Calculated value</t>
  </si>
  <si>
    <t>Step 29</t>
  </si>
  <si>
    <t>Pa</t>
  </si>
  <si>
    <t>for Re&gt;2100</t>
  </si>
  <si>
    <t>Diff</t>
  </si>
  <si>
    <t>Cold(Crude oil)</t>
  </si>
  <si>
    <t>total surface area of tubes</t>
  </si>
  <si>
    <t>heat duty</t>
  </si>
  <si>
    <t>exchanger diameter</t>
  </si>
  <si>
    <t xml:space="preserve">exchanger length </t>
  </si>
  <si>
    <t>number of tubes</t>
  </si>
  <si>
    <r>
      <t>U</t>
    </r>
    <r>
      <rPr>
        <vertAlign val="subscript"/>
        <sz val="11"/>
        <color theme="1"/>
        <rFont val="Calibri"/>
        <family val="2"/>
        <scheme val="minor"/>
      </rPr>
      <t>(assumed)</t>
    </r>
  </si>
  <si>
    <r>
      <t>m</t>
    </r>
    <r>
      <rPr>
        <vertAlign val="subscript"/>
        <sz val="11"/>
        <color theme="1"/>
        <rFont val="Calibri"/>
        <family val="2"/>
        <scheme val="minor"/>
      </rPr>
      <t>c</t>
    </r>
  </si>
  <si>
    <r>
      <t>Cp</t>
    </r>
    <r>
      <rPr>
        <vertAlign val="subscript"/>
        <sz val="11"/>
        <color theme="1"/>
        <rFont val="Calibri"/>
        <family val="2"/>
        <scheme val="minor"/>
      </rPr>
      <t>c</t>
    </r>
  </si>
  <si>
    <r>
      <t>Tc</t>
    </r>
    <r>
      <rPr>
        <vertAlign val="subscript"/>
        <sz val="11"/>
        <color theme="1"/>
        <rFont val="Calibri"/>
        <family val="2"/>
        <scheme val="minor"/>
      </rPr>
      <t>in</t>
    </r>
  </si>
  <si>
    <r>
      <t>Tc</t>
    </r>
    <r>
      <rPr>
        <vertAlign val="subscript"/>
        <sz val="11"/>
        <color theme="1"/>
        <rFont val="Calibri"/>
        <family val="2"/>
        <scheme val="minor"/>
      </rPr>
      <t>o</t>
    </r>
  </si>
  <si>
    <r>
      <t>m</t>
    </r>
    <r>
      <rPr>
        <vertAlign val="subscript"/>
        <sz val="11"/>
        <color theme="1"/>
        <rFont val="Calibri"/>
        <family val="2"/>
        <scheme val="minor"/>
      </rPr>
      <t>h</t>
    </r>
  </si>
  <si>
    <r>
      <t>Cp</t>
    </r>
    <r>
      <rPr>
        <vertAlign val="subscript"/>
        <sz val="11"/>
        <color theme="1"/>
        <rFont val="Calibri"/>
        <family val="2"/>
        <scheme val="minor"/>
      </rPr>
      <t>h</t>
    </r>
  </si>
  <si>
    <r>
      <t>Th</t>
    </r>
    <r>
      <rPr>
        <vertAlign val="subscript"/>
        <sz val="11"/>
        <color theme="1"/>
        <rFont val="Calibri"/>
        <family val="2"/>
        <scheme val="minor"/>
      </rPr>
      <t>in</t>
    </r>
  </si>
  <si>
    <r>
      <t>Th</t>
    </r>
    <r>
      <rPr>
        <vertAlign val="subscript"/>
        <sz val="11"/>
        <color theme="1"/>
        <rFont val="Calibri"/>
        <family val="2"/>
        <scheme val="minor"/>
      </rPr>
      <t>o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</si>
  <si>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</si>
  <si>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</si>
  <si>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K/W</t>
    </r>
  </si>
  <si>
    <r>
      <t>B</t>
    </r>
    <r>
      <rPr>
        <vertAlign val="subscript"/>
        <sz val="11"/>
        <color theme="1"/>
        <rFont val="Calibri"/>
        <family val="2"/>
        <scheme val="minor"/>
      </rPr>
      <t>s</t>
    </r>
  </si>
  <si>
    <r>
      <t>U</t>
    </r>
    <r>
      <rPr>
        <vertAlign val="subscript"/>
        <sz val="11"/>
        <color theme="1"/>
        <rFont val="Calibri"/>
        <family val="2"/>
        <scheme val="minor"/>
      </rPr>
      <t>o</t>
    </r>
  </si>
  <si>
    <t xml:space="preserve">https://www.engineeringtoolbox.com/ </t>
  </si>
  <si>
    <t>DYM Resources. "Vacuum Residue." Accessed October 9, 2023. https://dymresources.com/product/bitumen_and_pmb/vacuum-residue/</t>
  </si>
  <si>
    <t>James G. Speight. Handbook of Petroleum Product Analysis. 2nd ed. CRC Press, 2002.</t>
  </si>
  <si>
    <t>S. K. Jain, S. P. Sharma, and S. N. Sharma. "Heat Capacity of Vacuum Residue." Thermochimica Acta 117 (1987): 221-225.</t>
  </si>
  <si>
    <t>A. A. Ibraheem, S. A. Ali, and T. M. Al-Hudaiby. "Estimation of the Heat Capacity of Vacuum Residue." Fuel Science &amp; Technology International 37, no. 8 (2019): 757-767.</t>
  </si>
  <si>
    <t>M. A. Ansari, M. M. Ahmad, and M. A. Khan. "Viscosity of Vacuum Residue: A Review." Petroleum Science and Technology 36, no. 1 (2018): 72-81.</t>
  </si>
  <si>
    <t>J. M. Campana and R. C. Reid. "Thermodynamic Properties of Vacuum Residue." Industrial &amp; Engineering Chemistry Process Design and Development 13, no. 4 (1974): 430-437.</t>
  </si>
  <si>
    <t>Length(L)</t>
  </si>
  <si>
    <t>Diameter(di)</t>
  </si>
  <si>
    <t>wall thickness</t>
  </si>
  <si>
    <r>
      <t>mean temperature difference(DT</t>
    </r>
    <r>
      <rPr>
        <vertAlign val="subscript"/>
        <sz val="11"/>
        <color theme="1"/>
        <rFont val="Calibri"/>
        <family val="2"/>
        <scheme val="minor"/>
      </rPr>
      <t>m)</t>
    </r>
  </si>
  <si>
    <r>
      <t>number of tubes(N</t>
    </r>
    <r>
      <rPr>
        <vertAlign val="subscript"/>
        <sz val="11"/>
        <color theme="1"/>
        <rFont val="Calibri"/>
        <family val="2"/>
        <scheme val="minor"/>
      </rPr>
      <t>t)</t>
    </r>
  </si>
  <si>
    <r>
      <t>tube pitch p</t>
    </r>
    <r>
      <rPr>
        <vertAlign val="subscript"/>
        <sz val="11"/>
        <color theme="1"/>
        <rFont val="Calibri"/>
        <family val="2"/>
        <scheme val="minor"/>
      </rPr>
      <t>t</t>
    </r>
  </si>
  <si>
    <r>
      <t>bundle diameter D</t>
    </r>
    <r>
      <rPr>
        <vertAlign val="subscript"/>
        <sz val="11"/>
        <color theme="1"/>
        <rFont val="Calibri"/>
        <family val="2"/>
        <scheme val="minor"/>
      </rPr>
      <t>b</t>
    </r>
  </si>
  <si>
    <t>bundle diameter clearance BDC</t>
  </si>
  <si>
    <r>
      <t>shell diameter D</t>
    </r>
    <r>
      <rPr>
        <vertAlign val="subscript"/>
        <sz val="11"/>
        <color theme="1"/>
        <rFont val="Calibri"/>
        <family val="2"/>
        <scheme val="minor"/>
      </rPr>
      <t>s</t>
    </r>
  </si>
  <si>
    <r>
      <t>cross flow area A</t>
    </r>
    <r>
      <rPr>
        <vertAlign val="subscript"/>
        <sz val="11"/>
        <color theme="1"/>
        <rFont val="Calibri"/>
        <family val="2"/>
        <scheme val="minor"/>
      </rPr>
      <t>s</t>
    </r>
  </si>
  <si>
    <r>
      <t>shell side mass velocity G</t>
    </r>
    <r>
      <rPr>
        <vertAlign val="subscript"/>
        <sz val="11"/>
        <color theme="1"/>
        <rFont val="Calibri"/>
        <family val="2"/>
        <scheme val="minor"/>
      </rPr>
      <t>s</t>
    </r>
  </si>
  <si>
    <r>
      <t>shell equivalent diameter d</t>
    </r>
    <r>
      <rPr>
        <vertAlign val="subscript"/>
        <sz val="11"/>
        <color theme="1"/>
        <rFont val="Calibri"/>
        <family val="2"/>
        <scheme val="minor"/>
      </rPr>
      <t>e</t>
    </r>
  </si>
  <si>
    <r>
      <t>shell side pressure drop P</t>
    </r>
    <r>
      <rPr>
        <vertAlign val="subscript"/>
        <sz val="11"/>
        <color theme="1"/>
        <rFont val="Calibri"/>
        <family val="2"/>
        <scheme val="minor"/>
      </rPr>
      <t>s</t>
    </r>
  </si>
  <si>
    <r>
      <t>number of tubes per pass N</t>
    </r>
    <r>
      <rPr>
        <vertAlign val="subscript"/>
        <sz val="11"/>
        <color theme="1"/>
        <rFont val="Calibri"/>
        <family val="2"/>
        <scheme val="minor"/>
      </rPr>
      <t>tpp</t>
    </r>
  </si>
  <si>
    <r>
      <t>tube side mass velocity G</t>
    </r>
    <r>
      <rPr>
        <vertAlign val="subscript"/>
        <sz val="11"/>
        <color theme="1"/>
        <rFont val="Calibri"/>
        <family val="2"/>
        <scheme val="minor"/>
      </rPr>
      <t>m</t>
    </r>
  </si>
  <si>
    <t>velocity v</t>
  </si>
  <si>
    <r>
      <t>inside heat coefficient h</t>
    </r>
    <r>
      <rPr>
        <vertAlign val="subscript"/>
        <sz val="11"/>
        <color theme="1"/>
        <rFont val="Calibri"/>
        <family val="2"/>
        <scheme val="minor"/>
      </rPr>
      <t>i</t>
    </r>
  </si>
  <si>
    <r>
      <t>tube side pressure drop P</t>
    </r>
    <r>
      <rPr>
        <vertAlign val="subscript"/>
        <sz val="11"/>
        <color theme="1"/>
        <rFont val="Calibri"/>
        <family val="2"/>
        <scheme val="minor"/>
      </rPr>
      <t>i</t>
    </r>
  </si>
  <si>
    <t>tube outside diameter do</t>
  </si>
  <si>
    <t>inner falling factor hdi</t>
  </si>
  <si>
    <t>outer falling factor hdo</t>
  </si>
  <si>
    <t>heat duty q</t>
  </si>
  <si>
    <t>temperature correction factor Ft</t>
  </si>
  <si>
    <t>provincial area A</t>
  </si>
  <si>
    <t>Graph</t>
  </si>
  <si>
    <t xml:space="preserve">       </t>
  </si>
  <si>
    <t>Table</t>
  </si>
  <si>
    <t>Tube side</t>
  </si>
  <si>
    <r>
      <t xml:space="preserve">339 </t>
    </r>
    <r>
      <rPr>
        <vertAlign val="super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>C</t>
    </r>
  </si>
  <si>
    <r>
      <t xml:space="preserve">203 </t>
    </r>
    <r>
      <rPr>
        <vertAlign val="super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>C</t>
    </r>
  </si>
  <si>
    <t>s.Steel</t>
  </si>
  <si>
    <t xml:space="preserve">    </t>
  </si>
  <si>
    <t>for 25% baffle cut</t>
  </si>
  <si>
    <t>for 25% cut</t>
  </si>
  <si>
    <t>HGO(Heavy Gas Oil)</t>
  </si>
  <si>
    <t>Heat Exchanger Design</t>
  </si>
  <si>
    <t>Group 05 (E5)</t>
  </si>
  <si>
    <r>
      <t>Input temperature (</t>
    </r>
    <r>
      <rPr>
        <vertAlign val="super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>C)</t>
    </r>
  </si>
  <si>
    <t xml:space="preserve">1 inch   = </t>
  </si>
  <si>
    <r>
      <t>Output temperature (</t>
    </r>
    <r>
      <rPr>
        <vertAlign val="super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>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</si>
</sst>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\ &quot;m&quot;"/>
    <numFmt numFmtId="165" formatCode="0.00000\ &quot;m&quot;"/>
    <numFmt numFmtId="166" formatCode="0.000000\ &quot;m&quot;"/>
    <numFmt numFmtId="167" formatCode="0.0\ &quot;m&quot;"/>
    <numFmt numFmtId="168" formatCode="0.00\ &quot;inches&quot;"/>
    <numFmt numFmtId="169" formatCode="\3\ &quot;mm&quot;"/>
    <numFmt numFmtId="170" formatCode="0.000000000\ &quot;inches&quot;"/>
    <numFmt numFmtId="171" formatCode="0.000000000\ &quot;m&quot;"/>
    <numFmt numFmtId="172" formatCode="0000000\ &quot;J/s&quot;"/>
    <numFmt numFmtId="173" formatCode="0.000000\ &quot;m^2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dobe Hebrew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0" fillId="3" borderId="0" xfId="0" applyFill="1"/>
    <xf numFmtId="1" fontId="0" fillId="0" borderId="0" xfId="0" applyNumberFormat="1"/>
    <xf numFmtId="0" fontId="5" fillId="2" borderId="9" xfId="0" applyFont="1" applyFill="1" applyBorder="1" applyAlignment="1">
      <alignment vertical="center" wrapText="1"/>
    </xf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5" borderId="0" xfId="0" applyFill="1"/>
    <xf numFmtId="0" fontId="0" fillId="3" borderId="9" xfId="0" applyFill="1" applyBorder="1"/>
    <xf numFmtId="0" fontId="0" fillId="6" borderId="0" xfId="0" applyFill="1"/>
    <xf numFmtId="0" fontId="9" fillId="0" borderId="0" xfId="1"/>
    <xf numFmtId="0" fontId="0" fillId="3" borderId="19" xfId="0" applyFill="1" applyBorder="1" applyAlignment="1">
      <alignment wrapText="1"/>
    </xf>
    <xf numFmtId="0" fontId="0" fillId="0" borderId="19" xfId="0" applyBorder="1"/>
    <xf numFmtId="0" fontId="0" fillId="0" borderId="20" xfId="0" applyBorder="1"/>
    <xf numFmtId="0" fontId="0" fillId="4" borderId="19" xfId="0" applyFill="1" applyBorder="1"/>
    <xf numFmtId="0" fontId="0" fillId="4" borderId="20" xfId="0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7" borderId="1" xfId="0" applyFill="1" applyBorder="1"/>
    <xf numFmtId="0" fontId="0" fillId="7" borderId="20" xfId="0" applyFill="1" applyBorder="1"/>
    <xf numFmtId="0" fontId="0" fillId="3" borderId="1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7" borderId="0" xfId="0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164" fontId="10" fillId="3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7" fontId="0" fillId="5" borderId="0" xfId="0" applyNumberFormat="1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0" fontId="0" fillId="0" borderId="12" xfId="0" applyBorder="1" applyAlignment="1">
      <alignment wrapText="1"/>
    </xf>
    <xf numFmtId="1" fontId="0" fillId="0" borderId="12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7" fontId="0" fillId="6" borderId="0" xfId="0" applyNumberFormat="1" applyFill="1"/>
    <xf numFmtId="171" fontId="0" fillId="0" borderId="0" xfId="0" applyNumberFormat="1"/>
    <xf numFmtId="171" fontId="0" fillId="6" borderId="0" xfId="0" applyNumberFormat="1" applyFill="1"/>
    <xf numFmtId="172" fontId="0" fillId="0" borderId="0" xfId="0" applyNumberFormat="1"/>
    <xf numFmtId="172" fontId="0" fillId="6" borderId="0" xfId="0" applyNumberFormat="1" applyFill="1"/>
    <xf numFmtId="173" fontId="0" fillId="0" borderId="0" xfId="0" applyNumberFormat="1"/>
    <xf numFmtId="173" fontId="0" fillId="6" borderId="0" xfId="0" applyNumberFormat="1" applyFill="1"/>
    <xf numFmtId="0" fontId="0" fillId="5" borderId="0" xfId="0" applyFill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0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164</xdr:row>
      <xdr:rowOff>17097</xdr:rowOff>
    </xdr:from>
    <xdr:to>
      <xdr:col>1</xdr:col>
      <xdr:colOff>2312127</xdr:colOff>
      <xdr:row>166</xdr:row>
      <xdr:rowOff>13028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8D1BD9-FBC5-443C-9D2C-54F5B0EF46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6844" b="21728"/>
        <a:stretch/>
      </xdr:blipFill>
      <xdr:spPr>
        <a:xfrm>
          <a:off x="29308" y="26289815"/>
          <a:ext cx="2282743" cy="360648"/>
        </a:xfrm>
        <a:prstGeom prst="rect">
          <a:avLst/>
        </a:prstGeom>
      </xdr:spPr>
    </xdr:pic>
    <xdr:clientData/>
  </xdr:twoCellAnchor>
  <xdr:twoCellAnchor editAs="oneCell">
    <xdr:from>
      <xdr:col>4</xdr:col>
      <xdr:colOff>952221</xdr:colOff>
      <xdr:row>164</xdr:row>
      <xdr:rowOff>36985</xdr:rowOff>
    </xdr:from>
    <xdr:to>
      <xdr:col>5</xdr:col>
      <xdr:colOff>1066824</xdr:colOff>
      <xdr:row>167</xdr:row>
      <xdr:rowOff>70543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D7DCEDB-276B-44EC-B715-E71AF7999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9542" y="31066941"/>
          <a:ext cx="1463978" cy="5778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1257409</xdr:colOff>
      <xdr:row>89</xdr:row>
      <xdr:rowOff>36117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6131D25-26F1-E235-4EEF-2603AC815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485" y="14216303"/>
          <a:ext cx="1257409" cy="2362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891617</xdr:colOff>
      <xdr:row>92</xdr:row>
      <xdr:rowOff>160034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A07153A-1C1C-68B9-FD64-A34CCDAC1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485" y="14986000"/>
          <a:ext cx="891617" cy="160034"/>
        </a:xfrm>
        <a:prstGeom prst="rect">
          <a:avLst/>
        </a:prstGeom>
      </xdr:spPr>
    </xdr:pic>
    <xdr:clientData/>
  </xdr:twoCellAnchor>
  <xdr:twoCellAnchor editAs="oneCell">
    <xdr:from>
      <xdr:col>3</xdr:col>
      <xdr:colOff>1200727</xdr:colOff>
      <xdr:row>97</xdr:row>
      <xdr:rowOff>46182</xdr:rowOff>
    </xdr:from>
    <xdr:to>
      <xdr:col>5</xdr:col>
      <xdr:colOff>269068</xdr:colOff>
      <xdr:row>99</xdr:row>
      <xdr:rowOff>149055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0A4D235-FD02-8A41-0CF1-D9C4E9621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2788" y="15617152"/>
          <a:ext cx="1569856" cy="487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5</xdr:col>
      <xdr:colOff>1038830</xdr:colOff>
      <xdr:row>104</xdr:row>
      <xdr:rowOff>87632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C9AA1D2-151E-F905-D4A0-7DBE4BC44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485" y="16340667"/>
          <a:ext cx="2331922" cy="472481"/>
        </a:xfrm>
        <a:prstGeom prst="rect">
          <a:avLst/>
        </a:prstGeom>
      </xdr:spPr>
    </xdr:pic>
    <xdr:clientData/>
  </xdr:twoCellAnchor>
  <xdr:twoCellAnchor editAs="oneCell">
    <xdr:from>
      <xdr:col>3</xdr:col>
      <xdr:colOff>37282</xdr:colOff>
      <xdr:row>77</xdr:row>
      <xdr:rowOff>62365</xdr:rowOff>
    </xdr:from>
    <xdr:to>
      <xdr:col>3</xdr:col>
      <xdr:colOff>1200641</xdr:colOff>
      <xdr:row>80</xdr:row>
      <xdr:rowOff>26769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7009BD6-522C-0BB2-B8AB-F5379E264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274" y="14695714"/>
          <a:ext cx="1163359" cy="542707"/>
        </a:xfrm>
        <a:prstGeom prst="rect">
          <a:avLst/>
        </a:prstGeom>
      </xdr:spPr>
    </xdr:pic>
    <xdr:clientData/>
  </xdr:twoCellAnchor>
  <xdr:twoCellAnchor editAs="oneCell">
    <xdr:from>
      <xdr:col>4</xdr:col>
      <xdr:colOff>118684</xdr:colOff>
      <xdr:row>71</xdr:row>
      <xdr:rowOff>20218</xdr:rowOff>
    </xdr:from>
    <xdr:to>
      <xdr:col>4</xdr:col>
      <xdr:colOff>1321025</xdr:colOff>
      <xdr:row>73</xdr:row>
      <xdr:rowOff>155809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3864849-6A6C-84EF-AC3C-77E2B63EE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6005" y="13536647"/>
          <a:ext cx="1202341" cy="515457"/>
        </a:xfrm>
        <a:prstGeom prst="rect">
          <a:avLst/>
        </a:prstGeom>
      </xdr:spPr>
    </xdr:pic>
    <xdr:clientData/>
  </xdr:twoCellAnchor>
  <xdr:twoCellAnchor editAs="oneCell">
    <xdr:from>
      <xdr:col>4</xdr:col>
      <xdr:colOff>40099</xdr:colOff>
      <xdr:row>65</xdr:row>
      <xdr:rowOff>16015</xdr:rowOff>
    </xdr:from>
    <xdr:to>
      <xdr:col>4</xdr:col>
      <xdr:colOff>1201964</xdr:colOff>
      <xdr:row>68</xdr:row>
      <xdr:rowOff>34120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E1F6C9C-D09C-36E0-8966-1B02B0155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7420" y="12421194"/>
          <a:ext cx="1161865" cy="57373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5</xdr:col>
      <xdr:colOff>124351</xdr:colOff>
      <xdr:row>58</xdr:row>
      <xdr:rowOff>66602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8CC6F68-4EE9-CCEF-B5F2-B89BCF338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485" y="9413394"/>
          <a:ext cx="1417443" cy="266723"/>
        </a:xfrm>
        <a:prstGeom prst="rect">
          <a:avLst/>
        </a:prstGeom>
      </xdr:spPr>
    </xdr:pic>
    <xdr:clientData/>
  </xdr:twoCellAnchor>
  <xdr:twoCellAnchor editAs="oneCell">
    <xdr:from>
      <xdr:col>3</xdr:col>
      <xdr:colOff>119063</xdr:colOff>
      <xdr:row>131</xdr:row>
      <xdr:rowOff>73705</xdr:rowOff>
    </xdr:from>
    <xdr:to>
      <xdr:col>5</xdr:col>
      <xdr:colOff>172550</xdr:colOff>
      <xdr:row>133</xdr:row>
      <xdr:rowOff>112035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3336865-58AA-7154-045E-DCD1AF496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2055" y="24867054"/>
          <a:ext cx="2667191" cy="41819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142</xdr:row>
      <xdr:rowOff>0</xdr:rowOff>
    </xdr:from>
    <xdr:to>
      <xdr:col>4</xdr:col>
      <xdr:colOff>738</xdr:colOff>
      <xdr:row>143</xdr:row>
      <xdr:rowOff>5669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79CBC64-821C-9765-35EF-31BEF6B52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2993" y="26930804"/>
          <a:ext cx="1265066" cy="20410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148</xdr:row>
      <xdr:rowOff>0</xdr:rowOff>
    </xdr:from>
    <xdr:to>
      <xdr:col>4</xdr:col>
      <xdr:colOff>1085274</xdr:colOff>
      <xdr:row>150</xdr:row>
      <xdr:rowOff>57666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9429722-1F82-977D-E833-D25E76035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2061" y="23937576"/>
          <a:ext cx="2293697" cy="442514"/>
        </a:xfrm>
        <a:prstGeom prst="rect">
          <a:avLst/>
        </a:prstGeom>
      </xdr:spPr>
    </xdr:pic>
    <xdr:clientData/>
  </xdr:twoCellAnchor>
  <xdr:twoCellAnchor editAs="oneCell">
    <xdr:from>
      <xdr:col>3</xdr:col>
      <xdr:colOff>76970</xdr:colOff>
      <xdr:row>151</xdr:row>
      <xdr:rowOff>161638</xdr:rowOff>
    </xdr:from>
    <xdr:to>
      <xdr:col>3</xdr:col>
      <xdr:colOff>1092970</xdr:colOff>
      <xdr:row>154</xdr:row>
      <xdr:rowOff>15237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F86D005-0146-E5EA-F44B-9A6878CBF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9031" y="24684183"/>
          <a:ext cx="1016000" cy="407782"/>
        </a:xfrm>
        <a:prstGeom prst="rect">
          <a:avLst/>
        </a:prstGeom>
      </xdr:spPr>
    </xdr:pic>
    <xdr:clientData/>
  </xdr:twoCellAnchor>
  <xdr:oneCellAnchor>
    <xdr:from>
      <xdr:col>3</xdr:col>
      <xdr:colOff>198437</xdr:colOff>
      <xdr:row>48</xdr:row>
      <xdr:rowOff>175760</xdr:rowOff>
    </xdr:from>
    <xdr:ext cx="3736974" cy="737053"/>
    <xdr:pic>
      <xdr:nvPicPr>
        <xdr:cNvPr id="6" name="image12.png">
          <a:extLst>
            <a:ext uri="{FF2B5EF4-FFF2-40B4-BE49-F238E27FC236}">
              <a16:creationId xmlns:a16="http://schemas.microsoft.com/office/drawing/2014/main" id="{10848BB9-958B-4288-B8A4-8538898FD748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3991429" y="9439956"/>
          <a:ext cx="3736974" cy="737053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686025</xdr:colOff>
      <xdr:row>105</xdr:row>
      <xdr:rowOff>96383</xdr:rowOff>
    </xdr:from>
    <xdr:ext cx="3730625" cy="1451429"/>
    <xdr:pic>
      <xdr:nvPicPr>
        <xdr:cNvPr id="8" name="image2.png">
          <a:extLst>
            <a:ext uri="{FF2B5EF4-FFF2-40B4-BE49-F238E27FC236}">
              <a16:creationId xmlns:a16="http://schemas.microsoft.com/office/drawing/2014/main" id="{E5BF9CDB-750E-4D10-BA26-04206D482DF4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479017" y="19985490"/>
          <a:ext cx="3730625" cy="1451429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521608</xdr:colOff>
      <xdr:row>115</xdr:row>
      <xdr:rowOff>5670</xdr:rowOff>
    </xdr:from>
    <xdr:ext cx="1805665" cy="595311"/>
    <xdr:pic>
      <xdr:nvPicPr>
        <xdr:cNvPr id="10" name="image21.png">
          <a:extLst>
            <a:ext uri="{FF2B5EF4-FFF2-40B4-BE49-F238E27FC236}">
              <a16:creationId xmlns:a16="http://schemas.microsoft.com/office/drawing/2014/main" id="{5DA2DF8D-8F21-42C4-98C9-7AB40BF2312D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8062233" y="21850805"/>
          <a:ext cx="1805665" cy="595311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946829</xdr:colOff>
      <xdr:row>120</xdr:row>
      <xdr:rowOff>124731</xdr:rowOff>
    </xdr:from>
    <xdr:ext cx="1007382" cy="566964"/>
    <xdr:pic>
      <xdr:nvPicPr>
        <xdr:cNvPr id="12" name="image14.png">
          <a:extLst>
            <a:ext uri="{FF2B5EF4-FFF2-40B4-BE49-F238E27FC236}">
              <a16:creationId xmlns:a16="http://schemas.microsoft.com/office/drawing/2014/main" id="{D996CA80-B8F0-4D57-8153-7CE7D288852A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4739821" y="22888348"/>
          <a:ext cx="1007382" cy="566964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232454</xdr:colOff>
      <xdr:row>124</xdr:row>
      <xdr:rowOff>22678</xdr:rowOff>
    </xdr:from>
    <xdr:ext cx="2080759" cy="459241"/>
    <xdr:pic>
      <xdr:nvPicPr>
        <xdr:cNvPr id="14" name="image8.png">
          <a:extLst>
            <a:ext uri="{FF2B5EF4-FFF2-40B4-BE49-F238E27FC236}">
              <a16:creationId xmlns:a16="http://schemas.microsoft.com/office/drawing/2014/main" id="{528371F3-AE76-4A53-AD56-CE8CFA6B372A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4025446" y="23523348"/>
          <a:ext cx="2080759" cy="459241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334507</xdr:colOff>
      <xdr:row>155</xdr:row>
      <xdr:rowOff>164419</xdr:rowOff>
    </xdr:from>
    <xdr:ext cx="1743075" cy="514350"/>
    <xdr:pic>
      <xdr:nvPicPr>
        <xdr:cNvPr id="16" name="image16.png">
          <a:extLst>
            <a:ext uri="{FF2B5EF4-FFF2-40B4-BE49-F238E27FC236}">
              <a16:creationId xmlns:a16="http://schemas.microsoft.com/office/drawing/2014/main" id="{A00F9869-BF87-4603-AAFF-565AD8FC46CD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4127499" y="29521830"/>
          <a:ext cx="1743075" cy="5143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toolbo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88"/>
  <sheetViews>
    <sheetView tabSelected="1" topLeftCell="B174" zoomScale="85" zoomScaleNormal="76" workbookViewId="0">
      <selection activeCell="C53" sqref="C53"/>
    </sheetView>
  </sheetViews>
  <sheetFormatPr defaultRowHeight="14.25" x14ac:dyDescent="0.45"/>
  <cols>
    <col min="1" max="1" width="3.59765625" customWidth="1"/>
    <col min="2" max="2" width="34.6640625" customWidth="1"/>
    <col min="3" max="3" width="14.86328125" customWidth="1"/>
    <col min="4" max="4" width="17.6640625" customWidth="1"/>
    <col min="5" max="5" width="18.86328125" customWidth="1"/>
    <col min="6" max="6" width="15.86328125" bestFit="1" customWidth="1"/>
    <col min="7" max="7" width="17.33203125" customWidth="1"/>
    <col min="8" max="8" width="12.46484375" customWidth="1"/>
    <col min="9" max="9" width="24.1328125" customWidth="1"/>
    <col min="11" max="11" width="10.33203125" customWidth="1"/>
    <col min="12" max="12" width="12.53125" customWidth="1"/>
    <col min="13" max="13" width="10.46484375" customWidth="1"/>
    <col min="14" max="14" width="11" customWidth="1"/>
    <col min="15" max="15" width="10.46484375" customWidth="1"/>
    <col min="17" max="17" width="11.1328125" customWidth="1"/>
    <col min="18" max="18" width="11.6640625" customWidth="1"/>
  </cols>
  <sheetData>
    <row r="1" spans="2:21" x14ac:dyDescent="0.45">
      <c r="B1" s="74" t="s">
        <v>154</v>
      </c>
      <c r="C1" s="75"/>
      <c r="D1" s="75"/>
      <c r="E1" s="75"/>
      <c r="F1" s="75"/>
      <c r="G1" s="75"/>
    </row>
    <row r="2" spans="2:21" x14ac:dyDescent="0.45">
      <c r="B2" s="75"/>
      <c r="C2" s="75"/>
      <c r="D2" s="75"/>
      <c r="E2" s="75"/>
      <c r="F2" s="75"/>
      <c r="G2" s="75"/>
    </row>
    <row r="3" spans="2:21" x14ac:dyDescent="0.45">
      <c r="B3" s="76" t="s">
        <v>155</v>
      </c>
      <c r="C3" s="75"/>
      <c r="D3" s="75"/>
      <c r="E3" s="75"/>
      <c r="F3" s="75"/>
      <c r="G3" s="75"/>
    </row>
    <row r="5" spans="2:21" ht="14.65" thickBot="1" x14ac:dyDescent="0.5"/>
    <row r="6" spans="2:21" ht="28.5" customHeight="1" thickBot="1" x14ac:dyDescent="0.5">
      <c r="B6" s="3" t="s">
        <v>22</v>
      </c>
      <c r="C6" s="33" t="s">
        <v>23</v>
      </c>
      <c r="D6" s="33" t="s">
        <v>24</v>
      </c>
    </row>
    <row r="7" spans="2:21" ht="28.5" customHeight="1" thickBot="1" x14ac:dyDescent="0.5">
      <c r="B7" s="4" t="s">
        <v>25</v>
      </c>
      <c r="C7" s="34" t="s">
        <v>26</v>
      </c>
      <c r="D7" s="34" t="s">
        <v>27</v>
      </c>
    </row>
    <row r="8" spans="2:21" ht="28.5" customHeight="1" thickBot="1" x14ac:dyDescent="0.5">
      <c r="B8" s="4" t="s">
        <v>156</v>
      </c>
      <c r="C8" s="34">
        <v>175</v>
      </c>
      <c r="D8" s="34" t="s">
        <v>147</v>
      </c>
    </row>
    <row r="9" spans="2:21" ht="28.5" customHeight="1" thickBot="1" x14ac:dyDescent="0.5">
      <c r="B9" s="4" t="s">
        <v>158</v>
      </c>
      <c r="C9" s="34" t="s">
        <v>148</v>
      </c>
      <c r="D9" s="34">
        <v>290</v>
      </c>
    </row>
    <row r="10" spans="2:21" ht="14.65" thickTop="1" x14ac:dyDescent="0.45">
      <c r="I10" s="71" t="s">
        <v>0</v>
      </c>
      <c r="J10" s="72"/>
      <c r="K10" s="72"/>
      <c r="L10" s="72"/>
      <c r="M10" s="72"/>
      <c r="N10" s="72"/>
      <c r="O10" s="72"/>
      <c r="P10" s="72"/>
      <c r="Q10" s="72"/>
      <c r="R10" s="73"/>
    </row>
    <row r="11" spans="2:21" s="1" customFormat="1" ht="27" customHeight="1" x14ac:dyDescent="0.45">
      <c r="B11" s="48"/>
      <c r="C11" s="48"/>
      <c r="D11" s="48"/>
      <c r="E11" s="48"/>
      <c r="F11" s="48"/>
      <c r="G11" s="48"/>
      <c r="I11" s="23"/>
      <c r="J11" s="17"/>
      <c r="K11" s="39" t="s">
        <v>2</v>
      </c>
      <c r="L11" s="39" t="s">
        <v>3</v>
      </c>
      <c r="M11" s="39" t="s">
        <v>6</v>
      </c>
      <c r="N11" s="39" t="s">
        <v>7</v>
      </c>
      <c r="O11" s="39" t="s">
        <v>12</v>
      </c>
      <c r="P11" s="37" t="s">
        <v>13</v>
      </c>
      <c r="Q11" s="39" t="s">
        <v>15</v>
      </c>
      <c r="R11" s="40" t="s">
        <v>14</v>
      </c>
      <c r="U11"/>
    </row>
    <row r="12" spans="2:21" s="1" customFormat="1" ht="18.399999999999999" customHeight="1" x14ac:dyDescent="0.45">
      <c r="I12" s="23"/>
      <c r="J12" s="17"/>
      <c r="K12" s="39"/>
      <c r="L12" s="39"/>
      <c r="M12" s="39"/>
      <c r="N12" s="39"/>
      <c r="O12" s="39"/>
      <c r="P12" s="37"/>
      <c r="Q12" s="39"/>
      <c r="R12" s="40"/>
      <c r="U12"/>
    </row>
    <row r="13" spans="2:21" ht="15.75" x14ac:dyDescent="0.45">
      <c r="B13" s="5" t="s">
        <v>28</v>
      </c>
      <c r="I13" s="24"/>
      <c r="J13" s="2"/>
      <c r="K13" s="37" t="s">
        <v>17</v>
      </c>
      <c r="L13" s="37" t="s">
        <v>18</v>
      </c>
      <c r="M13" s="37" t="s">
        <v>19</v>
      </c>
      <c r="N13" s="37" t="s">
        <v>19</v>
      </c>
      <c r="O13" s="37" t="s">
        <v>107</v>
      </c>
      <c r="P13" s="37" t="s">
        <v>108</v>
      </c>
      <c r="Q13" s="37" t="s">
        <v>20</v>
      </c>
      <c r="R13" s="38" t="s">
        <v>21</v>
      </c>
    </row>
    <row r="14" spans="2:21" ht="15.75" x14ac:dyDescent="0.45">
      <c r="I14" s="26" t="s">
        <v>1</v>
      </c>
      <c r="J14" s="14" t="s">
        <v>4</v>
      </c>
      <c r="K14" s="31" t="s">
        <v>99</v>
      </c>
      <c r="L14" s="31" t="s">
        <v>100</v>
      </c>
      <c r="M14" s="31" t="s">
        <v>101</v>
      </c>
      <c r="N14" s="31" t="s">
        <v>102</v>
      </c>
      <c r="O14" s="15" t="s">
        <v>10</v>
      </c>
      <c r="P14" s="15" t="s">
        <v>11</v>
      </c>
      <c r="Q14" s="15" t="s">
        <v>8</v>
      </c>
      <c r="R14" s="27" t="s">
        <v>9</v>
      </c>
    </row>
    <row r="15" spans="2:21" x14ac:dyDescent="0.45">
      <c r="B15" t="s">
        <v>29</v>
      </c>
      <c r="C15" s="44">
        <v>16</v>
      </c>
      <c r="E15" s="42" t="s">
        <v>157</v>
      </c>
      <c r="F15" s="43">
        <v>2.5399999999999999E-2</v>
      </c>
      <c r="G15" s="41"/>
      <c r="I15" s="26" t="s">
        <v>92</v>
      </c>
      <c r="J15" s="14" t="s">
        <v>5</v>
      </c>
      <c r="K15" s="16">
        <v>40</v>
      </c>
      <c r="L15" s="16">
        <v>3320</v>
      </c>
      <c r="M15" s="16">
        <v>175</v>
      </c>
      <c r="N15" s="16">
        <v>203</v>
      </c>
      <c r="O15" s="16">
        <v>1.0499999999999999E-6</v>
      </c>
      <c r="P15" s="16">
        <v>759</v>
      </c>
      <c r="Q15" s="16">
        <f>O15*P15</f>
        <v>7.9694999999999994E-4</v>
      </c>
      <c r="R15" s="27">
        <v>0.126</v>
      </c>
    </row>
    <row r="16" spans="2:21" x14ac:dyDescent="0.45">
      <c r="B16" t="s">
        <v>119</v>
      </c>
      <c r="C16" s="45">
        <v>6.1</v>
      </c>
      <c r="I16" s="24"/>
      <c r="J16" s="2"/>
      <c r="K16" s="2"/>
      <c r="L16" s="2"/>
      <c r="M16" s="2"/>
      <c r="N16" s="2"/>
      <c r="O16" s="2"/>
      <c r="P16" s="2"/>
      <c r="Q16" s="2"/>
      <c r="R16" s="25"/>
    </row>
    <row r="17" spans="2:18" ht="15.75" x14ac:dyDescent="0.55000000000000004">
      <c r="B17" t="s">
        <v>120</v>
      </c>
      <c r="C17" s="46">
        <v>1.5740000000000001E-2</v>
      </c>
      <c r="E17" s="56">
        <f>C17/F15</f>
        <v>0.61968503937007879</v>
      </c>
      <c r="I17" s="26" t="s">
        <v>16</v>
      </c>
      <c r="J17" s="14" t="s">
        <v>4</v>
      </c>
      <c r="K17" s="16" t="s">
        <v>103</v>
      </c>
      <c r="L17" s="16" t="s">
        <v>104</v>
      </c>
      <c r="M17" s="16" t="s">
        <v>105</v>
      </c>
      <c r="N17" s="16" t="s">
        <v>106</v>
      </c>
      <c r="O17" s="15" t="s">
        <v>10</v>
      </c>
      <c r="P17" s="15" t="s">
        <v>11</v>
      </c>
      <c r="Q17" s="15" t="s">
        <v>8</v>
      </c>
      <c r="R17" s="27" t="s">
        <v>9</v>
      </c>
    </row>
    <row r="18" spans="2:18" x14ac:dyDescent="0.45">
      <c r="B18" t="s">
        <v>121</v>
      </c>
      <c r="C18" s="47">
        <v>1.6509999999999999E-3</v>
      </c>
      <c r="E18" s="57">
        <v>3</v>
      </c>
      <c r="I18" s="26" t="s">
        <v>153</v>
      </c>
      <c r="J18" s="14" t="s">
        <v>5</v>
      </c>
      <c r="K18" s="16">
        <f>C36/(L18*(M18-N18))</f>
        <v>34.493506493506494</v>
      </c>
      <c r="L18" s="16">
        <v>2200</v>
      </c>
      <c r="M18" s="16">
        <v>339</v>
      </c>
      <c r="N18" s="32">
        <v>290</v>
      </c>
      <c r="O18" s="16">
        <f>Q18/P18</f>
        <v>2.9702970297029699E-6</v>
      </c>
      <c r="P18" s="16">
        <v>808</v>
      </c>
      <c r="Q18" s="16">
        <v>2.3999999999999998E-3</v>
      </c>
      <c r="R18" s="27">
        <v>0.12</v>
      </c>
    </row>
    <row r="19" spans="2:18" x14ac:dyDescent="0.45">
      <c r="B19" t="s">
        <v>137</v>
      </c>
      <c r="C19" s="46">
        <v>1.9050000000000001E-2</v>
      </c>
      <c r="E19" s="58">
        <f>C19/F15</f>
        <v>0.75000000000000011</v>
      </c>
      <c r="I19" s="24"/>
      <c r="J19" s="2"/>
      <c r="K19" s="35"/>
      <c r="L19" s="35"/>
      <c r="M19" s="35"/>
      <c r="N19" s="35"/>
      <c r="O19" s="35"/>
      <c r="P19" s="35"/>
      <c r="Q19" s="35"/>
      <c r="R19" s="36"/>
    </row>
    <row r="20" spans="2:18" x14ac:dyDescent="0.45">
      <c r="B20" s="12"/>
      <c r="C20" s="12"/>
      <c r="D20" s="12"/>
      <c r="E20" s="12"/>
      <c r="F20" s="12"/>
      <c r="G20" s="12"/>
      <c r="I20" s="24"/>
      <c r="J20" s="2"/>
      <c r="K20" s="2"/>
      <c r="L20" s="2"/>
      <c r="M20" s="2"/>
      <c r="N20" s="2"/>
      <c r="O20" s="2"/>
      <c r="P20" s="2"/>
      <c r="Q20" s="2"/>
      <c r="R20" s="25"/>
    </row>
    <row r="21" spans="2:18" x14ac:dyDescent="0.45">
      <c r="I21" s="24"/>
      <c r="J21" s="2"/>
      <c r="K21" s="2"/>
      <c r="L21" s="2"/>
      <c r="M21" s="2"/>
      <c r="N21" s="2"/>
      <c r="O21" s="2"/>
      <c r="P21" s="2"/>
      <c r="Q21" s="2"/>
      <c r="R21" s="25"/>
    </row>
    <row r="22" spans="2:18" ht="15.4" x14ac:dyDescent="0.45">
      <c r="B22" s="5" t="s">
        <v>31</v>
      </c>
      <c r="I22" s="24"/>
      <c r="J22" s="2"/>
      <c r="K22" s="2"/>
      <c r="L22" s="2"/>
      <c r="M22" s="2"/>
      <c r="N22" s="2"/>
      <c r="O22" s="2"/>
      <c r="P22" s="2"/>
      <c r="Q22" s="2"/>
      <c r="R22" s="25"/>
    </row>
    <row r="23" spans="2:18" x14ac:dyDescent="0.45">
      <c r="I23" s="24"/>
      <c r="J23" s="2"/>
      <c r="K23" s="2"/>
      <c r="L23" s="2"/>
      <c r="M23" s="2"/>
      <c r="N23" s="2"/>
      <c r="O23" s="2"/>
      <c r="P23" s="2"/>
      <c r="Q23" s="2"/>
      <c r="R23" s="25"/>
    </row>
    <row r="24" spans="2:18" ht="16.149999999999999" thickBot="1" x14ac:dyDescent="0.5">
      <c r="B24" t="s">
        <v>138</v>
      </c>
      <c r="C24">
        <v>5.0000000000000001E-4</v>
      </c>
      <c r="D24" t="s">
        <v>109</v>
      </c>
      <c r="I24" s="28"/>
      <c r="J24" s="29"/>
      <c r="K24" s="29"/>
      <c r="L24" s="29"/>
      <c r="M24" s="29" t="s">
        <v>68</v>
      </c>
      <c r="N24" s="29">
        <f>Q18</f>
        <v>2.3999999999999998E-3</v>
      </c>
      <c r="O24" s="29"/>
      <c r="P24" s="29"/>
      <c r="Q24" s="29"/>
      <c r="R24" s="30"/>
    </row>
    <row r="25" spans="2:18" ht="16.149999999999999" thickTop="1" x14ac:dyDescent="0.45">
      <c r="B25" t="s">
        <v>139</v>
      </c>
      <c r="C25">
        <v>2.9999999999999997E-4</v>
      </c>
      <c r="D25" t="s">
        <v>109</v>
      </c>
    </row>
    <row r="26" spans="2:18" x14ac:dyDescent="0.45">
      <c r="B26" s="12"/>
      <c r="C26" s="12"/>
      <c r="D26" s="12"/>
      <c r="E26" s="12"/>
      <c r="F26" s="12"/>
      <c r="G26" s="12"/>
    </row>
    <row r="28" spans="2:18" ht="15.4" x14ac:dyDescent="0.45">
      <c r="B28" s="5" t="s">
        <v>32</v>
      </c>
    </row>
    <row r="30" spans="2:18" x14ac:dyDescent="0.45">
      <c r="B30" t="s">
        <v>33</v>
      </c>
      <c r="C30" s="67" t="s">
        <v>149</v>
      </c>
    </row>
    <row r="31" spans="2:18" x14ac:dyDescent="0.45">
      <c r="B31" t="s">
        <v>34</v>
      </c>
      <c r="C31">
        <v>16</v>
      </c>
      <c r="D31" t="s">
        <v>35</v>
      </c>
    </row>
    <row r="32" spans="2:18" x14ac:dyDescent="0.45">
      <c r="B32" s="12"/>
      <c r="C32" s="12"/>
      <c r="D32" s="12"/>
      <c r="E32" s="12"/>
      <c r="F32" s="12"/>
      <c r="G32" s="12"/>
    </row>
    <row r="34" spans="2:7" ht="15.4" x14ac:dyDescent="0.45">
      <c r="B34" s="5" t="s">
        <v>36</v>
      </c>
    </row>
    <row r="36" spans="2:7" x14ac:dyDescent="0.45">
      <c r="B36" t="s">
        <v>140</v>
      </c>
      <c r="C36" s="63">
        <f>K15*L15*(N15-M15)</f>
        <v>3718400</v>
      </c>
    </row>
    <row r="37" spans="2:7" x14ac:dyDescent="0.45">
      <c r="B37" s="12"/>
      <c r="C37" s="12"/>
      <c r="D37" s="12"/>
      <c r="E37" s="12"/>
      <c r="F37" s="12"/>
      <c r="G37" s="12"/>
    </row>
    <row r="39" spans="2:7" ht="15.4" x14ac:dyDescent="0.45">
      <c r="B39" s="5" t="s">
        <v>37</v>
      </c>
    </row>
    <row r="42" spans="2:7" x14ac:dyDescent="0.45">
      <c r="B42" s="19" t="s">
        <v>38</v>
      </c>
      <c r="C42">
        <f>((M18-N15)-(N18-M15))/LN((M18-N15)/(N18-M15))</f>
        <v>125.20662269654154</v>
      </c>
    </row>
    <row r="43" spans="2:7" x14ac:dyDescent="0.45">
      <c r="B43" s="19"/>
    </row>
    <row r="44" spans="2:7" x14ac:dyDescent="0.45">
      <c r="B44" s="19"/>
    </row>
    <row r="45" spans="2:7" x14ac:dyDescent="0.45">
      <c r="B45" s="19"/>
    </row>
    <row r="46" spans="2:7" x14ac:dyDescent="0.45">
      <c r="B46" s="12"/>
      <c r="C46" s="12"/>
      <c r="D46" s="12"/>
      <c r="E46" s="12"/>
      <c r="F46" s="12"/>
      <c r="G46" s="12"/>
    </row>
    <row r="48" spans="2:7" ht="15.4" x14ac:dyDescent="0.45">
      <c r="B48" s="5" t="s">
        <v>39</v>
      </c>
      <c r="D48" s="19" t="s">
        <v>40</v>
      </c>
      <c r="E48" s="19"/>
    </row>
    <row r="50" spans="2:7" x14ac:dyDescent="0.45">
      <c r="B50" t="s">
        <v>41</v>
      </c>
      <c r="C50">
        <f>(M18-N18)/(N15-M15)</f>
        <v>1.75</v>
      </c>
    </row>
    <row r="51" spans="2:7" x14ac:dyDescent="0.45">
      <c r="B51" t="s">
        <v>42</v>
      </c>
      <c r="C51">
        <f>(N15-M15)/(M18-M15)</f>
        <v>0.17073170731707318</v>
      </c>
    </row>
    <row r="52" spans="2:7" x14ac:dyDescent="0.45">
      <c r="B52" t="s">
        <v>141</v>
      </c>
      <c r="C52">
        <f>((C50^2+1)^0.5*LN((1-C51)/(1-C50*C51)))/((C50-1)*LN((2-C51*(C50+1-(C50^2+1)^0.5))/(2-C51*(C50+1+(C50^2+1)^0.5))))</f>
        <v>0.9852181268610114</v>
      </c>
      <c r="G52">
        <f>LN((2-S*(C50+1-G53))/(2-S*(C50+1+G53)))</f>
        <v>0.45750413481299185</v>
      </c>
    </row>
    <row r="53" spans="2:7" x14ac:dyDescent="0.45">
      <c r="G53">
        <f>(C50^2+1)^0.5</f>
        <v>2.0155644370746373</v>
      </c>
    </row>
    <row r="54" spans="2:7" x14ac:dyDescent="0.45">
      <c r="B54" s="12"/>
      <c r="C54" s="12"/>
      <c r="D54" s="12"/>
      <c r="E54" s="12"/>
      <c r="F54" s="12"/>
      <c r="G54" s="12"/>
    </row>
    <row r="56" spans="2:7" ht="15.4" x14ac:dyDescent="0.45">
      <c r="B56" s="5" t="s">
        <v>43</v>
      </c>
    </row>
    <row r="58" spans="2:7" ht="15.75" x14ac:dyDescent="0.55000000000000004">
      <c r="B58" t="s">
        <v>122</v>
      </c>
      <c r="C58">
        <f>C52*C42</f>
        <v>123.35583428368005</v>
      </c>
    </row>
    <row r="59" spans="2:7" x14ac:dyDescent="0.45">
      <c r="B59" s="12"/>
      <c r="C59" s="12"/>
      <c r="D59" s="12"/>
      <c r="E59" s="12"/>
      <c r="F59" s="12"/>
      <c r="G59" s="12"/>
    </row>
    <row r="61" spans="2:7" ht="15.4" x14ac:dyDescent="0.45">
      <c r="B61" s="5" t="s">
        <v>44</v>
      </c>
    </row>
    <row r="63" spans="2:7" ht="15.75" x14ac:dyDescent="0.55000000000000004">
      <c r="B63" t="s">
        <v>98</v>
      </c>
      <c r="C63" s="19">
        <v>200</v>
      </c>
      <c r="E63">
        <f>C168</f>
        <v>26.922424088719513</v>
      </c>
    </row>
    <row r="64" spans="2:7" x14ac:dyDescent="0.45">
      <c r="B64" s="12"/>
      <c r="C64" s="12"/>
      <c r="D64" s="12"/>
      <c r="E64" s="12"/>
      <c r="F64" s="12"/>
      <c r="G64" s="12"/>
    </row>
    <row r="66" spans="2:7" ht="15.4" x14ac:dyDescent="0.45">
      <c r="B66" s="5" t="s">
        <v>45</v>
      </c>
    </row>
    <row r="68" spans="2:7" x14ac:dyDescent="0.45">
      <c r="B68" t="s">
        <v>142</v>
      </c>
      <c r="C68" s="65">
        <f>C36/(C63*C58)</f>
        <v>150.71844885134644</v>
      </c>
    </row>
    <row r="69" spans="2:7" x14ac:dyDescent="0.45">
      <c r="B69" s="12"/>
      <c r="C69" s="12"/>
      <c r="D69" s="12"/>
      <c r="E69" s="12"/>
      <c r="F69" s="12"/>
      <c r="G69" s="12"/>
    </row>
    <row r="71" spans="2:7" ht="15.4" x14ac:dyDescent="0.45">
      <c r="B71" s="5" t="s">
        <v>46</v>
      </c>
    </row>
    <row r="73" spans="2:7" ht="15.75" x14ac:dyDescent="0.55000000000000004">
      <c r="B73" t="s">
        <v>123</v>
      </c>
      <c r="C73">
        <f>C68/(PI()*C19*C16)</f>
        <v>412.8494668875656</v>
      </c>
    </row>
    <row r="74" spans="2:7" x14ac:dyDescent="0.45">
      <c r="B74" t="s">
        <v>75</v>
      </c>
      <c r="C74" s="7">
        <f>C73</f>
        <v>412.8494668875656</v>
      </c>
    </row>
    <row r="75" spans="2:7" x14ac:dyDescent="0.45">
      <c r="B75" s="12"/>
      <c r="C75" s="49"/>
      <c r="D75" s="12"/>
      <c r="E75" s="12"/>
      <c r="F75" s="12"/>
      <c r="G75" s="12"/>
    </row>
    <row r="76" spans="2:7" x14ac:dyDescent="0.45">
      <c r="C76" s="7"/>
    </row>
    <row r="77" spans="2:7" ht="15.4" x14ac:dyDescent="0.45">
      <c r="B77" s="5" t="s">
        <v>47</v>
      </c>
    </row>
    <row r="78" spans="2:7" x14ac:dyDescent="0.45">
      <c r="E78" s="19" t="s">
        <v>51</v>
      </c>
    </row>
    <row r="79" spans="2:7" ht="15.75" x14ac:dyDescent="0.55000000000000004">
      <c r="B79" t="s">
        <v>124</v>
      </c>
      <c r="C79">
        <f>1.25*C19</f>
        <v>2.38125E-2</v>
      </c>
      <c r="E79" t="s">
        <v>49</v>
      </c>
      <c r="F79">
        <v>0.156</v>
      </c>
      <c r="G79" t="s">
        <v>145</v>
      </c>
    </row>
    <row r="80" spans="2:7" ht="15.75" x14ac:dyDescent="0.55000000000000004">
      <c r="B80" t="s">
        <v>125</v>
      </c>
      <c r="C80" s="61">
        <f>C19*(C73/F79)^(1/F80)</f>
        <v>0.59409659322267061</v>
      </c>
      <c r="D80" t="s">
        <v>144</v>
      </c>
      <c r="E80" t="s">
        <v>50</v>
      </c>
      <c r="F80">
        <v>2.2909999999999999</v>
      </c>
    </row>
    <row r="81" spans="2:8" x14ac:dyDescent="0.45">
      <c r="B81" s="12"/>
      <c r="C81" s="12"/>
      <c r="D81" s="12"/>
      <c r="E81" s="12"/>
      <c r="F81" s="12"/>
      <c r="G81" s="12"/>
    </row>
    <row r="83" spans="2:8" ht="15.4" x14ac:dyDescent="0.45">
      <c r="B83" s="5" t="s">
        <v>48</v>
      </c>
    </row>
    <row r="85" spans="2:8" x14ac:dyDescent="0.45">
      <c r="B85" t="s">
        <v>126</v>
      </c>
      <c r="C85" s="61">
        <f>H89/1000</f>
        <v>1.3940965932226707E-2</v>
      </c>
      <c r="E85" t="s">
        <v>143</v>
      </c>
      <c r="G85" s="2" t="s">
        <v>53</v>
      </c>
      <c r="H85" s="2"/>
    </row>
    <row r="86" spans="2:8" ht="15.75" x14ac:dyDescent="0.55000000000000004">
      <c r="G86" s="18" t="s">
        <v>71</v>
      </c>
      <c r="H86" s="18" t="s">
        <v>52</v>
      </c>
    </row>
    <row r="87" spans="2:8" ht="15.4" x14ac:dyDescent="0.45">
      <c r="B87" s="5" t="s">
        <v>54</v>
      </c>
      <c r="G87" s="51">
        <v>0.2</v>
      </c>
      <c r="H87" s="51">
        <v>10</v>
      </c>
    </row>
    <row r="88" spans="2:8" x14ac:dyDescent="0.45">
      <c r="G88" s="51">
        <v>1.2</v>
      </c>
      <c r="H88" s="51">
        <v>20</v>
      </c>
    </row>
    <row r="89" spans="2:8" ht="15.75" x14ac:dyDescent="0.55000000000000004">
      <c r="B89" t="s">
        <v>127</v>
      </c>
      <c r="C89" s="61">
        <f>C80+C85</f>
        <v>0.60803755915489732</v>
      </c>
      <c r="G89" s="51">
        <f>C80</f>
        <v>0.59409659322267061</v>
      </c>
      <c r="H89" s="51">
        <f>FORECAST(G89,H87:H88,G87:G88)</f>
        <v>13.940965932226707</v>
      </c>
    </row>
    <row r="91" spans="2:8" ht="15.4" x14ac:dyDescent="0.45">
      <c r="B91" s="5" t="s">
        <v>55</v>
      </c>
    </row>
    <row r="93" spans="2:8" ht="15.75" x14ac:dyDescent="0.55000000000000004">
      <c r="B93" t="s">
        <v>110</v>
      </c>
      <c r="C93">
        <f>0.4*C89</f>
        <v>0.24321502366195893</v>
      </c>
    </row>
    <row r="94" spans="2:8" x14ac:dyDescent="0.45">
      <c r="B94" t="s">
        <v>73</v>
      </c>
    </row>
    <row r="95" spans="2:8" x14ac:dyDescent="0.45">
      <c r="B95" s="12"/>
      <c r="C95" s="12"/>
      <c r="D95" s="12"/>
      <c r="E95" s="12"/>
      <c r="F95" s="12"/>
      <c r="G95" s="12"/>
    </row>
    <row r="97" spans="2:7" ht="15.4" x14ac:dyDescent="0.45">
      <c r="B97" s="5" t="s">
        <v>56</v>
      </c>
    </row>
    <row r="99" spans="2:7" ht="15.75" x14ac:dyDescent="0.55000000000000004">
      <c r="B99" t="s">
        <v>128</v>
      </c>
      <c r="C99">
        <f>(C79-C19)*C89*C93/C79</f>
        <v>2.9576773867443618E-2</v>
      </c>
    </row>
    <row r="100" spans="2:7" x14ac:dyDescent="0.45">
      <c r="B100" s="12"/>
      <c r="C100" s="12"/>
      <c r="D100" s="12"/>
      <c r="E100" s="12"/>
      <c r="F100" s="12"/>
      <c r="G100" s="12"/>
    </row>
    <row r="102" spans="2:7" ht="15.4" x14ac:dyDescent="0.45">
      <c r="B102" s="5" t="s">
        <v>57</v>
      </c>
    </row>
    <row r="104" spans="2:7" ht="15.75" x14ac:dyDescent="0.55000000000000004">
      <c r="B104" t="s">
        <v>129</v>
      </c>
      <c r="C104">
        <f>K18/C99</f>
        <v>1166.2362720186643</v>
      </c>
    </row>
    <row r="105" spans="2:7" x14ac:dyDescent="0.45">
      <c r="B105" s="12"/>
      <c r="C105" s="12"/>
      <c r="D105" s="12"/>
      <c r="E105" s="12"/>
      <c r="F105" s="12"/>
      <c r="G105" s="12"/>
    </row>
    <row r="109" spans="2:7" ht="15.4" x14ac:dyDescent="0.45">
      <c r="B109" s="5" t="s">
        <v>58</v>
      </c>
    </row>
    <row r="111" spans="2:7" ht="15.75" x14ac:dyDescent="0.55000000000000004">
      <c r="B111" t="s">
        <v>130</v>
      </c>
      <c r="C111">
        <f>(1.27/C19)*((C79^2)-0.785*(C19^2))</f>
        <v>1.8810446249999998E-2</v>
      </c>
    </row>
    <row r="115" spans="2:9" ht="23.25" customHeight="1" x14ac:dyDescent="0.7">
      <c r="B115" s="68" t="s">
        <v>77</v>
      </c>
      <c r="C115" s="69"/>
      <c r="D115" s="69"/>
      <c r="E115" s="69"/>
      <c r="F115" s="69"/>
      <c r="G115" s="69"/>
      <c r="H115" s="69"/>
      <c r="I115" s="70"/>
    </row>
    <row r="116" spans="2:9" ht="15.4" x14ac:dyDescent="0.45">
      <c r="B116" s="8" t="s">
        <v>59</v>
      </c>
      <c r="I116" s="9"/>
    </row>
    <row r="117" spans="2:9" x14ac:dyDescent="0.45">
      <c r="B117" s="10"/>
      <c r="I117" s="9"/>
    </row>
    <row r="118" spans="2:9" x14ac:dyDescent="0.45">
      <c r="B118" s="10" t="s">
        <v>60</v>
      </c>
      <c r="C118">
        <f>C104*C111/Q18</f>
        <v>9140.5936290031095</v>
      </c>
      <c r="E118" t="s">
        <v>61</v>
      </c>
      <c r="F118">
        <f>C104/P18</f>
        <v>1.4433617227953766</v>
      </c>
      <c r="I118" s="9"/>
    </row>
    <row r="119" spans="2:9" x14ac:dyDescent="0.45">
      <c r="B119" s="10"/>
      <c r="I119" s="9"/>
    </row>
    <row r="120" spans="2:9" x14ac:dyDescent="0.45">
      <c r="B120" s="10"/>
      <c r="I120" s="9"/>
    </row>
    <row r="121" spans="2:9" ht="15.4" x14ac:dyDescent="0.45">
      <c r="B121" s="8" t="s">
        <v>62</v>
      </c>
      <c r="I121" s="9"/>
    </row>
    <row r="122" spans="2:9" x14ac:dyDescent="0.45">
      <c r="B122" s="10"/>
      <c r="I122" s="9"/>
    </row>
    <row r="123" spans="2:9" x14ac:dyDescent="0.45">
      <c r="B123" s="10" t="s">
        <v>63</v>
      </c>
      <c r="C123">
        <f>Q18*L18/R18</f>
        <v>43.999999999999993</v>
      </c>
      <c r="I123" s="9"/>
    </row>
    <row r="124" spans="2:9" x14ac:dyDescent="0.45">
      <c r="B124" s="10"/>
      <c r="I124" s="9"/>
    </row>
    <row r="125" spans="2:9" x14ac:dyDescent="0.45">
      <c r="B125" s="10"/>
      <c r="I125" s="9"/>
    </row>
    <row r="126" spans="2:9" ht="15.4" x14ac:dyDescent="0.45">
      <c r="B126" s="8" t="s">
        <v>64</v>
      </c>
      <c r="H126" s="2" t="s">
        <v>151</v>
      </c>
      <c r="I126" s="2"/>
    </row>
    <row r="127" spans="2:9" x14ac:dyDescent="0.45">
      <c r="B127" s="10"/>
      <c r="E127" t="s">
        <v>150</v>
      </c>
      <c r="H127" s="18" t="s">
        <v>60</v>
      </c>
      <c r="I127" s="18" t="s">
        <v>66</v>
      </c>
    </row>
    <row r="128" spans="2:9" x14ac:dyDescent="0.45">
      <c r="B128" s="10" t="s">
        <v>65</v>
      </c>
      <c r="C128">
        <f>F128*C118*(C123^(1/3))*((Q18/N24)^0.14)</f>
        <v>180.91360397040458</v>
      </c>
      <c r="E128" t="s">
        <v>66</v>
      </c>
      <c r="F128">
        <f>I130</f>
        <v>5.6063378387912963E-3</v>
      </c>
      <c r="G128" t="s">
        <v>152</v>
      </c>
      <c r="H128" s="50">
        <v>4000</v>
      </c>
      <c r="I128" s="50">
        <v>0.02</v>
      </c>
    </row>
    <row r="129" spans="2:9" x14ac:dyDescent="0.45">
      <c r="B129" s="10"/>
      <c r="E129" t="s">
        <v>67</v>
      </c>
      <c r="F129">
        <f>C111*C128/R18</f>
        <v>28.35888019482568</v>
      </c>
      <c r="H129" s="50">
        <v>9000</v>
      </c>
      <c r="I129" s="50">
        <v>6.0000000000000001E-3</v>
      </c>
    </row>
    <row r="130" spans="2:9" x14ac:dyDescent="0.45">
      <c r="B130" s="10"/>
      <c r="H130" s="50">
        <f>C118</f>
        <v>9140.5936290031095</v>
      </c>
      <c r="I130" s="50">
        <f>FORECAST(H130,I128:I129,H128:H129)</f>
        <v>5.6063378387912963E-3</v>
      </c>
    </row>
    <row r="131" spans="2:9" ht="15.4" x14ac:dyDescent="0.45">
      <c r="B131" s="8" t="s">
        <v>69</v>
      </c>
      <c r="I131" s="9"/>
    </row>
    <row r="132" spans="2:9" x14ac:dyDescent="0.45">
      <c r="B132" s="10"/>
      <c r="I132" s="9"/>
    </row>
    <row r="133" spans="2:9" ht="15.75" x14ac:dyDescent="0.55000000000000004">
      <c r="B133" s="10" t="s">
        <v>131</v>
      </c>
      <c r="C133">
        <f>8*I137*(C89/C111)*(C16/C93)*(P18*(F118^2)/2)*((Q18/N24)^(-0.14))</f>
        <v>279638.8584876401</v>
      </c>
      <c r="E133" t="s">
        <v>70</v>
      </c>
      <c r="F133">
        <f>I137</f>
        <v>5.1227723387138414E-2</v>
      </c>
      <c r="G133" t="s">
        <v>152</v>
      </c>
      <c r="H133" s="2" t="s">
        <v>151</v>
      </c>
      <c r="I133" s="2"/>
    </row>
    <row r="134" spans="2:9" x14ac:dyDescent="0.45">
      <c r="B134" s="10"/>
      <c r="H134" s="37" t="s">
        <v>60</v>
      </c>
      <c r="I134" s="37" t="s">
        <v>70</v>
      </c>
    </row>
    <row r="135" spans="2:9" x14ac:dyDescent="0.45">
      <c r="B135" s="10"/>
      <c r="H135" s="52">
        <v>3000</v>
      </c>
      <c r="I135" s="53">
        <v>0.06</v>
      </c>
    </row>
    <row r="136" spans="2:9" x14ac:dyDescent="0.45">
      <c r="B136" s="10"/>
      <c r="H136" s="54">
        <v>10000</v>
      </c>
      <c r="I136" s="55">
        <v>0.05</v>
      </c>
    </row>
    <row r="137" spans="2:9" x14ac:dyDescent="0.45">
      <c r="B137" s="10"/>
      <c r="H137" s="51">
        <f>C118</f>
        <v>9140.5936290031095</v>
      </c>
      <c r="I137" s="51">
        <f>FORECAST(H137,I135:I136,H135:H136)</f>
        <v>5.1227723387138414E-2</v>
      </c>
    </row>
    <row r="138" spans="2:9" x14ac:dyDescent="0.45">
      <c r="B138" s="10"/>
      <c r="I138" s="9"/>
    </row>
    <row r="139" spans="2:9" ht="23.25" x14ac:dyDescent="0.7">
      <c r="B139" s="68" t="s">
        <v>78</v>
      </c>
      <c r="C139" s="69"/>
      <c r="D139" s="69"/>
      <c r="E139" s="69"/>
      <c r="F139" s="69"/>
      <c r="G139" s="69"/>
      <c r="H139" s="69"/>
      <c r="I139" s="70"/>
    </row>
    <row r="140" spans="2:9" x14ac:dyDescent="0.45">
      <c r="B140" s="10"/>
      <c r="I140" s="9"/>
    </row>
    <row r="141" spans="2:9" ht="15.4" x14ac:dyDescent="0.45">
      <c r="B141" s="8" t="s">
        <v>72</v>
      </c>
      <c r="I141" s="9"/>
    </row>
    <row r="142" spans="2:9" x14ac:dyDescent="0.45">
      <c r="B142" s="10"/>
      <c r="I142" s="9"/>
    </row>
    <row r="143" spans="2:9" ht="15.75" x14ac:dyDescent="0.55000000000000004">
      <c r="B143" s="10" t="s">
        <v>132</v>
      </c>
      <c r="C143">
        <f>C73/F143</f>
        <v>206.4247334437828</v>
      </c>
      <c r="E143" t="s">
        <v>74</v>
      </c>
      <c r="F143">
        <v>2</v>
      </c>
      <c r="I143" s="9"/>
    </row>
    <row r="144" spans="2:9" x14ac:dyDescent="0.45">
      <c r="B144" s="10" t="s">
        <v>75</v>
      </c>
      <c r="C144" s="7">
        <f>C143</f>
        <v>206.4247334437828</v>
      </c>
      <c r="I144" s="9"/>
    </row>
    <row r="145" spans="2:9" x14ac:dyDescent="0.45">
      <c r="B145" s="10"/>
      <c r="C145" s="7"/>
      <c r="I145" s="9"/>
    </row>
    <row r="146" spans="2:9" x14ac:dyDescent="0.45">
      <c r="B146" s="10"/>
      <c r="I146" s="9"/>
    </row>
    <row r="147" spans="2:9" ht="15.4" x14ac:dyDescent="0.45">
      <c r="B147" s="8" t="s">
        <v>76</v>
      </c>
      <c r="I147" s="9"/>
    </row>
    <row r="148" spans="2:9" x14ac:dyDescent="0.45">
      <c r="B148" s="10"/>
      <c r="I148" s="9"/>
    </row>
    <row r="149" spans="2:9" ht="15.75" x14ac:dyDescent="0.55000000000000004">
      <c r="B149" s="10" t="s">
        <v>133</v>
      </c>
      <c r="C149">
        <f>K15/(C143*PI()*(C17^2)/4)</f>
        <v>995.86145087930799</v>
      </c>
      <c r="I149" s="9"/>
    </row>
    <row r="150" spans="2:9" x14ac:dyDescent="0.45">
      <c r="B150" s="10"/>
      <c r="I150" s="9"/>
    </row>
    <row r="151" spans="2:9" ht="15.4" x14ac:dyDescent="0.45">
      <c r="B151" s="8" t="s">
        <v>79</v>
      </c>
      <c r="I151" s="9"/>
    </row>
    <row r="152" spans="2:9" x14ac:dyDescent="0.45">
      <c r="B152" s="10"/>
      <c r="I152" s="9"/>
    </row>
    <row r="153" spans="2:9" x14ac:dyDescent="0.45">
      <c r="B153" s="10" t="s">
        <v>134</v>
      </c>
      <c r="C153">
        <f>C149/P15</f>
        <v>1.3120704227658866</v>
      </c>
      <c r="I153" s="9"/>
    </row>
    <row r="154" spans="2:9" x14ac:dyDescent="0.45">
      <c r="B154" s="10"/>
      <c r="I154" s="9"/>
    </row>
    <row r="155" spans="2:9" ht="15.4" x14ac:dyDescent="0.45">
      <c r="B155" s="8" t="s">
        <v>80</v>
      </c>
      <c r="I155" s="9"/>
    </row>
    <row r="156" spans="2:9" x14ac:dyDescent="0.45">
      <c r="B156" s="10" t="s">
        <v>146</v>
      </c>
      <c r="I156" s="9"/>
    </row>
    <row r="157" spans="2:9" x14ac:dyDescent="0.45">
      <c r="B157" s="10" t="s">
        <v>63</v>
      </c>
      <c r="C157">
        <f>Q15*L15/R15</f>
        <v>20.998999999999995</v>
      </c>
      <c r="I157" s="9"/>
    </row>
    <row r="158" spans="2:9" x14ac:dyDescent="0.45">
      <c r="B158" s="10" t="s">
        <v>60</v>
      </c>
      <c r="C158">
        <f>P15*C17*C153/Q15</f>
        <v>19668.560432700055</v>
      </c>
      <c r="I158" s="9"/>
    </row>
    <row r="159" spans="2:9" x14ac:dyDescent="0.45">
      <c r="B159" s="10"/>
      <c r="I159" s="9"/>
    </row>
    <row r="160" spans="2:9" ht="15.4" x14ac:dyDescent="0.45">
      <c r="B160" s="8" t="s">
        <v>81</v>
      </c>
      <c r="I160" s="9"/>
    </row>
    <row r="161" spans="2:9" x14ac:dyDescent="0.45">
      <c r="B161" s="10"/>
      <c r="F161" s="59" t="s">
        <v>82</v>
      </c>
      <c r="G161" s="59" t="s">
        <v>90</v>
      </c>
      <c r="I161" s="9"/>
    </row>
    <row r="162" spans="2:9" ht="15.75" x14ac:dyDescent="0.55000000000000004">
      <c r="B162" s="10" t="s">
        <v>135</v>
      </c>
      <c r="C162">
        <f>IF(C158&lt;2100,F162,G162)</f>
        <v>1371.5785366906625</v>
      </c>
      <c r="F162" s="59">
        <f>1.86*(R15/C17)*((C158*C157)^0.33)*((C17/C16)^0.33)*((Q15/N24)^0.14)</f>
        <v>127.34231615322604</v>
      </c>
      <c r="G162" s="59">
        <f>0.023*(R15/C17)*(C158^0.8)*(C157^0.33)*((1+C17/C16)^0.7)</f>
        <v>1371.5785366906625</v>
      </c>
      <c r="I162" s="9"/>
    </row>
    <row r="163" spans="2:9" x14ac:dyDescent="0.45">
      <c r="B163" s="10"/>
      <c r="I163" s="9"/>
    </row>
    <row r="164" spans="2:9" ht="15.4" x14ac:dyDescent="0.45">
      <c r="B164" s="8" t="s">
        <v>83</v>
      </c>
      <c r="I164" s="9"/>
    </row>
    <row r="165" spans="2:9" x14ac:dyDescent="0.45">
      <c r="B165" s="10"/>
      <c r="I165" s="9"/>
    </row>
    <row r="166" spans="2:9" x14ac:dyDescent="0.45">
      <c r="B166" s="10"/>
      <c r="G166">
        <f>C17*LN(C19/C17)/(2*C31)</f>
        <v>9.3880176690735884E-5</v>
      </c>
      <c r="I166" s="9"/>
    </row>
    <row r="167" spans="2:9" x14ac:dyDescent="0.45">
      <c r="B167" s="10"/>
      <c r="I167" s="9"/>
    </row>
    <row r="168" spans="2:9" ht="15.75" x14ac:dyDescent="0.55000000000000004">
      <c r="B168" s="10" t="s">
        <v>111</v>
      </c>
      <c r="C168">
        <f>1/(C19/(C162*C17)+C24*C19/C17+G166+C25+1/F129)</f>
        <v>26.922424088719513</v>
      </c>
      <c r="I168" s="9"/>
    </row>
    <row r="169" spans="2:9" x14ac:dyDescent="0.45">
      <c r="B169" s="10"/>
      <c r="I169" s="9"/>
    </row>
    <row r="170" spans="2:9" x14ac:dyDescent="0.45">
      <c r="B170" s="10"/>
      <c r="I170" s="9"/>
    </row>
    <row r="171" spans="2:9" x14ac:dyDescent="0.45">
      <c r="B171" s="10"/>
      <c r="I171" s="9"/>
    </row>
    <row r="172" spans="2:9" ht="15.4" x14ac:dyDescent="0.45">
      <c r="B172" s="8" t="s">
        <v>84</v>
      </c>
      <c r="I172" s="9"/>
    </row>
    <row r="173" spans="2:9" x14ac:dyDescent="0.45">
      <c r="B173" s="10"/>
      <c r="C173" s="59" t="s">
        <v>86</v>
      </c>
      <c r="D173" s="59" t="s">
        <v>87</v>
      </c>
      <c r="E173" s="59" t="s">
        <v>91</v>
      </c>
      <c r="I173" s="9"/>
    </row>
    <row r="174" spans="2:9" x14ac:dyDescent="0.45">
      <c r="B174" s="10" t="s">
        <v>85</v>
      </c>
      <c r="C174" s="59">
        <f>C63</f>
        <v>200</v>
      </c>
      <c r="D174" s="59">
        <f>C168</f>
        <v>26.922424088719513</v>
      </c>
      <c r="E174" s="59">
        <f>C174-D174</f>
        <v>173.07757591128049</v>
      </c>
      <c r="I174" s="9"/>
    </row>
    <row r="175" spans="2:9" x14ac:dyDescent="0.45">
      <c r="B175" s="10"/>
      <c r="I175" s="9"/>
    </row>
    <row r="176" spans="2:9" x14ac:dyDescent="0.45">
      <c r="B176" s="10"/>
      <c r="I176" s="9"/>
    </row>
    <row r="177" spans="2:9" x14ac:dyDescent="0.45">
      <c r="B177" s="6" t="s">
        <v>93</v>
      </c>
      <c r="C177" s="66">
        <f>C68</f>
        <v>150.71844885134644</v>
      </c>
      <c r="I177" s="9"/>
    </row>
    <row r="178" spans="2:9" x14ac:dyDescent="0.45">
      <c r="B178" s="20" t="s">
        <v>97</v>
      </c>
      <c r="C178" s="21">
        <f>C73</f>
        <v>412.8494668875656</v>
      </c>
      <c r="I178" s="9"/>
    </row>
    <row r="179" spans="2:9" x14ac:dyDescent="0.45">
      <c r="B179" s="20" t="s">
        <v>96</v>
      </c>
      <c r="C179" s="60">
        <f>C16</f>
        <v>6.1</v>
      </c>
      <c r="I179" s="9"/>
    </row>
    <row r="180" spans="2:9" x14ac:dyDescent="0.45">
      <c r="B180" s="20" t="s">
        <v>95</v>
      </c>
      <c r="C180" s="62">
        <f>C89</f>
        <v>0.60803755915489732</v>
      </c>
      <c r="I180" s="9"/>
    </row>
    <row r="181" spans="2:9" x14ac:dyDescent="0.45">
      <c r="B181" s="20" t="s">
        <v>94</v>
      </c>
      <c r="C181" s="64">
        <f>C36</f>
        <v>3718400</v>
      </c>
      <c r="I181" s="9"/>
    </row>
    <row r="182" spans="2:9" x14ac:dyDescent="0.45">
      <c r="B182" s="10"/>
      <c r="I182" s="9"/>
    </row>
    <row r="183" spans="2:9" ht="15.4" x14ac:dyDescent="0.45">
      <c r="B183" s="8" t="s">
        <v>88</v>
      </c>
      <c r="I183" s="9"/>
    </row>
    <row r="184" spans="2:9" x14ac:dyDescent="0.45">
      <c r="B184" s="10"/>
      <c r="I184" s="9"/>
    </row>
    <row r="185" spans="2:9" x14ac:dyDescent="0.45">
      <c r="B185" s="10"/>
      <c r="I185" s="9"/>
    </row>
    <row r="186" spans="2:9" ht="15.75" x14ac:dyDescent="0.55000000000000004">
      <c r="B186" s="10" t="s">
        <v>136</v>
      </c>
      <c r="C186">
        <f>C162</f>
        <v>1371.5785366906625</v>
      </c>
      <c r="D186" t="s">
        <v>89</v>
      </c>
      <c r="F186" t="s">
        <v>30</v>
      </c>
      <c r="G186">
        <f>IF(C158&lt;2100,0.25,0.14)</f>
        <v>0.14000000000000001</v>
      </c>
      <c r="I186" s="9"/>
    </row>
    <row r="187" spans="2:9" x14ac:dyDescent="0.45">
      <c r="B187" s="10"/>
      <c r="I187" s="9"/>
    </row>
    <row r="188" spans="2:9" x14ac:dyDescent="0.45">
      <c r="B188" s="11"/>
      <c r="C188" s="12"/>
      <c r="D188" s="12"/>
      <c r="E188" s="12"/>
      <c r="F188" s="12"/>
      <c r="G188" s="12"/>
      <c r="H188" s="12"/>
      <c r="I188" s="13"/>
    </row>
  </sheetData>
  <mergeCells count="5">
    <mergeCell ref="B115:I115"/>
    <mergeCell ref="B139:I139"/>
    <mergeCell ref="I10:R10"/>
    <mergeCell ref="B1:G2"/>
    <mergeCell ref="B3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12"/>
  <sheetViews>
    <sheetView workbookViewId="0">
      <selection activeCell="A10" sqref="A10"/>
    </sheetView>
  </sheetViews>
  <sheetFormatPr defaultRowHeight="14.25" x14ac:dyDescent="0.45"/>
  <sheetData>
    <row r="2" spans="1:1" x14ac:dyDescent="0.45">
      <c r="A2" s="22" t="s">
        <v>112</v>
      </c>
    </row>
    <row r="5" spans="1:1" x14ac:dyDescent="0.45">
      <c r="A5" t="s">
        <v>113</v>
      </c>
    </row>
    <row r="6" spans="1:1" x14ac:dyDescent="0.45">
      <c r="A6" t="s">
        <v>114</v>
      </c>
    </row>
    <row r="8" spans="1:1" x14ac:dyDescent="0.45">
      <c r="A8" t="s">
        <v>115</v>
      </c>
    </row>
    <row r="9" spans="1:1" x14ac:dyDescent="0.45">
      <c r="A9" t="s">
        <v>116</v>
      </c>
    </row>
    <row r="11" spans="1:1" x14ac:dyDescent="0.45">
      <c r="A11" t="s">
        <v>117</v>
      </c>
    </row>
    <row r="12" spans="1:1" x14ac:dyDescent="0.45">
      <c r="A12" t="s">
        <v>118</v>
      </c>
    </row>
  </sheetData>
  <hyperlinks>
    <hyperlink ref="A2" r:id="rId1" xr:uid="{00000000-0004-0000-01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4BDAD89C58D94298EB7B95DDC09776" ma:contentTypeVersion="5" ma:contentTypeDescription="Create a new document." ma:contentTypeScope="" ma:versionID="864ff392929fa9ca47582bdb517343e1">
  <xsd:schema xmlns:xsd="http://www.w3.org/2001/XMLSchema" xmlns:xs="http://www.w3.org/2001/XMLSchema" xmlns:p="http://schemas.microsoft.com/office/2006/metadata/properties" xmlns:ns3="28bb74b5-340b-4edf-8545-0d9d154cbe44" targetNamespace="http://schemas.microsoft.com/office/2006/metadata/properties" ma:root="true" ma:fieldsID="99f722375a6d96e68870532f642bd539" ns3:_="">
    <xsd:import namespace="28bb74b5-340b-4edf-8545-0d9d154cbe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bb74b5-340b-4edf-8545-0d9d154cbe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CD1D6A-910D-4A22-884C-2197D4F2F8BD}">
  <ds:schemaRefs>
    <ds:schemaRef ds:uri="http://schemas.microsoft.com/office/2006/documentManagement/types"/>
    <ds:schemaRef ds:uri="28bb74b5-340b-4edf-8545-0d9d154cbe44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9D1392B-CBE2-426B-8E47-964D105D8E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6AC9B0-9D9E-4986-95B2-9319C8572A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bb74b5-340b-4edf-8545-0d9d154cbe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 (3)</vt:lpstr>
      <vt:lpstr>Sheet1</vt:lpstr>
      <vt:lpstr>'Sheet1 (3)'!S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Theekz</dc:creator>
  <cp:lastModifiedBy>Kugaparan Suntharalingam</cp:lastModifiedBy>
  <dcterms:created xsi:type="dcterms:W3CDTF">2023-10-08T06:45:08Z</dcterms:created>
  <dcterms:modified xsi:type="dcterms:W3CDTF">2024-09-20T06:24:03Z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0x010100BA4BDAD89C58D94298EB7B95DDC09776</vt:lpwstr>
  </property>
</Properties>
</file>