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filterPrivacy="1" codeName="ThisWorkbook"/>
  <xr:revisionPtr revIDLastSave="40" documentId="310843A8D67EEBC7B0B67182CEBE08C430B2F618" xr6:coauthVersionLast="24" xr6:coauthVersionMax="24" xr10:uidLastSave="{F396BA62-8BF0-4493-9D53-DAFF1317A273}"/>
  <bookViews>
    <workbookView xWindow="0" yWindow="0" windowWidth="22260" windowHeight="12645" xr2:uid="{00000000-000D-0000-FFFF-FFFF00000000}"/>
  </bookViews>
  <sheets>
    <sheet name="Character" sheetId="1" r:id="rId1"/>
    <sheet name="Spells_Abilities" sheetId="4" r:id="rId2"/>
    <sheet name="General_Data" sheetId="2" r:id="rId3"/>
    <sheet name="Class_Info" sheetId="3" r:id="rId4"/>
    <sheet name="Spell_Data" sheetId="7" r:id="rId5"/>
  </sheets>
  <definedNames>
    <definedName name="AllArmorProf">Character!$B$36</definedName>
    <definedName name="AllWeaponProf">Character!$B$34</definedName>
    <definedName name="ArmorAC">Character!$K$22</definedName>
    <definedName name="ArmorName">Character!$I$22</definedName>
    <definedName name="AvailableArmor">Armor[Armor]</definedName>
    <definedName name="BardSpellsKnown">Spell_Data!#REF!</definedName>
    <definedName name="CharLevel">Character!$D$4</definedName>
    <definedName name="Classes">Class[Class]</definedName>
    <definedName name="CurExp">Character!$T$2</definedName>
    <definedName name="HaveShield">General_Data!$F$36:$G$36</definedName>
    <definedName name="MeleeWeapons">General_Data!$X$26:$X$56</definedName>
    <definedName name="ModCha">Character!$D$18</definedName>
    <definedName name="ModCon">Character!$D$15</definedName>
    <definedName name="ModDex">Character!$D$14</definedName>
    <definedName name="ModInt">Character!$D$16</definedName>
    <definedName name="ModStr">Character!$D$13</definedName>
    <definedName name="ModWis">Character!$D$17</definedName>
    <definedName name="NextExp">Character!$T$3</definedName>
    <definedName name="Proficiency">Character!$G$4</definedName>
    <definedName name="RaceInput">Character!$I$3</definedName>
    <definedName name="Races">General_Data!$B$35:$B$49</definedName>
    <definedName name="RacialTraits">Character!$T$15:$U$22</definedName>
    <definedName name="RangedWeapons">General_Data!$Y$26:$Y$42</definedName>
    <definedName name="ScoreCha">Character!$C$18</definedName>
    <definedName name="ScoreCon">Character!$C$15</definedName>
    <definedName name="ScoreDex">Character!$C$14</definedName>
    <definedName name="ScoreInt">Character!$C$16</definedName>
    <definedName name="ScoreStr">Character!$C$13</definedName>
    <definedName name="ScoreWis">Character!$C$17</definedName>
    <definedName name="ShieldAC">Character!$K$23</definedName>
    <definedName name="ShieldName">Character!$I$23</definedName>
    <definedName name="UsedHealDice">Character!$N$8:$N$12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4" i="1"/>
  <c r="T22" i="1" l="1"/>
  <c r="T21" i="1"/>
  <c r="T20" i="1"/>
  <c r="T19" i="1"/>
  <c r="T18" i="1"/>
  <c r="T17" i="1"/>
  <c r="T16" i="1"/>
  <c r="T15" i="1"/>
  <c r="F25" i="1" s="1"/>
  <c r="S22" i="2"/>
  <c r="C44" i="1"/>
  <c r="C45" i="1"/>
  <c r="C46" i="1"/>
  <c r="C43" i="1"/>
  <c r="B44" i="1"/>
  <c r="B45" i="1"/>
  <c r="B46" i="1"/>
  <c r="B43" i="1"/>
  <c r="M10" i="1"/>
  <c r="M11" i="1"/>
  <c r="M12" i="1"/>
  <c r="M9" i="1"/>
  <c r="E8" i="1"/>
  <c r="E9" i="1"/>
  <c r="E10" i="1"/>
  <c r="E7" i="1"/>
  <c r="C13" i="1"/>
  <c r="F27" i="1" l="1"/>
  <c r="D14" i="1"/>
  <c r="J17" i="1" s="1"/>
  <c r="D13" i="1"/>
  <c r="P36" i="1"/>
  <c r="K23" i="1"/>
  <c r="K22" i="1"/>
  <c r="I19" i="1"/>
  <c r="I18" i="1"/>
  <c r="I17" i="1"/>
  <c r="I16" i="1"/>
  <c r="K19" i="1"/>
  <c r="K18" i="1"/>
  <c r="K17" i="1"/>
  <c r="K16" i="1"/>
  <c r="K12" i="1"/>
  <c r="K13" i="1"/>
  <c r="K14" i="1"/>
  <c r="K11" i="1"/>
  <c r="I11" i="1"/>
  <c r="I13" i="1"/>
  <c r="I14" i="1"/>
  <c r="I12" i="1"/>
  <c r="L17" i="1"/>
  <c r="L18" i="1"/>
  <c r="L19" i="1"/>
  <c r="L16" i="1"/>
  <c r="H18" i="1"/>
  <c r="H19" i="1"/>
  <c r="J18" i="1"/>
  <c r="J19" i="1"/>
  <c r="J12" i="1"/>
  <c r="J13" i="1"/>
  <c r="J14" i="1"/>
  <c r="H12" i="1"/>
  <c r="H13" i="1"/>
  <c r="H14" i="1"/>
  <c r="C18" i="1"/>
  <c r="D18" i="1" s="1"/>
  <c r="C17" i="1"/>
  <c r="D17" i="1" s="1"/>
  <c r="D16" i="1"/>
  <c r="C15" i="1"/>
  <c r="D15" i="1" s="1"/>
  <c r="J16" i="1" l="1"/>
  <c r="G7" i="1"/>
  <c r="C42" i="1"/>
  <c r="B36" i="1" s="1"/>
  <c r="B42" i="1"/>
  <c r="B34" i="1" s="1"/>
  <c r="G39" i="2"/>
  <c r="O10" i="1"/>
  <c r="O11" i="1"/>
  <c r="O12" i="1"/>
  <c r="O9" i="1"/>
  <c r="O8" i="1"/>
  <c r="M8" i="1"/>
  <c r="H5" i="1"/>
  <c r="M19" i="2"/>
  <c r="M20" i="2"/>
  <c r="P20" i="2"/>
  <c r="O20" i="2"/>
  <c r="N20" i="2"/>
  <c r="L20" i="2"/>
  <c r="K20" i="2"/>
  <c r="P17" i="2"/>
  <c r="O17" i="2"/>
  <c r="N17" i="2"/>
  <c r="M17" i="2"/>
  <c r="L17" i="2"/>
  <c r="K17" i="2"/>
  <c r="P4" i="2"/>
  <c r="O22" i="2"/>
  <c r="N13" i="2"/>
  <c r="K18" i="2"/>
  <c r="O14" i="2"/>
  <c r="P14" i="2"/>
  <c r="P19" i="2"/>
  <c r="O19" i="2"/>
  <c r="N19" i="2"/>
  <c r="L19" i="2"/>
  <c r="K19" i="2"/>
  <c r="P18" i="2"/>
  <c r="O18" i="2"/>
  <c r="N18" i="2"/>
  <c r="M18" i="2"/>
  <c r="L18" i="2"/>
  <c r="K14" i="2"/>
  <c r="N14" i="2"/>
  <c r="M14" i="2"/>
  <c r="L14" i="2"/>
  <c r="P8" i="2"/>
  <c r="O8" i="2"/>
  <c r="N8" i="2"/>
  <c r="M8" i="2"/>
  <c r="L8" i="2"/>
  <c r="K8" i="2"/>
  <c r="P22" i="2"/>
  <c r="N22" i="2"/>
  <c r="M22" i="2"/>
  <c r="L22" i="2"/>
  <c r="K22" i="2"/>
  <c r="P13" i="2"/>
  <c r="O13" i="2"/>
  <c r="M13" i="2"/>
  <c r="L13" i="2"/>
  <c r="K13" i="2"/>
  <c r="O4" i="2"/>
  <c r="N4" i="2"/>
  <c r="M4" i="2"/>
  <c r="L4" i="2"/>
  <c r="K4" i="2"/>
  <c r="E6" i="1"/>
  <c r="G23" i="1"/>
  <c r="J11" i="1" l="1"/>
  <c r="D24" i="1"/>
  <c r="G28" i="1"/>
  <c r="G25" i="1"/>
  <c r="D28" i="1"/>
  <c r="G30" i="1"/>
  <c r="G22" i="1"/>
  <c r="G26" i="1"/>
  <c r="D25" i="1"/>
  <c r="G24" i="1"/>
  <c r="D27" i="1"/>
  <c r="D23" i="1"/>
  <c r="D26" i="1"/>
  <c r="D29" i="1"/>
  <c r="D30" i="1"/>
  <c r="D22" i="1"/>
  <c r="G29" i="1"/>
  <c r="K4" i="1"/>
  <c r="H16" i="1" l="1"/>
  <c r="D4" i="1" l="1"/>
  <c r="S14" i="2"/>
  <c r="S18" i="2"/>
  <c r="S7" i="2"/>
  <c r="S13" i="2"/>
  <c r="S4" i="2"/>
  <c r="S10" i="2"/>
  <c r="S17" i="2"/>
  <c r="S20" i="2"/>
  <c r="S15" i="2"/>
  <c r="S16" i="2"/>
  <c r="S5" i="2"/>
  <c r="S9" i="2"/>
  <c r="S8" i="2"/>
  <c r="S19" i="2"/>
  <c r="S11" i="2"/>
  <c r="S12" i="2"/>
  <c r="J5" i="1" s="1"/>
  <c r="S21" i="2"/>
  <c r="S6" i="2"/>
  <c r="C10" i="4" l="1"/>
  <c r="E10" i="4" s="1"/>
  <c r="C9" i="4"/>
  <c r="E9" i="4" s="1"/>
  <c r="C12" i="4"/>
  <c r="E12" i="4" s="1"/>
  <c r="C8" i="4"/>
  <c r="E8" i="4" s="1"/>
  <c r="C7" i="4"/>
  <c r="E7" i="4" s="1"/>
  <c r="C6" i="4"/>
  <c r="E6" i="4" s="1"/>
  <c r="C5" i="4"/>
  <c r="E5" i="4" s="1"/>
  <c r="C4" i="4"/>
  <c r="E4" i="4" s="1"/>
  <c r="C11" i="4"/>
  <c r="E11" i="4" s="1"/>
  <c r="I6" i="1"/>
  <c r="I7" i="1" s="1"/>
  <c r="G4" i="1"/>
  <c r="H17" i="1"/>
  <c r="T3" i="1"/>
  <c r="G27" i="1" l="1"/>
  <c r="N4" i="1" s="1"/>
  <c r="H11" i="1"/>
</calcChain>
</file>

<file path=xl/sharedStrings.xml><?xml version="1.0" encoding="utf-8"?>
<sst xmlns="http://schemas.openxmlformats.org/spreadsheetml/2006/main" count="676" uniqueCount="321">
  <si>
    <t>By Narayana Emery</t>
  </si>
  <si>
    <t>Custom Sheet</t>
  </si>
  <si>
    <t>Background:</t>
  </si>
  <si>
    <t>Faction:</t>
  </si>
  <si>
    <t>Race:</t>
  </si>
  <si>
    <t>LG</t>
  </si>
  <si>
    <t>LN</t>
  </si>
  <si>
    <t>LE</t>
  </si>
  <si>
    <t>NG</t>
  </si>
  <si>
    <t>True N</t>
  </si>
  <si>
    <t>NE</t>
  </si>
  <si>
    <t>CG</t>
  </si>
  <si>
    <t>CN</t>
  </si>
  <si>
    <t>CE</t>
  </si>
  <si>
    <t>Experience Track</t>
  </si>
  <si>
    <t>Level</t>
  </si>
  <si>
    <t>EXP</t>
  </si>
  <si>
    <t>Proficiency</t>
  </si>
  <si>
    <t>Racial Modifiers</t>
  </si>
  <si>
    <t>Str</t>
  </si>
  <si>
    <t>Dex</t>
  </si>
  <si>
    <t>Con</t>
  </si>
  <si>
    <t>Int</t>
  </si>
  <si>
    <t>Wis</t>
  </si>
  <si>
    <t>Speed</t>
  </si>
  <si>
    <t>Size</t>
  </si>
  <si>
    <t>Dwarf</t>
  </si>
  <si>
    <t>M</t>
  </si>
  <si>
    <t>Squares</t>
  </si>
  <si>
    <t>Abilities</t>
  </si>
  <si>
    <t>Darkvision</t>
  </si>
  <si>
    <t>Dwarven Resilience</t>
  </si>
  <si>
    <t>Dwarven Combat Training</t>
  </si>
  <si>
    <t>Tools: Smith, Brewer, or mason</t>
  </si>
  <si>
    <t>Stonecunning</t>
  </si>
  <si>
    <t>Hill Dwarf</t>
  </si>
  <si>
    <t>Dwarven Toughness</t>
  </si>
  <si>
    <t>Mountain Dwarf</t>
  </si>
  <si>
    <t>Elf</t>
  </si>
  <si>
    <t>Dwarven Armor Training</t>
  </si>
  <si>
    <t>Keen Senses</t>
  </si>
  <si>
    <t>Fey Ancestry</t>
  </si>
  <si>
    <t>Trance</t>
  </si>
  <si>
    <t>High Elf</t>
  </si>
  <si>
    <t>Elf Weapon Training</t>
  </si>
  <si>
    <t>Catrip: Wizard</t>
  </si>
  <si>
    <t>Extra Language</t>
  </si>
  <si>
    <t>Wood Elf</t>
  </si>
  <si>
    <t>Fleet of Foot</t>
  </si>
  <si>
    <t>Mask of the Wild</t>
  </si>
  <si>
    <t>Cha</t>
  </si>
  <si>
    <t>Superior Darkvision</t>
  </si>
  <si>
    <t>Sunlight Sensitivity</t>
  </si>
  <si>
    <t>Drow Magic</t>
  </si>
  <si>
    <t>Drow Weapon Training</t>
  </si>
  <si>
    <t>Hafling</t>
  </si>
  <si>
    <t>S</t>
  </si>
  <si>
    <t>Lucky</t>
  </si>
  <si>
    <t>Brave</t>
  </si>
  <si>
    <t>Halfling Nimbleness</t>
  </si>
  <si>
    <t>Lightfoot Halfling</t>
  </si>
  <si>
    <t>Naturally Stealthy</t>
  </si>
  <si>
    <t>Stout Halfling</t>
  </si>
  <si>
    <t>Stout Resilience</t>
  </si>
  <si>
    <t>Human</t>
  </si>
  <si>
    <t>Human Variant</t>
  </si>
  <si>
    <t>Dragonborn</t>
  </si>
  <si>
    <t>Draconic Ancestry</t>
  </si>
  <si>
    <t>Breath Weapon</t>
  </si>
  <si>
    <t>Draconic Resistance</t>
  </si>
  <si>
    <t>Gnome</t>
  </si>
  <si>
    <t>Gnome Cunning</t>
  </si>
  <si>
    <t>Forest Gnome</t>
  </si>
  <si>
    <t>Natural Illusionist</t>
  </si>
  <si>
    <t>Speak with Small Beasts</t>
  </si>
  <si>
    <t>Rock Gnome</t>
  </si>
  <si>
    <t>Artificer's Lore</t>
  </si>
  <si>
    <t>Tinker</t>
  </si>
  <si>
    <t>Half-Elf</t>
  </si>
  <si>
    <t>Half-Elf Abilities</t>
  </si>
  <si>
    <t>Skill Versatility</t>
  </si>
  <si>
    <t>Half-Orc</t>
  </si>
  <si>
    <t>Menacing</t>
  </si>
  <si>
    <t>Relentless Endurance</t>
  </si>
  <si>
    <t>Savage Attacks</t>
  </si>
  <si>
    <t>Tiefling</t>
  </si>
  <si>
    <t>Hellish Resistance</t>
  </si>
  <si>
    <t>Infernal Legacy</t>
  </si>
  <si>
    <t>Class Modifiers</t>
  </si>
  <si>
    <t>Class</t>
  </si>
  <si>
    <t>Barbarian</t>
  </si>
  <si>
    <t>Bard</t>
  </si>
  <si>
    <t>Cleric</t>
  </si>
  <si>
    <t>Druid</t>
  </si>
  <si>
    <t>Fighter</t>
  </si>
  <si>
    <t>Monk</t>
  </si>
  <si>
    <t>Paladin</t>
  </si>
  <si>
    <t>Ranger</t>
  </si>
  <si>
    <t>Rogue</t>
  </si>
  <si>
    <t>Sorcerer</t>
  </si>
  <si>
    <t>Warlock</t>
  </si>
  <si>
    <t>Wizard</t>
  </si>
  <si>
    <t>Hit Die</t>
  </si>
  <si>
    <t>Primary</t>
  </si>
  <si>
    <t>Primary Save</t>
  </si>
  <si>
    <t>Secondary Save</t>
  </si>
  <si>
    <t>Armor</t>
  </si>
  <si>
    <t>Weapons</t>
  </si>
  <si>
    <t>d12</t>
  </si>
  <si>
    <t>d8</t>
  </si>
  <si>
    <t>d10</t>
  </si>
  <si>
    <t>d6</t>
  </si>
  <si>
    <t>Str or Dex</t>
  </si>
  <si>
    <t>Dex &amp; Wis</t>
  </si>
  <si>
    <t>Str &amp; Cha</t>
  </si>
  <si>
    <t>Light, Medium, Shield</t>
  </si>
  <si>
    <t>Light</t>
  </si>
  <si>
    <t>Light, Medium (non-metal), Shield (non-metal)</t>
  </si>
  <si>
    <t>None</t>
  </si>
  <si>
    <t>Light, Medium, Heavy, Shield</t>
  </si>
  <si>
    <t>Simple, Martial</t>
  </si>
  <si>
    <t>Simple, Hand Crossbow, Longsword, Rapier, Shortsword</t>
  </si>
  <si>
    <t>Simple</t>
  </si>
  <si>
    <t>Club, Dagger, Dart, Javelin, Mace, Quarterstaff, Scimitar, Sickle, Sling, Spear</t>
  </si>
  <si>
    <t>Simple, Shortsword</t>
  </si>
  <si>
    <t>Dagger, Dart, Sling, Quarterstaff, Light Crossbow</t>
  </si>
  <si>
    <t>Spell Slots and Information</t>
  </si>
  <si>
    <t>Character Level:</t>
  </si>
  <si>
    <t>Barbarian Rage table</t>
  </si>
  <si>
    <t>Rages</t>
  </si>
  <si>
    <t>Rage Damage</t>
  </si>
  <si>
    <t>Experience Points:</t>
  </si>
  <si>
    <t>Proficiency Bonus:</t>
  </si>
  <si>
    <t>D&amp;D 5E</t>
  </si>
  <si>
    <t>Character Sheet</t>
  </si>
  <si>
    <t>Initiative Bonus:</t>
  </si>
  <si>
    <t>Class Name</t>
  </si>
  <si>
    <t>Class Level</t>
  </si>
  <si>
    <t>Dice Conversion:</t>
  </si>
  <si>
    <t>d4</t>
  </si>
  <si>
    <t>d20</t>
  </si>
  <si>
    <t>Hit Points:</t>
  </si>
  <si>
    <t>Die</t>
  </si>
  <si>
    <t>Value</t>
  </si>
  <si>
    <t>Average</t>
  </si>
  <si>
    <t>Hit Average</t>
  </si>
  <si>
    <t>Current HP:</t>
  </si>
  <si>
    <t>Damage</t>
  </si>
  <si>
    <t>Non-Lethal</t>
  </si>
  <si>
    <t>Ability Scores</t>
  </si>
  <si>
    <t>Strength</t>
  </si>
  <si>
    <t>Dexterity</t>
  </si>
  <si>
    <t>Constitution</t>
  </si>
  <si>
    <t>Intelligence</t>
  </si>
  <si>
    <t>Wisdom</t>
  </si>
  <si>
    <t>Charisma</t>
  </si>
  <si>
    <t>Modifier</t>
  </si>
  <si>
    <t>Character Name</t>
  </si>
  <si>
    <t>Skills</t>
  </si>
  <si>
    <t>Attacks</t>
  </si>
  <si>
    <t>Level Up!</t>
  </si>
  <si>
    <t>Next Level:</t>
  </si>
  <si>
    <t>Acrobatics</t>
  </si>
  <si>
    <t>Animal Handling</t>
  </si>
  <si>
    <t>Arcana</t>
  </si>
  <si>
    <t>Athletics</t>
  </si>
  <si>
    <t>Deception</t>
  </si>
  <si>
    <t>History</t>
  </si>
  <si>
    <t>Insight</t>
  </si>
  <si>
    <t>Intimidation</t>
  </si>
  <si>
    <t>Investigation</t>
  </si>
  <si>
    <t>Medicine</t>
  </si>
  <si>
    <t>Nature</t>
  </si>
  <si>
    <t>Perception</t>
  </si>
  <si>
    <t>Performance</t>
  </si>
  <si>
    <t>Persuasion</t>
  </si>
  <si>
    <t>Religion</t>
  </si>
  <si>
    <t>Sleight of Hand</t>
  </si>
  <si>
    <t>Stealth</t>
  </si>
  <si>
    <t>Survival</t>
  </si>
  <si>
    <t>Skill</t>
  </si>
  <si>
    <t>Prof</t>
  </si>
  <si>
    <t>Mod</t>
  </si>
  <si>
    <t>Passive Perception:</t>
  </si>
  <si>
    <t>Padded</t>
  </si>
  <si>
    <t>Leather</t>
  </si>
  <si>
    <t>Studded Leather</t>
  </si>
  <si>
    <t>Hide</t>
  </si>
  <si>
    <t>Chain Shirt</t>
  </si>
  <si>
    <t>Scale Mail</t>
  </si>
  <si>
    <t>Breastplate</t>
  </si>
  <si>
    <t>Half Plate</t>
  </si>
  <si>
    <t>Ring Mail</t>
  </si>
  <si>
    <t>Chain Mail</t>
  </si>
  <si>
    <t>Splint</t>
  </si>
  <si>
    <t>Plate</t>
  </si>
  <si>
    <t>Shield</t>
  </si>
  <si>
    <t>Cost</t>
  </si>
  <si>
    <t>AC</t>
  </si>
  <si>
    <t>Weight</t>
  </si>
  <si>
    <t>Abilities2</t>
  </si>
  <si>
    <t>Abilities3</t>
  </si>
  <si>
    <t>Abilities4</t>
  </si>
  <si>
    <t>Abilities5</t>
  </si>
  <si>
    <t>Drow</t>
  </si>
  <si>
    <t>Speed:</t>
  </si>
  <si>
    <t>Hit Dice for Healing</t>
  </si>
  <si>
    <t>Used</t>
  </si>
  <si>
    <t>Left</t>
  </si>
  <si>
    <t>Death Saves</t>
  </si>
  <si>
    <t>Successes</t>
  </si>
  <si>
    <t>Failures</t>
  </si>
  <si>
    <t>Name</t>
  </si>
  <si>
    <t>Type</t>
  </si>
  <si>
    <t>Properties</t>
  </si>
  <si>
    <t>Club</t>
  </si>
  <si>
    <t>Bludgeoning</t>
  </si>
  <si>
    <t>Dagger</t>
  </si>
  <si>
    <t>Piercing</t>
  </si>
  <si>
    <t>Finesse, Light, Thrown(20/60)</t>
  </si>
  <si>
    <t>Greatclub</t>
  </si>
  <si>
    <t>Two-Handed</t>
  </si>
  <si>
    <t>Handaxe</t>
  </si>
  <si>
    <t>Amount</t>
  </si>
  <si>
    <t>Light Hammer</t>
  </si>
  <si>
    <t>Javelin</t>
  </si>
  <si>
    <t>Mace</t>
  </si>
  <si>
    <t>Quarterstaff</t>
  </si>
  <si>
    <t>Sickle</t>
  </si>
  <si>
    <t>Spear</t>
  </si>
  <si>
    <t>Light Crossbow</t>
  </si>
  <si>
    <t>Martial</t>
  </si>
  <si>
    <t>Simple Ranged</t>
  </si>
  <si>
    <t>Dart</t>
  </si>
  <si>
    <t>Shortbow</t>
  </si>
  <si>
    <t>Sling</t>
  </si>
  <si>
    <t>Battleaxe</t>
  </si>
  <si>
    <t>Flail</t>
  </si>
  <si>
    <t>Glaive</t>
  </si>
  <si>
    <t>Greataxe</t>
  </si>
  <si>
    <t>Greatsword</t>
  </si>
  <si>
    <t>Halbred</t>
  </si>
  <si>
    <t>Lance</t>
  </si>
  <si>
    <t>Longsword</t>
  </si>
  <si>
    <t>Maul</t>
  </si>
  <si>
    <t>Morningstar</t>
  </si>
  <si>
    <t>Pike</t>
  </si>
  <si>
    <t>Rapier</t>
  </si>
  <si>
    <t>Scimitar</t>
  </si>
  <si>
    <t>Shortsword</t>
  </si>
  <si>
    <t>Trident</t>
  </si>
  <si>
    <t>War Pick</t>
  </si>
  <si>
    <t>Warhammer</t>
  </si>
  <si>
    <t>Whip</t>
  </si>
  <si>
    <t>Blowgun</t>
  </si>
  <si>
    <t>Martial Ranged</t>
  </si>
  <si>
    <t>Hand Crossbow</t>
  </si>
  <si>
    <t>Heavy Crossbow</t>
  </si>
  <si>
    <t>Longbow</t>
  </si>
  <si>
    <t>Net</t>
  </si>
  <si>
    <t>Slashing</t>
  </si>
  <si>
    <t>Light, Thrown(20/60)</t>
  </si>
  <si>
    <t>Thrown(30/120)</t>
  </si>
  <si>
    <t>Versatile</t>
  </si>
  <si>
    <t>Thrown(20/60), Versitile</t>
  </si>
  <si>
    <t>Ammunition(80/320), Loading, Two-Handed</t>
  </si>
  <si>
    <t>Finesse, Thrown(20/60)</t>
  </si>
  <si>
    <t>Ammunition(80/320), Two-Handed</t>
  </si>
  <si>
    <t>Ammunition(30/120)</t>
  </si>
  <si>
    <t>Heavy, Reach, Two-Handed</t>
  </si>
  <si>
    <t>Heavy, Two-Handed</t>
  </si>
  <si>
    <t>Reach, Special</t>
  </si>
  <si>
    <t>Finesse</t>
  </si>
  <si>
    <t>Finesse, Light</t>
  </si>
  <si>
    <t>Finesse, Reach</t>
  </si>
  <si>
    <t>Ammunition(20/100), Loading</t>
  </si>
  <si>
    <t>Ammunition(30/120), Light, Loading</t>
  </si>
  <si>
    <t>Ammunition(100/400), Heavy, Loading, Two-Handed</t>
  </si>
  <si>
    <t>Ammunition(150/600), Heavy, Two-Handed</t>
  </si>
  <si>
    <t>Special, Thrown(5/15)</t>
  </si>
  <si>
    <t>Money</t>
  </si>
  <si>
    <t>CP</t>
  </si>
  <si>
    <t>SP</t>
  </si>
  <si>
    <t>EP</t>
  </si>
  <si>
    <t>GP</t>
  </si>
  <si>
    <t>PP</t>
  </si>
  <si>
    <t>Weapon</t>
  </si>
  <si>
    <t>Hit</t>
  </si>
  <si>
    <t>Bonus</t>
  </si>
  <si>
    <t>Proficiencies</t>
  </si>
  <si>
    <t>Ranged</t>
  </si>
  <si>
    <t>Range</t>
  </si>
  <si>
    <t>Features &amp; Traits</t>
  </si>
  <si>
    <t>Racial Traits</t>
  </si>
  <si>
    <t>Equiptment</t>
  </si>
  <si>
    <t>Total:</t>
  </si>
  <si>
    <t>DO NOT MOVE OR MODIFY</t>
  </si>
  <si>
    <t>MCArmor</t>
  </si>
  <si>
    <t>MCWeapon</t>
  </si>
  <si>
    <t>Light, Medium, Shield (non-metal)</t>
  </si>
  <si>
    <t>Simple, Martial, Skill</t>
  </si>
  <si>
    <t>One Instrument, Skill</t>
  </si>
  <si>
    <t>Skill, Theives Tools</t>
  </si>
  <si>
    <t>Melee</t>
  </si>
  <si>
    <t>Abilities6</t>
  </si>
  <si>
    <t>Abilities7</t>
  </si>
  <si>
    <t>Abilities8</t>
  </si>
  <si>
    <t>Damage Effects</t>
  </si>
  <si>
    <t>A/D</t>
  </si>
  <si>
    <t>Resist/Vurenerable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</si>
  <si>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</si>
  <si>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</si>
  <si>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</si>
  <si>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</si>
  <si>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</si>
  <si>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</si>
  <si>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</si>
  <si>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</si>
  <si>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</si>
  <si>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Slot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</si>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</sst>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9" borderId="9" xfId="0" applyFill="1" applyBorder="1"/>
    <xf numFmtId="0" fontId="0" fillId="10" borderId="7" xfId="0" applyFill="1" applyBorder="1"/>
    <xf numFmtId="0" fontId="0" fillId="9" borderId="4" xfId="0" applyFill="1" applyBorder="1"/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12" borderId="1" xfId="0" applyFill="1" applyBorder="1"/>
    <xf numFmtId="0" fontId="0" fillId="1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10" xfId="0" applyFill="1" applyBorder="1" applyAlignment="1">
      <alignment horizontal="center" vertical="center"/>
    </xf>
    <xf numFmtId="0" fontId="0" fillId="12" borderId="1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11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3" xfId="0" applyFont="1" applyBorder="1"/>
    <xf numFmtId="0" fontId="0" fillId="13" borderId="13" xfId="0" applyFont="1" applyFill="1" applyBorder="1"/>
    <xf numFmtId="0" fontId="0" fillId="13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4" borderId="1" xfId="0" applyFont="1" applyFill="1" applyBorder="1"/>
    <xf numFmtId="0" fontId="0" fillId="7" borderId="1" xfId="0" applyFont="1" applyFill="1" applyBorder="1"/>
    <xf numFmtId="0" fontId="0" fillId="0" borderId="1" xfId="0" applyFont="1" applyBorder="1"/>
    <xf numFmtId="0" fontId="0" fillId="8" borderId="1" xfId="0" applyFont="1" applyFill="1" applyBorder="1"/>
    <xf numFmtId="0" fontId="0" fillId="0" borderId="0" xfId="0" applyAlignment="1"/>
    <xf numFmtId="0" fontId="0" fillId="4" borderId="0" xfId="0" applyFill="1"/>
    <xf numFmtId="0" fontId="0" fillId="7" borderId="1" xfId="0" applyFill="1" applyBorder="1"/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83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0.499984740745262"/>
      </font>
      <fill>
        <patternFill>
          <bgColor theme="1" tint="0.499984740745262"/>
        </patternFill>
      </fill>
      <border>
        <left style="thin">
          <color auto="1"/>
        </left>
        <right/>
        <top/>
        <bottom/>
      </border>
    </dxf>
    <dxf>
      <font>
        <color auto="1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/>
        <right/>
        <top style="thin">
          <color auto="1"/>
        </top>
        <bottom/>
      </border>
    </dxf>
    <dxf>
      <font>
        <color rgb="FFFF000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Armor" displayName="Armor" ref="G25:M39" totalsRowShown="0" headerRowDxfId="78" dataDxfId="76" headerRowBorderDxfId="77" tableBorderDxfId="75" totalsRowBorderDxfId="74">
  <autoFilter ref="G25:M39" xr:uid="{00000000-0009-0000-0100-000003000000}"/>
  <sortState ref="G26:M39">
    <sortCondition ref="G25:G39"/>
  </sortState>
  <tableColumns count="7">
    <tableColumn id="1" xr3:uid="{00000000-0010-0000-0000-000001000000}" name="Armor" dataDxfId="73"/>
    <tableColumn id="2" xr3:uid="{00000000-0010-0000-0000-000002000000}" name="Cost" dataDxfId="72"/>
    <tableColumn id="3" xr3:uid="{00000000-0010-0000-0000-000003000000}" name="AC" dataDxfId="71"/>
    <tableColumn id="4" xr3:uid="{00000000-0010-0000-0000-000004000000}" name="Dex" dataDxfId="70"/>
    <tableColumn id="5" xr3:uid="{00000000-0010-0000-0000-000005000000}" name="Strength" dataDxfId="69"/>
    <tableColumn id="6" xr3:uid="{00000000-0010-0000-0000-000006000000}" name="Stealth" dataDxfId="68"/>
    <tableColumn id="7" xr3:uid="{00000000-0010-0000-0000-000007000000}" name="Weight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ace" displayName="Race" ref="J3:AA22" totalsRowShown="0" headerRowDxfId="66" dataDxfId="64" headerRowBorderDxfId="65" tableBorderDxfId="63" totalsRowBorderDxfId="62">
  <autoFilter ref="J3:AA22" xr:uid="{00000000-0009-0000-0100-000004000000}"/>
  <sortState ref="J4:X22">
    <sortCondition ref="J3:J22"/>
  </sortState>
  <tableColumns count="18">
    <tableColumn id="1" xr3:uid="{00000000-0010-0000-0100-000001000000}" name="Name" dataDxfId="61"/>
    <tableColumn id="2" xr3:uid="{00000000-0010-0000-0100-000002000000}" name="Str" dataDxfId="60"/>
    <tableColumn id="3" xr3:uid="{00000000-0010-0000-0100-000003000000}" name="Dex" dataDxfId="59"/>
    <tableColumn id="4" xr3:uid="{00000000-0010-0000-0100-000004000000}" name="Con" dataDxfId="58"/>
    <tableColumn id="5" xr3:uid="{00000000-0010-0000-0100-000005000000}" name="Int" dataDxfId="57"/>
    <tableColumn id="6" xr3:uid="{00000000-0010-0000-0100-000006000000}" name="Wis" dataDxfId="56"/>
    <tableColumn id="7" xr3:uid="{00000000-0010-0000-0100-000007000000}" name="Cha" dataDxfId="55"/>
    <tableColumn id="8" xr3:uid="{00000000-0010-0000-0100-000008000000}" name="Size" dataDxfId="54"/>
    <tableColumn id="9" xr3:uid="{00000000-0010-0000-0100-000009000000}" name="Speed" dataDxfId="53"/>
    <tableColumn id="10" xr3:uid="{00000000-0010-0000-0100-00000A000000}" name="Squares" dataDxfId="52">
      <calculatedColumnFormula>R4/5</calculatedColumnFormula>
    </tableColumn>
    <tableColumn id="11" xr3:uid="{00000000-0010-0000-0100-00000B000000}" name="Abilities" dataDxfId="51"/>
    <tableColumn id="12" xr3:uid="{00000000-0010-0000-0100-00000C000000}" name="Abilities2" dataDxfId="50"/>
    <tableColumn id="13" xr3:uid="{00000000-0010-0000-0100-00000D000000}" name="Abilities3" dataDxfId="49"/>
    <tableColumn id="14" xr3:uid="{00000000-0010-0000-0100-00000E000000}" name="Abilities4" dataDxfId="48"/>
    <tableColumn id="15" xr3:uid="{00000000-0010-0000-0100-00000F000000}" name="Abilities5" dataDxfId="47"/>
    <tableColumn id="16" xr3:uid="{00000000-0010-0000-0100-000010000000}" name="Abilities6" dataDxfId="46"/>
    <tableColumn id="18" xr3:uid="{00000000-0010-0000-0100-000012000000}" name="Abilities7" dataDxfId="45"/>
    <tableColumn id="19" xr3:uid="{00000000-0010-0000-0100-000013000000}" name="Abilities8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Rage" displayName="Rage" ref="F3:H23" totalsRowShown="0" headerRowDxfId="43" headerRowBorderDxfId="42" tableBorderDxfId="41" totalsRowBorderDxfId="40">
  <autoFilter ref="F3:H23" xr:uid="{00000000-0009-0000-0100-000005000000}"/>
  <tableColumns count="3">
    <tableColumn id="1" xr3:uid="{00000000-0010-0000-0200-000001000000}" name="Level" dataDxfId="39"/>
    <tableColumn id="2" xr3:uid="{00000000-0010-0000-0200-000002000000}" name="Rages" dataDxfId="38"/>
    <tableColumn id="3" xr3:uid="{00000000-0010-0000-0200-000003000000}" name="Rage Damage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Experience" displayName="Experience" ref="B3:D23" totalsRowShown="0" headerRowDxfId="36" headerRowBorderDxfId="35" tableBorderDxfId="34" totalsRowBorderDxfId="33">
  <autoFilter ref="B3:D23" xr:uid="{00000000-0009-0000-0100-000006000000}"/>
  <tableColumns count="3">
    <tableColumn id="1" xr3:uid="{00000000-0010-0000-0300-000001000000}" name="Level" dataDxfId="32"/>
    <tableColumn id="2" xr3:uid="{00000000-0010-0000-0300-000002000000}" name="EXP" dataDxfId="31"/>
    <tableColumn id="3" xr3:uid="{00000000-0010-0000-0300-000003000000}" name="Proficiency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Dice" displayName="Dice" ref="B26:E32" totalsRowShown="0" headerRowDxfId="29" headerRowBorderDxfId="28" tableBorderDxfId="27">
  <autoFilter ref="B26:E32" xr:uid="{00000000-0009-0000-0100-000007000000}"/>
  <sortState ref="B27:E32">
    <sortCondition ref="B26:B32"/>
  </sortState>
  <tableColumns count="4">
    <tableColumn id="1" xr3:uid="{00000000-0010-0000-0400-000001000000}" name="Die" dataDxfId="26"/>
    <tableColumn id="2" xr3:uid="{00000000-0010-0000-0400-000002000000}" name="Value" dataDxfId="25"/>
    <tableColumn id="3" xr3:uid="{00000000-0010-0000-0400-000003000000}" name="Average" dataDxfId="24"/>
    <tableColumn id="4" xr3:uid="{00000000-0010-0000-0400-000004000000}" name="Hit Average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Weapons" displayName="Weapons" ref="O25:V62" totalsRowShown="0" headerRowDxfId="22" dataDxfId="21">
  <autoFilter ref="O25:V62" xr:uid="{00000000-0009-0000-0100-000009000000}"/>
  <sortState ref="O26:U62">
    <sortCondition ref="O25:O62"/>
  </sortState>
  <tableColumns count="8">
    <tableColumn id="1" xr3:uid="{00000000-0010-0000-0500-000001000000}" name="Name"/>
    <tableColumn id="2" xr3:uid="{00000000-0010-0000-0500-000002000000}" name="Martial" dataDxfId="20"/>
    <tableColumn id="3" xr3:uid="{00000000-0010-0000-0500-000003000000}" name="Amount" dataDxfId="19"/>
    <tableColumn id="4" xr3:uid="{00000000-0010-0000-0500-000004000000}" name="Damage" dataDxfId="18"/>
    <tableColumn id="5" xr3:uid="{00000000-0010-0000-0500-000005000000}" name="Type" dataDxfId="17"/>
    <tableColumn id="6" xr3:uid="{00000000-0010-0000-0500-000006000000}" name="Properties" dataDxfId="16"/>
    <tableColumn id="7" xr3:uid="{00000000-0010-0000-0500-000007000000}" name="Versatile" dataDxfId="15"/>
    <tableColumn id="8" xr3:uid="{00000000-0010-0000-0500-000008000000}" name="Weight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Class" displayName="Class" ref="A2:I15" totalsRowShown="0" headerRowDxfId="13" dataDxfId="11" headerRowBorderDxfId="12" tableBorderDxfId="10" totalsRowBorderDxfId="9">
  <autoFilter ref="A2:I15" xr:uid="{00000000-0009-0000-0100-000008000000}"/>
  <tableColumns count="9">
    <tableColumn id="1" xr3:uid="{00000000-0010-0000-0600-000001000000}" name="Class" dataDxfId="8"/>
    <tableColumn id="2" xr3:uid="{00000000-0010-0000-0600-000002000000}" name="Hit Die" dataDxfId="7"/>
    <tableColumn id="3" xr3:uid="{00000000-0010-0000-0600-000003000000}" name="Primary" dataDxfId="6"/>
    <tableColumn id="4" xr3:uid="{00000000-0010-0000-0600-000004000000}" name="Primary Save" dataDxfId="5"/>
    <tableColumn id="5" xr3:uid="{00000000-0010-0000-0600-000005000000}" name="Secondary Save" dataDxfId="4"/>
    <tableColumn id="6" xr3:uid="{00000000-0010-0000-0600-000006000000}" name="Armor" dataDxfId="3"/>
    <tableColumn id="7" xr3:uid="{00000000-0010-0000-0600-000007000000}" name="Weapons" dataDxfId="2"/>
    <tableColumn id="8" xr3:uid="{00000000-0010-0000-0600-000008000000}" name="MCArmor" dataDxfId="1"/>
    <tableColumn id="9" xr3:uid="{00000000-0010-0000-0600-000009000000}" name="MCWeapon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SpellSlots" displayName="SpellSlots" ref="A1:J21" totalsRowShown="0">
  <autoFilter ref="A1:J21" xr:uid="{00000000-0009-0000-0100-00000A000000}"/>
  <tableColumns count="10">
    <tableColumn id="13" xr3:uid="{00000000-0010-0000-0700-00000D000000}" name="Level"/>
    <tableColumn id="4" xr3:uid="{00000000-0010-0000-0700-000004000000}" name="1st"/>
    <tableColumn id="5" xr3:uid="{00000000-0010-0000-0700-000005000000}" name="2nd"/>
    <tableColumn id="6" xr3:uid="{00000000-0010-0000-0700-000006000000}" name="3rd"/>
    <tableColumn id="7" xr3:uid="{00000000-0010-0000-0700-000007000000}" name="4th"/>
    <tableColumn id="8" xr3:uid="{00000000-0010-0000-0700-000008000000}" name="5th"/>
    <tableColumn id="9" xr3:uid="{00000000-0010-0000-0700-000009000000}" name="6th"/>
    <tableColumn id="10" xr3:uid="{00000000-0010-0000-0700-00000A000000}" name="7th"/>
    <tableColumn id="11" xr3:uid="{00000000-0010-0000-0700-00000B000000}" name="8th"/>
    <tableColumn id="12" xr3:uid="{00000000-0010-0000-0700-00000C000000}" name="9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46"/>
  <sheetViews>
    <sheetView tabSelected="1" zoomScaleNormal="100" workbookViewId="0">
      <selection activeCell="G10" sqref="G10"/>
    </sheetView>
  </sheetViews>
  <sheetFormatPr defaultRowHeight="15" x14ac:dyDescent="0.25"/>
  <cols>
    <col min="1" max="1" width="9.140625" style="3"/>
    <col min="2" max="2" width="14.5703125" style="4" bestFit="1" customWidth="1"/>
    <col min="3" max="3" width="3.42578125" style="4" customWidth="1"/>
    <col min="4" max="4" width="10.5703125" style="4" bestFit="1" customWidth="1"/>
    <col min="5" max="5" width="15.7109375" style="4" bestFit="1" customWidth="1"/>
    <col min="6" max="6" width="4.7109375" style="4" bestFit="1" customWidth="1"/>
    <col min="7" max="7" width="13.42578125" style="4" bestFit="1" customWidth="1"/>
    <col min="8" max="8" width="11.140625" style="4" bestFit="1" customWidth="1"/>
    <col min="9" max="10" width="8.140625" style="4" bestFit="1" customWidth="1"/>
    <col min="11" max="11" width="12.140625" style="4" bestFit="1" customWidth="1"/>
    <col min="12" max="12" width="10.7109375" style="4" bestFit="1" customWidth="1"/>
    <col min="13" max="15" width="9.140625" style="4"/>
    <col min="16" max="16" width="7.85546875" style="4" bestFit="1" customWidth="1"/>
    <col min="17" max="18" width="9.140625" style="4"/>
    <col min="19" max="19" width="9.28515625" style="4" bestFit="1" customWidth="1"/>
    <col min="20" max="20" width="7.28515625" style="4" customWidth="1"/>
    <col min="21" max="21" width="23" style="4" customWidth="1"/>
    <col min="22" max="16384" width="9.140625" style="4"/>
  </cols>
  <sheetData>
    <row r="1" spans="2:31" s="3" customFormat="1" x14ac:dyDescent="0.25">
      <c r="W1"/>
      <c r="X1"/>
      <c r="Y1"/>
      <c r="Z1"/>
      <c r="AA1"/>
      <c r="AB1"/>
      <c r="AC1"/>
      <c r="AD1"/>
      <c r="AE1"/>
    </row>
    <row r="2" spans="2:31" ht="15" customHeight="1" x14ac:dyDescent="0.25">
      <c r="B2" s="104" t="s">
        <v>133</v>
      </c>
      <c r="C2" s="105"/>
      <c r="D2" s="106"/>
      <c r="E2" s="95" t="s">
        <v>1</v>
      </c>
      <c r="F2" s="96"/>
      <c r="G2" s="97" t="s">
        <v>157</v>
      </c>
      <c r="H2" s="96"/>
      <c r="I2" s="97" t="s">
        <v>4</v>
      </c>
      <c r="J2" s="95"/>
      <c r="K2" s="97" t="s">
        <v>2</v>
      </c>
      <c r="L2" s="96"/>
      <c r="M2" s="97" t="s">
        <v>3</v>
      </c>
      <c r="N2" s="96"/>
      <c r="O2" s="23" t="s">
        <v>5</v>
      </c>
      <c r="P2" s="23" t="s">
        <v>8</v>
      </c>
      <c r="Q2" s="23" t="s">
        <v>11</v>
      </c>
      <c r="R2" s="94" t="s">
        <v>131</v>
      </c>
      <c r="S2" s="94"/>
      <c r="T2" s="11">
        <v>0</v>
      </c>
      <c r="U2" s="25"/>
      <c r="V2" s="3"/>
      <c r="W2"/>
      <c r="X2"/>
      <c r="Y2"/>
      <c r="Z2"/>
      <c r="AA2"/>
      <c r="AB2"/>
      <c r="AC2"/>
      <c r="AD2"/>
      <c r="AE2"/>
    </row>
    <row r="3" spans="2:31" ht="18.75" x14ac:dyDescent="0.25">
      <c r="B3" s="98" t="s">
        <v>134</v>
      </c>
      <c r="C3" s="102"/>
      <c r="D3" s="99"/>
      <c r="E3" s="108" t="s">
        <v>0</v>
      </c>
      <c r="F3" s="109"/>
      <c r="G3" s="98"/>
      <c r="H3" s="99"/>
      <c r="I3" s="98" t="s">
        <v>47</v>
      </c>
      <c r="J3" s="102"/>
      <c r="K3" s="98"/>
      <c r="L3" s="99"/>
      <c r="M3" s="98"/>
      <c r="N3" s="99"/>
      <c r="O3" s="23" t="s">
        <v>6</v>
      </c>
      <c r="P3" s="23" t="s">
        <v>9</v>
      </c>
      <c r="Q3" s="23" t="s">
        <v>12</v>
      </c>
      <c r="R3" s="93" t="s">
        <v>161</v>
      </c>
      <c r="S3" s="93"/>
      <c r="T3" s="37">
        <f>LOOKUP(IF(D4+1&lt;21,D4+1,D4),General_Data!B4:B23,General_Data!C4:C23)</f>
        <v>300</v>
      </c>
      <c r="U3" s="25"/>
      <c r="V3" s="3"/>
      <c r="W3"/>
      <c r="X3"/>
      <c r="Y3"/>
      <c r="Z3"/>
      <c r="AA3"/>
      <c r="AB3"/>
      <c r="AC3"/>
      <c r="AD3"/>
      <c r="AE3"/>
    </row>
    <row r="4" spans="2:31" ht="18.75" x14ac:dyDescent="0.25">
      <c r="B4" s="103" t="s">
        <v>127</v>
      </c>
      <c r="C4" s="103"/>
      <c r="D4" s="22">
        <f>SUM(D6:D10)</f>
        <v>1</v>
      </c>
      <c r="E4" s="94" t="s">
        <v>132</v>
      </c>
      <c r="F4" s="94"/>
      <c r="G4" s="22">
        <f>LOOKUP(CharLevel,Experience[Level],Experience[Proficiency])</f>
        <v>2</v>
      </c>
      <c r="H4" s="29"/>
      <c r="I4" s="94" t="s">
        <v>135</v>
      </c>
      <c r="J4" s="94"/>
      <c r="K4" s="22">
        <f>ModDex</f>
        <v>1</v>
      </c>
      <c r="L4" s="94" t="s">
        <v>183</v>
      </c>
      <c r="M4" s="94"/>
      <c r="N4" s="22">
        <f>10+G27</f>
        <v>12</v>
      </c>
      <c r="O4" s="23" t="s">
        <v>7</v>
      </c>
      <c r="P4" s="23" t="s">
        <v>10</v>
      </c>
      <c r="Q4" s="23" t="s">
        <v>13</v>
      </c>
      <c r="R4" s="25"/>
      <c r="S4" s="36" t="s">
        <v>160</v>
      </c>
      <c r="T4" s="25"/>
      <c r="U4" s="25"/>
      <c r="V4" s="3"/>
      <c r="W4"/>
      <c r="X4"/>
      <c r="Y4"/>
      <c r="Z4"/>
      <c r="AA4"/>
      <c r="AB4"/>
      <c r="AC4"/>
      <c r="AD4"/>
      <c r="AE4"/>
    </row>
    <row r="5" spans="2:31" ht="18.75" x14ac:dyDescent="0.25">
      <c r="B5" s="107" t="s">
        <v>136</v>
      </c>
      <c r="C5" s="107"/>
      <c r="D5" s="10" t="s">
        <v>137</v>
      </c>
      <c r="E5" s="10" t="s">
        <v>102</v>
      </c>
      <c r="F5" s="25"/>
      <c r="G5" s="23" t="s">
        <v>205</v>
      </c>
      <c r="H5" s="22">
        <f>LOOKUP(I3,Race[Name],Race[Speed])</f>
        <v>35</v>
      </c>
      <c r="I5" s="23" t="s">
        <v>28</v>
      </c>
      <c r="J5" s="22">
        <f>LOOKUP(I3,Race[Name],Race[Squares])</f>
        <v>7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3"/>
      <c r="W5"/>
      <c r="X5"/>
      <c r="Y5"/>
      <c r="Z5"/>
      <c r="AA5"/>
      <c r="AB5"/>
      <c r="AC5"/>
      <c r="AD5"/>
      <c r="AE5"/>
    </row>
    <row r="6" spans="2:31" x14ac:dyDescent="0.25">
      <c r="B6" s="100" t="s">
        <v>94</v>
      </c>
      <c r="C6" s="101"/>
      <c r="D6" s="8">
        <v>1</v>
      </c>
      <c r="E6" s="8" t="str">
        <f>LOOKUP(B6,Class[Class],Class[Hit Die])</f>
        <v>d10</v>
      </c>
      <c r="F6" s="25"/>
      <c r="G6" s="23" t="s">
        <v>198</v>
      </c>
      <c r="H6" s="23" t="s">
        <v>141</v>
      </c>
      <c r="I6" s="28">
        <f>LOOKUP(E6,Dice[Die],Dice[Value])+((D6-1)*LOOKUP(E6,Dice[Die],Dice[Hit Average]))+IF(D7&gt;0,((D7)*LOOKUP(E7,Dice[Die],Dice[Hit Average])))+IF(D8&gt;0,((D8)*LOOKUP(E8,Dice[Die],Dice[Hit Average])))+IF(D9&gt;0,((D9)*LOOKUP(E9,Dice[Die],Dice[Hit Average])))+IF(D10&gt;0,((D10)*LOOKUP(E10,Dice[Die],Dice[Hit Average])))+IF(COUNTIF(RacialTraits,"Dwarven Toughness")&gt;0,1,0)*CharLevel+ModCon*CharLevel</f>
        <v>10</v>
      </c>
      <c r="J6" s="23" t="s">
        <v>147</v>
      </c>
      <c r="K6" s="23" t="s">
        <v>148</v>
      </c>
      <c r="L6" s="25"/>
      <c r="M6" s="94" t="s">
        <v>206</v>
      </c>
      <c r="N6" s="94"/>
      <c r="O6" s="94"/>
      <c r="P6" s="25"/>
      <c r="Q6" s="110" t="s">
        <v>209</v>
      </c>
      <c r="R6" s="110"/>
      <c r="S6" s="25"/>
      <c r="T6" s="23" t="s">
        <v>280</v>
      </c>
      <c r="U6" s="25"/>
      <c r="V6" s="3"/>
      <c r="W6"/>
      <c r="X6"/>
      <c r="Y6"/>
      <c r="Z6"/>
      <c r="AA6"/>
      <c r="AB6"/>
      <c r="AC6"/>
      <c r="AD6"/>
      <c r="AE6"/>
    </row>
    <row r="7" spans="2:31" ht="15" customHeight="1" x14ac:dyDescent="0.25">
      <c r="B7" s="100"/>
      <c r="C7" s="101"/>
      <c r="D7" s="8"/>
      <c r="E7" s="8" t="str">
        <f>IF(B7&lt;&gt;0,LOOKUP(B7,Class[Class],Class[Hit Die]),"")</f>
        <v/>
      </c>
      <c r="F7" s="25"/>
      <c r="G7" s="22">
        <f>LOOKUP(ArmorName,Armor[Armor],Armor[AC])+IF(LOOKUP(ArmorName,Armor[Armor],Armor[Dex])=1,ModDex)+IF(LOOKUP(ArmorName,Armor[Armor],Armor[Dex])=2,IF(ModDex&gt;2,2,ModDex))+IF(ShieldName="Shield",2,0)</f>
        <v>13</v>
      </c>
      <c r="H7" s="23" t="s">
        <v>146</v>
      </c>
      <c r="I7" s="30">
        <f>I6-J7-K7</f>
        <v>10</v>
      </c>
      <c r="J7" s="8">
        <v>0</v>
      </c>
      <c r="K7" s="8">
        <v>0</v>
      </c>
      <c r="L7" s="25"/>
      <c r="M7" s="67" t="s">
        <v>142</v>
      </c>
      <c r="N7" s="67" t="s">
        <v>207</v>
      </c>
      <c r="O7" s="67" t="s">
        <v>208</v>
      </c>
      <c r="P7" s="25"/>
      <c r="Q7" s="67" t="s">
        <v>210</v>
      </c>
      <c r="R7" s="7">
        <v>0</v>
      </c>
      <c r="S7" s="25"/>
      <c r="T7" s="8" t="s">
        <v>281</v>
      </c>
      <c r="U7" s="8"/>
      <c r="V7" s="3"/>
      <c r="W7"/>
      <c r="X7"/>
      <c r="Y7"/>
      <c r="Z7"/>
      <c r="AA7"/>
      <c r="AB7"/>
      <c r="AC7"/>
      <c r="AD7"/>
      <c r="AE7"/>
    </row>
    <row r="8" spans="2:31" ht="15" customHeight="1" x14ac:dyDescent="0.25">
      <c r="B8" s="100"/>
      <c r="C8" s="101"/>
      <c r="D8" s="8"/>
      <c r="E8" s="75" t="str">
        <f>IF(B8&lt;&gt;0,LOOKUP(B8,Class[Class],Class[Hit Die]),"")</f>
        <v/>
      </c>
      <c r="F8" s="25"/>
      <c r="G8" s="25"/>
      <c r="H8" s="25"/>
      <c r="I8" s="25"/>
      <c r="J8" s="25"/>
      <c r="K8" s="25"/>
      <c r="L8" s="25"/>
      <c r="M8" s="8" t="str">
        <f>LOOKUP(B6,Class[Class],Class[Hit Die])</f>
        <v>d10</v>
      </c>
      <c r="N8" s="8"/>
      <c r="O8" s="8">
        <f>D6-N8</f>
        <v>1</v>
      </c>
      <c r="P8" s="25"/>
      <c r="Q8" s="67" t="s">
        <v>211</v>
      </c>
      <c r="R8" s="7">
        <v>0</v>
      </c>
      <c r="S8" s="25"/>
      <c r="T8" s="8" t="s">
        <v>282</v>
      </c>
      <c r="U8" s="8"/>
      <c r="V8" s="3"/>
      <c r="W8"/>
      <c r="X8"/>
      <c r="Y8"/>
      <c r="Z8"/>
      <c r="AA8"/>
      <c r="AB8"/>
      <c r="AC8"/>
      <c r="AD8"/>
      <c r="AE8"/>
    </row>
    <row r="9" spans="2:31" x14ac:dyDescent="0.25">
      <c r="B9" s="100"/>
      <c r="C9" s="101"/>
      <c r="D9" s="8"/>
      <c r="E9" s="75" t="str">
        <f>IF(B9&lt;&gt;0,LOOKUP(B9,Class[Class],Class[Hit Die]),"")</f>
        <v/>
      </c>
      <c r="F9" s="25"/>
      <c r="G9" s="71" t="s">
        <v>159</v>
      </c>
      <c r="H9" s="25"/>
      <c r="I9" s="25"/>
      <c r="J9" s="25"/>
      <c r="K9" s="25"/>
      <c r="L9" s="25"/>
      <c r="M9" s="8" t="str">
        <f>IF(B7&lt;&gt;0,LOOKUP(B7,Class[Class],Class[Hit Die]),"")</f>
        <v/>
      </c>
      <c r="N9" s="8"/>
      <c r="O9" s="8" t="str">
        <f>IF(D7-N9,D7-N9,"")</f>
        <v/>
      </c>
      <c r="P9" s="25"/>
      <c r="Q9" s="25"/>
      <c r="R9" s="25"/>
      <c r="S9" s="25"/>
      <c r="T9" s="8" t="s">
        <v>283</v>
      </c>
      <c r="U9" s="8"/>
      <c r="V9" s="3"/>
      <c r="W9"/>
      <c r="X9"/>
      <c r="Y9"/>
      <c r="Z9"/>
      <c r="AA9"/>
      <c r="AB9"/>
      <c r="AC9"/>
      <c r="AD9"/>
      <c r="AE9"/>
    </row>
    <row r="10" spans="2:31" x14ac:dyDescent="0.25">
      <c r="B10" s="100"/>
      <c r="C10" s="101"/>
      <c r="D10" s="8"/>
      <c r="E10" s="75" t="str">
        <f>IF(B10&lt;&gt;0,LOOKUP(B10,Class[Class],Class[Hit Die]),"")</f>
        <v/>
      </c>
      <c r="F10" s="25"/>
      <c r="G10" s="67" t="s">
        <v>286</v>
      </c>
      <c r="H10" s="67" t="s">
        <v>287</v>
      </c>
      <c r="I10" s="67" t="s">
        <v>147</v>
      </c>
      <c r="J10" s="64" t="s">
        <v>288</v>
      </c>
      <c r="K10" s="64" t="s">
        <v>213</v>
      </c>
      <c r="L10" s="25"/>
      <c r="M10" s="75" t="str">
        <f>IF(B8&lt;&gt;0,LOOKUP(B8,Class[Class],Class[Hit Die]),"")</f>
        <v/>
      </c>
      <c r="N10" s="8"/>
      <c r="O10" s="8" t="str">
        <f>IF(D8-N10,D8-N10,"")</f>
        <v/>
      </c>
      <c r="P10" s="25"/>
      <c r="Q10" s="25"/>
      <c r="R10" s="25"/>
      <c r="S10" s="25"/>
      <c r="T10" s="8" t="s">
        <v>284</v>
      </c>
      <c r="U10" s="8"/>
      <c r="V10" s="3"/>
      <c r="W10"/>
      <c r="X10"/>
      <c r="Y10"/>
      <c r="Z10"/>
      <c r="AA10"/>
      <c r="AB10"/>
      <c r="AC10"/>
      <c r="AD10"/>
      <c r="AE10"/>
    </row>
    <row r="11" spans="2:31" x14ac:dyDescent="0.25">
      <c r="B11" s="70"/>
      <c r="C11" s="25"/>
      <c r="D11" s="25"/>
      <c r="E11" s="25"/>
      <c r="F11" s="25"/>
      <c r="G11" s="7"/>
      <c r="H11" s="8">
        <f>IF(G11&lt;&gt;0,IF(ISNUMBER(SEARCH(LOOKUP(G11,Weapons[Name],Weapons[Martial]),AllWeaponProf))+ISNUMBER(SEARCH(G11,AllWeaponProf)),Proficiency,0)+IF(ISNUMBER(SEARCH("Finesse",(LOOKUP(G11,Weapons[Name],Weapons[Properties]))))+ISNUMBER(SEARCH("Thrown",(LOOKUP(G11,Weapons[Name],Weapons[Properties])))),IF(ModDex&gt;ModStr,ModDex,ModStr),ModStr),0)</f>
        <v>0</v>
      </c>
      <c r="I11" s="8" t="str">
        <f>IF(G11&lt;&gt;0,LOOKUP(G11,Weapons[Name],Weapons[Amount])&amp;LOOKUP(G11,Weapons[Name],Weapons[Damage]),"")</f>
        <v/>
      </c>
      <c r="J11" s="8">
        <f>IF(G11&lt;&gt;0,IF(ISNUMBER(SEARCH("Finesse",(LOOKUP(G11,Weapons[Name],Weapons[Properties]))))+ISNUMBER(SEARCH("Thrown",(LOOKUP(G11,Weapons[Name],Weapons[Properties])))),IF(ModDex&gt;ModStr,ModDex,ModStr),ModStr),0)</f>
        <v>0</v>
      </c>
      <c r="K11" s="8" t="str">
        <f>IF(G11&lt;&gt;0,LOOKUP(G11,Weapons[Name],Weapons[Type]),"")</f>
        <v/>
      </c>
      <c r="L11" s="25"/>
      <c r="M11" s="75" t="str">
        <f>IF(B9&lt;&gt;0,LOOKUP(B9,Class[Class],Class[Hit Die]),"")</f>
        <v/>
      </c>
      <c r="N11" s="8"/>
      <c r="O11" s="8" t="str">
        <f>IF(D9-N11,D9-N11,"")</f>
        <v/>
      </c>
      <c r="P11" s="25"/>
      <c r="Q11" s="25"/>
      <c r="R11" s="25"/>
      <c r="S11" s="25"/>
      <c r="T11" s="8" t="s">
        <v>285</v>
      </c>
      <c r="U11" s="8"/>
      <c r="V11" s="3"/>
      <c r="W11"/>
      <c r="X11"/>
      <c r="Y11"/>
      <c r="Z11"/>
      <c r="AA11"/>
      <c r="AB11"/>
      <c r="AC11"/>
      <c r="AD11"/>
      <c r="AE11"/>
    </row>
    <row r="12" spans="2:31" x14ac:dyDescent="0.25">
      <c r="B12" s="94" t="s">
        <v>149</v>
      </c>
      <c r="C12" s="94"/>
      <c r="D12" s="23" t="s">
        <v>156</v>
      </c>
      <c r="E12" s="25"/>
      <c r="F12" s="25"/>
      <c r="G12" s="7"/>
      <c r="H12" s="8">
        <f>IF(G12&lt;&gt;0,IF(ISNUMBER(SEARCH(LOOKUP(G12,Weapons[Name],Weapons[Martial]),AllWeaponProf))+ISNUMBER(SEARCH(G12,AllWeaponProf)),Proficiency,0)+IF(ISNUMBER(SEARCH("Finesse",(LOOKUP(G12,Weapons[Name],Weapons[Properties]))))+ISNUMBER(SEARCH("Thrown",(LOOKUP(G12,Weapons[Name],Weapons[Properties])))),IF(ModDex&gt;ModStr,ModDex,ModStr),ModStr),0)</f>
        <v>0</v>
      </c>
      <c r="I12" s="8" t="str">
        <f>IF(G12&lt;&gt;0,LOOKUP(G12,Weapons[Name],Weapons[Amount])&amp;LOOKUP(G12,Weapons[Name],Weapons[Damage]),"")</f>
        <v/>
      </c>
      <c r="J12" s="8">
        <f>IF(G12&lt;&gt;0,IF(ISNUMBER(SEARCH("Finesse",(LOOKUP(G12,Weapons[Name],Weapons[Properties]))))+ISNUMBER(SEARCH("Thrown",(LOOKUP(G12,Weapons[Name],Weapons[Properties])))),IF(ModDex&gt;ModStr,ModDex,ModStr),ModStr),0)</f>
        <v>0</v>
      </c>
      <c r="K12" s="8" t="str">
        <f>IF(G12&lt;&gt;0,LOOKUP(G12,Weapons[Name],Weapons[Type]),"")</f>
        <v/>
      </c>
      <c r="L12" s="25"/>
      <c r="M12" s="75" t="str">
        <f>IF(B10&lt;&gt;0,LOOKUP(B10,Class[Class],Class[Hit Die]),"")</f>
        <v/>
      </c>
      <c r="N12" s="8"/>
      <c r="O12" s="8" t="str">
        <f>IF(D10-N12,D10-N12,"")</f>
        <v/>
      </c>
      <c r="P12" s="25"/>
      <c r="Q12" s="25"/>
      <c r="R12" s="25"/>
      <c r="S12" s="25"/>
      <c r="T12" s="25"/>
      <c r="U12" s="25"/>
      <c r="V12" s="3"/>
      <c r="W12"/>
      <c r="X12"/>
      <c r="Y12"/>
      <c r="Z12"/>
      <c r="AA12"/>
      <c r="AB12"/>
      <c r="AC12"/>
      <c r="AD12"/>
      <c r="AE12"/>
    </row>
    <row r="13" spans="2:31" x14ac:dyDescent="0.25">
      <c r="B13" s="23" t="s">
        <v>150</v>
      </c>
      <c r="C13" s="8">
        <f>LOOKUP(RaceInput,Race[Name],Race[Str])+10</f>
        <v>10</v>
      </c>
      <c r="D13" s="31">
        <f>_xlfn.FLOOR.MATH((ScoreStr-10)/2)</f>
        <v>0</v>
      </c>
      <c r="E13" s="25"/>
      <c r="F13" s="25"/>
      <c r="G13" s="7"/>
      <c r="H13" s="8">
        <f>IF(G13&lt;&gt;0,IF(ISNUMBER(SEARCH(LOOKUP(G13,Weapons[Name],Weapons[Martial]),AllWeaponProf))+ISNUMBER(SEARCH(G13,AllWeaponProf)),Proficiency,0)+IF(ISNUMBER(SEARCH("Finesse",(LOOKUP(G13,Weapons[Name],Weapons[Properties]))))+ISNUMBER(SEARCH("Thrown",(LOOKUP(G13,Weapons[Name],Weapons[Properties])))),IF(ModDex&gt;ModStr,ModDex,ModStr),ModStr),0)</f>
        <v>0</v>
      </c>
      <c r="I13" s="8" t="str">
        <f>IF(G13&lt;&gt;0,LOOKUP(G13,Weapons[Name],Weapons[Amount])&amp;LOOKUP(G13,Weapons[Name],Weapons[Damage]),"")</f>
        <v/>
      </c>
      <c r="J13" s="8">
        <f>IF(G13&lt;&gt;0,IF(ISNUMBER(SEARCH("Finesse",(LOOKUP(G13,Weapons[Name],Weapons[Properties]))))+ISNUMBER(SEARCH("Thrown",(LOOKUP(G13,Weapons[Name],Weapons[Properties])))),IF(ModDex&gt;ModStr,ModDex,ModStr),ModStr),0)</f>
        <v>0</v>
      </c>
      <c r="K13" s="8" t="str">
        <f>IF(G13&lt;&gt;0,LOOKUP(G13,Weapons[Name],Weapons[Type]),"")</f>
        <v/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3"/>
      <c r="W13"/>
      <c r="X13"/>
      <c r="Y13"/>
      <c r="Z13"/>
      <c r="AA13"/>
      <c r="AB13"/>
      <c r="AC13"/>
      <c r="AD13"/>
      <c r="AE13"/>
    </row>
    <row r="14" spans="2:31" x14ac:dyDescent="0.25">
      <c r="B14" s="23" t="s">
        <v>151</v>
      </c>
      <c r="C14" s="8">
        <f>LOOKUP(RaceInput,Race[Name],Race[Dex])+10</f>
        <v>12</v>
      </c>
      <c r="D14" s="31">
        <f>_xlfn.FLOOR.MATH((ScoreDex-10)/2)</f>
        <v>1</v>
      </c>
      <c r="E14" s="25"/>
      <c r="F14" s="25"/>
      <c r="G14" s="7"/>
      <c r="H14" s="8">
        <f>IF(G14&lt;&gt;0,IF(ISNUMBER(SEARCH(LOOKUP(G14,Weapons[Name],Weapons[Martial]),AllWeaponProf))+ISNUMBER(SEARCH(G14,AllWeaponProf)),Proficiency,0)+IF(ISNUMBER(SEARCH("Finesse",(LOOKUP(G14,Weapons[Name],Weapons[Properties]))))+ISNUMBER(SEARCH("Thrown",(LOOKUP(G14,Weapons[Name],Weapons[Properties])))),IF(ModDex&gt;ModStr,ModDex,ModStr),ModStr),0)</f>
        <v>0</v>
      </c>
      <c r="I14" s="8" t="str">
        <f>IF(G14&lt;&gt;0,LOOKUP(G14,Weapons[Name],Weapons[Amount])&amp;LOOKUP(G14,Weapons[Name],Weapons[Damage]),"")</f>
        <v/>
      </c>
      <c r="J14" s="8">
        <f>IF(G14&lt;&gt;0,IF(ISNUMBER(SEARCH("Finesse",(LOOKUP(G14,Weapons[Name],Weapons[Properties]))))+ISNUMBER(SEARCH("Thrown",(LOOKUP(G14,Weapons[Name],Weapons[Properties])))),IF(ModDex&gt;ModStr,ModDex,ModStr),ModStr),0)</f>
        <v>0</v>
      </c>
      <c r="K14" s="8" t="str">
        <f>IF(G14&lt;&gt;0,LOOKUP(G14,Weapons[Name],Weapons[Type]),"")</f>
        <v/>
      </c>
      <c r="L14" s="25"/>
      <c r="M14" s="25"/>
      <c r="N14" s="94" t="s">
        <v>294</v>
      </c>
      <c r="O14" s="94"/>
      <c r="P14" s="35" t="s">
        <v>199</v>
      </c>
      <c r="Q14" s="25"/>
      <c r="R14" s="94" t="s">
        <v>292</v>
      </c>
      <c r="S14" s="94"/>
      <c r="T14" s="94" t="s">
        <v>293</v>
      </c>
      <c r="U14" s="94"/>
      <c r="V14" s="3"/>
      <c r="W14"/>
      <c r="X14"/>
      <c r="Y14"/>
      <c r="Z14"/>
      <c r="AA14"/>
      <c r="AB14"/>
      <c r="AC14"/>
      <c r="AD14"/>
      <c r="AE14"/>
    </row>
    <row r="15" spans="2:31" x14ac:dyDescent="0.25">
      <c r="B15" s="23" t="s">
        <v>152</v>
      </c>
      <c r="C15" s="8">
        <f>LOOKUP(RaceInput,Race[Name],Race[Con])+10</f>
        <v>10</v>
      </c>
      <c r="D15" s="31">
        <f>_xlfn.FLOOR.MATH((ScoreCon-10)/2)</f>
        <v>0</v>
      </c>
      <c r="E15" s="25"/>
      <c r="F15" s="25"/>
      <c r="G15" s="73" t="s">
        <v>290</v>
      </c>
      <c r="H15" s="67" t="s">
        <v>287</v>
      </c>
      <c r="I15" s="67" t="s">
        <v>147</v>
      </c>
      <c r="J15" s="64" t="s">
        <v>288</v>
      </c>
      <c r="K15" s="64" t="s">
        <v>213</v>
      </c>
      <c r="L15" s="27" t="s">
        <v>291</v>
      </c>
      <c r="M15" s="25"/>
      <c r="N15" s="100"/>
      <c r="O15" s="101"/>
      <c r="P15" s="38"/>
      <c r="Q15" s="25"/>
      <c r="R15" s="111"/>
      <c r="S15" s="111"/>
      <c r="T15" s="100" t="str">
        <f>IF(LOOKUP(RaceInput,Race[Name],Race[Abilities])&lt;&gt;0,LOOKUP(RaceInput,Race[Name],Race[Abilities]))</f>
        <v>Darkvision</v>
      </c>
      <c r="U15" s="101"/>
      <c r="V15" s="3"/>
      <c r="W15"/>
      <c r="X15"/>
      <c r="Y15"/>
      <c r="Z15"/>
      <c r="AA15"/>
      <c r="AB15"/>
      <c r="AC15"/>
      <c r="AD15"/>
      <c r="AE15"/>
    </row>
    <row r="16" spans="2:31" x14ac:dyDescent="0.25">
      <c r="B16" s="23" t="s">
        <v>153</v>
      </c>
      <c r="C16" s="8">
        <f>LOOKUP(RaceInput,Race[Name],Race[Int])+10</f>
        <v>10</v>
      </c>
      <c r="D16" s="31">
        <f>_xlfn.FLOOR.MATH((ScoreInt-10)/2)</f>
        <v>0</v>
      </c>
      <c r="E16" s="25"/>
      <c r="F16" s="25"/>
      <c r="G16" s="7"/>
      <c r="H16" s="8">
        <f>IF(G16&lt;&gt;0,IF(ISNUMBER(SEARCH(LOOKUP(G16,Weapons[Name],Weapons[Martial]),AllWeaponProf))+ISNUMBER(SEARCH(G16,AllWeaponProf)),Proficiency,0)+ModDex,0)</f>
        <v>0</v>
      </c>
      <c r="I16" s="8" t="str">
        <f>IF(G16&lt;&gt;0,LOOKUP(G16,Weapons[Name],Weapons[Amount])&amp;LOOKUP(G16,Weapons[Name],Weapons[Damage]),"")</f>
        <v/>
      </c>
      <c r="J16" s="8">
        <f>IF(G16&lt;&gt;0,ModDex,0)</f>
        <v>0</v>
      </c>
      <c r="K16" s="8" t="str">
        <f>IF(G16&lt;&gt;0,LOOKUP(G16,Weapons[Name],Weapons[Type]),"")</f>
        <v/>
      </c>
      <c r="L16" s="8" t="str">
        <f>IF(G16&lt;&gt;0,MID(LOOKUP(G16,Weapons[Name],Weapons[Properties]),FIND("(",LOOKUP(G16,Weapons[Name],Weapons[Properties]))+1,FIND(")",LOOKUP(G16,Weapons[Name],Weapons[Properties]))-FIND("(",LOOKUP(G16,Weapons[Name],Weapons[Properties]))-1),"")</f>
        <v/>
      </c>
      <c r="M16" s="25"/>
      <c r="N16" s="100"/>
      <c r="O16" s="101"/>
      <c r="P16" s="38"/>
      <c r="Q16" s="25"/>
      <c r="R16" s="111"/>
      <c r="S16" s="111"/>
      <c r="T16" s="100" t="str">
        <f>IF(LOOKUP(RaceInput,Race[Name],Race[Abilities2])&lt;&gt;0,LOOKUP(RaceInput,Race[Name],Race[Abilities2]))</f>
        <v>Keen Senses</v>
      </c>
      <c r="U16" s="101"/>
      <c r="V16" s="3"/>
      <c r="W16"/>
      <c r="X16"/>
      <c r="Y16"/>
      <c r="Z16"/>
      <c r="AA16"/>
      <c r="AB16"/>
      <c r="AC16"/>
      <c r="AD16"/>
      <c r="AE16"/>
    </row>
    <row r="17" spans="2:31" x14ac:dyDescent="0.25">
      <c r="B17" s="23" t="s">
        <v>154</v>
      </c>
      <c r="C17" s="8">
        <f>LOOKUP(RaceInput,Race[Name],Race[Wis])+10</f>
        <v>11</v>
      </c>
      <c r="D17" s="31">
        <f>_xlfn.FLOOR.MATH((ScoreWis-10)/2)</f>
        <v>0</v>
      </c>
      <c r="E17" s="25"/>
      <c r="F17" s="25"/>
      <c r="G17" s="7"/>
      <c r="H17" s="8">
        <f>IF(G17&lt;&gt;0,IF(ISNUMBER(SEARCH(LOOKUP(G17,Weapons[Name],Weapons[Martial]),AllWeaponProf))+ISNUMBER(SEARCH(G17,AllWeaponProf)),Proficiency,0)+ModDex,0)</f>
        <v>0</v>
      </c>
      <c r="I17" s="8" t="str">
        <f>IF(G17&lt;&gt;0,LOOKUP(G17,Weapons[Name],Weapons[Amount])&amp;LOOKUP(G17,Weapons[Name],Weapons[Damage]),"")</f>
        <v/>
      </c>
      <c r="J17" s="8">
        <f>IF(G17&lt;&gt;0,ModDex,0)</f>
        <v>0</v>
      </c>
      <c r="K17" s="8" t="str">
        <f>IF(G17&lt;&gt;0,LOOKUP(G17,Weapons[Name],Weapons[Type]),"")</f>
        <v/>
      </c>
      <c r="L17" s="8" t="str">
        <f>IF(G17&lt;&gt;0,MID(LOOKUP(G17,Weapons[Name],Weapons[Properties]),FIND("(",LOOKUP(G17,Weapons[Name],Weapons[Properties]))+1,FIND(")",LOOKUP(G17,Weapons[Name],Weapons[Properties]))-FIND("(",LOOKUP(G17,Weapons[Name],Weapons[Properties]))-1),"")</f>
        <v/>
      </c>
      <c r="M17" s="25"/>
      <c r="N17" s="100"/>
      <c r="O17" s="101"/>
      <c r="P17" s="38"/>
      <c r="Q17" s="25"/>
      <c r="R17" s="111"/>
      <c r="S17" s="111"/>
      <c r="T17" s="100" t="str">
        <f>IF(LOOKUP(RaceInput,Race[Name],Race[Abilities3])&lt;&gt;0,LOOKUP(RaceInput,Race[Name],Race[Abilities3]))</f>
        <v>Fey Ancestry</v>
      </c>
      <c r="U17" s="101"/>
      <c r="V17" s="3"/>
      <c r="W17"/>
      <c r="X17"/>
      <c r="Y17"/>
      <c r="Z17"/>
      <c r="AA17"/>
      <c r="AB17"/>
      <c r="AC17"/>
      <c r="AD17"/>
      <c r="AE17"/>
    </row>
    <row r="18" spans="2:31" x14ac:dyDescent="0.25">
      <c r="B18" s="23" t="s">
        <v>155</v>
      </c>
      <c r="C18" s="8">
        <f>LOOKUP(RaceInput,Race[Name],Race[Cha])+10</f>
        <v>10</v>
      </c>
      <c r="D18" s="31">
        <f>_xlfn.FLOOR.MATH((ScoreCha-10)/2)</f>
        <v>0</v>
      </c>
      <c r="E18" s="25"/>
      <c r="F18" s="25"/>
      <c r="G18" s="7"/>
      <c r="H18" s="8">
        <f>IF(G18&lt;&gt;0,IF(ISNUMBER(SEARCH(LOOKUP(G18,Weapons[Name],Weapons[Martial]),AllWeaponProf))+ISNUMBER(SEARCH(G18,AllWeaponProf)),Proficiency,0)+ModDex,0)</f>
        <v>0</v>
      </c>
      <c r="I18" s="8" t="str">
        <f>IF(G18&lt;&gt;0,LOOKUP(G18,Weapons[Name],Weapons[Amount])&amp;LOOKUP(G18,Weapons[Name],Weapons[Damage]),"")</f>
        <v/>
      </c>
      <c r="J18" s="8">
        <f>IF(G18&lt;&gt;0,ModDex,0)</f>
        <v>0</v>
      </c>
      <c r="K18" s="8" t="str">
        <f>IF(G18&lt;&gt;0,LOOKUP(G18,Weapons[Name],Weapons[Type]),"")</f>
        <v/>
      </c>
      <c r="L18" s="8" t="str">
        <f>IF(G18&lt;&gt;0,MID(LOOKUP(G18,Weapons[Name],Weapons[Properties]),FIND("(",LOOKUP(G18,Weapons[Name],Weapons[Properties]))+1,FIND(")",LOOKUP(G18,Weapons[Name],Weapons[Properties]))-FIND("(",LOOKUP(G18,Weapons[Name],Weapons[Properties]))-1),"")</f>
        <v/>
      </c>
      <c r="M18" s="25"/>
      <c r="N18" s="100"/>
      <c r="O18" s="101"/>
      <c r="P18" s="38"/>
      <c r="Q18" s="25"/>
      <c r="R18" s="111"/>
      <c r="S18" s="111"/>
      <c r="T18" s="100" t="str">
        <f>IF(LOOKUP(RaceInput,Race[Name],Race[Abilities4])&lt;&gt;0,LOOKUP(RaceInput,Race[Name],Race[Abilities4]))</f>
        <v>Trance</v>
      </c>
      <c r="U18" s="101"/>
      <c r="V18" s="3"/>
      <c r="W18"/>
      <c r="X18"/>
      <c r="Y18"/>
      <c r="Z18"/>
      <c r="AA18"/>
      <c r="AB18"/>
      <c r="AC18"/>
      <c r="AD18"/>
      <c r="AE18"/>
    </row>
    <row r="19" spans="2:31" x14ac:dyDescent="0.25">
      <c r="B19" s="70"/>
      <c r="C19" s="25"/>
      <c r="D19" s="25"/>
      <c r="E19" s="25"/>
      <c r="F19" s="25"/>
      <c r="G19" s="7"/>
      <c r="H19" s="8">
        <f>IF(G19&lt;&gt;0,IF(ISNUMBER(SEARCH(LOOKUP(G19,Weapons[Name],Weapons[Martial]),AllWeaponProf))+ISNUMBER(SEARCH(G19,AllWeaponProf)),Proficiency,0)+ModDex,0)</f>
        <v>0</v>
      </c>
      <c r="I19" s="8" t="str">
        <f>IF(G19&lt;&gt;0,LOOKUP(G19,Weapons[Name],Weapons[Amount])&amp;LOOKUP(G19,Weapons[Name],Weapons[Damage]),"")</f>
        <v/>
      </c>
      <c r="J19" s="8">
        <f>IF(G19&lt;&gt;0,ModDex,0)</f>
        <v>0</v>
      </c>
      <c r="K19" s="8" t="str">
        <f>IF(G19&lt;&gt;0,LOOKUP(G19,Weapons[Name],Weapons[Type]),"")</f>
        <v/>
      </c>
      <c r="L19" s="8" t="str">
        <f>IF(G19&lt;&gt;0,MID(LOOKUP(G19,Weapons[Name],Weapons[Properties]),FIND("(",LOOKUP(G19,Weapons[Name],Weapons[Properties]))+1,FIND(")",LOOKUP(G19,Weapons[Name],Weapons[Properties]))-FIND("(",LOOKUP(G19,Weapons[Name],Weapons[Properties]))-1),"")</f>
        <v/>
      </c>
      <c r="M19" s="25"/>
      <c r="N19" s="100"/>
      <c r="O19" s="101"/>
      <c r="P19" s="38"/>
      <c r="Q19" s="25"/>
      <c r="R19" s="111"/>
      <c r="S19" s="111"/>
      <c r="T19" s="100" t="str">
        <f>IF(LOOKUP(RaceInput,Race[Name],Race[Abilities5])&lt;&gt;0,LOOKUP(RaceInput,Race[Name],Race[Abilities5]))</f>
        <v>Elf Weapon Training</v>
      </c>
      <c r="U19" s="101"/>
      <c r="V19" s="3"/>
      <c r="W19"/>
      <c r="X19"/>
      <c r="Y19"/>
      <c r="Z19"/>
      <c r="AA19"/>
      <c r="AB19"/>
      <c r="AC19"/>
      <c r="AD19"/>
      <c r="AE19"/>
    </row>
    <row r="20" spans="2:31" x14ac:dyDescent="0.25">
      <c r="B20" s="94" t="s">
        <v>158</v>
      </c>
      <c r="C20" s="94"/>
      <c r="D20" s="94"/>
      <c r="E20" s="94"/>
      <c r="F20" s="39"/>
      <c r="G20" s="39"/>
      <c r="H20" s="25"/>
      <c r="I20" s="25"/>
      <c r="J20" s="25"/>
      <c r="K20" s="25"/>
      <c r="L20" s="25"/>
      <c r="M20" s="25"/>
      <c r="N20" s="100"/>
      <c r="O20" s="101"/>
      <c r="P20" s="38"/>
      <c r="Q20" s="25"/>
      <c r="R20" s="111"/>
      <c r="S20" s="111"/>
      <c r="T20" s="100" t="str">
        <f>IF(LOOKUP(RaceInput,Race[Name],Race[Abilities6])&lt;&gt;0,LOOKUP(RaceInput,Race[Name],Race[Abilities6]))</f>
        <v>Fleet of Foot</v>
      </c>
      <c r="U20" s="101"/>
      <c r="V20" s="3"/>
      <c r="W20"/>
      <c r="X20"/>
      <c r="Y20"/>
      <c r="Z20"/>
      <c r="AA20"/>
      <c r="AB20"/>
      <c r="AC20"/>
      <c r="AD20"/>
      <c r="AE20"/>
    </row>
    <row r="21" spans="2:31" x14ac:dyDescent="0.25">
      <c r="B21" s="35" t="s">
        <v>180</v>
      </c>
      <c r="C21" s="35" t="s">
        <v>181</v>
      </c>
      <c r="D21" s="35" t="s">
        <v>182</v>
      </c>
      <c r="E21" s="35" t="s">
        <v>180</v>
      </c>
      <c r="F21" s="35" t="s">
        <v>181</v>
      </c>
      <c r="G21" s="35" t="s">
        <v>182</v>
      </c>
      <c r="H21" s="25"/>
      <c r="I21" s="94" t="s">
        <v>106</v>
      </c>
      <c r="J21" s="94"/>
      <c r="K21" s="76" t="s">
        <v>198</v>
      </c>
      <c r="L21" s="25"/>
      <c r="M21" s="25"/>
      <c r="N21" s="100"/>
      <c r="O21" s="101"/>
      <c r="P21" s="38"/>
      <c r="Q21" s="25"/>
      <c r="R21" s="111"/>
      <c r="S21" s="111"/>
      <c r="T21" s="100" t="str">
        <f>IF(LOOKUP(RaceInput,Race[Name],Race[Abilities7])&lt;&gt;0,LOOKUP(RaceInput,Race[Name],Race[Abilities7]))</f>
        <v>Mask of the Wild</v>
      </c>
      <c r="U21" s="101"/>
      <c r="V21" s="3"/>
      <c r="W21"/>
      <c r="X21"/>
      <c r="Y21"/>
      <c r="Z21"/>
      <c r="AA21"/>
      <c r="AB21"/>
      <c r="AC21"/>
      <c r="AD21"/>
      <c r="AE21"/>
    </row>
    <row r="22" spans="2:31" x14ac:dyDescent="0.25">
      <c r="B22" s="23" t="s">
        <v>162</v>
      </c>
      <c r="C22" s="16">
        <v>0</v>
      </c>
      <c r="D22" s="38">
        <f>IF(C22&gt;0,Proficiency,0)+ModDex</f>
        <v>1</v>
      </c>
      <c r="E22" s="23" t="s">
        <v>163</v>
      </c>
      <c r="F22" s="16">
        <v>0</v>
      </c>
      <c r="G22" s="38">
        <f>IF(F22&gt;0,G4,0)+ModWis</f>
        <v>0</v>
      </c>
      <c r="H22" s="25"/>
      <c r="I22" s="111" t="s">
        <v>186</v>
      </c>
      <c r="J22" s="111"/>
      <c r="K22" s="75">
        <f>LOOKUP(ArmorName,Armor[Armor],Armor[AC])</f>
        <v>12</v>
      </c>
      <c r="L22" s="25"/>
      <c r="M22" s="25"/>
      <c r="N22" s="100"/>
      <c r="O22" s="101"/>
      <c r="P22" s="38"/>
      <c r="Q22" s="25"/>
      <c r="R22" s="111"/>
      <c r="S22" s="111"/>
      <c r="T22" s="100" t="b">
        <f>IF(LOOKUP(RaceInput,Race[Name],Race[Abilities8])&lt;&gt;0,LOOKUP(RaceInput,Race[Name],Race[Abilities8]))</f>
        <v>0</v>
      </c>
      <c r="U22" s="101"/>
      <c r="V22" s="3"/>
      <c r="W22"/>
      <c r="X22"/>
      <c r="Y22"/>
      <c r="Z22"/>
      <c r="AA22"/>
      <c r="AB22"/>
      <c r="AC22"/>
      <c r="AD22"/>
      <c r="AE22"/>
    </row>
    <row r="23" spans="2:31" x14ac:dyDescent="0.25">
      <c r="B23" s="23" t="s">
        <v>164</v>
      </c>
      <c r="C23" s="16">
        <v>0</v>
      </c>
      <c r="D23" s="38">
        <f>IF(C23&gt;0,Proficiency,0)+ModInt</f>
        <v>0</v>
      </c>
      <c r="E23" s="23" t="s">
        <v>165</v>
      </c>
      <c r="F23" s="16">
        <v>0</v>
      </c>
      <c r="G23" s="38">
        <f>IF(F23&gt;0,G4,0)+ModStr</f>
        <v>0</v>
      </c>
      <c r="H23" s="25"/>
      <c r="I23" s="111"/>
      <c r="J23" s="111"/>
      <c r="K23" s="75">
        <f>IF(ShieldName&lt;&gt;0,LOOKUP(ShieldName,Armor[Armor],Armor[AC]),0)</f>
        <v>0</v>
      </c>
      <c r="L23" s="25"/>
      <c r="M23" s="25"/>
      <c r="N23" s="100"/>
      <c r="O23" s="101"/>
      <c r="P23" s="38"/>
      <c r="Q23" s="25"/>
      <c r="R23" s="111"/>
      <c r="S23" s="111"/>
      <c r="T23" s="25"/>
      <c r="U23" s="25"/>
      <c r="V23" s="3"/>
      <c r="W23"/>
      <c r="X23"/>
      <c r="Y23"/>
      <c r="Z23"/>
      <c r="AA23"/>
      <c r="AB23"/>
      <c r="AC23"/>
      <c r="AD23"/>
      <c r="AE23"/>
    </row>
    <row r="24" spans="2:31" x14ac:dyDescent="0.25">
      <c r="B24" s="23" t="s">
        <v>166</v>
      </c>
      <c r="C24" s="16">
        <v>0</v>
      </c>
      <c r="D24" s="38">
        <f>IF(C24&gt;0,G4,0)+ModCha</f>
        <v>0</v>
      </c>
      <c r="E24" s="23" t="s">
        <v>167</v>
      </c>
      <c r="F24" s="16">
        <v>0</v>
      </c>
      <c r="G24" s="38">
        <f>IF(F24&gt;0,G4,0)+ModInt</f>
        <v>0</v>
      </c>
      <c r="H24" s="25"/>
      <c r="I24" s="25"/>
      <c r="J24" s="25"/>
      <c r="K24" s="25"/>
      <c r="L24" s="25"/>
      <c r="M24" s="25"/>
      <c r="N24" s="100"/>
      <c r="O24" s="101"/>
      <c r="P24" s="38"/>
      <c r="Q24" s="25"/>
      <c r="R24" s="111"/>
      <c r="S24" s="111"/>
      <c r="T24" s="25"/>
      <c r="U24" s="25"/>
      <c r="V24" s="3"/>
      <c r="W24"/>
      <c r="X24"/>
      <c r="Y24"/>
      <c r="Z24"/>
      <c r="AA24"/>
      <c r="AB24"/>
      <c r="AC24"/>
      <c r="AD24"/>
      <c r="AE24"/>
    </row>
    <row r="25" spans="2:31" x14ac:dyDescent="0.25">
      <c r="B25" s="23" t="s">
        <v>168</v>
      </c>
      <c r="C25" s="16">
        <v>0</v>
      </c>
      <c r="D25" s="38">
        <f>IF(C25&gt;0,G4,0)+ModWis</f>
        <v>0</v>
      </c>
      <c r="E25" s="23" t="s">
        <v>169</v>
      </c>
      <c r="F25" s="16">
        <f>COUNTIF(RacialTraits,"Menacing")+0</f>
        <v>0</v>
      </c>
      <c r="G25" s="38">
        <f>IF(F25&gt;0,G4,0)+ModCha</f>
        <v>0</v>
      </c>
      <c r="H25" s="25"/>
      <c r="I25" s="115" t="s">
        <v>307</v>
      </c>
      <c r="J25" s="115"/>
      <c r="K25" s="39"/>
      <c r="L25" s="39"/>
      <c r="M25" s="25"/>
      <c r="N25" s="100"/>
      <c r="O25" s="101"/>
      <c r="P25" s="38"/>
      <c r="Q25" s="25"/>
      <c r="R25" s="111"/>
      <c r="S25" s="111"/>
      <c r="T25" s="25"/>
      <c r="U25" s="25"/>
      <c r="V25" s="3"/>
      <c r="W25"/>
      <c r="X25"/>
      <c r="Y25"/>
      <c r="Z25"/>
      <c r="AA25"/>
      <c r="AB25"/>
      <c r="AC25"/>
      <c r="AD25"/>
      <c r="AE25"/>
    </row>
    <row r="26" spans="2:31" x14ac:dyDescent="0.25">
      <c r="B26" s="23" t="s">
        <v>170</v>
      </c>
      <c r="C26" s="16">
        <v>0</v>
      </c>
      <c r="D26" s="38">
        <f>IF(C26&gt;0,G4,0)+ModInt</f>
        <v>0</v>
      </c>
      <c r="E26" s="23" t="s">
        <v>171</v>
      </c>
      <c r="F26" s="16">
        <v>0</v>
      </c>
      <c r="G26" s="38">
        <f>IF(F26&gt;0,G4,0)+ModWis</f>
        <v>0</v>
      </c>
      <c r="H26" s="25"/>
      <c r="I26" s="35" t="s">
        <v>213</v>
      </c>
      <c r="J26" s="35" t="s">
        <v>308</v>
      </c>
      <c r="K26" s="116" t="s">
        <v>309</v>
      </c>
      <c r="L26" s="117"/>
      <c r="M26" s="25"/>
      <c r="N26" s="100"/>
      <c r="O26" s="101"/>
      <c r="P26" s="38"/>
      <c r="Q26" s="25"/>
      <c r="R26" s="111"/>
      <c r="S26" s="111"/>
      <c r="T26" s="25"/>
      <c r="U26" s="25"/>
      <c r="V26" s="3"/>
      <c r="W26"/>
      <c r="X26"/>
      <c r="Y26"/>
      <c r="Z26"/>
      <c r="AA26"/>
      <c r="AB26"/>
      <c r="AC26"/>
      <c r="AD26"/>
      <c r="AE26"/>
    </row>
    <row r="27" spans="2:31" x14ac:dyDescent="0.25">
      <c r="B27" s="23" t="s">
        <v>172</v>
      </c>
      <c r="C27" s="16">
        <v>0</v>
      </c>
      <c r="D27" s="38">
        <f>IF(C27&gt;0,G4,0)+ModInt</f>
        <v>0</v>
      </c>
      <c r="E27" s="23" t="s">
        <v>173</v>
      </c>
      <c r="F27" s="16">
        <f>COUNTIF(RacialTraits,"Keen Senses")+0</f>
        <v>1</v>
      </c>
      <c r="G27" s="38">
        <f>IF(F27&gt;0,G4,0)+ModWis</f>
        <v>2</v>
      </c>
      <c r="H27" s="25"/>
      <c r="I27" s="91"/>
      <c r="J27" s="91"/>
      <c r="K27" s="112"/>
      <c r="L27" s="113"/>
      <c r="M27" s="25"/>
      <c r="N27" s="100"/>
      <c r="O27" s="101"/>
      <c r="P27" s="38"/>
      <c r="Q27" s="25"/>
      <c r="R27" s="111"/>
      <c r="S27" s="111"/>
      <c r="T27" s="25"/>
      <c r="U27" s="25"/>
      <c r="V27" s="3"/>
      <c r="W27"/>
      <c r="X27"/>
      <c r="Y27"/>
      <c r="Z27"/>
      <c r="AA27"/>
      <c r="AB27"/>
      <c r="AC27"/>
      <c r="AD27"/>
      <c r="AE27"/>
    </row>
    <row r="28" spans="2:31" x14ac:dyDescent="0.25">
      <c r="B28" s="23" t="s">
        <v>174</v>
      </c>
      <c r="C28" s="16">
        <v>0</v>
      </c>
      <c r="D28" s="38">
        <f>IF(C28&gt;0,G4,0)+ModCha</f>
        <v>0</v>
      </c>
      <c r="E28" s="23" t="s">
        <v>175</v>
      </c>
      <c r="F28" s="16">
        <v>0</v>
      </c>
      <c r="G28" s="38">
        <f>IF(F28&gt;0,G4,0)+ModCha</f>
        <v>0</v>
      </c>
      <c r="H28" s="25"/>
      <c r="I28" s="91"/>
      <c r="J28" s="91"/>
      <c r="K28" s="112"/>
      <c r="L28" s="113"/>
      <c r="M28" s="25"/>
      <c r="N28" s="100"/>
      <c r="O28" s="101"/>
      <c r="P28" s="38"/>
      <c r="Q28" s="25"/>
      <c r="R28" s="111"/>
      <c r="S28" s="111"/>
      <c r="T28" s="25"/>
      <c r="U28" s="25"/>
      <c r="V28" s="3"/>
      <c r="W28"/>
      <c r="X28"/>
      <c r="Y28"/>
      <c r="Z28"/>
      <c r="AA28"/>
      <c r="AB28"/>
      <c r="AC28"/>
      <c r="AD28"/>
      <c r="AE28"/>
    </row>
    <row r="29" spans="2:31" x14ac:dyDescent="0.25">
      <c r="B29" s="23" t="s">
        <v>176</v>
      </c>
      <c r="C29" s="16">
        <v>0</v>
      </c>
      <c r="D29" s="38">
        <f>IF(C29&gt;0,G4,0)+ModInt</f>
        <v>0</v>
      </c>
      <c r="E29" s="23" t="s">
        <v>177</v>
      </c>
      <c r="F29" s="16">
        <v>0</v>
      </c>
      <c r="G29" s="38">
        <f>IF(F29&gt;0,G4,0)+ModDex</f>
        <v>1</v>
      </c>
      <c r="H29" s="25"/>
      <c r="I29" s="91"/>
      <c r="J29" s="91"/>
      <c r="K29" s="112"/>
      <c r="L29" s="113"/>
      <c r="M29" s="25"/>
      <c r="N29" s="100"/>
      <c r="O29" s="101"/>
      <c r="P29" s="38"/>
      <c r="Q29" s="25"/>
      <c r="R29" s="111"/>
      <c r="S29" s="111"/>
      <c r="T29" s="25"/>
      <c r="U29" s="25"/>
      <c r="V29" s="3"/>
      <c r="W29"/>
      <c r="X29"/>
      <c r="Y29"/>
      <c r="Z29"/>
      <c r="AA29"/>
      <c r="AB29"/>
      <c r="AC29"/>
      <c r="AD29"/>
      <c r="AE29"/>
    </row>
    <row r="30" spans="2:31" x14ac:dyDescent="0.25">
      <c r="B30" s="23" t="s">
        <v>178</v>
      </c>
      <c r="C30" s="16">
        <v>0</v>
      </c>
      <c r="D30" s="38">
        <f>IF(C30&gt;0,G4,0)+ModDex</f>
        <v>1</v>
      </c>
      <c r="E30" s="23" t="s">
        <v>179</v>
      </c>
      <c r="F30" s="16">
        <v>0</v>
      </c>
      <c r="G30" s="38">
        <f>IF(F30&gt;0,G4,0)+ModWis</f>
        <v>0</v>
      </c>
      <c r="H30" s="25"/>
      <c r="I30" s="92"/>
      <c r="J30" s="92"/>
      <c r="K30" s="112"/>
      <c r="L30" s="113"/>
      <c r="M30" s="25"/>
      <c r="N30" s="100"/>
      <c r="O30" s="101"/>
      <c r="P30" s="8"/>
      <c r="Q30" s="25"/>
      <c r="R30" s="111"/>
      <c r="S30" s="111"/>
      <c r="T30" s="25"/>
      <c r="U30" s="25"/>
      <c r="V30" s="3"/>
      <c r="W30"/>
      <c r="X30"/>
      <c r="Y30"/>
      <c r="Z30"/>
      <c r="AA30"/>
      <c r="AB30"/>
      <c r="AC30"/>
      <c r="AD30"/>
      <c r="AE30"/>
    </row>
    <row r="31" spans="2:31" x14ac:dyDescent="0.25">
      <c r="B31" s="25"/>
      <c r="C31" s="25"/>
      <c r="D31" s="25"/>
      <c r="E31" s="25"/>
      <c r="F31" s="25"/>
      <c r="G31" s="25"/>
      <c r="H31" s="25"/>
      <c r="I31" s="92"/>
      <c r="J31" s="92"/>
      <c r="K31" s="112"/>
      <c r="L31" s="113"/>
      <c r="M31" s="25"/>
      <c r="N31" s="100"/>
      <c r="O31" s="101"/>
      <c r="P31" s="8"/>
      <c r="Q31" s="25"/>
      <c r="R31" s="111"/>
      <c r="S31" s="111"/>
      <c r="T31" s="25"/>
      <c r="U31" s="5"/>
      <c r="V31" s="3"/>
      <c r="W31"/>
      <c r="X31"/>
      <c r="Y31"/>
      <c r="Z31"/>
      <c r="AA31"/>
      <c r="AB31"/>
      <c r="AC31"/>
      <c r="AD31"/>
      <c r="AE31"/>
    </row>
    <row r="32" spans="2:31" x14ac:dyDescent="0.25">
      <c r="B32" s="25"/>
      <c r="C32" s="25"/>
      <c r="D32" s="25"/>
      <c r="E32" s="25"/>
      <c r="F32" s="97" t="s">
        <v>289</v>
      </c>
      <c r="G32" s="96"/>
      <c r="H32" s="25"/>
      <c r="I32" s="25"/>
      <c r="J32" s="25"/>
      <c r="K32" s="25"/>
      <c r="L32" s="25"/>
      <c r="M32" s="25"/>
      <c r="N32" s="100"/>
      <c r="O32" s="101"/>
      <c r="P32" s="8"/>
      <c r="Q32" s="25"/>
      <c r="R32" s="111"/>
      <c r="S32" s="111"/>
      <c r="T32" s="25"/>
      <c r="U32" s="5"/>
      <c r="V32" s="5"/>
      <c r="W32" s="5"/>
    </row>
    <row r="33" spans="2:20" x14ac:dyDescent="0.25">
      <c r="B33" s="94" t="s">
        <v>107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25"/>
      <c r="N33" s="100"/>
      <c r="O33" s="101"/>
      <c r="P33" s="38"/>
      <c r="Q33" s="25"/>
      <c r="R33" s="111"/>
      <c r="S33" s="111"/>
      <c r="T33" s="25"/>
    </row>
    <row r="34" spans="2:20" x14ac:dyDescent="0.25">
      <c r="B34" s="111" t="str">
        <f>IF(B42&lt;&gt;0,B42,"")&amp;IF(B43&lt;&gt;0,B43,"")&amp;IF(B44&lt;&gt;0,B44,"")&amp;IF(B45&lt;&gt;0,B45,"")&amp;IF(B46&lt;&gt;0,B46,"")&amp;IF(COUNTIF(RacialTraits,"Dwarven Combat Training")&gt;0,", Battleaxe, Handaxe, Light Hammer, Warhammer","")&amp;IF(COUNTIF(RacialTraits,"Elf Weapon Training")&gt;0,", Longsword, Shortsword, Shortbow, Longbow","")&amp;IF(COUNTIF(RacialTraits,"Drow Weapon Training")&gt;0,", Rapier, Shortsword, Hand Crossbow","")</f>
        <v>Simple, Martial, Longsword, Shortsword, Shortbow, Longbow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25"/>
      <c r="N34" s="100"/>
      <c r="O34" s="101"/>
      <c r="P34" s="38"/>
      <c r="Q34" s="25"/>
      <c r="R34" s="111"/>
      <c r="S34" s="111"/>
      <c r="T34" s="25"/>
    </row>
    <row r="35" spans="2:20" x14ac:dyDescent="0.25">
      <c r="B35" s="94" t="s">
        <v>106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25"/>
      <c r="N35" s="100"/>
      <c r="O35" s="101"/>
      <c r="P35" s="38"/>
      <c r="Q35" s="25"/>
      <c r="R35" s="111"/>
      <c r="S35" s="111"/>
      <c r="T35" s="25"/>
    </row>
    <row r="36" spans="2:20" x14ac:dyDescent="0.25">
      <c r="B36" s="111" t="str">
        <f>IF(COUNTIF(RacialTraits,"Dwarven Armor Training")&gt;0,", Light, Medium","")&amp;IF(C42&lt;&gt;0,C42,"")&amp;IF(C43&lt;&gt;0,C43,"")&amp;IF(C44&lt;&gt;0,C44,"")&amp;IF(C45&lt;&gt;0,C45,"")&amp;IF(C46&lt;&gt;0,C46,"")</f>
        <v>Light, Medium, Heavy, Shield</v>
      </c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25"/>
      <c r="N36" s="25"/>
      <c r="O36" s="8" t="s">
        <v>295</v>
      </c>
      <c r="P36" s="38">
        <f>SUM(P15:P35)+LOOKUP(ArmorName,Armor[Armor],Armor[Weight])</f>
        <v>13</v>
      </c>
      <c r="Q36" s="25"/>
      <c r="R36" s="111"/>
      <c r="S36" s="111"/>
      <c r="T36" s="25"/>
    </row>
    <row r="37" spans="2:20" x14ac:dyDescent="0.2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41" spans="2:20" x14ac:dyDescent="0.25">
      <c r="B41" s="114" t="s">
        <v>296</v>
      </c>
      <c r="C41" s="114"/>
      <c r="D41" s="114"/>
      <c r="E41" s="114"/>
    </row>
    <row r="42" spans="2:20" x14ac:dyDescent="0.25">
      <c r="B42" s="74" t="str">
        <f>LOOKUP(B6,Class[Class],Class[Weapons])</f>
        <v>Simple, Martial</v>
      </c>
      <c r="C42" s="74" t="str">
        <f>LOOKUP(B6,Class[Class],Class[Armor])</f>
        <v>Light, Medium, Heavy, Shield</v>
      </c>
      <c r="D42" s="74"/>
      <c r="E42" s="74"/>
    </row>
    <row r="43" spans="2:20" x14ac:dyDescent="0.25">
      <c r="B43" s="74" t="str">
        <f>IF(B7&lt;&gt;0,LOOKUP(B7,Class[Class],Class[MCWeapon]),"")</f>
        <v/>
      </c>
      <c r="C43" s="74" t="str">
        <f>IF(B7&lt;&gt;0,LOOKUP(B7,Class[Class],Class[MCArmor]),"")</f>
        <v/>
      </c>
      <c r="D43" s="74"/>
      <c r="E43" s="74"/>
    </row>
    <row r="44" spans="2:20" x14ac:dyDescent="0.25">
      <c r="B44" s="74" t="str">
        <f>IF(B8&lt;&gt;0,LOOKUP(B8,Class[Class],Class[MCWeapon]),"")</f>
        <v/>
      </c>
      <c r="C44" s="74" t="str">
        <f>IF(B8&lt;&gt;0,LOOKUP(B8,Class[Class],Class[MCArmor]),"")</f>
        <v/>
      </c>
      <c r="D44" s="74"/>
      <c r="E44" s="74"/>
    </row>
    <row r="45" spans="2:20" x14ac:dyDescent="0.25">
      <c r="B45" s="74" t="str">
        <f>IF(B9&lt;&gt;0,LOOKUP(B9,Class[Class],Class[MCWeapon]),"")</f>
        <v/>
      </c>
      <c r="C45" s="74" t="str">
        <f>IF(B9&lt;&gt;0,LOOKUP(B9,Class[Class],Class[MCArmor]),"")</f>
        <v/>
      </c>
      <c r="D45" s="74"/>
      <c r="E45" s="74"/>
    </row>
    <row r="46" spans="2:20" x14ac:dyDescent="0.25">
      <c r="B46" s="74" t="str">
        <f>IF(B10&lt;&gt;0,LOOKUP(B10,Class[Class],Class[MCWeapon]),"")</f>
        <v/>
      </c>
      <c r="C46" s="74" t="str">
        <f>IF(B10&lt;&gt;0,LOOKUP(B10,Class[Class],Class[MCArmor]),"")</f>
        <v/>
      </c>
      <c r="D46" s="74"/>
      <c r="E46" s="74"/>
    </row>
  </sheetData>
  <mergeCells count="98">
    <mergeCell ref="R35:S35"/>
    <mergeCell ref="N34:O34"/>
    <mergeCell ref="N35:O35"/>
    <mergeCell ref="R28:S28"/>
    <mergeCell ref="R29:S29"/>
    <mergeCell ref="N28:O28"/>
    <mergeCell ref="R36:S36"/>
    <mergeCell ref="I21:J21"/>
    <mergeCell ref="I22:J22"/>
    <mergeCell ref="I23:J23"/>
    <mergeCell ref="B34:L34"/>
    <mergeCell ref="B33:L33"/>
    <mergeCell ref="B35:L35"/>
    <mergeCell ref="B36:L36"/>
    <mergeCell ref="I25:J25"/>
    <mergeCell ref="K26:L26"/>
    <mergeCell ref="K27:L27"/>
    <mergeCell ref="R30:S30"/>
    <mergeCell ref="R31:S31"/>
    <mergeCell ref="R32:S32"/>
    <mergeCell ref="R33:S33"/>
    <mergeCell ref="R34:S34"/>
    <mergeCell ref="B41:E41"/>
    <mergeCell ref="N29:O29"/>
    <mergeCell ref="N30:O30"/>
    <mergeCell ref="N31:O31"/>
    <mergeCell ref="N32:O32"/>
    <mergeCell ref="N33:O33"/>
    <mergeCell ref="K28:L28"/>
    <mergeCell ref="K29:L29"/>
    <mergeCell ref="K30:L30"/>
    <mergeCell ref="K31:L31"/>
    <mergeCell ref="N23:O23"/>
    <mergeCell ref="N24:O24"/>
    <mergeCell ref="N25:O25"/>
    <mergeCell ref="N26:O26"/>
    <mergeCell ref="N27:O27"/>
    <mergeCell ref="N18:O18"/>
    <mergeCell ref="N19:O19"/>
    <mergeCell ref="N20:O20"/>
    <mergeCell ref="N21:O21"/>
    <mergeCell ref="N22:O22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R23:S23"/>
    <mergeCell ref="R24:S24"/>
    <mergeCell ref="R25:S25"/>
    <mergeCell ref="R26:S26"/>
    <mergeCell ref="R27:S27"/>
    <mergeCell ref="R18:S18"/>
    <mergeCell ref="R19:S19"/>
    <mergeCell ref="R20:S20"/>
    <mergeCell ref="R21:S21"/>
    <mergeCell ref="R22:S22"/>
    <mergeCell ref="Q6:R6"/>
    <mergeCell ref="R14:S14"/>
    <mergeCell ref="R15:S15"/>
    <mergeCell ref="R16:S16"/>
    <mergeCell ref="R17:S17"/>
    <mergeCell ref="I3:J3"/>
    <mergeCell ref="B4:C4"/>
    <mergeCell ref="M2:N2"/>
    <mergeCell ref="F32:G32"/>
    <mergeCell ref="E4:F4"/>
    <mergeCell ref="B2:D2"/>
    <mergeCell ref="B3:D3"/>
    <mergeCell ref="I4:J4"/>
    <mergeCell ref="B12:C12"/>
    <mergeCell ref="B5:C5"/>
    <mergeCell ref="B6:C6"/>
    <mergeCell ref="E3:F3"/>
    <mergeCell ref="N14:O14"/>
    <mergeCell ref="N15:O15"/>
    <mergeCell ref="N16:O16"/>
    <mergeCell ref="N17:O17"/>
    <mergeCell ref="R3:S3"/>
    <mergeCell ref="B20:E20"/>
    <mergeCell ref="L4:M4"/>
    <mergeCell ref="M6:O6"/>
    <mergeCell ref="E2:F2"/>
    <mergeCell ref="G2:H2"/>
    <mergeCell ref="G3:H3"/>
    <mergeCell ref="K2:L2"/>
    <mergeCell ref="K3:L3"/>
    <mergeCell ref="B7:C7"/>
    <mergeCell ref="B8:C8"/>
    <mergeCell ref="B9:C9"/>
    <mergeCell ref="B10:C10"/>
    <mergeCell ref="R2:S2"/>
    <mergeCell ref="M3:N3"/>
    <mergeCell ref="I2:J2"/>
  </mergeCells>
  <conditionalFormatting sqref="I7">
    <cfRule type="colorScale" priority="6">
      <colorScale>
        <cfvo type="num" val="0"/>
        <cfvo type="percentile" val="50"/>
        <cfvo type="num" val="$I$6"/>
        <color rgb="FFC00000"/>
        <color theme="7"/>
        <color theme="9" tint="-0.249977111117893"/>
      </colorScale>
    </cfRule>
  </conditionalFormatting>
  <conditionalFormatting sqref="S4">
    <cfRule type="expression" dxfId="82" priority="4">
      <formula>$T$2&gt;=$T$3</formula>
    </cfRule>
    <cfRule type="expression" dxfId="81" priority="5">
      <formula>$T$3&gt;$T$2</formula>
    </cfRule>
  </conditionalFormatting>
  <conditionalFormatting sqref="T15:U22">
    <cfRule type="cellIs" dxfId="80" priority="1" operator="notEqual">
      <formula>FALSE</formula>
    </cfRule>
    <cfRule type="cellIs" dxfId="79" priority="2" operator="equal">
      <formula>FALSE</formula>
    </cfRule>
  </conditionalFormatting>
  <dataValidations count="6">
    <dataValidation type="list" allowBlank="1" showInputMessage="1" showErrorMessage="1" promptTitle="Race" prompt="Select from list" sqref="I3:J3" xr:uid="{00000000-0002-0000-0000-000000000000}">
      <formula1>Races</formula1>
    </dataValidation>
    <dataValidation type="list" allowBlank="1" showInputMessage="1" showErrorMessage="1" sqref="B6:C10" xr:uid="{00000000-0002-0000-0000-000001000000}">
      <formula1>Classes</formula1>
    </dataValidation>
    <dataValidation type="list" allowBlank="1" showInputMessage="1" showErrorMessage="1" sqref="I23" xr:uid="{00000000-0002-0000-0000-000002000000}">
      <formula1>HaveShield</formula1>
    </dataValidation>
    <dataValidation type="list" allowBlank="1" showInputMessage="1" showErrorMessage="1" sqref="I22" xr:uid="{00000000-0002-0000-0000-000003000000}">
      <formula1>AvailableArmor</formula1>
    </dataValidation>
    <dataValidation type="list" allowBlank="1" showInputMessage="1" showErrorMessage="1" sqref="G11:G14" xr:uid="{00000000-0002-0000-0000-000004000000}">
      <formula1>MeleeWeapons</formula1>
    </dataValidation>
    <dataValidation type="list" allowBlank="1" showInputMessage="1" showErrorMessage="1" sqref="G16" xr:uid="{00000000-0002-0000-0000-000005000000}">
      <formula1>RangedWeapons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1"/>
  <sheetViews>
    <sheetView workbookViewId="0">
      <selection activeCell="G2" sqref="G2"/>
    </sheetView>
  </sheetViews>
  <sheetFormatPr defaultRowHeight="15" x14ac:dyDescent="0.25"/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18" t="s">
        <v>126</v>
      </c>
      <c r="C2" s="118"/>
      <c r="D2" s="118"/>
      <c r="E2" s="7"/>
    </row>
    <row r="3" spans="1:24" x14ac:dyDescent="0.25">
      <c r="A3" s="1"/>
      <c r="B3" s="73" t="s">
        <v>319</v>
      </c>
      <c r="C3" s="73" t="s">
        <v>320</v>
      </c>
      <c r="D3" s="73" t="s">
        <v>207</v>
      </c>
      <c r="E3" s="73" t="s">
        <v>208</v>
      </c>
    </row>
    <row r="4" spans="1:24" ht="18.75" x14ac:dyDescent="0.25">
      <c r="A4" s="1"/>
      <c r="B4" s="73" t="s">
        <v>310</v>
      </c>
      <c r="C4" s="7">
        <f>LOOKUP(CharLevel,SpellSlots[Level],SpellSlots[1st])</f>
        <v>2</v>
      </c>
      <c r="D4" s="7">
        <v>0</v>
      </c>
      <c r="E4" s="30">
        <f>C4-D4</f>
        <v>2</v>
      </c>
    </row>
    <row r="5" spans="1:24" ht="18.75" x14ac:dyDescent="0.25">
      <c r="A5" s="1"/>
      <c r="B5" s="73" t="s">
        <v>311</v>
      </c>
      <c r="C5" s="7">
        <f>LOOKUP(CharLevel,SpellSlots[Level],SpellSlots[2nd])</f>
        <v>0</v>
      </c>
      <c r="D5" s="7"/>
      <c r="E5" s="30">
        <f t="shared" ref="E5:E12" si="0">C5-D5</f>
        <v>0</v>
      </c>
    </row>
    <row r="6" spans="1:24" ht="18.75" x14ac:dyDescent="0.25">
      <c r="A6" s="1"/>
      <c r="B6" s="73" t="s">
        <v>312</v>
      </c>
      <c r="C6" s="7">
        <f>LOOKUP(CharLevel,SpellSlots[Level],SpellSlots[3rd])</f>
        <v>0</v>
      </c>
      <c r="D6" s="7"/>
      <c r="E6" s="30">
        <f t="shared" si="0"/>
        <v>0</v>
      </c>
    </row>
    <row r="7" spans="1:24" ht="18.75" x14ac:dyDescent="0.25">
      <c r="A7" s="1"/>
      <c r="B7" s="73" t="s">
        <v>313</v>
      </c>
      <c r="C7" s="7">
        <f>LOOKUP(CharLevel,SpellSlots[Level],SpellSlots[4th])</f>
        <v>0</v>
      </c>
      <c r="D7" s="7"/>
      <c r="E7" s="30">
        <f t="shared" si="0"/>
        <v>0</v>
      </c>
    </row>
    <row r="8" spans="1:24" ht="18.75" x14ac:dyDescent="0.25">
      <c r="A8" s="1"/>
      <c r="B8" s="73" t="s">
        <v>314</v>
      </c>
      <c r="C8" s="7">
        <f>LOOKUP(CharLevel,SpellSlots[Level],SpellSlots[5th])</f>
        <v>0</v>
      </c>
      <c r="D8" s="7"/>
      <c r="E8" s="30">
        <f t="shared" si="0"/>
        <v>0</v>
      </c>
    </row>
    <row r="9" spans="1:24" ht="18.75" x14ac:dyDescent="0.25">
      <c r="A9" s="1"/>
      <c r="B9" s="73" t="s">
        <v>315</v>
      </c>
      <c r="C9" s="7">
        <f>LOOKUP(CharLevel,SpellSlots[Level],SpellSlots[6th])</f>
        <v>0</v>
      </c>
      <c r="D9" s="7"/>
      <c r="E9" s="30">
        <f t="shared" si="0"/>
        <v>0</v>
      </c>
    </row>
    <row r="10" spans="1:24" ht="18.75" x14ac:dyDescent="0.25">
      <c r="A10" s="1"/>
      <c r="B10" s="73" t="s">
        <v>316</v>
      </c>
      <c r="C10" s="7">
        <f>LOOKUP(CharLevel,SpellSlots[Level],SpellSlots[7th])</f>
        <v>0</v>
      </c>
      <c r="D10" s="7"/>
      <c r="E10" s="30">
        <f t="shared" si="0"/>
        <v>0</v>
      </c>
    </row>
    <row r="11" spans="1:24" ht="18.75" x14ac:dyDescent="0.25">
      <c r="A11" s="1"/>
      <c r="B11" s="73" t="s">
        <v>317</v>
      </c>
      <c r="C11" s="7">
        <f>LOOKUP(CharLevel,SpellSlots[Level],SpellSlots[8th])</f>
        <v>0</v>
      </c>
      <c r="D11" s="7"/>
      <c r="E11" s="30">
        <f t="shared" si="0"/>
        <v>0</v>
      </c>
    </row>
    <row r="12" spans="1:24" ht="18.75" x14ac:dyDescent="0.25">
      <c r="A12" s="1"/>
      <c r="B12" s="73" t="s">
        <v>318</v>
      </c>
      <c r="C12" s="7">
        <f>LOOKUP(CharLevel,SpellSlots[Level],SpellSlots[9th])</f>
        <v>0</v>
      </c>
      <c r="D12" s="7"/>
      <c r="E12" s="30">
        <f t="shared" si="0"/>
        <v>0</v>
      </c>
    </row>
    <row r="13" spans="1:24" x14ac:dyDescent="0.25">
      <c r="A13" s="1"/>
    </row>
    <row r="14" spans="1:24" x14ac:dyDescent="0.25">
      <c r="A14" s="1"/>
    </row>
    <row r="15" spans="1:24" x14ac:dyDescent="0.25">
      <c r="A15" s="1"/>
    </row>
    <row r="16" spans="1:2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mergeCells count="1">
    <mergeCell ref="B2:D2"/>
  </mergeCells>
  <conditionalFormatting sqref="E4:E12">
    <cfRule type="colorScale" priority="1">
      <colorScale>
        <cfvo type="num" val="0"/>
        <cfvo type="percentile" val="50"/>
        <cfvo type="num" val="$C$4"/>
        <color rgb="FFC00000"/>
        <color theme="7"/>
        <color theme="9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D62"/>
  <sheetViews>
    <sheetView workbookViewId="0">
      <selection activeCell="V18" sqref="V18"/>
    </sheetView>
  </sheetViews>
  <sheetFormatPr defaultRowHeight="15" x14ac:dyDescent="0.25"/>
  <cols>
    <col min="1" max="1" width="3.140625" customWidth="1"/>
    <col min="2" max="2" width="8.42578125" customWidth="1"/>
    <col min="3" max="3" width="8.28515625" customWidth="1"/>
    <col min="4" max="4" width="13" customWidth="1"/>
    <col min="5" max="5" width="12.5703125" customWidth="1"/>
    <col min="6" max="6" width="7.85546875" customWidth="1"/>
    <col min="7" max="7" width="15.7109375" bestFit="1" customWidth="1"/>
    <col min="8" max="8" width="15" customWidth="1"/>
    <col min="9" max="9" width="5.5703125" customWidth="1"/>
    <col min="10" max="10" width="16.42578125" bestFit="1" customWidth="1"/>
    <col min="11" max="11" width="10.7109375" customWidth="1"/>
    <col min="12" max="12" width="9.42578125" customWidth="1"/>
    <col min="13" max="13" width="9.7109375" customWidth="1"/>
    <col min="14" max="14" width="5.5703125" customWidth="1"/>
    <col min="15" max="15" width="15.5703125" bestFit="1" customWidth="1"/>
    <col min="16" max="16" width="14.28515625" bestFit="1" customWidth="1"/>
    <col min="17" max="17" width="10.28515625" customWidth="1"/>
    <col min="18" max="18" width="12.140625" bestFit="1" customWidth="1"/>
    <col min="19" max="19" width="27.5703125" bestFit="1" customWidth="1"/>
    <col min="20" max="20" width="48.28515625" bestFit="1" customWidth="1"/>
    <col min="21" max="21" width="27.5703125" bestFit="1" customWidth="1"/>
    <col min="22" max="22" width="24.140625" bestFit="1" customWidth="1"/>
    <col min="23" max="23" width="29" bestFit="1" customWidth="1"/>
    <col min="24" max="24" width="21.5703125" bestFit="1" customWidth="1"/>
    <col min="25" max="25" width="22.85546875" bestFit="1" customWidth="1"/>
    <col min="26" max="26" width="14.28515625" bestFit="1" customWidth="1"/>
    <col min="27" max="27" width="21.5703125" bestFit="1" customWidth="1"/>
    <col min="28" max="28" width="14" bestFit="1" customWidth="1"/>
    <col min="29" max="29" width="16.4257812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0" x14ac:dyDescent="0.25">
      <c r="A2" s="1"/>
      <c r="B2" s="118" t="s">
        <v>14</v>
      </c>
      <c r="C2" s="118"/>
      <c r="D2" s="118"/>
      <c r="E2" s="1"/>
      <c r="F2" s="119" t="s">
        <v>128</v>
      </c>
      <c r="G2" s="119"/>
      <c r="H2" s="119"/>
      <c r="I2" s="1"/>
      <c r="J2" s="6" t="s">
        <v>18</v>
      </c>
      <c r="K2" s="1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30" x14ac:dyDescent="0.25">
      <c r="A3" s="1"/>
      <c r="B3" s="48" t="s">
        <v>15</v>
      </c>
      <c r="C3" s="49" t="s">
        <v>16</v>
      </c>
      <c r="D3" s="50" t="s">
        <v>17</v>
      </c>
      <c r="E3" s="1"/>
      <c r="F3" s="48" t="s">
        <v>15</v>
      </c>
      <c r="G3" s="49" t="s">
        <v>129</v>
      </c>
      <c r="H3" s="50" t="s">
        <v>130</v>
      </c>
      <c r="I3" s="1"/>
      <c r="J3" s="48" t="s">
        <v>212</v>
      </c>
      <c r="K3" s="49" t="s">
        <v>19</v>
      </c>
      <c r="L3" s="49" t="s">
        <v>20</v>
      </c>
      <c r="M3" s="49" t="s">
        <v>21</v>
      </c>
      <c r="N3" s="49" t="s">
        <v>22</v>
      </c>
      <c r="O3" s="49" t="s">
        <v>23</v>
      </c>
      <c r="P3" s="49" t="s">
        <v>50</v>
      </c>
      <c r="Q3" s="49" t="s">
        <v>25</v>
      </c>
      <c r="R3" s="49" t="s">
        <v>24</v>
      </c>
      <c r="S3" s="49" t="s">
        <v>28</v>
      </c>
      <c r="T3" s="49" t="s">
        <v>29</v>
      </c>
      <c r="U3" s="49" t="s">
        <v>200</v>
      </c>
      <c r="V3" s="49" t="s">
        <v>201</v>
      </c>
      <c r="W3" s="49" t="s">
        <v>202</v>
      </c>
      <c r="X3" s="50" t="s">
        <v>203</v>
      </c>
      <c r="Y3" s="49" t="s">
        <v>304</v>
      </c>
      <c r="Z3" s="49" t="s">
        <v>305</v>
      </c>
      <c r="AA3" s="49" t="s">
        <v>306</v>
      </c>
      <c r="AC3" s="88"/>
      <c r="AD3" s="88"/>
    </row>
    <row r="4" spans="1:30" x14ac:dyDescent="0.25">
      <c r="A4" s="1"/>
      <c r="B4" s="51">
        <v>1</v>
      </c>
      <c r="C4" s="9">
        <v>0</v>
      </c>
      <c r="D4" s="42">
        <v>2</v>
      </c>
      <c r="E4" s="1"/>
      <c r="F4" s="51">
        <v>1</v>
      </c>
      <c r="G4" s="9">
        <v>2</v>
      </c>
      <c r="H4" s="42">
        <v>2</v>
      </c>
      <c r="I4" s="1"/>
      <c r="J4" s="73" t="s">
        <v>204</v>
      </c>
      <c r="K4" s="23">
        <f>LOOKUP("Elf",Race[Name],Race[Str])+0</f>
        <v>0</v>
      </c>
      <c r="L4" s="23">
        <f>LOOKUP("Elf",Race[Name],Race[Dex])+0</f>
        <v>2</v>
      </c>
      <c r="M4" s="23">
        <f>LOOKUP("Elf",Race[Name],Race[Con])+0</f>
        <v>0</v>
      </c>
      <c r="N4" s="23">
        <f>LOOKUP("Elf",Race[Name],Race[Int])+0</f>
        <v>0</v>
      </c>
      <c r="O4" s="23">
        <f>LOOKUP("Elf",Race[Name],Race[Wis])+0</f>
        <v>0</v>
      </c>
      <c r="P4" s="23">
        <f>LOOKUP("Elf",Race[Name],Race[Cha])+1</f>
        <v>1</v>
      </c>
      <c r="Q4" s="23" t="s">
        <v>27</v>
      </c>
      <c r="R4" s="23">
        <v>30</v>
      </c>
      <c r="S4" s="17">
        <f t="shared" ref="S4:S22" si="0">R4/5</f>
        <v>6</v>
      </c>
      <c r="T4" s="17" t="s">
        <v>51</v>
      </c>
      <c r="U4" s="78" t="s">
        <v>40</v>
      </c>
      <c r="V4" s="78" t="s">
        <v>41</v>
      </c>
      <c r="W4" s="78" t="s">
        <v>42</v>
      </c>
      <c r="X4" s="76" t="s">
        <v>54</v>
      </c>
      <c r="Y4" s="76" t="s">
        <v>52</v>
      </c>
      <c r="Z4" s="76" t="s">
        <v>53</v>
      </c>
      <c r="AA4" s="76"/>
    </row>
    <row r="5" spans="1:30" x14ac:dyDescent="0.25">
      <c r="A5" s="1"/>
      <c r="B5" s="51">
        <v>2</v>
      </c>
      <c r="C5" s="9">
        <v>300</v>
      </c>
      <c r="D5" s="42">
        <v>2</v>
      </c>
      <c r="E5" s="1"/>
      <c r="F5" s="51">
        <v>2</v>
      </c>
      <c r="G5" s="9">
        <v>2</v>
      </c>
      <c r="H5" s="42">
        <v>2</v>
      </c>
      <c r="I5" s="1"/>
      <c r="J5" s="90" t="s">
        <v>66</v>
      </c>
      <c r="K5" s="12">
        <v>2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 t="s">
        <v>27</v>
      </c>
      <c r="R5" s="12">
        <v>30</v>
      </c>
      <c r="S5" s="18">
        <f t="shared" si="0"/>
        <v>6</v>
      </c>
      <c r="T5" s="18" t="s">
        <v>67</v>
      </c>
      <c r="U5" s="18" t="s">
        <v>68</v>
      </c>
      <c r="V5" s="18" t="s">
        <v>69</v>
      </c>
      <c r="W5" s="9"/>
      <c r="X5" s="42"/>
      <c r="Y5" s="19"/>
      <c r="Z5" s="19"/>
      <c r="AA5" s="19"/>
    </row>
    <row r="6" spans="1:30" x14ac:dyDescent="0.25">
      <c r="A6" s="1"/>
      <c r="B6" s="51">
        <v>3</v>
      </c>
      <c r="C6" s="9">
        <v>900</v>
      </c>
      <c r="D6" s="42">
        <v>2</v>
      </c>
      <c r="E6" s="1"/>
      <c r="F6" s="51">
        <v>3</v>
      </c>
      <c r="G6" s="9">
        <v>3</v>
      </c>
      <c r="H6" s="42">
        <v>2</v>
      </c>
      <c r="I6" s="1"/>
      <c r="J6" s="7" t="s">
        <v>26</v>
      </c>
      <c r="K6" s="8">
        <v>0</v>
      </c>
      <c r="L6" s="8">
        <v>0</v>
      </c>
      <c r="M6" s="8">
        <v>2</v>
      </c>
      <c r="N6" s="8">
        <v>0</v>
      </c>
      <c r="O6" s="8">
        <v>0</v>
      </c>
      <c r="P6" s="8">
        <v>0</v>
      </c>
      <c r="Q6" s="8" t="s">
        <v>27</v>
      </c>
      <c r="R6" s="8">
        <v>25</v>
      </c>
      <c r="S6" s="9">
        <f t="shared" si="0"/>
        <v>5</v>
      </c>
      <c r="T6" s="9" t="s">
        <v>30</v>
      </c>
      <c r="U6" s="9" t="s">
        <v>31</v>
      </c>
      <c r="V6" s="9" t="s">
        <v>32</v>
      </c>
      <c r="W6" s="9" t="s">
        <v>33</v>
      </c>
      <c r="X6" s="42" t="s">
        <v>34</v>
      </c>
      <c r="Y6" s="19"/>
      <c r="Z6" s="19"/>
      <c r="AA6" s="19"/>
    </row>
    <row r="7" spans="1:30" x14ac:dyDescent="0.25">
      <c r="A7" s="1"/>
      <c r="B7" s="51">
        <v>4</v>
      </c>
      <c r="C7" s="9">
        <v>2700</v>
      </c>
      <c r="D7" s="42">
        <v>2</v>
      </c>
      <c r="E7" s="1"/>
      <c r="F7" s="51">
        <v>4</v>
      </c>
      <c r="G7" s="9">
        <v>3</v>
      </c>
      <c r="H7" s="42">
        <v>2</v>
      </c>
      <c r="I7" s="1"/>
      <c r="J7" s="7" t="s">
        <v>38</v>
      </c>
      <c r="K7" s="8">
        <v>0</v>
      </c>
      <c r="L7" s="8">
        <v>2</v>
      </c>
      <c r="M7" s="8">
        <v>0</v>
      </c>
      <c r="N7" s="8">
        <v>0</v>
      </c>
      <c r="O7" s="8">
        <v>0</v>
      </c>
      <c r="P7" s="8">
        <v>0</v>
      </c>
      <c r="Q7" s="8" t="s">
        <v>27</v>
      </c>
      <c r="R7" s="8">
        <v>30</v>
      </c>
      <c r="S7" s="9">
        <f t="shared" si="0"/>
        <v>6</v>
      </c>
      <c r="T7" s="9" t="s">
        <v>30</v>
      </c>
      <c r="U7" s="9" t="s">
        <v>40</v>
      </c>
      <c r="V7" s="9" t="s">
        <v>41</v>
      </c>
      <c r="W7" s="9" t="s">
        <v>42</v>
      </c>
      <c r="X7" s="42"/>
      <c r="Y7" s="19"/>
      <c r="Z7" s="19"/>
      <c r="AA7" s="19"/>
    </row>
    <row r="8" spans="1:30" x14ac:dyDescent="0.25">
      <c r="A8" s="1"/>
      <c r="B8" s="51">
        <v>5</v>
      </c>
      <c r="C8" s="9">
        <v>6500</v>
      </c>
      <c r="D8" s="42">
        <v>3</v>
      </c>
      <c r="E8" s="1"/>
      <c r="F8" s="51">
        <v>5</v>
      </c>
      <c r="G8" s="9">
        <v>3</v>
      </c>
      <c r="H8" s="42">
        <v>2</v>
      </c>
      <c r="I8" s="1"/>
      <c r="J8" s="73" t="s">
        <v>72</v>
      </c>
      <c r="K8" s="23">
        <f>LOOKUP("Gnome",Race[Name],Race[Str])+0</f>
        <v>0</v>
      </c>
      <c r="L8" s="23">
        <f>LOOKUP("Gnome",Race[Name],Race[Dex])+1</f>
        <v>1</v>
      </c>
      <c r="M8" s="23">
        <f>LOOKUP("Gnome",Race[Name],Race[Con])+0</f>
        <v>0</v>
      </c>
      <c r="N8" s="23">
        <f>LOOKUP("Gnome",Race[Name],Race[Int])+0</f>
        <v>2</v>
      </c>
      <c r="O8" s="23">
        <f>LOOKUP("Gnome",Race[Name],Race[Wis])+0</f>
        <v>0</v>
      </c>
      <c r="P8" s="23">
        <f>LOOKUP("Gnome",Race[Name],Race[Cha])+0</f>
        <v>0</v>
      </c>
      <c r="Q8" s="10" t="s">
        <v>56</v>
      </c>
      <c r="R8" s="10">
        <v>25</v>
      </c>
      <c r="S8" s="17">
        <f t="shared" si="0"/>
        <v>5</v>
      </c>
      <c r="T8" s="82" t="s">
        <v>30</v>
      </c>
      <c r="U8" s="82" t="s">
        <v>71</v>
      </c>
      <c r="V8" s="76" t="s">
        <v>73</v>
      </c>
      <c r="W8" s="76" t="s">
        <v>74</v>
      </c>
      <c r="X8" s="9"/>
      <c r="Y8" s="67"/>
      <c r="Z8" s="19"/>
      <c r="AA8" s="19"/>
    </row>
    <row r="9" spans="1:30" x14ac:dyDescent="0.25">
      <c r="A9" s="1"/>
      <c r="B9" s="51">
        <v>6</v>
      </c>
      <c r="C9" s="9">
        <v>14000</v>
      </c>
      <c r="D9" s="42">
        <v>3</v>
      </c>
      <c r="E9" s="1"/>
      <c r="F9" s="51">
        <v>6</v>
      </c>
      <c r="G9" s="9">
        <v>4</v>
      </c>
      <c r="H9" s="42">
        <v>2</v>
      </c>
      <c r="I9" s="1"/>
      <c r="J9" s="67" t="s">
        <v>70</v>
      </c>
      <c r="K9" s="64">
        <v>0</v>
      </c>
      <c r="L9" s="64">
        <v>0</v>
      </c>
      <c r="M9" s="64">
        <v>0</v>
      </c>
      <c r="N9" s="64">
        <v>2</v>
      </c>
      <c r="O9" s="64">
        <v>0</v>
      </c>
      <c r="P9" s="64">
        <v>0</v>
      </c>
      <c r="Q9" s="64" t="s">
        <v>56</v>
      </c>
      <c r="R9" s="64">
        <v>25</v>
      </c>
      <c r="S9" s="65">
        <f t="shared" si="0"/>
        <v>5</v>
      </c>
      <c r="T9" s="65" t="s">
        <v>30</v>
      </c>
      <c r="U9" s="65" t="s">
        <v>71</v>
      </c>
      <c r="V9" s="9"/>
      <c r="W9" s="9"/>
      <c r="X9" s="9"/>
      <c r="Y9" s="19"/>
      <c r="Z9" s="19"/>
      <c r="AA9" s="19"/>
    </row>
    <row r="10" spans="1:30" x14ac:dyDescent="0.25">
      <c r="A10" s="1"/>
      <c r="B10" s="51">
        <v>7</v>
      </c>
      <c r="C10" s="9">
        <v>23000</v>
      </c>
      <c r="D10" s="42">
        <v>3</v>
      </c>
      <c r="E10" s="1"/>
      <c r="F10" s="51">
        <v>7</v>
      </c>
      <c r="G10" s="9">
        <v>4</v>
      </c>
      <c r="H10" s="42">
        <v>2</v>
      </c>
      <c r="I10" s="1"/>
      <c r="J10" s="7" t="s">
        <v>55</v>
      </c>
      <c r="K10" s="8">
        <v>0</v>
      </c>
      <c r="L10" s="8">
        <v>2</v>
      </c>
      <c r="M10" s="8">
        <v>0</v>
      </c>
      <c r="N10" s="8">
        <v>0</v>
      </c>
      <c r="O10" s="8">
        <v>0</v>
      </c>
      <c r="P10" s="8">
        <v>0</v>
      </c>
      <c r="Q10" s="8" t="s">
        <v>56</v>
      </c>
      <c r="R10" s="8">
        <v>25</v>
      </c>
      <c r="S10" s="9">
        <f t="shared" si="0"/>
        <v>5</v>
      </c>
      <c r="T10" s="9" t="s">
        <v>57</v>
      </c>
      <c r="U10" s="9" t="s">
        <v>58</v>
      </c>
      <c r="V10" s="9" t="s">
        <v>59</v>
      </c>
      <c r="W10" s="9"/>
      <c r="X10" s="9"/>
      <c r="Y10" s="19"/>
      <c r="Z10" s="19"/>
      <c r="AA10" s="19"/>
    </row>
    <row r="11" spans="1:30" x14ac:dyDescent="0.25">
      <c r="A11" s="1"/>
      <c r="B11" s="51">
        <v>8</v>
      </c>
      <c r="C11" s="9">
        <v>34000</v>
      </c>
      <c r="D11" s="42">
        <v>3</v>
      </c>
      <c r="E11" s="1"/>
      <c r="F11" s="51">
        <v>8</v>
      </c>
      <c r="G11" s="9">
        <v>4</v>
      </c>
      <c r="H11" s="42">
        <v>2</v>
      </c>
      <c r="I11" s="1"/>
      <c r="J11" s="14" t="s">
        <v>78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2</v>
      </c>
      <c r="Q11" s="15" t="s">
        <v>27</v>
      </c>
      <c r="R11" s="15">
        <v>30</v>
      </c>
      <c r="S11" s="19">
        <f t="shared" si="0"/>
        <v>6</v>
      </c>
      <c r="T11" s="19" t="s">
        <v>79</v>
      </c>
      <c r="U11" s="19" t="s">
        <v>30</v>
      </c>
      <c r="V11" s="19" t="s">
        <v>41</v>
      </c>
      <c r="W11" s="19" t="s">
        <v>80</v>
      </c>
      <c r="X11" s="19" t="s">
        <v>79</v>
      </c>
      <c r="Y11" s="19" t="s">
        <v>30</v>
      </c>
      <c r="Z11" s="19" t="s">
        <v>41</v>
      </c>
      <c r="AA11" s="19" t="s">
        <v>80</v>
      </c>
    </row>
    <row r="12" spans="1:30" x14ac:dyDescent="0.25">
      <c r="A12" s="1"/>
      <c r="B12" s="51">
        <v>9</v>
      </c>
      <c r="C12" s="9">
        <v>48000</v>
      </c>
      <c r="D12" s="42">
        <v>4</v>
      </c>
      <c r="E12" s="1"/>
      <c r="F12" s="51">
        <v>9</v>
      </c>
      <c r="G12" s="9">
        <v>4</v>
      </c>
      <c r="H12" s="42">
        <v>3</v>
      </c>
      <c r="I12" s="1"/>
      <c r="J12" s="14" t="s">
        <v>81</v>
      </c>
      <c r="K12" s="15">
        <v>2</v>
      </c>
      <c r="L12" s="15">
        <v>0</v>
      </c>
      <c r="M12" s="15">
        <v>1</v>
      </c>
      <c r="N12" s="15">
        <v>0</v>
      </c>
      <c r="O12" s="15">
        <v>0</v>
      </c>
      <c r="P12" s="15">
        <v>0</v>
      </c>
      <c r="Q12" s="15" t="s">
        <v>27</v>
      </c>
      <c r="R12" s="15">
        <v>30</v>
      </c>
      <c r="S12" s="19">
        <f t="shared" si="0"/>
        <v>6</v>
      </c>
      <c r="T12" s="19" t="s">
        <v>30</v>
      </c>
      <c r="U12" s="19" t="s">
        <v>82</v>
      </c>
      <c r="V12" s="19" t="s">
        <v>83</v>
      </c>
      <c r="W12" s="19" t="s">
        <v>84</v>
      </c>
      <c r="X12" s="9"/>
      <c r="Y12" s="19"/>
      <c r="Z12" s="19"/>
      <c r="AA12" s="19"/>
    </row>
    <row r="13" spans="1:30" x14ac:dyDescent="0.25">
      <c r="A13" s="1"/>
      <c r="B13" s="51">
        <v>10</v>
      </c>
      <c r="C13" s="9">
        <v>64000</v>
      </c>
      <c r="D13" s="42">
        <v>4</v>
      </c>
      <c r="E13" s="1"/>
      <c r="F13" s="51">
        <v>10</v>
      </c>
      <c r="G13" s="9">
        <v>4</v>
      </c>
      <c r="H13" s="42">
        <v>3</v>
      </c>
      <c r="I13" s="1"/>
      <c r="J13" s="73" t="s">
        <v>43</v>
      </c>
      <c r="K13" s="23">
        <f>LOOKUP("Elf",Race[Name],Race[Str])+0</f>
        <v>0</v>
      </c>
      <c r="L13" s="23">
        <f>LOOKUP("Elf",Race[Name],Race[Dex])+0</f>
        <v>2</v>
      </c>
      <c r="M13" s="23">
        <f>LOOKUP("Elf",Race[Name],Race[Con])+0</f>
        <v>0</v>
      </c>
      <c r="N13" s="23">
        <f>LOOKUP("Elf",Race[Name],Race[Int])+1</f>
        <v>1</v>
      </c>
      <c r="O13" s="23">
        <f>LOOKUP("Elf",Race[Name],Race[Wis])+0</f>
        <v>0</v>
      </c>
      <c r="P13" s="23">
        <f>LOOKUP("Elf",Race[Name],Race[Cha])+0</f>
        <v>0</v>
      </c>
      <c r="Q13" s="10" t="s">
        <v>27</v>
      </c>
      <c r="R13" s="10">
        <v>30</v>
      </c>
      <c r="S13" s="17">
        <f t="shared" si="0"/>
        <v>6</v>
      </c>
      <c r="T13" s="78" t="s">
        <v>30</v>
      </c>
      <c r="U13" s="78" t="s">
        <v>40</v>
      </c>
      <c r="V13" s="78" t="s">
        <v>41</v>
      </c>
      <c r="W13" s="78" t="s">
        <v>42</v>
      </c>
      <c r="X13" s="76" t="s">
        <v>44</v>
      </c>
      <c r="Y13" s="76" t="s">
        <v>45</v>
      </c>
      <c r="Z13" s="76" t="s">
        <v>46</v>
      </c>
      <c r="AA13" s="19"/>
    </row>
    <row r="14" spans="1:30" x14ac:dyDescent="0.25">
      <c r="A14" s="1"/>
      <c r="B14" s="51">
        <v>11</v>
      </c>
      <c r="C14" s="9">
        <v>85000</v>
      </c>
      <c r="D14" s="42">
        <v>4</v>
      </c>
      <c r="E14" s="1"/>
      <c r="F14" s="51">
        <v>11</v>
      </c>
      <c r="G14" s="9">
        <v>4</v>
      </c>
      <c r="H14" s="42">
        <v>3</v>
      </c>
      <c r="I14" s="1"/>
      <c r="J14" s="73" t="s">
        <v>35</v>
      </c>
      <c r="K14" s="23">
        <f>LOOKUP("Dwarf",Race[Name],Race[Str])+0</f>
        <v>0</v>
      </c>
      <c r="L14" s="23">
        <f>LOOKUP("Dwarf",Race[Name],Race[Dex])+0</f>
        <v>0</v>
      </c>
      <c r="M14" s="23">
        <f>LOOKUP("Dwarf",Race[Name],Race[Con])+0</f>
        <v>2</v>
      </c>
      <c r="N14" s="23">
        <f>LOOKUP("Dwarf",Race[Name],Race[Int])+0</f>
        <v>0</v>
      </c>
      <c r="O14" s="23">
        <f>LOOKUP("Dwarf",Race[Name],Race[Wis])+1</f>
        <v>1</v>
      </c>
      <c r="P14" s="23">
        <f>LOOKUP("Dwarf",Race[Name],Race[Cha])+0</f>
        <v>0</v>
      </c>
      <c r="Q14" s="23" t="s">
        <v>27</v>
      </c>
      <c r="R14" s="23">
        <v>25</v>
      </c>
      <c r="S14" s="17">
        <f t="shared" si="0"/>
        <v>5</v>
      </c>
      <c r="T14" s="9" t="s">
        <v>30</v>
      </c>
      <c r="U14" s="9" t="s">
        <v>31</v>
      </c>
      <c r="V14" s="9" t="s">
        <v>32</v>
      </c>
      <c r="W14" s="9" t="s">
        <v>33</v>
      </c>
      <c r="X14" s="42" t="s">
        <v>34</v>
      </c>
      <c r="Y14" s="76" t="s">
        <v>36</v>
      </c>
      <c r="Z14" s="19"/>
      <c r="AA14" s="19"/>
    </row>
    <row r="15" spans="1:30" x14ac:dyDescent="0.25">
      <c r="A15" s="1"/>
      <c r="B15" s="51">
        <v>12</v>
      </c>
      <c r="C15" s="9">
        <v>100000</v>
      </c>
      <c r="D15" s="42">
        <v>4</v>
      </c>
      <c r="E15" s="1"/>
      <c r="F15" s="51">
        <v>12</v>
      </c>
      <c r="G15" s="9">
        <v>5</v>
      </c>
      <c r="H15" s="42">
        <v>3</v>
      </c>
      <c r="I15" s="1"/>
      <c r="J15" s="7" t="s">
        <v>64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 t="s">
        <v>27</v>
      </c>
      <c r="R15" s="8">
        <v>30</v>
      </c>
      <c r="S15" s="9">
        <f t="shared" si="0"/>
        <v>6</v>
      </c>
      <c r="T15" s="9"/>
      <c r="U15" s="9"/>
      <c r="V15" s="9"/>
      <c r="W15" s="9"/>
      <c r="X15" s="9"/>
      <c r="Y15" s="19"/>
      <c r="Z15" s="19"/>
      <c r="AA15" s="19"/>
    </row>
    <row r="16" spans="1:30" x14ac:dyDescent="0.25">
      <c r="A16" s="1"/>
      <c r="B16" s="51">
        <v>13</v>
      </c>
      <c r="C16" s="9">
        <v>120000</v>
      </c>
      <c r="D16" s="42">
        <v>5</v>
      </c>
      <c r="E16" s="1"/>
      <c r="F16" s="51">
        <v>13</v>
      </c>
      <c r="G16" s="9">
        <v>5</v>
      </c>
      <c r="H16" s="42">
        <v>3</v>
      </c>
      <c r="I16" s="1"/>
      <c r="J16" s="73" t="s">
        <v>65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 t="s">
        <v>27</v>
      </c>
      <c r="R16" s="23">
        <v>30</v>
      </c>
      <c r="S16" s="17">
        <f t="shared" si="0"/>
        <v>6</v>
      </c>
      <c r="T16" s="17" t="s">
        <v>65</v>
      </c>
      <c r="U16" s="9"/>
      <c r="V16" s="9"/>
      <c r="W16" s="9"/>
      <c r="X16" s="42"/>
      <c r="Y16" s="19"/>
      <c r="Z16" s="19"/>
      <c r="AA16" s="19"/>
    </row>
    <row r="17" spans="1:27" x14ac:dyDescent="0.25">
      <c r="A17" s="1"/>
      <c r="B17" s="51">
        <v>14</v>
      </c>
      <c r="C17" s="9">
        <v>140000</v>
      </c>
      <c r="D17" s="42">
        <v>5</v>
      </c>
      <c r="E17" s="1"/>
      <c r="F17" s="51">
        <v>14</v>
      </c>
      <c r="G17" s="9">
        <v>5</v>
      </c>
      <c r="H17" s="42">
        <v>3</v>
      </c>
      <c r="I17" s="1"/>
      <c r="J17" s="73" t="s">
        <v>60</v>
      </c>
      <c r="K17" s="23">
        <f>LOOKUP("Hafling",Race[Name],Race[Str])+0</f>
        <v>0</v>
      </c>
      <c r="L17" s="23">
        <f>LOOKUP("Hafling",Race[Name],Race[Dex])+0</f>
        <v>2</v>
      </c>
      <c r="M17" s="23">
        <f>LOOKUP("Hafling",Race[Name],Race[Con])+0</f>
        <v>0</v>
      </c>
      <c r="N17" s="23">
        <f>LOOKUP("Hafling",Race[Name],Race[Int])+0</f>
        <v>0</v>
      </c>
      <c r="O17" s="23">
        <f>LOOKUP("Hafling",Race[Name],Race[Wis])+0</f>
        <v>0</v>
      </c>
      <c r="P17" s="23">
        <f>LOOKUP("Hafling",Race[Name],Race[Cha])+1</f>
        <v>1</v>
      </c>
      <c r="Q17" s="23" t="s">
        <v>56</v>
      </c>
      <c r="R17" s="23">
        <v>25</v>
      </c>
      <c r="S17" s="17">
        <f t="shared" si="0"/>
        <v>5</v>
      </c>
      <c r="T17" s="81" t="s">
        <v>57</v>
      </c>
      <c r="U17" s="81" t="s">
        <v>58</v>
      </c>
      <c r="V17" s="81" t="s">
        <v>59</v>
      </c>
      <c r="W17" s="76" t="s">
        <v>61</v>
      </c>
      <c r="X17" s="42"/>
      <c r="Y17" s="7"/>
      <c r="Z17" s="19"/>
      <c r="AA17" s="19"/>
    </row>
    <row r="18" spans="1:27" x14ac:dyDescent="0.25">
      <c r="A18" s="1"/>
      <c r="B18" s="51">
        <v>15</v>
      </c>
      <c r="C18" s="9">
        <v>165000</v>
      </c>
      <c r="D18" s="42">
        <v>5</v>
      </c>
      <c r="E18" s="1"/>
      <c r="F18" s="51">
        <v>15</v>
      </c>
      <c r="G18" s="9">
        <v>5</v>
      </c>
      <c r="H18" s="42">
        <v>3</v>
      </c>
      <c r="I18" s="1"/>
      <c r="J18" s="73" t="s">
        <v>37</v>
      </c>
      <c r="K18" s="23">
        <f>LOOKUP("Dwarf",Race[Name],Race[Str])+2</f>
        <v>2</v>
      </c>
      <c r="L18" s="23">
        <f>LOOKUP("Dwarf",Race[Name],Race[Dex])+0</f>
        <v>0</v>
      </c>
      <c r="M18" s="23">
        <f>LOOKUP("Dwarf",Race[Name],Race[Con])+0</f>
        <v>2</v>
      </c>
      <c r="N18" s="23">
        <f>LOOKUP("Dwarf",Race[Name],Race[Int])+0</f>
        <v>0</v>
      </c>
      <c r="O18" s="23">
        <f>LOOKUP("Dwarf",Race[Name],Race[Wis])+0</f>
        <v>0</v>
      </c>
      <c r="P18" s="23">
        <f>LOOKUP("Dwarf",Race[Name],Race[Cha])+0</f>
        <v>0</v>
      </c>
      <c r="Q18" s="10" t="s">
        <v>27</v>
      </c>
      <c r="R18" s="10">
        <v>25</v>
      </c>
      <c r="S18" s="17">
        <f t="shared" si="0"/>
        <v>5</v>
      </c>
      <c r="T18" s="9" t="s">
        <v>30</v>
      </c>
      <c r="U18" s="9" t="s">
        <v>31</v>
      </c>
      <c r="V18" s="9" t="s">
        <v>32</v>
      </c>
      <c r="W18" s="9" t="s">
        <v>33</v>
      </c>
      <c r="X18" s="42" t="s">
        <v>34</v>
      </c>
      <c r="Y18" s="76" t="s">
        <v>39</v>
      </c>
      <c r="Z18" s="19"/>
      <c r="AA18" s="19"/>
    </row>
    <row r="19" spans="1:27" x14ac:dyDescent="0.25">
      <c r="A19" s="1"/>
      <c r="B19" s="51">
        <v>16</v>
      </c>
      <c r="C19" s="9">
        <v>195000</v>
      </c>
      <c r="D19" s="42">
        <v>5</v>
      </c>
      <c r="E19" s="1"/>
      <c r="F19" s="51">
        <v>16</v>
      </c>
      <c r="G19" s="9">
        <v>5</v>
      </c>
      <c r="H19" s="42">
        <v>4</v>
      </c>
      <c r="I19" s="1"/>
      <c r="J19" s="73" t="s">
        <v>75</v>
      </c>
      <c r="K19" s="23">
        <f>LOOKUP("Gnome",Race[Name],Race[Str])+0</f>
        <v>0</v>
      </c>
      <c r="L19" s="23">
        <f>LOOKUP("Gnome",Race[Name],Race[Dex])+0</f>
        <v>0</v>
      </c>
      <c r="M19" s="23">
        <f>LOOKUP("Gnome",Race[Name],Race[Con])+1</f>
        <v>1</v>
      </c>
      <c r="N19" s="23">
        <f>LOOKUP("Gnome",Race[Name],Race[Int])+0</f>
        <v>2</v>
      </c>
      <c r="O19" s="23">
        <f>LOOKUP("Gnome",Race[Name],Race[Wis])+0</f>
        <v>0</v>
      </c>
      <c r="P19" s="23">
        <f>LOOKUP("Gnome",Race[Name],Race[Cha])+0</f>
        <v>0</v>
      </c>
      <c r="Q19" s="10" t="s">
        <v>56</v>
      </c>
      <c r="R19" s="10">
        <v>25</v>
      </c>
      <c r="S19" s="17">
        <f t="shared" si="0"/>
        <v>5</v>
      </c>
      <c r="T19" s="82" t="s">
        <v>30</v>
      </c>
      <c r="U19" s="82" t="s">
        <v>71</v>
      </c>
      <c r="V19" s="76" t="s">
        <v>76</v>
      </c>
      <c r="W19" s="76" t="s">
        <v>77</v>
      </c>
      <c r="X19" s="42"/>
      <c r="Y19" s="67"/>
      <c r="Z19" s="19"/>
      <c r="AA19" s="19"/>
    </row>
    <row r="20" spans="1:27" x14ac:dyDescent="0.25">
      <c r="A20" s="1"/>
      <c r="B20" s="51">
        <v>17</v>
      </c>
      <c r="C20" s="9">
        <v>225000</v>
      </c>
      <c r="D20" s="42">
        <v>6</v>
      </c>
      <c r="E20" s="1"/>
      <c r="F20" s="51">
        <v>17</v>
      </c>
      <c r="G20" s="9">
        <v>6</v>
      </c>
      <c r="H20" s="42">
        <v>4</v>
      </c>
      <c r="I20" s="1"/>
      <c r="J20" s="73" t="s">
        <v>62</v>
      </c>
      <c r="K20" s="23">
        <f>LOOKUP("Hafling",Race[Name],Race[Str])+0</f>
        <v>0</v>
      </c>
      <c r="L20" s="23">
        <f>LOOKUP("Hafling",Race[Name],Race[Dex])+0</f>
        <v>2</v>
      </c>
      <c r="M20" s="23">
        <f>LOOKUP("Hafling",Race[Name],Race[Con])+1</f>
        <v>1</v>
      </c>
      <c r="N20" s="23">
        <f>LOOKUP("Hafling",Race[Name],Race[Int])+0</f>
        <v>0</v>
      </c>
      <c r="O20" s="23">
        <f>LOOKUP("Hafling",Race[Name],Race[Wis])+0</f>
        <v>0</v>
      </c>
      <c r="P20" s="23">
        <f>LOOKUP("Hafling",Race[Name],Race[Cha])+0</f>
        <v>0</v>
      </c>
      <c r="Q20" s="23" t="s">
        <v>56</v>
      </c>
      <c r="R20" s="23">
        <v>25</v>
      </c>
      <c r="S20" s="17">
        <f t="shared" si="0"/>
        <v>5</v>
      </c>
      <c r="T20" s="81" t="s">
        <v>57</v>
      </c>
      <c r="U20" s="81" t="s">
        <v>58</v>
      </c>
      <c r="V20" s="81" t="s">
        <v>59</v>
      </c>
      <c r="W20" s="76" t="s">
        <v>63</v>
      </c>
      <c r="X20" s="42"/>
      <c r="Y20" s="7"/>
      <c r="Z20" s="19"/>
      <c r="AA20" s="19"/>
    </row>
    <row r="21" spans="1:27" x14ac:dyDescent="0.25">
      <c r="A21" s="1"/>
      <c r="B21" s="51">
        <v>18</v>
      </c>
      <c r="C21" s="9">
        <v>265000</v>
      </c>
      <c r="D21" s="42">
        <v>6</v>
      </c>
      <c r="E21" s="1"/>
      <c r="F21" s="51">
        <v>18</v>
      </c>
      <c r="G21" s="9">
        <v>6</v>
      </c>
      <c r="H21" s="42">
        <v>4</v>
      </c>
      <c r="I21" s="1"/>
      <c r="J21" s="14" t="s">
        <v>85</v>
      </c>
      <c r="K21" s="15">
        <v>0</v>
      </c>
      <c r="L21" s="15">
        <v>0</v>
      </c>
      <c r="M21" s="15">
        <v>0</v>
      </c>
      <c r="N21" s="15">
        <v>1</v>
      </c>
      <c r="O21" s="15">
        <v>0</v>
      </c>
      <c r="P21" s="15">
        <v>2</v>
      </c>
      <c r="Q21" s="15" t="s">
        <v>27</v>
      </c>
      <c r="R21" s="15">
        <v>30</v>
      </c>
      <c r="S21" s="19">
        <f t="shared" si="0"/>
        <v>6</v>
      </c>
      <c r="T21" s="19" t="s">
        <v>30</v>
      </c>
      <c r="U21" s="19" t="s">
        <v>86</v>
      </c>
      <c r="V21" s="19" t="s">
        <v>87</v>
      </c>
      <c r="W21" s="19"/>
      <c r="X21" s="42"/>
      <c r="Y21" s="19"/>
      <c r="Z21" s="19"/>
      <c r="AA21" s="19"/>
    </row>
    <row r="22" spans="1:27" x14ac:dyDescent="0.25">
      <c r="A22" s="1"/>
      <c r="B22" s="51">
        <v>19</v>
      </c>
      <c r="C22" s="9">
        <v>305000</v>
      </c>
      <c r="D22" s="42">
        <v>6</v>
      </c>
      <c r="E22" s="1"/>
      <c r="F22" s="51">
        <v>19</v>
      </c>
      <c r="G22" s="9">
        <v>6</v>
      </c>
      <c r="H22" s="42">
        <v>4</v>
      </c>
      <c r="I22" s="1"/>
      <c r="J22" s="73" t="s">
        <v>47</v>
      </c>
      <c r="K22" s="23">
        <f>LOOKUP("Elf",Race[Name],Race[Str])+0</f>
        <v>0</v>
      </c>
      <c r="L22" s="23">
        <f>LOOKUP("Elf",Race[Name],Race[Dex])+0</f>
        <v>2</v>
      </c>
      <c r="M22" s="23">
        <f>LOOKUP("Elf",Race[Name],Race[Con])+0</f>
        <v>0</v>
      </c>
      <c r="N22" s="23">
        <f>LOOKUP("Elf",Race[Name],Race[Int])+0</f>
        <v>0</v>
      </c>
      <c r="O22" s="23">
        <f>LOOKUP("Elf",Race[Name],Race[Wis])+1</f>
        <v>1</v>
      </c>
      <c r="P22" s="23">
        <f>LOOKUP("Elf",Race[Name],Race[Cha])+0</f>
        <v>0</v>
      </c>
      <c r="Q22" s="32" t="s">
        <v>27</v>
      </c>
      <c r="R22" s="32">
        <v>35</v>
      </c>
      <c r="S22" s="63">
        <f t="shared" si="0"/>
        <v>7</v>
      </c>
      <c r="T22" s="78" t="s">
        <v>30</v>
      </c>
      <c r="U22" s="78" t="s">
        <v>40</v>
      </c>
      <c r="V22" s="78" t="s">
        <v>41</v>
      </c>
      <c r="W22" s="78" t="s">
        <v>42</v>
      </c>
      <c r="X22" s="63" t="s">
        <v>44</v>
      </c>
      <c r="Y22" s="63" t="s">
        <v>48</v>
      </c>
      <c r="Z22" s="63" t="s">
        <v>49</v>
      </c>
      <c r="AA22" s="83"/>
    </row>
    <row r="23" spans="1:27" x14ac:dyDescent="0.25">
      <c r="A23" s="1"/>
      <c r="B23" s="52">
        <v>20</v>
      </c>
      <c r="C23" s="40">
        <v>355000</v>
      </c>
      <c r="D23" s="44">
        <v>6</v>
      </c>
      <c r="E23" s="1"/>
      <c r="F23" s="52">
        <v>20</v>
      </c>
      <c r="G23" s="40">
        <v>99</v>
      </c>
      <c r="H23" s="44">
        <v>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2" t="s">
        <v>107</v>
      </c>
      <c r="P24" s="122"/>
      <c r="T24" s="82"/>
      <c r="U24" s="82"/>
      <c r="V24" s="81"/>
      <c r="W24" s="78"/>
    </row>
    <row r="25" spans="1:27" x14ac:dyDescent="0.25">
      <c r="A25" s="1"/>
      <c r="B25" s="120" t="s">
        <v>138</v>
      </c>
      <c r="C25" s="121"/>
      <c r="D25" s="121"/>
      <c r="E25" s="121"/>
      <c r="F25" s="1"/>
      <c r="G25" s="45" t="s">
        <v>106</v>
      </c>
      <c r="H25" s="46" t="s">
        <v>197</v>
      </c>
      <c r="I25" s="46" t="s">
        <v>198</v>
      </c>
      <c r="J25" s="46" t="s">
        <v>20</v>
      </c>
      <c r="K25" s="46" t="s">
        <v>150</v>
      </c>
      <c r="L25" s="46" t="s">
        <v>178</v>
      </c>
      <c r="M25" s="47" t="s">
        <v>199</v>
      </c>
      <c r="N25" s="1"/>
      <c r="O25" s="66" t="s">
        <v>212</v>
      </c>
      <c r="P25" s="66" t="s">
        <v>231</v>
      </c>
      <c r="Q25" s="66" t="s">
        <v>223</v>
      </c>
      <c r="R25" s="66" t="s">
        <v>147</v>
      </c>
      <c r="S25" s="66" t="s">
        <v>213</v>
      </c>
      <c r="T25" s="66" t="s">
        <v>214</v>
      </c>
      <c r="U25" s="68" t="s">
        <v>263</v>
      </c>
      <c r="V25" s="66" t="s">
        <v>199</v>
      </c>
      <c r="X25" s="89" t="s">
        <v>303</v>
      </c>
      <c r="Y25" s="89" t="s">
        <v>290</v>
      </c>
    </row>
    <row r="26" spans="1:27" x14ac:dyDescent="0.25">
      <c r="A26" s="1"/>
      <c r="B26" s="45" t="s">
        <v>142</v>
      </c>
      <c r="C26" s="46" t="s">
        <v>143</v>
      </c>
      <c r="D26" s="46" t="s">
        <v>144</v>
      </c>
      <c r="E26" s="47" t="s">
        <v>145</v>
      </c>
      <c r="F26" s="1"/>
      <c r="G26" s="41" t="s">
        <v>190</v>
      </c>
      <c r="H26" s="9">
        <v>400</v>
      </c>
      <c r="I26" s="9">
        <v>14</v>
      </c>
      <c r="J26" s="9">
        <v>2</v>
      </c>
      <c r="K26" s="9">
        <v>0</v>
      </c>
      <c r="L26" s="9">
        <v>0</v>
      </c>
      <c r="M26" s="42">
        <v>20</v>
      </c>
      <c r="N26" s="1"/>
      <c r="O26" t="s">
        <v>236</v>
      </c>
      <c r="P26" s="69" t="s">
        <v>231</v>
      </c>
      <c r="Q26" s="2">
        <v>1</v>
      </c>
      <c r="R26" s="2" t="s">
        <v>109</v>
      </c>
      <c r="S26" s="69" t="s">
        <v>260</v>
      </c>
      <c r="T26" s="69" t="s">
        <v>263</v>
      </c>
      <c r="U26" s="69" t="s">
        <v>110</v>
      </c>
      <c r="V26" s="69">
        <v>4</v>
      </c>
      <c r="X26" s="80" t="s">
        <v>236</v>
      </c>
      <c r="Y26" s="79" t="s">
        <v>254</v>
      </c>
    </row>
    <row r="27" spans="1:27" x14ac:dyDescent="0.25">
      <c r="A27" s="1"/>
      <c r="B27" s="53" t="s">
        <v>110</v>
      </c>
      <c r="C27" s="26">
        <v>10</v>
      </c>
      <c r="D27" s="26">
        <v>5</v>
      </c>
      <c r="E27" s="54">
        <v>6</v>
      </c>
      <c r="F27" s="1"/>
      <c r="G27" s="41" t="s">
        <v>193</v>
      </c>
      <c r="H27" s="9">
        <v>75</v>
      </c>
      <c r="I27" s="9">
        <v>16</v>
      </c>
      <c r="J27" s="9">
        <v>0</v>
      </c>
      <c r="K27" s="9">
        <v>13</v>
      </c>
      <c r="L27" s="9">
        <v>-1</v>
      </c>
      <c r="M27" s="42">
        <v>55</v>
      </c>
      <c r="N27" s="1"/>
      <c r="O27" t="s">
        <v>254</v>
      </c>
      <c r="P27" s="69" t="s">
        <v>255</v>
      </c>
      <c r="Q27" s="2">
        <v>1</v>
      </c>
      <c r="R27">
        <v>1</v>
      </c>
      <c r="S27" s="69" t="s">
        <v>218</v>
      </c>
      <c r="T27" s="69" t="s">
        <v>275</v>
      </c>
      <c r="U27" s="69"/>
      <c r="V27" s="69">
        <v>1</v>
      </c>
      <c r="X27" s="80" t="s">
        <v>215</v>
      </c>
      <c r="Y27" s="79" t="s">
        <v>217</v>
      </c>
    </row>
    <row r="28" spans="1:27" x14ac:dyDescent="0.25">
      <c r="A28" s="1"/>
      <c r="B28" s="51" t="s">
        <v>108</v>
      </c>
      <c r="C28" s="24">
        <v>12</v>
      </c>
      <c r="D28" s="24">
        <v>6</v>
      </c>
      <c r="E28" s="55">
        <v>7</v>
      </c>
      <c r="F28" s="1"/>
      <c r="G28" s="41" t="s">
        <v>188</v>
      </c>
      <c r="H28" s="9">
        <v>50</v>
      </c>
      <c r="I28" s="9">
        <v>13</v>
      </c>
      <c r="J28" s="9">
        <v>2</v>
      </c>
      <c r="K28" s="9">
        <v>0</v>
      </c>
      <c r="L28" s="9">
        <v>0</v>
      </c>
      <c r="M28" s="42">
        <v>20</v>
      </c>
      <c r="N28" s="1"/>
      <c r="O28" t="s">
        <v>215</v>
      </c>
      <c r="P28" s="69" t="s">
        <v>122</v>
      </c>
      <c r="Q28" s="2">
        <v>1</v>
      </c>
      <c r="R28" s="2" t="s">
        <v>139</v>
      </c>
      <c r="S28" s="69" t="s">
        <v>216</v>
      </c>
      <c r="T28" s="69" t="s">
        <v>116</v>
      </c>
      <c r="U28" s="69"/>
      <c r="V28" s="69">
        <v>2</v>
      </c>
      <c r="X28" s="79" t="s">
        <v>217</v>
      </c>
      <c r="Y28" s="80" t="s">
        <v>233</v>
      </c>
    </row>
    <row r="29" spans="1:27" x14ac:dyDescent="0.25">
      <c r="A29" s="1"/>
      <c r="B29" s="51" t="s">
        <v>140</v>
      </c>
      <c r="C29" s="24">
        <v>20</v>
      </c>
      <c r="D29" s="24">
        <v>10</v>
      </c>
      <c r="E29" s="55">
        <v>11</v>
      </c>
      <c r="F29" s="1"/>
      <c r="G29" s="41" t="s">
        <v>191</v>
      </c>
      <c r="H29" s="9">
        <v>750</v>
      </c>
      <c r="I29" s="9">
        <v>15</v>
      </c>
      <c r="J29" s="9">
        <v>2</v>
      </c>
      <c r="K29" s="9">
        <v>0</v>
      </c>
      <c r="L29" s="9">
        <v>-1</v>
      </c>
      <c r="M29" s="42">
        <v>40</v>
      </c>
      <c r="N29" s="1"/>
      <c r="O29" t="s">
        <v>217</v>
      </c>
      <c r="P29" s="69" t="s">
        <v>122</v>
      </c>
      <c r="Q29" s="2">
        <v>1</v>
      </c>
      <c r="R29" s="2" t="s">
        <v>139</v>
      </c>
      <c r="S29" s="69" t="s">
        <v>218</v>
      </c>
      <c r="T29" s="69" t="s">
        <v>219</v>
      </c>
      <c r="U29" s="69"/>
      <c r="V29" s="69">
        <v>1</v>
      </c>
      <c r="X29" s="79" t="s">
        <v>237</v>
      </c>
      <c r="Y29" s="79" t="s">
        <v>256</v>
      </c>
    </row>
    <row r="30" spans="1:27" x14ac:dyDescent="0.25">
      <c r="A30" s="1"/>
      <c r="B30" s="51" t="s">
        <v>139</v>
      </c>
      <c r="C30" s="24">
        <v>4</v>
      </c>
      <c r="D30" s="24">
        <v>2</v>
      </c>
      <c r="E30" s="55">
        <v>3</v>
      </c>
      <c r="F30" s="1"/>
      <c r="G30" s="41" t="s">
        <v>187</v>
      </c>
      <c r="H30" s="9">
        <v>10</v>
      </c>
      <c r="I30" s="9">
        <v>12</v>
      </c>
      <c r="J30" s="9">
        <v>2</v>
      </c>
      <c r="K30" s="9">
        <v>0</v>
      </c>
      <c r="L30" s="9">
        <v>0</v>
      </c>
      <c r="M30" s="42">
        <v>12</v>
      </c>
      <c r="N30" s="1"/>
      <c r="O30" t="s">
        <v>233</v>
      </c>
      <c r="P30" s="69" t="s">
        <v>232</v>
      </c>
      <c r="Q30" s="2">
        <v>1</v>
      </c>
      <c r="R30" s="2" t="s">
        <v>139</v>
      </c>
      <c r="S30" s="69" t="s">
        <v>218</v>
      </c>
      <c r="T30" s="69" t="s">
        <v>266</v>
      </c>
      <c r="U30" s="69"/>
      <c r="V30" s="69">
        <v>0.25</v>
      </c>
      <c r="X30" s="80" t="s">
        <v>238</v>
      </c>
      <c r="Y30" s="80" t="s">
        <v>222</v>
      </c>
    </row>
    <row r="31" spans="1:27" x14ac:dyDescent="0.25">
      <c r="A31" s="1"/>
      <c r="B31" s="51" t="s">
        <v>111</v>
      </c>
      <c r="C31" s="24">
        <v>6</v>
      </c>
      <c r="D31" s="24">
        <v>3</v>
      </c>
      <c r="E31" s="55">
        <v>4</v>
      </c>
      <c r="F31" s="1"/>
      <c r="G31" s="41" t="s">
        <v>185</v>
      </c>
      <c r="H31" s="9">
        <v>10</v>
      </c>
      <c r="I31" s="9">
        <v>11</v>
      </c>
      <c r="J31" s="9">
        <v>1</v>
      </c>
      <c r="K31" s="9">
        <v>0</v>
      </c>
      <c r="L31" s="9">
        <v>0</v>
      </c>
      <c r="M31" s="42">
        <v>10</v>
      </c>
      <c r="N31" s="1"/>
      <c r="O31" t="s">
        <v>237</v>
      </c>
      <c r="P31" s="69" t="s">
        <v>231</v>
      </c>
      <c r="Q31" s="2">
        <v>1</v>
      </c>
      <c r="R31" s="2" t="s">
        <v>109</v>
      </c>
      <c r="S31" s="69" t="s">
        <v>216</v>
      </c>
      <c r="T31" s="69"/>
      <c r="U31" s="69"/>
      <c r="V31" s="69">
        <v>2</v>
      </c>
      <c r="X31" s="79" t="s">
        <v>239</v>
      </c>
      <c r="Y31" s="79" t="s">
        <v>257</v>
      </c>
    </row>
    <row r="32" spans="1:27" x14ac:dyDescent="0.25">
      <c r="A32" s="1"/>
      <c r="B32" s="52" t="s">
        <v>109</v>
      </c>
      <c r="C32" s="56">
        <v>8</v>
      </c>
      <c r="D32" s="56">
        <v>4</v>
      </c>
      <c r="E32" s="57">
        <v>5</v>
      </c>
      <c r="F32" s="1"/>
      <c r="G32" s="41" t="s">
        <v>184</v>
      </c>
      <c r="H32" s="9">
        <v>5</v>
      </c>
      <c r="I32" s="9">
        <v>11</v>
      </c>
      <c r="J32" s="9">
        <v>1</v>
      </c>
      <c r="K32" s="9">
        <v>0</v>
      </c>
      <c r="L32" s="9">
        <v>-1</v>
      </c>
      <c r="M32" s="42">
        <v>8</v>
      </c>
      <c r="N32" s="1"/>
      <c r="O32" t="s">
        <v>238</v>
      </c>
      <c r="P32" s="69" t="s">
        <v>231</v>
      </c>
      <c r="Q32" s="2">
        <v>1</v>
      </c>
      <c r="R32" s="2" t="s">
        <v>110</v>
      </c>
      <c r="S32" s="69" t="s">
        <v>260</v>
      </c>
      <c r="T32" s="69" t="s">
        <v>269</v>
      </c>
      <c r="U32" s="69"/>
      <c r="V32" s="69">
        <v>6</v>
      </c>
      <c r="X32" s="80" t="s">
        <v>220</v>
      </c>
      <c r="Y32" s="80" t="s">
        <v>225</v>
      </c>
    </row>
    <row r="33" spans="1:25" x14ac:dyDescent="0.25">
      <c r="A33" s="1"/>
      <c r="B33" s="1"/>
      <c r="C33" s="1"/>
      <c r="D33" s="1"/>
      <c r="E33" s="1"/>
      <c r="F33" s="1"/>
      <c r="G33" s="41" t="s">
        <v>195</v>
      </c>
      <c r="H33" s="9">
        <v>1500</v>
      </c>
      <c r="I33" s="9">
        <v>18</v>
      </c>
      <c r="J33" s="9">
        <v>0</v>
      </c>
      <c r="K33" s="9">
        <v>15</v>
      </c>
      <c r="L33" s="9">
        <v>-1</v>
      </c>
      <c r="M33" s="42">
        <v>65</v>
      </c>
      <c r="N33" s="1"/>
      <c r="O33" t="s">
        <v>239</v>
      </c>
      <c r="P33" s="69" t="s">
        <v>231</v>
      </c>
      <c r="Q33" s="2">
        <v>1</v>
      </c>
      <c r="R33" s="2" t="s">
        <v>108</v>
      </c>
      <c r="S33" s="69" t="s">
        <v>260</v>
      </c>
      <c r="T33" s="69" t="s">
        <v>270</v>
      </c>
      <c r="U33" s="69"/>
      <c r="V33" s="69">
        <v>7</v>
      </c>
      <c r="X33" s="79" t="s">
        <v>240</v>
      </c>
      <c r="Y33" s="80" t="s">
        <v>230</v>
      </c>
    </row>
    <row r="34" spans="1:25" x14ac:dyDescent="0.25">
      <c r="F34" s="1"/>
      <c r="G34" s="41" t="s">
        <v>192</v>
      </c>
      <c r="H34" s="9">
        <v>30</v>
      </c>
      <c r="I34" s="9">
        <v>14</v>
      </c>
      <c r="J34" s="9">
        <v>0</v>
      </c>
      <c r="K34" s="9">
        <v>0</v>
      </c>
      <c r="L34" s="9">
        <v>-1</v>
      </c>
      <c r="M34" s="42">
        <v>40</v>
      </c>
      <c r="N34" s="1"/>
      <c r="O34" t="s">
        <v>220</v>
      </c>
      <c r="P34" s="69" t="s">
        <v>122</v>
      </c>
      <c r="Q34" s="2">
        <v>1</v>
      </c>
      <c r="R34" s="2" t="s">
        <v>109</v>
      </c>
      <c r="S34" s="69" t="s">
        <v>216</v>
      </c>
      <c r="T34" s="69" t="s">
        <v>221</v>
      </c>
      <c r="U34" s="69"/>
      <c r="V34" s="69">
        <v>10</v>
      </c>
      <c r="X34" s="80" t="s">
        <v>241</v>
      </c>
      <c r="Y34" s="79" t="s">
        <v>224</v>
      </c>
    </row>
    <row r="35" spans="1:25" x14ac:dyDescent="0.25">
      <c r="B35" s="84" t="s">
        <v>204</v>
      </c>
      <c r="F35" s="1"/>
      <c r="G35" s="41" t="s">
        <v>189</v>
      </c>
      <c r="H35" s="9">
        <v>50</v>
      </c>
      <c r="I35" s="9">
        <v>14</v>
      </c>
      <c r="J35" s="9">
        <v>2</v>
      </c>
      <c r="K35" s="9">
        <v>0</v>
      </c>
      <c r="L35" s="9">
        <v>-1</v>
      </c>
      <c r="M35" s="42">
        <v>45</v>
      </c>
      <c r="N35" s="1"/>
      <c r="O35" t="s">
        <v>240</v>
      </c>
      <c r="P35" s="69" t="s">
        <v>231</v>
      </c>
      <c r="Q35" s="2">
        <v>2</v>
      </c>
      <c r="R35" s="2" t="s">
        <v>111</v>
      </c>
      <c r="S35" s="69" t="s">
        <v>260</v>
      </c>
      <c r="T35" s="69" t="s">
        <v>270</v>
      </c>
      <c r="U35" s="69"/>
      <c r="V35" s="69">
        <v>6</v>
      </c>
      <c r="X35" s="80" t="s">
        <v>222</v>
      </c>
      <c r="Y35" s="80" t="s">
        <v>258</v>
      </c>
    </row>
    <row r="36" spans="1:25" x14ac:dyDescent="0.25">
      <c r="B36" s="85" t="s">
        <v>66</v>
      </c>
      <c r="F36" s="1"/>
      <c r="G36" s="41" t="s">
        <v>196</v>
      </c>
      <c r="H36" s="9">
        <v>10</v>
      </c>
      <c r="I36" s="9">
        <v>2</v>
      </c>
      <c r="J36" s="9"/>
      <c r="K36" s="9"/>
      <c r="L36" s="9"/>
      <c r="M36" s="42">
        <v>6</v>
      </c>
      <c r="N36" s="1"/>
      <c r="O36" t="s">
        <v>241</v>
      </c>
      <c r="P36" s="69" t="s">
        <v>231</v>
      </c>
      <c r="Q36" s="2">
        <v>1</v>
      </c>
      <c r="R36" s="2" t="s">
        <v>110</v>
      </c>
      <c r="S36" s="69" t="s">
        <v>260</v>
      </c>
      <c r="T36" s="69" t="s">
        <v>269</v>
      </c>
      <c r="U36" s="69"/>
      <c r="V36" s="69">
        <v>6</v>
      </c>
      <c r="X36" s="80" t="s">
        <v>225</v>
      </c>
      <c r="Y36" s="79" t="s">
        <v>259</v>
      </c>
    </row>
    <row r="37" spans="1:25" x14ac:dyDescent="0.25">
      <c r="B37" s="84" t="s">
        <v>72</v>
      </c>
      <c r="F37" s="1"/>
      <c r="G37" s="41" t="s">
        <v>194</v>
      </c>
      <c r="H37" s="9">
        <v>200</v>
      </c>
      <c r="I37" s="9">
        <v>17</v>
      </c>
      <c r="J37" s="9">
        <v>0</v>
      </c>
      <c r="K37" s="9">
        <v>15</v>
      </c>
      <c r="L37" s="9">
        <v>-1</v>
      </c>
      <c r="M37" s="42">
        <v>60</v>
      </c>
      <c r="N37" s="1"/>
      <c r="O37" t="s">
        <v>256</v>
      </c>
      <c r="P37" s="69" t="s">
        <v>255</v>
      </c>
      <c r="Q37" s="2">
        <v>1</v>
      </c>
      <c r="R37" s="2" t="s">
        <v>111</v>
      </c>
      <c r="S37" s="69" t="s">
        <v>218</v>
      </c>
      <c r="T37" s="69" t="s">
        <v>276</v>
      </c>
      <c r="U37" s="69"/>
      <c r="V37" s="69">
        <v>3</v>
      </c>
      <c r="X37" s="79" t="s">
        <v>242</v>
      </c>
      <c r="Y37" s="80" t="s">
        <v>234</v>
      </c>
    </row>
    <row r="38" spans="1:25" x14ac:dyDescent="0.25">
      <c r="B38" s="87" t="s">
        <v>78</v>
      </c>
      <c r="F38" s="1"/>
      <c r="G38" s="43" t="s">
        <v>186</v>
      </c>
      <c r="H38" s="40">
        <v>45</v>
      </c>
      <c r="I38" s="40">
        <v>12</v>
      </c>
      <c r="J38" s="40">
        <v>1</v>
      </c>
      <c r="K38" s="40">
        <v>0</v>
      </c>
      <c r="L38" s="40">
        <v>0</v>
      </c>
      <c r="M38" s="44">
        <v>13</v>
      </c>
      <c r="N38" s="1"/>
      <c r="O38" t="s">
        <v>222</v>
      </c>
      <c r="P38" s="69" t="s">
        <v>122</v>
      </c>
      <c r="Q38" s="2">
        <v>1</v>
      </c>
      <c r="R38" s="2" t="s">
        <v>111</v>
      </c>
      <c r="S38" s="69" t="s">
        <v>260</v>
      </c>
      <c r="T38" s="69" t="s">
        <v>261</v>
      </c>
      <c r="U38" s="69"/>
      <c r="V38" s="69">
        <v>2</v>
      </c>
      <c r="X38" s="79" t="s">
        <v>224</v>
      </c>
      <c r="Y38" s="79" t="s">
        <v>235</v>
      </c>
    </row>
    <row r="39" spans="1:25" x14ac:dyDescent="0.25">
      <c r="B39" s="87" t="s">
        <v>81</v>
      </c>
      <c r="F39" s="1"/>
      <c r="G39" s="43" t="str">
        <f>""</f>
        <v/>
      </c>
      <c r="H39" s="40"/>
      <c r="I39" s="40">
        <v>0</v>
      </c>
      <c r="J39" s="40">
        <v>0</v>
      </c>
      <c r="K39" s="40">
        <v>0</v>
      </c>
      <c r="L39" s="40"/>
      <c r="M39" s="44"/>
      <c r="N39" s="1"/>
      <c r="O39" t="s">
        <v>257</v>
      </c>
      <c r="P39" s="69" t="s">
        <v>255</v>
      </c>
      <c r="Q39" s="2">
        <v>1</v>
      </c>
      <c r="R39" s="2" t="s">
        <v>110</v>
      </c>
      <c r="S39" s="69" t="s">
        <v>218</v>
      </c>
      <c r="T39" s="69" t="s">
        <v>277</v>
      </c>
      <c r="U39" s="69"/>
      <c r="V39" s="69">
        <v>18</v>
      </c>
      <c r="X39" s="79" t="s">
        <v>243</v>
      </c>
      <c r="Y39" s="80" t="s">
        <v>229</v>
      </c>
    </row>
    <row r="40" spans="1:25" x14ac:dyDescent="0.25">
      <c r="B40" s="84" t="s">
        <v>43</v>
      </c>
      <c r="F40" s="1"/>
      <c r="N40" s="1"/>
      <c r="O40" t="s">
        <v>225</v>
      </c>
      <c r="P40" s="69" t="s">
        <v>122</v>
      </c>
      <c r="Q40" s="2">
        <v>1</v>
      </c>
      <c r="R40" s="2" t="s">
        <v>111</v>
      </c>
      <c r="S40" s="69" t="s">
        <v>218</v>
      </c>
      <c r="T40" s="69" t="s">
        <v>262</v>
      </c>
      <c r="U40" s="69"/>
      <c r="V40" s="69">
        <v>2</v>
      </c>
      <c r="X40" s="80" t="s">
        <v>226</v>
      </c>
      <c r="Y40" s="79" t="s">
        <v>250</v>
      </c>
    </row>
    <row r="41" spans="1:25" x14ac:dyDescent="0.25">
      <c r="B41" s="84" t="s">
        <v>35</v>
      </c>
      <c r="F41" s="1"/>
      <c r="N41" s="1"/>
      <c r="O41" t="s">
        <v>242</v>
      </c>
      <c r="P41" s="69" t="s">
        <v>231</v>
      </c>
      <c r="Q41" s="2">
        <v>1</v>
      </c>
      <c r="R41" s="2" t="s">
        <v>108</v>
      </c>
      <c r="S41" s="69" t="s">
        <v>218</v>
      </c>
      <c r="T41" s="69" t="s">
        <v>271</v>
      </c>
      <c r="U41" s="69"/>
      <c r="V41" s="69">
        <v>10</v>
      </c>
      <c r="X41" s="79" t="s">
        <v>244</v>
      </c>
    </row>
    <row r="42" spans="1:25" x14ac:dyDescent="0.25">
      <c r="B42" s="86" t="s">
        <v>64</v>
      </c>
      <c r="F42" s="1"/>
      <c r="N42" s="1"/>
      <c r="O42" t="s">
        <v>230</v>
      </c>
      <c r="P42" s="69" t="s">
        <v>232</v>
      </c>
      <c r="Q42" s="2">
        <v>1</v>
      </c>
      <c r="R42" s="2" t="s">
        <v>109</v>
      </c>
      <c r="S42" s="69" t="s">
        <v>218</v>
      </c>
      <c r="T42" s="69" t="s">
        <v>265</v>
      </c>
      <c r="U42" s="69"/>
      <c r="V42" s="69">
        <v>5</v>
      </c>
      <c r="X42" s="80" t="s">
        <v>245</v>
      </c>
    </row>
    <row r="43" spans="1:25" x14ac:dyDescent="0.25">
      <c r="B43" s="84" t="s">
        <v>65</v>
      </c>
      <c r="F43" s="1"/>
      <c r="N43" s="1"/>
      <c r="O43" t="s">
        <v>224</v>
      </c>
      <c r="P43" s="69" t="s">
        <v>122</v>
      </c>
      <c r="Q43" s="2">
        <v>1</v>
      </c>
      <c r="R43" s="2" t="s">
        <v>139</v>
      </c>
      <c r="S43" s="69" t="s">
        <v>216</v>
      </c>
      <c r="T43" s="69" t="s">
        <v>261</v>
      </c>
      <c r="U43" s="69"/>
      <c r="V43" s="69">
        <v>2</v>
      </c>
      <c r="X43" s="80" t="s">
        <v>246</v>
      </c>
    </row>
    <row r="44" spans="1:25" x14ac:dyDescent="0.25">
      <c r="B44" s="84" t="s">
        <v>60</v>
      </c>
      <c r="F44" s="1"/>
      <c r="N44" s="1"/>
      <c r="O44" t="s">
        <v>258</v>
      </c>
      <c r="P44" s="69" t="s">
        <v>255</v>
      </c>
      <c r="Q44" s="2">
        <v>1</v>
      </c>
      <c r="R44" s="2" t="s">
        <v>109</v>
      </c>
      <c r="S44" s="69" t="s">
        <v>218</v>
      </c>
      <c r="T44" s="69" t="s">
        <v>278</v>
      </c>
      <c r="U44" s="69"/>
      <c r="V44" s="69">
        <v>2</v>
      </c>
      <c r="X44" s="79" t="s">
        <v>227</v>
      </c>
    </row>
    <row r="45" spans="1:25" x14ac:dyDescent="0.25">
      <c r="B45" s="84" t="s">
        <v>37</v>
      </c>
      <c r="F45" s="1"/>
      <c r="N45" s="1"/>
      <c r="O45" t="s">
        <v>243</v>
      </c>
      <c r="P45" s="69" t="s">
        <v>231</v>
      </c>
      <c r="Q45" s="2">
        <v>1</v>
      </c>
      <c r="R45" s="2" t="s">
        <v>109</v>
      </c>
      <c r="S45" s="69" t="s">
        <v>260</v>
      </c>
      <c r="T45" s="69" t="s">
        <v>263</v>
      </c>
      <c r="U45" s="69" t="s">
        <v>110</v>
      </c>
      <c r="V45" s="69">
        <v>3</v>
      </c>
      <c r="X45" s="80" t="s">
        <v>247</v>
      </c>
    </row>
    <row r="46" spans="1:25" x14ac:dyDescent="0.25">
      <c r="B46" s="84" t="s">
        <v>75</v>
      </c>
      <c r="F46" s="1"/>
      <c r="G46" s="1"/>
      <c r="H46" s="1"/>
      <c r="I46" s="1"/>
      <c r="J46" s="1"/>
      <c r="K46" s="1"/>
      <c r="L46" s="1"/>
      <c r="M46" s="1"/>
      <c r="N46" s="1"/>
      <c r="O46" t="s">
        <v>226</v>
      </c>
      <c r="P46" s="69" t="s">
        <v>122</v>
      </c>
      <c r="Q46" s="2">
        <v>1</v>
      </c>
      <c r="R46" s="2" t="s">
        <v>111</v>
      </c>
      <c r="S46" s="69" t="s">
        <v>216</v>
      </c>
      <c r="T46" s="69"/>
      <c r="U46" s="69"/>
      <c r="V46" s="69">
        <v>4</v>
      </c>
      <c r="X46" s="79" t="s">
        <v>248</v>
      </c>
    </row>
    <row r="47" spans="1:25" x14ac:dyDescent="0.25">
      <c r="B47" s="84" t="s">
        <v>62</v>
      </c>
      <c r="O47" t="s">
        <v>244</v>
      </c>
      <c r="P47" s="69" t="s">
        <v>231</v>
      </c>
      <c r="Q47" s="2">
        <v>2</v>
      </c>
      <c r="R47" s="2" t="s">
        <v>111</v>
      </c>
      <c r="S47" s="69" t="s">
        <v>216</v>
      </c>
      <c r="T47" s="69" t="s">
        <v>270</v>
      </c>
      <c r="U47" s="69"/>
      <c r="V47" s="69">
        <v>10</v>
      </c>
      <c r="X47" s="79" t="s">
        <v>249</v>
      </c>
    </row>
    <row r="48" spans="1:25" x14ac:dyDescent="0.25">
      <c r="B48" s="87" t="s">
        <v>85</v>
      </c>
      <c r="O48" t="s">
        <v>245</v>
      </c>
      <c r="P48" s="69" t="s">
        <v>231</v>
      </c>
      <c r="Q48" s="2">
        <v>1</v>
      </c>
      <c r="R48" s="2" t="s">
        <v>109</v>
      </c>
      <c r="S48" s="69" t="s">
        <v>218</v>
      </c>
      <c r="T48" s="69"/>
      <c r="U48" s="69"/>
      <c r="V48" s="69">
        <v>4</v>
      </c>
      <c r="X48" s="80" t="s">
        <v>228</v>
      </c>
    </row>
    <row r="49" spans="2:24" x14ac:dyDescent="0.25">
      <c r="B49" s="84" t="s">
        <v>47</v>
      </c>
      <c r="O49" t="s">
        <v>259</v>
      </c>
      <c r="P49" s="69" t="s">
        <v>255</v>
      </c>
      <c r="Q49" s="2">
        <v>1</v>
      </c>
      <c r="R49">
        <v>0</v>
      </c>
      <c r="T49" s="69" t="s">
        <v>279</v>
      </c>
      <c r="U49" s="69"/>
      <c r="V49" s="69">
        <v>3</v>
      </c>
      <c r="X49" s="80" t="s">
        <v>229</v>
      </c>
    </row>
    <row r="50" spans="2:24" x14ac:dyDescent="0.25">
      <c r="O50" t="s">
        <v>246</v>
      </c>
      <c r="P50" s="69" t="s">
        <v>231</v>
      </c>
      <c r="Q50" s="2">
        <v>1</v>
      </c>
      <c r="R50" s="2" t="s">
        <v>110</v>
      </c>
      <c r="S50" s="69" t="s">
        <v>218</v>
      </c>
      <c r="T50" s="69" t="s">
        <v>269</v>
      </c>
      <c r="U50" s="69"/>
      <c r="V50" s="69">
        <v>18</v>
      </c>
      <c r="X50" s="79" t="s">
        <v>250</v>
      </c>
    </row>
    <row r="51" spans="2:24" x14ac:dyDescent="0.25">
      <c r="O51" t="s">
        <v>227</v>
      </c>
      <c r="P51" s="69" t="s">
        <v>122</v>
      </c>
      <c r="Q51" s="2">
        <v>1</v>
      </c>
      <c r="R51" s="2" t="s">
        <v>111</v>
      </c>
      <c r="S51" s="69" t="s">
        <v>216</v>
      </c>
      <c r="T51" s="69" t="s">
        <v>263</v>
      </c>
      <c r="U51" s="69" t="s">
        <v>109</v>
      </c>
      <c r="V51" s="69">
        <v>4</v>
      </c>
      <c r="X51" s="80" t="s">
        <v>251</v>
      </c>
    </row>
    <row r="52" spans="2:24" x14ac:dyDescent="0.25">
      <c r="O52" t="s">
        <v>247</v>
      </c>
      <c r="P52" s="69" t="s">
        <v>231</v>
      </c>
      <c r="Q52" s="2">
        <v>1</v>
      </c>
      <c r="R52" s="2" t="s">
        <v>109</v>
      </c>
      <c r="S52" s="69" t="s">
        <v>218</v>
      </c>
      <c r="T52" s="69" t="s">
        <v>272</v>
      </c>
      <c r="U52" s="69"/>
      <c r="V52" s="69">
        <v>2</v>
      </c>
      <c r="X52" s="79" t="s">
        <v>252</v>
      </c>
    </row>
    <row r="53" spans="2:24" x14ac:dyDescent="0.25">
      <c r="O53" t="s">
        <v>248</v>
      </c>
      <c r="P53" s="69" t="s">
        <v>231</v>
      </c>
      <c r="Q53" s="2">
        <v>1</v>
      </c>
      <c r="R53" s="2" t="s">
        <v>111</v>
      </c>
      <c r="S53" s="69" t="s">
        <v>260</v>
      </c>
      <c r="T53" s="69" t="s">
        <v>273</v>
      </c>
      <c r="U53" s="69"/>
      <c r="V53" s="69">
        <v>3</v>
      </c>
      <c r="X53" s="80" t="s">
        <v>253</v>
      </c>
    </row>
    <row r="54" spans="2:24" x14ac:dyDescent="0.25">
      <c r="O54" t="s">
        <v>234</v>
      </c>
      <c r="P54" s="69" t="s">
        <v>232</v>
      </c>
      <c r="Q54" s="2">
        <v>1</v>
      </c>
      <c r="R54" s="2" t="s">
        <v>111</v>
      </c>
      <c r="S54" s="69" t="s">
        <v>218</v>
      </c>
      <c r="T54" s="69" t="s">
        <v>267</v>
      </c>
      <c r="U54" s="69"/>
      <c r="V54" s="69">
        <v>2</v>
      </c>
    </row>
    <row r="55" spans="2:24" x14ac:dyDescent="0.25">
      <c r="O55" t="s">
        <v>249</v>
      </c>
      <c r="P55" s="69" t="s">
        <v>231</v>
      </c>
      <c r="Q55" s="2">
        <v>1</v>
      </c>
      <c r="R55" s="2" t="s">
        <v>111</v>
      </c>
      <c r="S55" s="69" t="s">
        <v>218</v>
      </c>
      <c r="T55" s="69" t="s">
        <v>273</v>
      </c>
      <c r="U55" s="69"/>
      <c r="V55" s="69">
        <v>2</v>
      </c>
    </row>
    <row r="56" spans="2:24" x14ac:dyDescent="0.25">
      <c r="O56" t="s">
        <v>228</v>
      </c>
      <c r="P56" s="69" t="s">
        <v>122</v>
      </c>
      <c r="Q56" s="2">
        <v>1</v>
      </c>
      <c r="R56" s="2" t="s">
        <v>139</v>
      </c>
      <c r="S56" s="69" t="s">
        <v>260</v>
      </c>
      <c r="T56" s="69" t="s">
        <v>116</v>
      </c>
      <c r="U56" s="69"/>
      <c r="V56" s="69">
        <v>2</v>
      </c>
    </row>
    <row r="57" spans="2:24" x14ac:dyDescent="0.25">
      <c r="O57" t="s">
        <v>235</v>
      </c>
      <c r="P57" s="69" t="s">
        <v>232</v>
      </c>
      <c r="Q57" s="2">
        <v>1</v>
      </c>
      <c r="R57" s="2" t="s">
        <v>139</v>
      </c>
      <c r="S57" s="69" t="s">
        <v>216</v>
      </c>
      <c r="T57" s="69" t="s">
        <v>268</v>
      </c>
      <c r="U57" s="69"/>
      <c r="V57" s="69">
        <v>0</v>
      </c>
    </row>
    <row r="58" spans="2:24" x14ac:dyDescent="0.25">
      <c r="O58" t="s">
        <v>229</v>
      </c>
      <c r="P58" s="69" t="s">
        <v>122</v>
      </c>
      <c r="Q58" s="2">
        <v>1</v>
      </c>
      <c r="R58" s="2" t="s">
        <v>111</v>
      </c>
      <c r="S58" s="69" t="s">
        <v>218</v>
      </c>
      <c r="T58" s="69" t="s">
        <v>264</v>
      </c>
      <c r="U58" s="69" t="s">
        <v>109</v>
      </c>
      <c r="V58" s="69">
        <v>3</v>
      </c>
    </row>
    <row r="59" spans="2:24" x14ac:dyDescent="0.25">
      <c r="O59" t="s">
        <v>250</v>
      </c>
      <c r="P59" s="69" t="s">
        <v>231</v>
      </c>
      <c r="Q59" s="2">
        <v>1</v>
      </c>
      <c r="R59" s="2" t="s">
        <v>111</v>
      </c>
      <c r="S59" s="69" t="s">
        <v>218</v>
      </c>
      <c r="T59" s="69" t="s">
        <v>264</v>
      </c>
      <c r="U59" s="69" t="s">
        <v>109</v>
      </c>
      <c r="V59" s="69">
        <v>4</v>
      </c>
    </row>
    <row r="60" spans="2:24" x14ac:dyDescent="0.25">
      <c r="O60" t="s">
        <v>251</v>
      </c>
      <c r="P60" s="69" t="s">
        <v>231</v>
      </c>
      <c r="Q60" s="2">
        <v>1</v>
      </c>
      <c r="R60" s="2" t="s">
        <v>109</v>
      </c>
      <c r="S60" s="69" t="s">
        <v>218</v>
      </c>
      <c r="T60" s="69"/>
      <c r="U60" s="69"/>
      <c r="V60" s="69">
        <v>2</v>
      </c>
    </row>
    <row r="61" spans="2:24" x14ac:dyDescent="0.25">
      <c r="O61" t="s">
        <v>252</v>
      </c>
      <c r="P61" s="69" t="s">
        <v>231</v>
      </c>
      <c r="Q61" s="2">
        <v>1</v>
      </c>
      <c r="R61" s="2" t="s">
        <v>109</v>
      </c>
      <c r="S61" s="69" t="s">
        <v>216</v>
      </c>
      <c r="T61" s="69" t="s">
        <v>263</v>
      </c>
      <c r="U61" s="69" t="s">
        <v>110</v>
      </c>
      <c r="V61" s="69">
        <v>2</v>
      </c>
    </row>
    <row r="62" spans="2:24" x14ac:dyDescent="0.25">
      <c r="O62" t="s">
        <v>253</v>
      </c>
      <c r="P62" s="69" t="s">
        <v>231</v>
      </c>
      <c r="Q62" s="2">
        <v>1</v>
      </c>
      <c r="R62" s="2" t="s">
        <v>139</v>
      </c>
      <c r="S62" s="69" t="s">
        <v>260</v>
      </c>
      <c r="T62" s="69" t="s">
        <v>274</v>
      </c>
      <c r="U62" s="69"/>
      <c r="V62" s="69">
        <v>3</v>
      </c>
    </row>
  </sheetData>
  <dataConsolidate/>
  <mergeCells count="4">
    <mergeCell ref="B2:D2"/>
    <mergeCell ref="F2:H2"/>
    <mergeCell ref="B25:E25"/>
    <mergeCell ref="O24:P24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5"/>
  <sheetViews>
    <sheetView workbookViewId="0">
      <selection activeCell="F27" sqref="F27"/>
    </sheetView>
  </sheetViews>
  <sheetFormatPr defaultRowHeight="15" x14ac:dyDescent="0.25"/>
  <cols>
    <col min="1" max="1" width="14.5703125" bestFit="1" customWidth="1"/>
    <col min="2" max="2" width="9.140625" customWidth="1"/>
    <col min="3" max="3" width="10" bestFit="1" customWidth="1"/>
    <col min="4" max="4" width="14.5703125" customWidth="1"/>
    <col min="5" max="5" width="16.85546875" customWidth="1"/>
    <col min="6" max="6" width="43.7109375" bestFit="1" customWidth="1"/>
    <col min="7" max="7" width="69.140625" bestFit="1" customWidth="1"/>
    <col min="8" max="8" width="32.140625" bestFit="1" customWidth="1"/>
    <col min="9" max="9" width="51.5703125" bestFit="1" customWidth="1"/>
  </cols>
  <sheetData>
    <row r="1" spans="1:9" x14ac:dyDescent="0.25">
      <c r="A1" s="14" t="s">
        <v>88</v>
      </c>
      <c r="B1" s="20"/>
      <c r="C1" s="20"/>
      <c r="D1" s="20"/>
      <c r="E1" s="20"/>
      <c r="F1" s="20"/>
      <c r="G1" s="20"/>
      <c r="H1" s="1"/>
    </row>
    <row r="2" spans="1:9" x14ac:dyDescent="0.25">
      <c r="A2" s="59" t="s">
        <v>89</v>
      </c>
      <c r="B2" s="49" t="s">
        <v>102</v>
      </c>
      <c r="C2" s="49" t="s">
        <v>103</v>
      </c>
      <c r="D2" s="49" t="s">
        <v>104</v>
      </c>
      <c r="E2" s="49" t="s">
        <v>105</v>
      </c>
      <c r="F2" s="49" t="s">
        <v>106</v>
      </c>
      <c r="G2" s="50" t="s">
        <v>107</v>
      </c>
      <c r="H2" s="49" t="s">
        <v>297</v>
      </c>
      <c r="I2" s="49" t="s">
        <v>298</v>
      </c>
    </row>
    <row r="3" spans="1:9" x14ac:dyDescent="0.25">
      <c r="A3" s="58" t="s">
        <v>90</v>
      </c>
      <c r="B3" s="8" t="s">
        <v>108</v>
      </c>
      <c r="C3" s="8" t="s">
        <v>19</v>
      </c>
      <c r="D3" s="8" t="s">
        <v>19</v>
      </c>
      <c r="E3" s="8" t="s">
        <v>21</v>
      </c>
      <c r="F3" s="8" t="s">
        <v>115</v>
      </c>
      <c r="G3" s="21" t="s">
        <v>120</v>
      </c>
      <c r="H3" s="77" t="s">
        <v>196</v>
      </c>
      <c r="I3" s="77" t="s">
        <v>120</v>
      </c>
    </row>
    <row r="4" spans="1:9" x14ac:dyDescent="0.25">
      <c r="A4" s="58" t="s">
        <v>91</v>
      </c>
      <c r="B4" s="8" t="s">
        <v>109</v>
      </c>
      <c r="C4" s="8" t="s">
        <v>50</v>
      </c>
      <c r="D4" s="8" t="s">
        <v>20</v>
      </c>
      <c r="E4" s="8" t="s">
        <v>50</v>
      </c>
      <c r="F4" s="8" t="s">
        <v>116</v>
      </c>
      <c r="G4" s="21" t="s">
        <v>121</v>
      </c>
      <c r="H4" s="72" t="s">
        <v>116</v>
      </c>
      <c r="I4" s="72" t="s">
        <v>301</v>
      </c>
    </row>
    <row r="5" spans="1:9" x14ac:dyDescent="0.25">
      <c r="A5" s="58" t="s">
        <v>92</v>
      </c>
      <c r="B5" s="8" t="s">
        <v>109</v>
      </c>
      <c r="C5" s="8" t="s">
        <v>23</v>
      </c>
      <c r="D5" s="8" t="s">
        <v>23</v>
      </c>
      <c r="E5" s="8" t="s">
        <v>50</v>
      </c>
      <c r="F5" s="8" t="s">
        <v>115</v>
      </c>
      <c r="G5" s="21" t="s">
        <v>122</v>
      </c>
      <c r="H5" s="72" t="s">
        <v>115</v>
      </c>
      <c r="I5" s="72"/>
    </row>
    <row r="6" spans="1:9" x14ac:dyDescent="0.25">
      <c r="A6" s="58" t="s">
        <v>93</v>
      </c>
      <c r="B6" s="8" t="s">
        <v>109</v>
      </c>
      <c r="C6" s="8" t="s">
        <v>23</v>
      </c>
      <c r="D6" s="8" t="s">
        <v>22</v>
      </c>
      <c r="E6" s="8" t="s">
        <v>23</v>
      </c>
      <c r="F6" s="8" t="s">
        <v>117</v>
      </c>
      <c r="G6" s="21" t="s">
        <v>123</v>
      </c>
      <c r="H6" s="72" t="s">
        <v>299</v>
      </c>
      <c r="I6" s="72"/>
    </row>
    <row r="7" spans="1:9" x14ac:dyDescent="0.25">
      <c r="A7" s="58" t="s">
        <v>94</v>
      </c>
      <c r="B7" s="8" t="s">
        <v>110</v>
      </c>
      <c r="C7" s="8" t="s">
        <v>112</v>
      </c>
      <c r="D7" s="8" t="s">
        <v>19</v>
      </c>
      <c r="E7" s="8" t="s">
        <v>21</v>
      </c>
      <c r="F7" s="8" t="s">
        <v>119</v>
      </c>
      <c r="G7" s="21" t="s">
        <v>120</v>
      </c>
      <c r="H7" s="72" t="s">
        <v>115</v>
      </c>
      <c r="I7" s="72" t="s">
        <v>120</v>
      </c>
    </row>
    <row r="8" spans="1:9" x14ac:dyDescent="0.25">
      <c r="A8" s="58" t="s">
        <v>95</v>
      </c>
      <c r="B8" s="8" t="s">
        <v>109</v>
      </c>
      <c r="C8" s="8" t="s">
        <v>113</v>
      </c>
      <c r="D8" s="8" t="s">
        <v>19</v>
      </c>
      <c r="E8" s="8" t="s">
        <v>20</v>
      </c>
      <c r="F8" s="8" t="s">
        <v>118</v>
      </c>
      <c r="G8" s="21" t="s">
        <v>124</v>
      </c>
      <c r="H8" s="72"/>
      <c r="I8" s="72" t="s">
        <v>124</v>
      </c>
    </row>
    <row r="9" spans="1:9" x14ac:dyDescent="0.25">
      <c r="A9" s="58" t="s">
        <v>96</v>
      </c>
      <c r="B9" s="8" t="s">
        <v>110</v>
      </c>
      <c r="C9" s="8" t="s">
        <v>114</v>
      </c>
      <c r="D9" s="8" t="s">
        <v>23</v>
      </c>
      <c r="E9" s="8" t="s">
        <v>50</v>
      </c>
      <c r="F9" s="8" t="s">
        <v>119</v>
      </c>
      <c r="G9" s="21" t="s">
        <v>120</v>
      </c>
      <c r="H9" s="72" t="s">
        <v>115</v>
      </c>
      <c r="I9" s="72" t="s">
        <v>120</v>
      </c>
    </row>
    <row r="10" spans="1:9" x14ac:dyDescent="0.25">
      <c r="A10" s="58" t="s">
        <v>97</v>
      </c>
      <c r="B10" s="8" t="s">
        <v>110</v>
      </c>
      <c r="C10" s="8" t="s">
        <v>113</v>
      </c>
      <c r="D10" s="8" t="s">
        <v>19</v>
      </c>
      <c r="E10" s="8" t="s">
        <v>20</v>
      </c>
      <c r="F10" s="8" t="s">
        <v>115</v>
      </c>
      <c r="G10" s="21" t="s">
        <v>120</v>
      </c>
      <c r="H10" s="72" t="s">
        <v>115</v>
      </c>
      <c r="I10" s="72" t="s">
        <v>300</v>
      </c>
    </row>
    <row r="11" spans="1:9" x14ac:dyDescent="0.25">
      <c r="A11" s="58" t="s">
        <v>98</v>
      </c>
      <c r="B11" s="8" t="s">
        <v>109</v>
      </c>
      <c r="C11" s="8" t="s">
        <v>20</v>
      </c>
      <c r="D11" s="8" t="s">
        <v>20</v>
      </c>
      <c r="E11" s="8" t="s">
        <v>22</v>
      </c>
      <c r="F11" s="8" t="s">
        <v>116</v>
      </c>
      <c r="G11" s="21" t="s">
        <v>121</v>
      </c>
      <c r="H11" s="72" t="s">
        <v>116</v>
      </c>
      <c r="I11" s="72" t="s">
        <v>302</v>
      </c>
    </row>
    <row r="12" spans="1:9" x14ac:dyDescent="0.25">
      <c r="A12" s="58" t="s">
        <v>99</v>
      </c>
      <c r="B12" s="8" t="s">
        <v>111</v>
      </c>
      <c r="C12" s="8" t="s">
        <v>50</v>
      </c>
      <c r="D12" s="8" t="s">
        <v>21</v>
      </c>
      <c r="E12" s="8" t="s">
        <v>50</v>
      </c>
      <c r="F12" s="8" t="s">
        <v>118</v>
      </c>
      <c r="G12" s="21" t="s">
        <v>125</v>
      </c>
      <c r="H12" s="72"/>
      <c r="I12" s="72"/>
    </row>
    <row r="13" spans="1:9" x14ac:dyDescent="0.25">
      <c r="A13" s="58" t="s">
        <v>100</v>
      </c>
      <c r="B13" s="8" t="s">
        <v>109</v>
      </c>
      <c r="C13" s="8" t="s">
        <v>50</v>
      </c>
      <c r="D13" s="8" t="s">
        <v>23</v>
      </c>
      <c r="E13" s="8" t="s">
        <v>50</v>
      </c>
      <c r="F13" s="8" t="s">
        <v>116</v>
      </c>
      <c r="G13" s="21" t="s">
        <v>122</v>
      </c>
      <c r="H13" s="72" t="s">
        <v>116</v>
      </c>
      <c r="I13" s="72" t="s">
        <v>122</v>
      </c>
    </row>
    <row r="14" spans="1:9" x14ac:dyDescent="0.25">
      <c r="A14" s="60" t="s">
        <v>101</v>
      </c>
      <c r="B14" s="34" t="s">
        <v>111</v>
      </c>
      <c r="C14" s="34" t="s">
        <v>22</v>
      </c>
      <c r="D14" s="34" t="s">
        <v>22</v>
      </c>
      <c r="E14" s="34" t="s">
        <v>23</v>
      </c>
      <c r="F14" s="34" t="s">
        <v>118</v>
      </c>
      <c r="G14" s="33" t="s">
        <v>125</v>
      </c>
      <c r="H14" s="72"/>
      <c r="I14" s="72"/>
    </row>
    <row r="15" spans="1:9" x14ac:dyDescent="0.25">
      <c r="A15" s="60"/>
      <c r="B15" s="61">
        <v>0</v>
      </c>
      <c r="C15" s="61"/>
      <c r="D15" s="61"/>
      <c r="E15" s="61"/>
      <c r="F15" s="61"/>
      <c r="G15" s="62"/>
      <c r="H15" s="61"/>
      <c r="I15" s="3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21"/>
  <sheetViews>
    <sheetView workbookViewId="0">
      <selection activeCell="G11" sqref="G11"/>
    </sheetView>
  </sheetViews>
  <sheetFormatPr defaultRowHeight="15" x14ac:dyDescent="0.25"/>
  <cols>
    <col min="2" max="2" width="10.42578125" customWidth="1"/>
    <col min="15" max="15" width="10.42578125" customWidth="1"/>
  </cols>
  <sheetData>
    <row r="1" spans="1:10" x14ac:dyDescent="0.25">
      <c r="A1" t="s">
        <v>15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</row>
    <row r="2" spans="1:10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3</v>
      </c>
      <c r="B4">
        <v>4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4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5</v>
      </c>
      <c r="B6">
        <v>4</v>
      </c>
      <c r="C6">
        <v>3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6</v>
      </c>
      <c r="B7">
        <v>4</v>
      </c>
      <c r="C7">
        <v>3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7</v>
      </c>
      <c r="B8">
        <v>4</v>
      </c>
      <c r="C8">
        <v>3</v>
      </c>
      <c r="D8">
        <v>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8</v>
      </c>
      <c r="B9">
        <v>4</v>
      </c>
      <c r="C9">
        <v>3</v>
      </c>
      <c r="D9">
        <v>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4</v>
      </c>
      <c r="C10">
        <v>3</v>
      </c>
      <c r="D10">
        <v>3</v>
      </c>
      <c r="E10">
        <v>3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10</v>
      </c>
      <c r="B11">
        <v>4</v>
      </c>
      <c r="C11">
        <v>3</v>
      </c>
      <c r="D11">
        <v>3</v>
      </c>
      <c r="E11">
        <v>3</v>
      </c>
      <c r="F11">
        <v>2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>
        <v>4</v>
      </c>
      <c r="C12">
        <v>3</v>
      </c>
      <c r="D12">
        <v>3</v>
      </c>
      <c r="E12">
        <v>3</v>
      </c>
      <c r="F12">
        <v>2</v>
      </c>
      <c r="G12">
        <v>1</v>
      </c>
      <c r="H12">
        <v>0</v>
      </c>
      <c r="I12">
        <v>0</v>
      </c>
      <c r="J12">
        <v>0</v>
      </c>
    </row>
    <row r="13" spans="1:10" x14ac:dyDescent="0.25">
      <c r="A13">
        <v>12</v>
      </c>
      <c r="B13">
        <v>4</v>
      </c>
      <c r="C13">
        <v>3</v>
      </c>
      <c r="D13">
        <v>3</v>
      </c>
      <c r="E13">
        <v>3</v>
      </c>
      <c r="F13">
        <v>2</v>
      </c>
      <c r="G13">
        <v>1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>
        <v>4</v>
      </c>
      <c r="C14">
        <v>3</v>
      </c>
      <c r="D14">
        <v>3</v>
      </c>
      <c r="E14">
        <v>3</v>
      </c>
      <c r="F14">
        <v>2</v>
      </c>
      <c r="G14">
        <v>1</v>
      </c>
      <c r="H14">
        <v>1</v>
      </c>
      <c r="I14">
        <v>0</v>
      </c>
      <c r="J14">
        <v>0</v>
      </c>
    </row>
    <row r="15" spans="1:10" x14ac:dyDescent="0.25">
      <c r="A15">
        <v>14</v>
      </c>
      <c r="B15">
        <v>4</v>
      </c>
      <c r="C15">
        <v>3</v>
      </c>
      <c r="D15">
        <v>3</v>
      </c>
      <c r="E15">
        <v>3</v>
      </c>
      <c r="F15">
        <v>2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15</v>
      </c>
      <c r="B16">
        <v>4</v>
      </c>
      <c r="C16">
        <v>3</v>
      </c>
      <c r="D16">
        <v>3</v>
      </c>
      <c r="E16">
        <v>3</v>
      </c>
      <c r="F16">
        <v>2</v>
      </c>
      <c r="G16">
        <v>1</v>
      </c>
      <c r="H16">
        <v>1</v>
      </c>
      <c r="I16">
        <v>1</v>
      </c>
      <c r="J16">
        <v>0</v>
      </c>
    </row>
    <row r="17" spans="1:10" x14ac:dyDescent="0.25">
      <c r="A17">
        <v>16</v>
      </c>
      <c r="B17">
        <v>4</v>
      </c>
      <c r="C17">
        <v>3</v>
      </c>
      <c r="D17">
        <v>3</v>
      </c>
      <c r="E17">
        <v>3</v>
      </c>
      <c r="F17">
        <v>2</v>
      </c>
      <c r="G17">
        <v>1</v>
      </c>
      <c r="H17">
        <v>1</v>
      </c>
      <c r="I17">
        <v>1</v>
      </c>
      <c r="J17">
        <v>0</v>
      </c>
    </row>
    <row r="18" spans="1:10" x14ac:dyDescent="0.25">
      <c r="A18">
        <v>17</v>
      </c>
      <c r="B18">
        <v>4</v>
      </c>
      <c r="C18">
        <v>3</v>
      </c>
      <c r="D18">
        <v>3</v>
      </c>
      <c r="E18">
        <v>3</v>
      </c>
      <c r="F18">
        <v>2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>
        <v>18</v>
      </c>
      <c r="B19">
        <v>4</v>
      </c>
      <c r="C19">
        <v>3</v>
      </c>
      <c r="D19">
        <v>3</v>
      </c>
      <c r="E19">
        <v>3</v>
      </c>
      <c r="F19">
        <v>3</v>
      </c>
      <c r="G19">
        <v>1</v>
      </c>
      <c r="H19">
        <v>1</v>
      </c>
      <c r="I19">
        <v>1</v>
      </c>
      <c r="J19">
        <v>1</v>
      </c>
    </row>
    <row r="20" spans="1:10" x14ac:dyDescent="0.25">
      <c r="A20">
        <v>19</v>
      </c>
      <c r="B20">
        <v>4</v>
      </c>
      <c r="C20">
        <v>3</v>
      </c>
      <c r="D20">
        <v>3</v>
      </c>
      <c r="E20">
        <v>3</v>
      </c>
      <c r="F20">
        <v>3</v>
      </c>
      <c r="G20">
        <v>2</v>
      </c>
      <c r="H20">
        <v>1</v>
      </c>
      <c r="I20">
        <v>1</v>
      </c>
      <c r="J20">
        <v>1</v>
      </c>
    </row>
    <row r="21" spans="1:10" x14ac:dyDescent="0.25">
      <c r="A21">
        <v>20</v>
      </c>
      <c r="B21">
        <v>4</v>
      </c>
      <c r="C21">
        <v>3</v>
      </c>
      <c r="D21">
        <v>3</v>
      </c>
      <c r="E21">
        <v>3</v>
      </c>
      <c r="F21">
        <v>3</v>
      </c>
      <c r="G21">
        <v>2</v>
      </c>
      <c r="H21">
        <v>2</v>
      </c>
      <c r="I21">
        <v>1</v>
      </c>
      <c r="J2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Character</vt:lpstr>
      <vt:lpstr>Spells_Abilities</vt:lpstr>
      <vt:lpstr>General_Data</vt:lpstr>
      <vt:lpstr>Class_Info</vt:lpstr>
      <vt:lpstr>Spell_Data</vt:lpstr>
      <vt:lpstr>AllArmorProf</vt:lpstr>
      <vt:lpstr>AllWeaponProf</vt:lpstr>
      <vt:lpstr>ArmorAC</vt:lpstr>
      <vt:lpstr>ArmorName</vt:lpstr>
      <vt:lpstr>AvailableArmor</vt:lpstr>
      <vt:lpstr>CharLevel</vt:lpstr>
      <vt:lpstr>Classes</vt:lpstr>
      <vt:lpstr>CurExp</vt:lpstr>
      <vt:lpstr>HaveShield</vt:lpstr>
      <vt:lpstr>MeleeWeapons</vt:lpstr>
      <vt:lpstr>ModCha</vt:lpstr>
      <vt:lpstr>ModCon</vt:lpstr>
      <vt:lpstr>ModDex</vt:lpstr>
      <vt:lpstr>ModInt</vt:lpstr>
      <vt:lpstr>ModStr</vt:lpstr>
      <vt:lpstr>ModWis</vt:lpstr>
      <vt:lpstr>NextExp</vt:lpstr>
      <vt:lpstr>Proficiency</vt:lpstr>
      <vt:lpstr>RaceInput</vt:lpstr>
      <vt:lpstr>Races</vt:lpstr>
      <vt:lpstr>RacialTraits</vt:lpstr>
      <vt:lpstr>RangedWeapons</vt:lpstr>
      <vt:lpstr>ScoreCha</vt:lpstr>
      <vt:lpstr>ScoreCon</vt:lpstr>
      <vt:lpstr>ScoreDex</vt:lpstr>
      <vt:lpstr>ScoreInt</vt:lpstr>
      <vt:lpstr>ScoreStr</vt:lpstr>
      <vt:lpstr>ScoreWis</vt:lpstr>
      <vt:lpstr>ShieldAC</vt:lpstr>
      <vt:lpstr>ShieldName</vt:lpstr>
      <vt:lpstr>UsedHealDice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2017-11-18T05:24:35Z</dcterms:modified>
</cp:coreProperties>
</file>