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2158A0B-5C09-42BB-95BB-DBD2A250F088}" xr6:coauthVersionLast="43" xr6:coauthVersionMax="43" xr10:uidLastSave="{00000000-0000-0000-0000-000000000000}"/>
  <bookViews>
    <workbookView xWindow="-23148" yWindow="-108" windowWidth="23256" windowHeight="12576" activeTab="5" xr2:uid="{00000000-000D-0000-FFFF-FFFF00000000}"/>
  </bookViews>
  <sheets>
    <sheet name="Issue list" sheetId="2" r:id="rId1"/>
    <sheet name="Leakage" sheetId="5" r:id="rId2"/>
    <sheet name="ADC" sheetId="3" r:id="rId3"/>
    <sheet name="Pout" sheetId="6" r:id="rId4"/>
    <sheet name="DAC" sheetId="4" r:id="rId5"/>
    <sheet name="사용시간" sheetId="7" r:id="rId6"/>
    <sheet name="사용시간 (2)" sheetId="9" r:id="rId7"/>
  </sheets>
  <definedNames>
    <definedName name="_xlnm.Print_Area" localSheetId="2">ADC!$A$1:$N$21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7" l="1"/>
  <c r="K7" i="7" s="1"/>
  <c r="J11" i="7"/>
  <c r="K11" i="7" s="1"/>
  <c r="J10" i="7"/>
  <c r="K10" i="7" s="1"/>
  <c r="J9" i="7"/>
  <c r="K9" i="7" s="1"/>
  <c r="J8" i="7"/>
  <c r="K8" i="7" s="1"/>
  <c r="F11" i="7"/>
  <c r="G11" i="7" s="1"/>
  <c r="F10" i="7"/>
  <c r="G10" i="7" s="1"/>
  <c r="F9" i="7"/>
  <c r="G9" i="7" s="1"/>
  <c r="F8" i="7"/>
  <c r="G8" i="7" s="1"/>
  <c r="F7" i="7"/>
  <c r="G7" i="7" s="1"/>
  <c r="L7" i="7" l="1"/>
  <c r="M7" i="7" s="1"/>
  <c r="N7" i="7" s="1"/>
  <c r="L9" i="7"/>
  <c r="M9" i="7" s="1"/>
  <c r="N9" i="7" s="1"/>
  <c r="L10" i="7"/>
  <c r="M10" i="7" s="1"/>
  <c r="N10" i="7" s="1"/>
  <c r="L11" i="7"/>
  <c r="M11" i="7" s="1"/>
  <c r="L8" i="7"/>
  <c r="M8" i="7" s="1"/>
  <c r="N11" i="7"/>
  <c r="N8" i="7"/>
  <c r="Q8" i="9"/>
  <c r="P8" i="9"/>
  <c r="P11" i="9" l="1"/>
  <c r="O11" i="9"/>
  <c r="L21" i="9"/>
  <c r="K21" i="9"/>
  <c r="L20" i="9"/>
  <c r="K20" i="9"/>
  <c r="L19" i="9"/>
  <c r="K19" i="9"/>
  <c r="L18" i="9"/>
  <c r="K18" i="9"/>
  <c r="L17" i="9"/>
  <c r="K17" i="9"/>
  <c r="F21" i="9"/>
  <c r="F20" i="9"/>
  <c r="F19" i="9"/>
  <c r="F18" i="9"/>
  <c r="F17" i="9"/>
  <c r="E21" i="9"/>
  <c r="E20" i="9"/>
  <c r="E19" i="9"/>
  <c r="E18" i="9"/>
  <c r="E17" i="9"/>
  <c r="M20" i="9"/>
  <c r="M10" i="9"/>
  <c r="M9" i="9"/>
  <c r="L10" i="9"/>
  <c r="K10" i="9"/>
  <c r="L9" i="9"/>
  <c r="K9" i="9"/>
  <c r="L8" i="9"/>
  <c r="K8" i="9"/>
  <c r="L7" i="9"/>
  <c r="K7" i="9"/>
  <c r="L6" i="9"/>
  <c r="K6" i="9"/>
  <c r="F10" i="9"/>
  <c r="E10" i="9"/>
  <c r="F9" i="9"/>
  <c r="E9" i="9"/>
  <c r="F8" i="9"/>
  <c r="E8" i="9"/>
  <c r="F7" i="9"/>
  <c r="E7" i="9"/>
  <c r="F6" i="9"/>
  <c r="E6" i="9"/>
  <c r="G18" i="7"/>
  <c r="G19" i="7"/>
  <c r="G20" i="7"/>
  <c r="G21" i="7"/>
  <c r="G22" i="7"/>
  <c r="R22" i="7"/>
  <c r="T22" i="7" s="1"/>
  <c r="V22" i="7" s="1"/>
  <c r="R21" i="7"/>
  <c r="T21" i="7" s="1"/>
  <c r="V21" i="7" s="1"/>
  <c r="R20" i="7"/>
  <c r="T20" i="7" s="1"/>
  <c r="R19" i="7"/>
  <c r="T19" i="7" s="1"/>
  <c r="V19" i="7" s="1"/>
  <c r="R18" i="7"/>
  <c r="T18" i="7" s="1"/>
  <c r="Q22" i="7"/>
  <c r="S22" i="7" s="1"/>
  <c r="Q21" i="7"/>
  <c r="S21" i="7" s="1"/>
  <c r="U21" i="7" s="1"/>
  <c r="Q20" i="7"/>
  <c r="Q19" i="7"/>
  <c r="S19" i="7" s="1"/>
  <c r="Q18" i="7"/>
  <c r="S18" i="7" s="1"/>
  <c r="U18" i="7" s="1"/>
  <c r="S20" i="7"/>
  <c r="U20" i="7" s="1"/>
  <c r="R11" i="7"/>
  <c r="Q11" i="7"/>
  <c r="S11" i="7" s="1"/>
  <c r="R10" i="7"/>
  <c r="T10" i="7" s="1"/>
  <c r="Q10" i="7"/>
  <c r="S10" i="7" s="1"/>
  <c r="R9" i="7"/>
  <c r="Q9" i="7"/>
  <c r="S9" i="7" s="1"/>
  <c r="R8" i="7"/>
  <c r="Q8" i="7"/>
  <c r="S8" i="7" s="1"/>
  <c r="R7" i="7"/>
  <c r="T11" i="7"/>
  <c r="U22" i="7" l="1"/>
  <c r="V20" i="7"/>
  <c r="V18" i="7"/>
  <c r="U19" i="7"/>
  <c r="U9" i="7"/>
  <c r="M21" i="9"/>
  <c r="U10" i="7"/>
  <c r="V10" i="7"/>
  <c r="V11" i="7"/>
  <c r="U11" i="7"/>
  <c r="U8" i="7"/>
  <c r="T7" i="7"/>
  <c r="V7" i="7" s="1"/>
  <c r="T8" i="7"/>
  <c r="V8" i="7" s="1"/>
  <c r="T9" i="7"/>
  <c r="V9" i="7" s="1"/>
  <c r="Q7" i="7"/>
  <c r="S7" i="7" s="1"/>
  <c r="U7" i="7" s="1"/>
  <c r="U11" i="3"/>
  <c r="U10" i="3"/>
  <c r="U9" i="3"/>
  <c r="U8" i="3"/>
  <c r="U7" i="3"/>
  <c r="U6" i="3"/>
  <c r="S11" i="3"/>
  <c r="S10" i="3"/>
  <c r="S9" i="3"/>
  <c r="S8" i="3"/>
  <c r="S7" i="3"/>
  <c r="I17" i="3" l="1"/>
  <c r="J17" i="3" s="1"/>
  <c r="K17" i="3" s="1"/>
  <c r="L17" i="3" s="1"/>
  <c r="I16" i="3"/>
  <c r="J16" i="3" s="1"/>
  <c r="K16" i="3" s="1"/>
  <c r="L16" i="3" s="1"/>
  <c r="I15" i="3"/>
  <c r="J15" i="3" s="1"/>
  <c r="K15" i="3" s="1"/>
  <c r="L15" i="3" s="1"/>
  <c r="I14" i="3"/>
  <c r="J14" i="3" s="1"/>
  <c r="K14" i="3" s="1"/>
  <c r="L14" i="3" s="1"/>
  <c r="I13" i="3"/>
  <c r="J13" i="3" s="1"/>
  <c r="K13" i="3" s="1"/>
  <c r="L13" i="3" s="1"/>
  <c r="I12" i="3"/>
  <c r="J12" i="3" s="1"/>
  <c r="K12" i="3" s="1"/>
  <c r="L12" i="3" s="1"/>
  <c r="I11" i="3"/>
  <c r="J11" i="3" s="1"/>
  <c r="K11" i="3" s="1"/>
  <c r="L11" i="3" s="1"/>
  <c r="I10" i="3"/>
  <c r="J10" i="3" s="1"/>
  <c r="K10" i="3" s="1"/>
  <c r="L10" i="3" s="1"/>
  <c r="I9" i="3"/>
  <c r="J9" i="3" s="1"/>
  <c r="K9" i="3" s="1"/>
  <c r="L9" i="3" s="1"/>
  <c r="I8" i="3"/>
  <c r="J8" i="3" s="1"/>
  <c r="K8" i="3" s="1"/>
  <c r="L8" i="3" s="1"/>
  <c r="I7" i="3"/>
  <c r="J7" i="3" s="1"/>
  <c r="K7" i="3" s="1"/>
  <c r="L7" i="3" s="1"/>
  <c r="I6" i="3"/>
  <c r="J6" i="3" s="1"/>
  <c r="K6" i="3" s="1"/>
  <c r="L6" i="3" s="1"/>
  <c r="G16" i="3"/>
  <c r="G15" i="3"/>
  <c r="G14" i="3"/>
  <c r="G13" i="3"/>
  <c r="G12" i="3"/>
  <c r="G11" i="3"/>
  <c r="G10" i="3"/>
  <c r="G9" i="3"/>
  <c r="G8" i="3"/>
  <c r="G7" i="3"/>
  <c r="G6" i="3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M13" i="3" l="1"/>
  <c r="M11" i="3"/>
  <c r="M6" i="3"/>
  <c r="M7" i="3"/>
  <c r="M15" i="3"/>
  <c r="M8" i="3"/>
  <c r="M12" i="3"/>
  <c r="M14" i="3"/>
  <c r="M16" i="3"/>
  <c r="M17" i="3"/>
  <c r="M10" i="3"/>
  <c r="M9" i="3"/>
  <c r="O64" i="5" l="1"/>
  <c r="O65" i="5"/>
  <c r="R12" i="6" l="1"/>
  <c r="R11" i="6"/>
  <c r="R10" i="6"/>
  <c r="R9" i="6"/>
  <c r="R8" i="6"/>
  <c r="M8" i="6"/>
  <c r="M9" i="6"/>
  <c r="M10" i="6"/>
  <c r="M11" i="6"/>
  <c r="M12" i="6"/>
  <c r="F24" i="6" l="1"/>
  <c r="F23" i="6"/>
  <c r="F22" i="6"/>
  <c r="F21" i="6"/>
  <c r="F20" i="6"/>
  <c r="J12" i="6"/>
  <c r="J11" i="6"/>
  <c r="J10" i="6"/>
  <c r="J9" i="6"/>
  <c r="J8" i="6"/>
  <c r="F11" i="6"/>
  <c r="F12" i="6"/>
  <c r="I12" i="6"/>
  <c r="I11" i="6"/>
  <c r="F8" i="6"/>
  <c r="F9" i="6"/>
  <c r="F10" i="6"/>
  <c r="I10" i="6"/>
  <c r="G72" i="5"/>
  <c r="E72" i="5"/>
  <c r="N69" i="5"/>
  <c r="N65" i="5"/>
  <c r="N64" i="5"/>
  <c r="D18" i="4" l="1"/>
  <c r="D16" i="4"/>
  <c r="D15" i="4"/>
  <c r="D14" i="4"/>
  <c r="D13" i="4"/>
  <c r="D9" i="4"/>
  <c r="D8" i="4"/>
  <c r="D7" i="4"/>
  <c r="D6" i="4"/>
  <c r="D5" i="4"/>
  <c r="D3" i="4"/>
  <c r="D20" i="4" s="1"/>
  <c r="D17" i="4" l="1"/>
  <c r="D10" i="4"/>
  <c r="D11" i="4"/>
  <c r="D19" i="4"/>
  <c r="D12" i="4"/>
</calcChain>
</file>

<file path=xl/sharedStrings.xml><?xml version="1.0" encoding="utf-8"?>
<sst xmlns="http://schemas.openxmlformats.org/spreadsheetml/2006/main" count="312" uniqueCount="120">
  <si>
    <t>V</t>
    <phoneticPr fontId="1" type="noConversion"/>
  </si>
  <si>
    <t>DAC</t>
    <phoneticPr fontId="1" type="noConversion"/>
  </si>
  <si>
    <t>R53</t>
    <phoneticPr fontId="1" type="noConversion"/>
  </si>
  <si>
    <t>R51</t>
    <phoneticPr fontId="1" type="noConversion"/>
  </si>
  <si>
    <t>GAIN</t>
    <phoneticPr fontId="1" type="noConversion"/>
  </si>
  <si>
    <t>Cal</t>
    <phoneticPr fontId="1" type="noConversion"/>
  </si>
  <si>
    <t>meas</t>
    <phoneticPr fontId="1" type="noConversion"/>
  </si>
  <si>
    <t>Vbat</t>
    <phoneticPr fontId="1" type="noConversion"/>
  </si>
  <si>
    <t>Origin</t>
    <phoneticPr fontId="1" type="noConversion"/>
  </si>
  <si>
    <t>R7</t>
    <phoneticPr fontId="1" type="noConversion"/>
  </si>
  <si>
    <t>R8</t>
    <phoneticPr fontId="1" type="noConversion"/>
  </si>
  <si>
    <t>R_PD</t>
    <phoneticPr fontId="1" type="noConversion"/>
  </si>
  <si>
    <t>VBAT_AD</t>
    <phoneticPr fontId="1" type="noConversion"/>
  </si>
  <si>
    <t>I_Leakage</t>
    <phoneticPr fontId="1" type="noConversion"/>
  </si>
  <si>
    <t>uA</t>
    <phoneticPr fontId="1" type="noConversion"/>
  </si>
  <si>
    <t>KΩ</t>
    <phoneticPr fontId="1" type="noConversion"/>
  </si>
  <si>
    <t>Measurement Data</t>
    <phoneticPr fontId="1" type="noConversion"/>
  </si>
  <si>
    <t>Q1</t>
    <phoneticPr fontId="1" type="noConversion"/>
  </si>
  <si>
    <t>NC</t>
    <phoneticPr fontId="1" type="noConversion"/>
  </si>
  <si>
    <t>Q17</t>
    <phoneticPr fontId="1" type="noConversion"/>
  </si>
  <si>
    <t>OK</t>
    <phoneticPr fontId="1" type="noConversion"/>
  </si>
  <si>
    <t>cal</t>
    <phoneticPr fontId="1" type="noConversion"/>
  </si>
  <si>
    <t>off</t>
    <phoneticPr fontId="1" type="noConversion"/>
  </si>
  <si>
    <t>On</t>
    <phoneticPr fontId="1" type="noConversion"/>
  </si>
  <si>
    <t>#01</t>
    <phoneticPr fontId="1" type="noConversion"/>
  </si>
  <si>
    <t>New</t>
    <phoneticPr fontId="1" type="noConversion"/>
  </si>
  <si>
    <t>Level 1</t>
    <phoneticPr fontId="1" type="noConversion"/>
  </si>
  <si>
    <t>Level 2</t>
    <phoneticPr fontId="1" type="noConversion"/>
  </si>
  <si>
    <t>Level 3</t>
  </si>
  <si>
    <t>Level 4</t>
  </si>
  <si>
    <t>Level 5</t>
  </si>
  <si>
    <t>Pout</t>
    <phoneticPr fontId="1" type="noConversion"/>
  </si>
  <si>
    <t>V+</t>
    <phoneticPr fontId="1" type="noConversion"/>
  </si>
  <si>
    <t>V-</t>
    <phoneticPr fontId="1" type="noConversion"/>
  </si>
  <si>
    <t>Vpp</t>
    <phoneticPr fontId="1" type="noConversion"/>
  </si>
  <si>
    <t>Min</t>
    <phoneticPr fontId="1" type="noConversion"/>
  </si>
  <si>
    <t>Max</t>
    <phoneticPr fontId="1" type="noConversion"/>
  </si>
  <si>
    <t>V-ROLL 1</t>
    <phoneticPr fontId="1" type="noConversion"/>
  </si>
  <si>
    <t>Vcc = 4.2V</t>
    <phoneticPr fontId="1" type="noConversion"/>
  </si>
  <si>
    <t>무부하 w/o 전극</t>
    <phoneticPr fontId="1" type="noConversion"/>
  </si>
  <si>
    <t>#03</t>
    <phoneticPr fontId="1" type="noConversion"/>
  </si>
  <si>
    <t>V-ROLL 2 Pout measurement Dat</t>
    <phoneticPr fontId="1" type="noConversion"/>
  </si>
  <si>
    <t>V-ROLL 1 Pout measurement Data</t>
    <phoneticPr fontId="1" type="noConversion"/>
  </si>
  <si>
    <t>DAC_out</t>
    <phoneticPr fontId="1" type="noConversion"/>
  </si>
  <si>
    <t>Battery leakage current review data</t>
    <phoneticPr fontId="1" type="noConversion"/>
  </si>
  <si>
    <t>Power Off 상태에서 Battery leakage current 검토</t>
    <phoneticPr fontId="1" type="noConversion"/>
  </si>
  <si>
    <t>Battery ADC</t>
    <phoneticPr fontId="1" type="noConversion"/>
  </si>
  <si>
    <t>STEP</t>
    <phoneticPr fontId="4" type="noConversion"/>
  </si>
  <si>
    <t>Voltage</t>
    <phoneticPr fontId="4" type="noConversion"/>
  </si>
  <si>
    <t>5 Full</t>
    <phoneticPr fontId="4" type="noConversion"/>
  </si>
  <si>
    <t>1 Low</t>
    <phoneticPr fontId="4" type="noConversion"/>
  </si>
  <si>
    <t>Empty (자동 off)</t>
    <phoneticPr fontId="4" type="noConversion"/>
  </si>
  <si>
    <t>measure</t>
    <phoneticPr fontId="1" type="noConversion"/>
  </si>
  <si>
    <t>Icc[mA]</t>
    <phoneticPr fontId="1" type="noConversion"/>
  </si>
  <si>
    <t>Low</t>
    <phoneticPr fontId="1" type="noConversion"/>
  </si>
  <si>
    <t>OFF</t>
    <phoneticPr fontId="1" type="noConversion"/>
  </si>
  <si>
    <t>Low Battery</t>
    <phoneticPr fontId="1" type="noConversion"/>
  </si>
  <si>
    <t>2번 경고음 + LED Level 1 5회 점등</t>
    <phoneticPr fontId="1" type="noConversion"/>
  </si>
  <si>
    <t>LED</t>
    <phoneticPr fontId="1" type="noConversion"/>
  </si>
  <si>
    <t>5ea</t>
    <phoneticPr fontId="1" type="noConversion"/>
  </si>
  <si>
    <t>4ea</t>
    <phoneticPr fontId="1" type="noConversion"/>
  </si>
  <si>
    <t>3ea</t>
    <phoneticPr fontId="1" type="noConversion"/>
  </si>
  <si>
    <t>2ea</t>
    <phoneticPr fontId="1" type="noConversion"/>
  </si>
  <si>
    <t>1ea</t>
    <phoneticPr fontId="1" type="noConversion"/>
  </si>
  <si>
    <t>충전중 ADC에서 100를 빼준다.</t>
    <phoneticPr fontId="1" type="noConversion"/>
  </si>
  <si>
    <t>ADC</t>
    <phoneticPr fontId="1" type="noConversion"/>
  </si>
  <si>
    <t>SET</t>
    <phoneticPr fontId="1" type="noConversion"/>
  </si>
  <si>
    <t>#02</t>
    <phoneticPr fontId="1" type="noConversion"/>
  </si>
  <si>
    <t>PCB</t>
    <phoneticPr fontId="1" type="noConversion"/>
  </si>
  <si>
    <t>MAIN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</si>
  <si>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</si>
  <si>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</si>
  <si>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</si>
  <si>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Off 상태에서 battery leakage가 11.3mA가 흐른다.</t>
    <phoneticPr fontId="1" type="noConversion"/>
  </si>
  <si>
    <t>Debugging history</t>
    <phoneticPr fontId="1" type="noConversion"/>
  </si>
  <si>
    <t>CPU ADC(VBAT_AD) Path에서 대부분의 leakage 발생</t>
    <phoneticPr fontId="1" type="noConversion"/>
  </si>
  <si>
    <t>1) V1.0 Origin Status</t>
    <phoneticPr fontId="1" type="noConversion"/>
  </si>
  <si>
    <t>2) Q18(FET) 회로 추가</t>
    <phoneticPr fontId="1" type="noConversion"/>
  </si>
  <si>
    <t>#01</t>
    <phoneticPr fontId="1" type="noConversion"/>
  </si>
  <si>
    <t>I_Leakage[uA]</t>
    <phoneticPr fontId="1" type="noConversion"/>
  </si>
  <si>
    <t>#03</t>
    <phoneticPr fontId="1" type="noConversion"/>
  </si>
  <si>
    <t>PWR_SW에 2.136V가 뜬다. Open으로 Vbat이 떠야함</t>
    <phoneticPr fontId="1" type="noConversion"/>
  </si>
  <si>
    <t>Date</t>
    <phoneticPr fontId="1" type="noConversion"/>
  </si>
  <si>
    <t>FET(Q1:IRLML6401) 교체 X</t>
    <phoneticPr fontId="1" type="noConversion"/>
  </si>
  <si>
    <t>D4(KDS184) 교체 X</t>
    <phoneticPr fontId="1" type="noConversion"/>
  </si>
  <si>
    <t>Solution</t>
    <phoneticPr fontId="1" type="noConversion"/>
  </si>
  <si>
    <t>CN1 re-touch : PWR_SW와 +4.3V Pin간 약하게 short됨</t>
    <phoneticPr fontId="1" type="noConversion"/>
  </si>
  <si>
    <t>CN1 교체</t>
    <phoneticPr fontId="1" type="noConversion"/>
  </si>
  <si>
    <t>Calcul</t>
  </si>
  <si>
    <t>충전중</t>
    <phoneticPr fontId="1" type="noConversion"/>
  </si>
  <si>
    <t>Delta</t>
    <phoneticPr fontId="1" type="noConversion"/>
  </si>
  <si>
    <t>F/W 설정</t>
    <phoneticPr fontId="1" type="noConversion"/>
  </si>
  <si>
    <t>충전중일때는 ADC-100을 해준다.</t>
    <phoneticPr fontId="1" type="noConversion"/>
  </si>
  <si>
    <t>F/W 설정치 - 실제 동작과 맞지 않음 : 계산 miss로 보임</t>
    <phoneticPr fontId="1" type="noConversion"/>
  </si>
  <si>
    <t>Battery</t>
    <phoneticPr fontId="1" type="noConversion"/>
  </si>
  <si>
    <t>mAh</t>
    <phoneticPr fontId="1" type="noConversion"/>
  </si>
  <si>
    <t>Current</t>
    <phoneticPr fontId="1" type="noConversion"/>
  </si>
  <si>
    <t>MIN</t>
    <phoneticPr fontId="1" type="noConversion"/>
  </si>
  <si>
    <t>MAX</t>
    <phoneticPr fontId="1" type="noConversion"/>
  </si>
  <si>
    <t>사용시간[Hour]</t>
    <phoneticPr fontId="1" type="noConversion"/>
  </si>
  <si>
    <t>mA/1ea</t>
    <phoneticPr fontId="1" type="noConversion"/>
  </si>
  <si>
    <t>편차[Hour]</t>
    <phoneticPr fontId="1" type="noConversion"/>
  </si>
  <si>
    <t>V-ROLL</t>
    <phoneticPr fontId="1" type="noConversion"/>
  </si>
  <si>
    <t>S-ROLL</t>
    <phoneticPr fontId="1" type="noConversion"/>
  </si>
  <si>
    <t>작업표준서 기준</t>
    <phoneticPr fontId="1" type="noConversion"/>
  </si>
  <si>
    <r>
      <t>LED : 150</t>
    </r>
    <r>
      <rPr>
        <b/>
        <sz val="11"/>
        <color theme="1"/>
        <rFont val="맑은 고딕"/>
        <family val="3"/>
        <charset val="129"/>
      </rPr>
      <t>Ω</t>
    </r>
    <phoneticPr fontId="1" type="noConversion"/>
  </si>
  <si>
    <t>Vf</t>
    <phoneticPr fontId="1" type="noConversion"/>
  </si>
  <si>
    <t>R</t>
    <phoneticPr fontId="1" type="noConversion"/>
  </si>
  <si>
    <t>I</t>
    <phoneticPr fontId="1" type="noConversion"/>
  </si>
  <si>
    <t>mA</t>
    <phoneticPr fontId="1" type="noConversion"/>
  </si>
  <si>
    <t>V</t>
    <phoneticPr fontId="1" type="noConversion"/>
  </si>
  <si>
    <t>LED Current</t>
    <phoneticPr fontId="1" type="noConversion"/>
  </si>
  <si>
    <t>Vcc</t>
    <phoneticPr fontId="1" type="noConversion"/>
  </si>
  <si>
    <t>V-ROLL 소모전류</t>
    <phoneticPr fontId="1" type="noConversion"/>
  </si>
  <si>
    <t>작업표준서 기준</t>
    <phoneticPr fontId="1" type="noConversion"/>
  </si>
  <si>
    <t>실측</t>
    <phoneticPr fontId="1" type="noConversion"/>
  </si>
  <si>
    <t>편차[Min]</t>
    <phoneticPr fontId="1" type="noConversion"/>
  </si>
  <si>
    <t>AVE</t>
    <phoneticPr fontId="1" type="noConversion"/>
  </si>
  <si>
    <t>사용시간
[MIN]</t>
    <phoneticPr fontId="1" type="noConversion"/>
  </si>
  <si>
    <t>시간 편차
[MIN]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</si>
</sst>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 "/>
    <numFmt numFmtId="179" formatCode="0.000_ "/>
    <numFmt numFmtId="180" formatCode="0.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2" fontId="0" fillId="0" borderId="0" xfId="0" applyNumberFormat="1"/>
    <xf numFmtId="176" fontId="0" fillId="0" borderId="0" xfId="0" applyNumberFormat="1"/>
    <xf numFmtId="2" fontId="0" fillId="2" borderId="0" xfId="0" applyNumberFormat="1" applyFill="1"/>
    <xf numFmtId="177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1" xfId="0" applyNumberFormat="1" applyBorder="1"/>
    <xf numFmtId="0" fontId="3" fillId="3" borderId="1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7" fontId="0" fillId="0" borderId="1" xfId="0" applyNumberFormat="1" applyBorder="1"/>
    <xf numFmtId="2" fontId="0" fillId="0" borderId="2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76" fontId="0" fillId="0" borderId="11" xfId="0" applyNumberFormat="1" applyBorder="1"/>
    <xf numFmtId="176" fontId="0" fillId="0" borderId="1" xfId="0" applyNumberFormat="1" applyBorder="1"/>
    <xf numFmtId="176" fontId="0" fillId="0" borderId="8" xfId="0" applyNumberFormat="1" applyBorder="1"/>
    <xf numFmtId="176" fontId="3" fillId="0" borderId="11" xfId="0" applyNumberFormat="1" applyFont="1" applyBorder="1"/>
    <xf numFmtId="176" fontId="3" fillId="0" borderId="1" xfId="0" applyNumberFormat="1" applyFont="1" applyBorder="1"/>
    <xf numFmtId="176" fontId="3" fillId="0" borderId="8" xfId="0" applyNumberFormat="1" applyFont="1" applyBorder="1"/>
    <xf numFmtId="0" fontId="3" fillId="0" borderId="12" xfId="0" applyFont="1" applyBorder="1"/>
    <xf numFmtId="0" fontId="3" fillId="0" borderId="6" xfId="0" applyFont="1" applyBorder="1"/>
    <xf numFmtId="0" fontId="3" fillId="0" borderId="9" xfId="0" applyFont="1" applyBorder="1"/>
    <xf numFmtId="176" fontId="0" fillId="0" borderId="10" xfId="0" applyNumberFormat="1" applyBorder="1"/>
    <xf numFmtId="176" fontId="0" fillId="0" borderId="5" xfId="0" applyNumberFormat="1" applyBorder="1"/>
    <xf numFmtId="176" fontId="0" fillId="0" borderId="7" xfId="0" applyNumberFormat="1" applyBorder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/>
    <xf numFmtId="178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right"/>
    </xf>
    <xf numFmtId="0" fontId="0" fillId="0" borderId="2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77" fontId="0" fillId="0" borderId="3" xfId="0" applyNumberFormat="1" applyBorder="1" applyAlignment="1">
      <alignment horizontal="right"/>
    </xf>
    <xf numFmtId="0" fontId="0" fillId="0" borderId="3" xfId="0" applyBorder="1"/>
    <xf numFmtId="177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 applyAlignment="1">
      <alignment horizontal="right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right"/>
    </xf>
    <xf numFmtId="177" fontId="0" fillId="0" borderId="9" xfId="0" applyNumberFormat="1" applyBorder="1" applyAlignment="1">
      <alignment horizontal="right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Fill="1" applyBorder="1"/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0" fillId="0" borderId="2" xfId="0" applyNumberFormat="1" applyFill="1" applyBorder="1"/>
    <xf numFmtId="177" fontId="0" fillId="0" borderId="3" xfId="0" applyNumberFormat="1" applyBorder="1"/>
    <xf numFmtId="1" fontId="0" fillId="0" borderId="3" xfId="0" applyNumberFormat="1" applyBorder="1"/>
    <xf numFmtId="2" fontId="0" fillId="0" borderId="3" xfId="0" applyNumberFormat="1" applyFill="1" applyBorder="1"/>
    <xf numFmtId="176" fontId="0" fillId="0" borderId="5" xfId="0" applyNumberFormat="1" applyFill="1" applyBorder="1"/>
    <xf numFmtId="176" fontId="0" fillId="0" borderId="7" xfId="0" applyNumberFormat="1" applyFill="1" applyBorder="1"/>
    <xf numFmtId="177" fontId="0" fillId="0" borderId="8" xfId="0" applyNumberFormat="1" applyBorder="1"/>
    <xf numFmtId="1" fontId="0" fillId="0" borderId="8" xfId="0" applyNumberFormat="1" applyBorder="1"/>
    <xf numFmtId="0" fontId="0" fillId="0" borderId="8" xfId="0" applyBorder="1" applyAlignment="1">
      <alignment horizontal="right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178" fontId="0" fillId="0" borderId="2" xfId="0" applyNumberFormat="1" applyBorder="1"/>
    <xf numFmtId="1" fontId="0" fillId="0" borderId="4" xfId="0" applyNumberFormat="1" applyBorder="1"/>
    <xf numFmtId="178" fontId="0" fillId="0" borderId="5" xfId="0" applyNumberFormat="1" applyBorder="1"/>
    <xf numFmtId="1" fontId="0" fillId="0" borderId="6" xfId="0" applyNumberFormat="1" applyBorder="1"/>
    <xf numFmtId="178" fontId="0" fillId="0" borderId="7" xfId="0" applyNumberFormat="1" applyBorder="1"/>
    <xf numFmtId="1" fontId="0" fillId="0" borderId="9" xfId="0" applyNumberFormat="1" applyBorder="1"/>
    <xf numFmtId="0" fontId="3" fillId="0" borderId="2" xfId="0" applyFont="1" applyBorder="1"/>
    <xf numFmtId="0" fontId="3" fillId="0" borderId="7" xfId="0" applyFont="1" applyBorder="1"/>
    <xf numFmtId="179" fontId="0" fillId="0" borderId="0" xfId="0" applyNumberFormat="1"/>
    <xf numFmtId="0" fontId="0" fillId="0" borderId="3" xfId="0" applyBorder="1" applyAlignment="1">
      <alignment horizontal="center"/>
    </xf>
    <xf numFmtId="180" fontId="0" fillId="0" borderId="0" xfId="0" applyNumberFormat="1"/>
    <xf numFmtId="180" fontId="0" fillId="0" borderId="1" xfId="0" applyNumberFormat="1" applyBorder="1"/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180" fontId="0" fillId="0" borderId="3" xfId="0" applyNumberFormat="1" applyBorder="1"/>
    <xf numFmtId="180" fontId="0" fillId="0" borderId="4" xfId="0" applyNumberFormat="1" applyBorder="1"/>
    <xf numFmtId="180" fontId="0" fillId="0" borderId="6" xfId="0" applyNumberFormat="1" applyBorder="1"/>
    <xf numFmtId="180" fontId="0" fillId="0" borderId="8" xfId="0" applyNumberFormat="1" applyBorder="1"/>
    <xf numFmtId="180" fontId="0" fillId="0" borderId="9" xfId="0" applyNumberFormat="1" applyBorder="1"/>
    <xf numFmtId="176" fontId="3" fillId="0" borderId="0" xfId="0" applyNumberFormat="1" applyFont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1" fontId="0" fillId="0" borderId="22" xfId="0" applyNumberForma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23" xfId="0" applyNumberFormat="1" applyBorder="1"/>
    <xf numFmtId="1" fontId="0" fillId="0" borderId="11" xfId="0" applyNumberFormat="1" applyBorder="1"/>
    <xf numFmtId="0" fontId="0" fillId="0" borderId="1" xfId="0" applyBorder="1" applyAlignment="1">
      <alignment horizontal="center" wrapText="1"/>
    </xf>
    <xf numFmtId="1" fontId="0" fillId="0" borderId="2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3" fillId="0" borderId="2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37" xfId="0" applyNumberFormat="1" applyBorder="1"/>
    <xf numFmtId="0" fontId="0" fillId="0" borderId="5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213360</xdr:colOff>
      <xdr:row>2</xdr:row>
      <xdr:rowOff>137160</xdr:rowOff>
    </xdr:from>
    <xdr:to>
      <xdr:col>26</xdr:col>
      <xdr:colOff>190500</xdr:colOff>
      <xdr:row>20</xdr:row>
      <xdr:rowOff>137160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159A4C-90A5-4A7C-854E-F54412C5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4340" y="579120"/>
          <a:ext cx="6012180" cy="401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83820</xdr:colOff>
      <xdr:row>13</xdr:row>
      <xdr:rowOff>53340</xdr:rowOff>
    </xdr:from>
    <xdr:to>
      <xdr:col>16</xdr:col>
      <xdr:colOff>419100</xdr:colOff>
      <xdr:row>28</xdr:row>
      <xdr:rowOff>83820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9A05599-D92C-4C6B-A445-1846221E8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2720340"/>
          <a:ext cx="5029200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07FC-FD9D-4E75-8A60-0CB6D56725B1}">
  <dimension ref="B2:H18"/>
  <sheetViews>
    <sheetView workbookViewId="0">
      <selection activeCell="E22" sqref="E22"/>
    </sheetView>
  </sheetViews>
  <sheetFormatPr defaultRowHeight="17.399999999999999" x14ac:dyDescent="0.4"/>
  <cols>
    <col min="2" max="2" width="10.8984375" style="65" bestFit="1" customWidth="1"/>
    <col min="3" max="5" width="8.796875" style="65"/>
    <col min="6" max="6" width="44.5" bestFit="1" customWidth="1"/>
    <col min="7" max="7" width="33.3984375" bestFit="1" customWidth="1"/>
    <col min="8" max="8" width="48.8984375" bestFit="1" customWidth="1"/>
  </cols>
  <sheetData>
    <row r="2" spans="2:8" ht="18" thickBot="1" x14ac:dyDescent="0.45"/>
    <row r="3" spans="2:8" ht="18" thickBot="1" x14ac:dyDescent="0.45">
      <c r="B3" s="80" t="s">
        <v>82</v>
      </c>
      <c r="C3" s="81" t="s">
        <v>66</v>
      </c>
      <c r="D3" s="81" t="s">
        <v>68</v>
      </c>
      <c r="E3" s="81" t="s">
        <v>70</v>
      </c>
      <c r="F3" s="81" t="s">
        <v>72</v>
      </c>
      <c r="G3" s="81" t="s">
        <v>74</v>
      </c>
      <c r="H3" s="82" t="s">
        <v>85</v>
      </c>
    </row>
    <row r="4" spans="2:8" x14ac:dyDescent="0.4">
      <c r="B4" s="131">
        <v>43620</v>
      </c>
      <c r="C4" s="129" t="s">
        <v>67</v>
      </c>
      <c r="D4" s="129" t="s">
        <v>69</v>
      </c>
      <c r="E4" s="129" t="s">
        <v>71</v>
      </c>
      <c r="F4" s="73" t="s">
        <v>73</v>
      </c>
      <c r="G4" s="73" t="s">
        <v>83</v>
      </c>
      <c r="H4" s="83" t="s">
        <v>86</v>
      </c>
    </row>
    <row r="5" spans="2:8" x14ac:dyDescent="0.4">
      <c r="B5" s="132"/>
      <c r="C5" s="130"/>
      <c r="D5" s="130"/>
      <c r="E5" s="130"/>
      <c r="F5" s="6" t="s">
        <v>81</v>
      </c>
      <c r="G5" s="6" t="s">
        <v>84</v>
      </c>
      <c r="H5" s="10" t="s">
        <v>87</v>
      </c>
    </row>
    <row r="6" spans="2:8" x14ac:dyDescent="0.4">
      <c r="B6" s="75"/>
      <c r="C6" s="66"/>
      <c r="D6" s="66"/>
      <c r="E6" s="66"/>
      <c r="F6" s="6"/>
      <c r="G6" s="6"/>
      <c r="H6" s="10"/>
    </row>
    <row r="7" spans="2:8" x14ac:dyDescent="0.4">
      <c r="B7" s="75"/>
      <c r="C7" s="66"/>
      <c r="D7" s="66"/>
      <c r="E7" s="66"/>
      <c r="F7" s="6"/>
      <c r="G7" s="6"/>
      <c r="H7" s="10"/>
    </row>
    <row r="8" spans="2:8" x14ac:dyDescent="0.4">
      <c r="B8" s="75"/>
      <c r="C8" s="66"/>
      <c r="D8" s="66"/>
      <c r="E8" s="66"/>
      <c r="F8" s="6"/>
      <c r="G8" s="6"/>
      <c r="H8" s="10"/>
    </row>
    <row r="9" spans="2:8" x14ac:dyDescent="0.4">
      <c r="B9" s="75"/>
      <c r="C9" s="66"/>
      <c r="D9" s="66"/>
      <c r="E9" s="66"/>
      <c r="F9" s="6"/>
      <c r="G9" s="6"/>
      <c r="H9" s="10"/>
    </row>
    <row r="10" spans="2:8" x14ac:dyDescent="0.4">
      <c r="B10" s="75"/>
      <c r="C10" s="66"/>
      <c r="D10" s="66"/>
      <c r="E10" s="66"/>
      <c r="F10" s="6"/>
      <c r="G10" s="6"/>
      <c r="H10" s="10"/>
    </row>
    <row r="11" spans="2:8" x14ac:dyDescent="0.4">
      <c r="B11" s="75"/>
      <c r="C11" s="66"/>
      <c r="D11" s="66"/>
      <c r="E11" s="66"/>
      <c r="F11" s="6"/>
      <c r="G11" s="6"/>
      <c r="H11" s="10"/>
    </row>
    <row r="12" spans="2:8" x14ac:dyDescent="0.4">
      <c r="B12" s="75"/>
      <c r="C12" s="66"/>
      <c r="D12" s="66"/>
      <c r="E12" s="66"/>
      <c r="F12" s="6"/>
      <c r="G12" s="6"/>
      <c r="H12" s="10"/>
    </row>
    <row r="13" spans="2:8" x14ac:dyDescent="0.4">
      <c r="B13" s="75"/>
      <c r="C13" s="66"/>
      <c r="D13" s="66"/>
      <c r="E13" s="66"/>
      <c r="F13" s="6"/>
      <c r="G13" s="6"/>
      <c r="H13" s="10"/>
    </row>
    <row r="14" spans="2:8" x14ac:dyDescent="0.4">
      <c r="B14" s="75"/>
      <c r="C14" s="66"/>
      <c r="D14" s="66"/>
      <c r="E14" s="66"/>
      <c r="F14" s="6"/>
      <c r="G14" s="6"/>
      <c r="H14" s="10"/>
    </row>
    <row r="15" spans="2:8" x14ac:dyDescent="0.4">
      <c r="B15" s="75"/>
      <c r="C15" s="66"/>
      <c r="D15" s="66"/>
      <c r="E15" s="66"/>
      <c r="F15" s="6"/>
      <c r="G15" s="6"/>
      <c r="H15" s="10"/>
    </row>
    <row r="16" spans="2:8" x14ac:dyDescent="0.4">
      <c r="B16" s="75"/>
      <c r="C16" s="66"/>
      <c r="D16" s="66"/>
      <c r="E16" s="66"/>
      <c r="F16" s="6"/>
      <c r="G16" s="6"/>
      <c r="H16" s="10"/>
    </row>
    <row r="17" spans="2:8" x14ac:dyDescent="0.4">
      <c r="B17" s="75"/>
      <c r="C17" s="66"/>
      <c r="D17" s="66"/>
      <c r="E17" s="66"/>
      <c r="F17" s="6"/>
      <c r="G17" s="6"/>
      <c r="H17" s="10"/>
    </row>
    <row r="18" spans="2:8" ht="18" thickBot="1" x14ac:dyDescent="0.45">
      <c r="B18" s="77"/>
      <c r="C18" s="84"/>
      <c r="D18" s="84"/>
      <c r="E18" s="84"/>
      <c r="F18" s="12"/>
      <c r="G18" s="12"/>
      <c r="H18" s="14"/>
    </row>
  </sheetData>
  <mergeCells count="4">
    <mergeCell ref="E4:E5"/>
    <mergeCell ref="D4:D5"/>
    <mergeCell ref="C4:C5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97A1-5623-4258-B24E-4267B79D700D}">
  <sheetPr>
    <tabColor rgb="FF92D050"/>
  </sheetPr>
  <dimension ref="B1:P72"/>
  <sheetViews>
    <sheetView workbookViewId="0">
      <selection activeCell="E12" sqref="E12"/>
    </sheetView>
  </sheetViews>
  <sheetFormatPr defaultRowHeight="17.399999999999999" x14ac:dyDescent="0.4"/>
  <cols>
    <col min="1" max="2" width="5.09765625" customWidth="1"/>
    <col min="3" max="3" width="4.69921875" customWidth="1"/>
  </cols>
  <sheetData>
    <row r="1" spans="2:9" x14ac:dyDescent="0.4">
      <c r="B1" s="33" t="s">
        <v>44</v>
      </c>
    </row>
    <row r="2" spans="2:9" x14ac:dyDescent="0.4">
      <c r="C2" t="s">
        <v>45</v>
      </c>
    </row>
    <row r="4" spans="2:9" x14ac:dyDescent="0.4">
      <c r="C4" s="33" t="s">
        <v>76</v>
      </c>
    </row>
    <row r="5" spans="2:9" x14ac:dyDescent="0.4">
      <c r="C5" s="33"/>
      <c r="D5" t="s">
        <v>75</v>
      </c>
    </row>
    <row r="6" spans="2:9" ht="18" thickBot="1" x14ac:dyDescent="0.45">
      <c r="C6" s="33"/>
      <c r="D6" s="33" t="s">
        <v>16</v>
      </c>
    </row>
    <row r="7" spans="2:9" x14ac:dyDescent="0.4">
      <c r="D7" s="15" t="s">
        <v>7</v>
      </c>
      <c r="E7" s="34">
        <v>4.2</v>
      </c>
      <c r="F7" s="34">
        <v>4.2</v>
      </c>
      <c r="G7" s="34">
        <v>4.2</v>
      </c>
      <c r="H7" s="34">
        <v>4.2</v>
      </c>
      <c r="I7" s="39" t="s">
        <v>0</v>
      </c>
    </row>
    <row r="8" spans="2:9" x14ac:dyDescent="0.4">
      <c r="D8" s="16" t="s">
        <v>17</v>
      </c>
      <c r="E8" s="7" t="s">
        <v>20</v>
      </c>
      <c r="F8" s="7" t="s">
        <v>18</v>
      </c>
      <c r="G8" s="7" t="s">
        <v>18</v>
      </c>
      <c r="H8" s="7" t="s">
        <v>20</v>
      </c>
      <c r="I8" s="25"/>
    </row>
    <row r="9" spans="2:9" x14ac:dyDescent="0.4">
      <c r="D9" s="16" t="s">
        <v>9</v>
      </c>
      <c r="E9" s="7">
        <v>33</v>
      </c>
      <c r="F9" s="7">
        <v>33</v>
      </c>
      <c r="G9" s="7">
        <v>33</v>
      </c>
      <c r="H9" s="7">
        <v>68</v>
      </c>
      <c r="I9" s="40" t="s">
        <v>15</v>
      </c>
    </row>
    <row r="10" spans="2:9" x14ac:dyDescent="0.4">
      <c r="D10" s="16" t="s">
        <v>10</v>
      </c>
      <c r="E10" s="7">
        <v>100</v>
      </c>
      <c r="F10" s="7">
        <v>100</v>
      </c>
      <c r="G10" s="7">
        <v>100</v>
      </c>
      <c r="H10" s="7">
        <v>200</v>
      </c>
      <c r="I10" s="40" t="s">
        <v>15</v>
      </c>
    </row>
    <row r="11" spans="2:9" x14ac:dyDescent="0.4">
      <c r="D11" s="16" t="s">
        <v>19</v>
      </c>
      <c r="E11" s="7" t="s">
        <v>20</v>
      </c>
      <c r="F11" s="7" t="s">
        <v>20</v>
      </c>
      <c r="G11" s="7" t="s">
        <v>18</v>
      </c>
      <c r="H11" s="7" t="s">
        <v>20</v>
      </c>
      <c r="I11" s="25"/>
    </row>
    <row r="12" spans="2:9" ht="18" thickBot="1" x14ac:dyDescent="0.45">
      <c r="D12" s="36" t="s">
        <v>13</v>
      </c>
      <c r="E12" s="35">
        <v>56.2</v>
      </c>
      <c r="F12" s="35">
        <v>55.6</v>
      </c>
      <c r="G12" s="35">
        <v>0</v>
      </c>
      <c r="H12" s="35">
        <v>55.2</v>
      </c>
      <c r="I12" s="26" t="s">
        <v>14</v>
      </c>
    </row>
    <row r="14" spans="2:9" x14ac:dyDescent="0.4">
      <c r="C14" t="s">
        <v>77</v>
      </c>
    </row>
    <row r="15" spans="2:9" ht="18" thickBot="1" x14ac:dyDescent="0.45">
      <c r="D15" s="33" t="s">
        <v>16</v>
      </c>
    </row>
    <row r="16" spans="2:9" x14ac:dyDescent="0.4">
      <c r="D16" s="68"/>
      <c r="E16" s="133" t="s">
        <v>79</v>
      </c>
      <c r="F16" s="133"/>
      <c r="G16" s="134"/>
    </row>
    <row r="17" spans="4:7" ht="18" thickBot="1" x14ac:dyDescent="0.45">
      <c r="D17" s="36" t="s">
        <v>7</v>
      </c>
      <c r="E17" s="69" t="s">
        <v>78</v>
      </c>
      <c r="F17" s="69"/>
      <c r="G17" s="70" t="s">
        <v>80</v>
      </c>
    </row>
    <row r="18" spans="4:7" x14ac:dyDescent="0.4">
      <c r="D18" s="71">
        <v>4.2</v>
      </c>
      <c r="E18" s="72">
        <v>0.17599999999999999</v>
      </c>
      <c r="F18" s="73"/>
      <c r="G18" s="74">
        <v>0.193</v>
      </c>
    </row>
    <row r="19" spans="4:7" x14ac:dyDescent="0.4">
      <c r="D19" s="75">
        <v>3.7</v>
      </c>
      <c r="E19" s="67">
        <v>0.17499999999999999</v>
      </c>
      <c r="F19" s="6"/>
      <c r="G19" s="76">
        <v>0.13100000000000001</v>
      </c>
    </row>
    <row r="20" spans="4:7" ht="18" thickBot="1" x14ac:dyDescent="0.45">
      <c r="D20" s="77">
        <v>3.4</v>
      </c>
      <c r="E20" s="78">
        <v>0.129</v>
      </c>
      <c r="F20" s="12"/>
      <c r="G20" s="79">
        <v>0.15</v>
      </c>
    </row>
    <row r="58" spans="9:16" x14ac:dyDescent="0.4">
      <c r="I58" t="s">
        <v>24</v>
      </c>
    </row>
    <row r="59" spans="9:16" x14ac:dyDescent="0.4">
      <c r="I59">
        <v>4.2300000000000004</v>
      </c>
      <c r="J59">
        <v>4.2300000000000004</v>
      </c>
      <c r="K59">
        <v>4.2300000000000004</v>
      </c>
      <c r="N59" t="s">
        <v>8</v>
      </c>
    </row>
    <row r="60" spans="9:16" x14ac:dyDescent="0.4">
      <c r="I60" s="57" t="s">
        <v>20</v>
      </c>
      <c r="J60" s="57" t="s">
        <v>20</v>
      </c>
      <c r="K60" s="57" t="s">
        <v>20</v>
      </c>
      <c r="M60" t="s">
        <v>7</v>
      </c>
      <c r="N60">
        <v>4.2</v>
      </c>
      <c r="O60">
        <v>4.2</v>
      </c>
      <c r="P60" t="s">
        <v>0</v>
      </c>
    </row>
    <row r="61" spans="9:16" x14ac:dyDescent="0.4">
      <c r="I61">
        <v>33</v>
      </c>
      <c r="J61" s="57" t="s">
        <v>18</v>
      </c>
      <c r="K61">
        <v>33</v>
      </c>
      <c r="M61" t="s">
        <v>9</v>
      </c>
      <c r="N61">
        <v>33</v>
      </c>
      <c r="O61">
        <v>33</v>
      </c>
      <c r="P61" s="5" t="s">
        <v>15</v>
      </c>
    </row>
    <row r="62" spans="9:16" x14ac:dyDescent="0.4">
      <c r="I62">
        <v>100</v>
      </c>
      <c r="J62">
        <v>100</v>
      </c>
      <c r="K62">
        <v>100</v>
      </c>
      <c r="M62" t="s">
        <v>10</v>
      </c>
      <c r="N62">
        <v>100</v>
      </c>
      <c r="O62">
        <v>100</v>
      </c>
      <c r="P62" s="5" t="s">
        <v>15</v>
      </c>
    </row>
    <row r="63" spans="9:16" x14ac:dyDescent="0.4">
      <c r="I63" s="57" t="s">
        <v>20</v>
      </c>
      <c r="J63" s="57" t="s">
        <v>20</v>
      </c>
      <c r="K63" s="57" t="s">
        <v>25</v>
      </c>
      <c r="M63" t="s">
        <v>11</v>
      </c>
      <c r="N63">
        <v>40</v>
      </c>
      <c r="O63">
        <v>67.7</v>
      </c>
      <c r="P63" s="5" t="s">
        <v>15</v>
      </c>
    </row>
    <row r="64" spans="9:16" x14ac:dyDescent="0.4">
      <c r="I64">
        <v>55</v>
      </c>
      <c r="J64">
        <v>0.2</v>
      </c>
      <c r="K64">
        <v>0.3</v>
      </c>
      <c r="M64" t="s">
        <v>12</v>
      </c>
      <c r="N64" s="1">
        <f>N60*N63/(N61+N63)</f>
        <v>2.3013698630136985</v>
      </c>
      <c r="O64" s="1">
        <f>O60*O63/(O61+O63)</f>
        <v>2.8236345580933468</v>
      </c>
      <c r="P64" s="5" t="s">
        <v>0</v>
      </c>
    </row>
    <row r="65" spans="3:16" x14ac:dyDescent="0.4">
      <c r="K65">
        <v>3.03</v>
      </c>
      <c r="M65" t="s">
        <v>13</v>
      </c>
      <c r="N65" s="1">
        <f>N60/(N61+N63)*1000</f>
        <v>57.534246575342465</v>
      </c>
      <c r="O65" s="1">
        <f>O60/(O61+O63)*1000</f>
        <v>41.708043694141018</v>
      </c>
      <c r="P65" t="s">
        <v>14</v>
      </c>
    </row>
    <row r="67" spans="3:16" x14ac:dyDescent="0.4">
      <c r="D67" t="s">
        <v>22</v>
      </c>
      <c r="E67" t="s">
        <v>23</v>
      </c>
      <c r="F67" t="s">
        <v>23</v>
      </c>
      <c r="G67" t="s">
        <v>23</v>
      </c>
      <c r="M67" t="s">
        <v>7</v>
      </c>
      <c r="N67">
        <v>4.2</v>
      </c>
    </row>
    <row r="68" spans="3:16" x14ac:dyDescent="0.4">
      <c r="D68" t="s">
        <v>6</v>
      </c>
      <c r="E68" t="s">
        <v>21</v>
      </c>
      <c r="F68" t="s">
        <v>6</v>
      </c>
      <c r="G68" t="s">
        <v>21</v>
      </c>
      <c r="M68" t="s">
        <v>12</v>
      </c>
      <c r="N68">
        <v>0.5</v>
      </c>
    </row>
    <row r="69" spans="3:16" x14ac:dyDescent="0.4">
      <c r="C69" t="s">
        <v>9</v>
      </c>
      <c r="D69">
        <v>33</v>
      </c>
      <c r="E69">
        <v>33</v>
      </c>
      <c r="F69">
        <v>33</v>
      </c>
      <c r="G69">
        <v>68</v>
      </c>
      <c r="H69" s="2"/>
      <c r="M69" t="s">
        <v>13</v>
      </c>
      <c r="N69" s="4">
        <f>(N67-N68)/N61</f>
        <v>0.11212121212121212</v>
      </c>
    </row>
    <row r="70" spans="3:16" x14ac:dyDescent="0.4">
      <c r="C70" t="s">
        <v>10</v>
      </c>
      <c r="D70">
        <v>100</v>
      </c>
      <c r="E70">
        <v>100</v>
      </c>
      <c r="F70">
        <v>100</v>
      </c>
      <c r="G70">
        <v>200</v>
      </c>
    </row>
    <row r="71" spans="3:16" x14ac:dyDescent="0.4">
      <c r="C71" t="s">
        <v>7</v>
      </c>
      <c r="D71">
        <v>4.3</v>
      </c>
      <c r="E71">
        <v>4.3</v>
      </c>
      <c r="F71">
        <v>4.3</v>
      </c>
      <c r="G71">
        <v>4.3</v>
      </c>
    </row>
    <row r="72" spans="3:16" x14ac:dyDescent="0.4">
      <c r="C72" t="s">
        <v>12</v>
      </c>
      <c r="D72">
        <v>0.497</v>
      </c>
      <c r="E72" s="2">
        <f>E71*E70/(E69+E70)</f>
        <v>3.2330827067669174</v>
      </c>
      <c r="F72">
        <v>3.04</v>
      </c>
      <c r="G72" s="2">
        <f>G71*G70/(G69+G70)</f>
        <v>3.2089552238805972</v>
      </c>
    </row>
  </sheetData>
  <mergeCells count="1">
    <mergeCell ref="E16:G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9541-04E0-43CC-8EB0-337959AD2DCD}">
  <sheetPr>
    <tabColor rgb="FF92D050"/>
  </sheetPr>
  <dimension ref="B1:U23"/>
  <sheetViews>
    <sheetView zoomScaleNormal="100" workbookViewId="0">
      <selection activeCell="O16" sqref="O16"/>
    </sheetView>
  </sheetViews>
  <sheetFormatPr defaultRowHeight="17.399999999999999" x14ac:dyDescent="0.4"/>
  <cols>
    <col min="1" max="2" width="4.09765625" customWidth="1"/>
    <col min="9" max="9" width="11.09765625" bestFit="1" customWidth="1"/>
    <col min="12" max="12" width="8.8984375" bestFit="1" customWidth="1"/>
    <col min="19" max="19" width="9.69921875" customWidth="1"/>
    <col min="21" max="21" width="8.3984375" customWidth="1"/>
  </cols>
  <sheetData>
    <row r="1" spans="2:21" ht="18" thickBot="1" x14ac:dyDescent="0.45">
      <c r="B1" s="33" t="s">
        <v>46</v>
      </c>
    </row>
    <row r="2" spans="2:21" x14ac:dyDescent="0.4">
      <c r="C2" s="109" t="s">
        <v>9</v>
      </c>
      <c r="D2" s="138">
        <v>33</v>
      </c>
      <c r="E2" s="139"/>
    </row>
    <row r="3" spans="2:21" ht="18" thickBot="1" x14ac:dyDescent="0.45">
      <c r="C3" s="110" t="s">
        <v>10</v>
      </c>
      <c r="D3" s="140">
        <v>100</v>
      </c>
      <c r="E3" s="141"/>
      <c r="I3" t="s">
        <v>92</v>
      </c>
    </row>
    <row r="4" spans="2:21" x14ac:dyDescent="0.4">
      <c r="C4" s="87"/>
      <c r="D4" s="135" t="s">
        <v>88</v>
      </c>
      <c r="E4" s="135"/>
      <c r="F4" s="135" t="s">
        <v>52</v>
      </c>
      <c r="G4" s="135"/>
      <c r="H4" s="101"/>
      <c r="I4" s="136" t="s">
        <v>89</v>
      </c>
      <c r="J4" s="137"/>
      <c r="K4" s="137"/>
      <c r="L4" s="73" t="s">
        <v>91</v>
      </c>
      <c r="M4" s="83"/>
      <c r="P4" t="s">
        <v>93</v>
      </c>
    </row>
    <row r="5" spans="2:21" ht="18" thickBot="1" x14ac:dyDescent="0.45">
      <c r="C5" s="88" t="s">
        <v>7</v>
      </c>
      <c r="D5" s="89" t="s">
        <v>12</v>
      </c>
      <c r="E5" s="90" t="s">
        <v>65</v>
      </c>
      <c r="F5" s="89" t="s">
        <v>12</v>
      </c>
      <c r="G5" s="90" t="s">
        <v>65</v>
      </c>
      <c r="H5" s="102" t="s">
        <v>58</v>
      </c>
      <c r="I5" s="88" t="s">
        <v>7</v>
      </c>
      <c r="J5" s="89" t="s">
        <v>12</v>
      </c>
      <c r="K5" s="90" t="s">
        <v>65</v>
      </c>
      <c r="L5" s="90" t="s">
        <v>65</v>
      </c>
      <c r="M5" s="91" t="s">
        <v>90</v>
      </c>
      <c r="Q5" s="58" t="s">
        <v>47</v>
      </c>
      <c r="R5" s="58" t="s">
        <v>48</v>
      </c>
    </row>
    <row r="6" spans="2:21" x14ac:dyDescent="0.4">
      <c r="C6" s="92">
        <v>4.3</v>
      </c>
      <c r="D6" s="93">
        <f>C6*D$3/(D$2+D$3)</f>
        <v>3.2330827067669174</v>
      </c>
      <c r="E6" s="94">
        <f>D6/3.3*4095</f>
        <v>4011.961722488039</v>
      </c>
      <c r="F6" s="95">
        <v>3.2</v>
      </c>
      <c r="G6" s="94">
        <f t="shared" ref="G6:G16" si="0">F6/3.3*4095</f>
        <v>3970.9090909090914</v>
      </c>
      <c r="H6" s="37" t="s">
        <v>59</v>
      </c>
      <c r="I6" s="103">
        <f t="shared" ref="I6:I17" si="1">C6+0.13</f>
        <v>4.43</v>
      </c>
      <c r="J6" s="93">
        <f t="shared" ref="J6:J17" si="2">I6*D$3/(D$2+D$3)</f>
        <v>3.3308270676691731</v>
      </c>
      <c r="K6" s="94">
        <f>J6/3.3*4095</f>
        <v>4133.2535885167463</v>
      </c>
      <c r="L6" s="94">
        <f>K6-100</f>
        <v>4033.2535885167463</v>
      </c>
      <c r="M6" s="104">
        <f>L6-E6</f>
        <v>21.291866028707318</v>
      </c>
      <c r="Q6" s="59" t="s">
        <v>49</v>
      </c>
      <c r="R6" s="61">
        <v>3.2798534799999999</v>
      </c>
      <c r="T6" s="41">
        <v>3.007518796992481</v>
      </c>
      <c r="U6" s="111">
        <f>R6-T6</f>
        <v>0.27233468300751884</v>
      </c>
    </row>
    <row r="7" spans="2:21" x14ac:dyDescent="0.4">
      <c r="C7" s="96">
        <v>4.2</v>
      </c>
      <c r="D7" s="41">
        <f t="shared" ref="D7:D17" si="3">C7*D$3/(D$2+D$3)</f>
        <v>3.1578947368421053</v>
      </c>
      <c r="E7" s="85">
        <f t="shared" ref="E7:E17" si="4">D7/3.3*4095</f>
        <v>3918.6602870813404</v>
      </c>
      <c r="F7" s="86">
        <v>3.1309999999999998</v>
      </c>
      <c r="G7" s="85">
        <f t="shared" si="0"/>
        <v>3885.2863636363636</v>
      </c>
      <c r="H7" s="62" t="s">
        <v>59</v>
      </c>
      <c r="I7" s="105">
        <f t="shared" si="1"/>
        <v>4.33</v>
      </c>
      <c r="J7" s="41">
        <f t="shared" si="2"/>
        <v>3.255639097744361</v>
      </c>
      <c r="K7" s="85">
        <f t="shared" ref="K7:K17" si="5">J7/3.3*4095</f>
        <v>4039.9521531100481</v>
      </c>
      <c r="L7" s="85">
        <f t="shared" ref="L7:L17" si="6">K7-100</f>
        <v>3939.9521531100481</v>
      </c>
      <c r="M7" s="106">
        <f t="shared" ref="M7:M17" si="7">L7-E7</f>
        <v>21.291866028707773</v>
      </c>
      <c r="Q7" s="60">
        <v>4</v>
      </c>
      <c r="R7" s="61">
        <v>3.1587728940000002</v>
      </c>
      <c r="S7" s="111">
        <f>R6-R7</f>
        <v>0.12108058599999971</v>
      </c>
      <c r="T7" s="41">
        <v>2.9323308270676693</v>
      </c>
      <c r="U7" s="111">
        <f t="shared" ref="U7:U11" si="8">R7-T7</f>
        <v>0.22644206693233082</v>
      </c>
    </row>
    <row r="8" spans="2:21" x14ac:dyDescent="0.4">
      <c r="C8" s="96">
        <v>4.0999999999999996</v>
      </c>
      <c r="D8" s="41">
        <f t="shared" si="3"/>
        <v>3.0827067669172927</v>
      </c>
      <c r="E8" s="85">
        <f t="shared" si="4"/>
        <v>3825.3588516746404</v>
      </c>
      <c r="F8" s="86">
        <v>3.06</v>
      </c>
      <c r="G8" s="85">
        <f t="shared" si="0"/>
        <v>3797.1818181818185</v>
      </c>
      <c r="H8" s="62" t="s">
        <v>59</v>
      </c>
      <c r="I8" s="105">
        <f t="shared" si="1"/>
        <v>4.2299999999999995</v>
      </c>
      <c r="J8" s="41">
        <f t="shared" si="2"/>
        <v>3.1804511278195484</v>
      </c>
      <c r="K8" s="85">
        <f t="shared" si="5"/>
        <v>3946.6507177033491</v>
      </c>
      <c r="L8" s="85">
        <f t="shared" si="6"/>
        <v>3846.6507177033491</v>
      </c>
      <c r="M8" s="106">
        <f t="shared" si="7"/>
        <v>21.291866028708682</v>
      </c>
      <c r="Q8" s="60">
        <v>3</v>
      </c>
      <c r="R8" s="61">
        <v>3.037692308</v>
      </c>
      <c r="S8" s="111">
        <f t="shared" ref="S8:S11" si="9">R7-R8</f>
        <v>0.12108058600000016</v>
      </c>
      <c r="T8" s="41">
        <v>2.7819548872180451</v>
      </c>
      <c r="U8" s="111">
        <f t="shared" si="8"/>
        <v>0.25573742078195494</v>
      </c>
    </row>
    <row r="9" spans="2:21" x14ac:dyDescent="0.4">
      <c r="C9" s="96">
        <v>4</v>
      </c>
      <c r="D9" s="41">
        <f t="shared" si="3"/>
        <v>3.007518796992481</v>
      </c>
      <c r="E9" s="85">
        <f t="shared" si="4"/>
        <v>3732.0574162679427</v>
      </c>
      <c r="F9" s="86">
        <v>2.9849999999999999</v>
      </c>
      <c r="G9" s="85">
        <f t="shared" si="0"/>
        <v>3704.1136363636365</v>
      </c>
      <c r="H9" s="62" t="s">
        <v>59</v>
      </c>
      <c r="I9" s="105">
        <f t="shared" si="1"/>
        <v>4.13</v>
      </c>
      <c r="J9" s="41">
        <f t="shared" si="2"/>
        <v>3.1052631578947367</v>
      </c>
      <c r="K9" s="85">
        <f t="shared" si="5"/>
        <v>3853.3492822966505</v>
      </c>
      <c r="L9" s="85">
        <f t="shared" si="6"/>
        <v>3753.3492822966505</v>
      </c>
      <c r="M9" s="106">
        <f t="shared" si="7"/>
        <v>21.291866028707773</v>
      </c>
      <c r="Q9" s="60">
        <v>2</v>
      </c>
      <c r="R9" s="61">
        <v>2.9166117219999999</v>
      </c>
      <c r="S9" s="111">
        <f t="shared" si="9"/>
        <v>0.12108058600000016</v>
      </c>
      <c r="T9" s="41">
        <v>2.7067669172932329</v>
      </c>
      <c r="U9" s="111">
        <f t="shared" si="8"/>
        <v>0.20984480470676692</v>
      </c>
    </row>
    <row r="10" spans="2:21" x14ac:dyDescent="0.4">
      <c r="C10" s="96">
        <v>3.9</v>
      </c>
      <c r="D10" s="41">
        <f t="shared" si="3"/>
        <v>2.9323308270676693</v>
      </c>
      <c r="E10" s="85">
        <f t="shared" si="4"/>
        <v>3638.7559808612446</v>
      </c>
      <c r="F10" s="86">
        <v>2.91</v>
      </c>
      <c r="G10" s="85">
        <f t="shared" si="0"/>
        <v>3611.045454545455</v>
      </c>
      <c r="H10" s="62" t="s">
        <v>60</v>
      </c>
      <c r="I10" s="105">
        <f t="shared" si="1"/>
        <v>4.03</v>
      </c>
      <c r="J10" s="41">
        <f t="shared" si="2"/>
        <v>3.030075187969925</v>
      </c>
      <c r="K10" s="85">
        <f t="shared" si="5"/>
        <v>3760.0478468899523</v>
      </c>
      <c r="L10" s="85">
        <f t="shared" si="6"/>
        <v>3660.0478468899523</v>
      </c>
      <c r="M10" s="106">
        <f t="shared" si="7"/>
        <v>21.291866028707773</v>
      </c>
      <c r="Q10" s="59" t="s">
        <v>50</v>
      </c>
      <c r="R10" s="61">
        <v>2.7955311360000001</v>
      </c>
      <c r="S10" s="111">
        <f t="shared" si="9"/>
        <v>0.12108058599999971</v>
      </c>
      <c r="T10" s="41">
        <v>2.6315789473684212</v>
      </c>
      <c r="U10" s="111">
        <f t="shared" si="8"/>
        <v>0.1639521886315789</v>
      </c>
    </row>
    <row r="11" spans="2:21" x14ac:dyDescent="0.4">
      <c r="C11" s="96">
        <v>3.8</v>
      </c>
      <c r="D11" s="41">
        <f t="shared" si="3"/>
        <v>2.8571428571428572</v>
      </c>
      <c r="E11" s="85">
        <f t="shared" si="4"/>
        <v>3545.454545454546</v>
      </c>
      <c r="F11" s="86">
        <v>2.84</v>
      </c>
      <c r="G11" s="85">
        <f t="shared" si="0"/>
        <v>3524.181818181818</v>
      </c>
      <c r="H11" s="62" t="s">
        <v>61</v>
      </c>
      <c r="I11" s="105">
        <f t="shared" si="1"/>
        <v>3.9299999999999997</v>
      </c>
      <c r="J11" s="41">
        <f t="shared" si="2"/>
        <v>2.9548872180451129</v>
      </c>
      <c r="K11" s="85">
        <f>J11/3.3*4095</f>
        <v>3666.7464114832537</v>
      </c>
      <c r="L11" s="85">
        <f>K11-100</f>
        <v>3566.7464114832537</v>
      </c>
      <c r="M11" s="106">
        <f t="shared" si="7"/>
        <v>21.291866028707773</v>
      </c>
      <c r="Q11" s="59" t="s">
        <v>51</v>
      </c>
      <c r="R11" s="61">
        <v>2.6335531140000001</v>
      </c>
      <c r="S11" s="111">
        <f t="shared" si="9"/>
        <v>0.161978022</v>
      </c>
      <c r="T11" s="41">
        <v>2.481203007518797</v>
      </c>
      <c r="U11" s="111">
        <f t="shared" si="8"/>
        <v>0.15235010648120317</v>
      </c>
    </row>
    <row r="12" spans="2:21" x14ac:dyDescent="0.4">
      <c r="C12" s="96">
        <v>3.7</v>
      </c>
      <c r="D12" s="41">
        <f t="shared" si="3"/>
        <v>2.7819548872180451</v>
      </c>
      <c r="E12" s="85">
        <f t="shared" si="4"/>
        <v>3452.1531100478473</v>
      </c>
      <c r="F12" s="86">
        <v>2.76</v>
      </c>
      <c r="G12" s="85">
        <f t="shared" si="0"/>
        <v>3424.9090909090905</v>
      </c>
      <c r="H12" s="62" t="s">
        <v>61</v>
      </c>
      <c r="I12" s="105">
        <f t="shared" si="1"/>
        <v>3.83</v>
      </c>
      <c r="J12" s="41">
        <f t="shared" si="2"/>
        <v>2.8796992481203008</v>
      </c>
      <c r="K12" s="85">
        <f t="shared" si="5"/>
        <v>3573.4449760765551</v>
      </c>
      <c r="L12" s="85">
        <f t="shared" si="6"/>
        <v>3473.4449760765551</v>
      </c>
      <c r="M12" s="106">
        <f t="shared" si="7"/>
        <v>21.291866028707773</v>
      </c>
    </row>
    <row r="13" spans="2:21" x14ac:dyDescent="0.4">
      <c r="C13" s="96">
        <v>3.6</v>
      </c>
      <c r="D13" s="41">
        <f t="shared" si="3"/>
        <v>2.7067669172932329</v>
      </c>
      <c r="E13" s="85">
        <f t="shared" si="4"/>
        <v>3358.8516746411483</v>
      </c>
      <c r="F13" s="86">
        <v>2.68</v>
      </c>
      <c r="G13" s="85">
        <f t="shared" si="0"/>
        <v>3325.636363636364</v>
      </c>
      <c r="H13" s="62" t="s">
        <v>62</v>
      </c>
      <c r="I13" s="105">
        <f t="shared" si="1"/>
        <v>3.73</v>
      </c>
      <c r="J13" s="41">
        <f t="shared" si="2"/>
        <v>2.8045112781954886</v>
      </c>
      <c r="K13" s="85">
        <f t="shared" si="5"/>
        <v>3480.1435406698565</v>
      </c>
      <c r="L13" s="85">
        <f t="shared" si="6"/>
        <v>3380.1435406698565</v>
      </c>
      <c r="M13" s="106">
        <f t="shared" si="7"/>
        <v>21.291866028708228</v>
      </c>
    </row>
    <row r="14" spans="2:21" x14ac:dyDescent="0.4">
      <c r="C14" s="96">
        <v>3.5</v>
      </c>
      <c r="D14" s="41">
        <f t="shared" si="3"/>
        <v>2.6315789473684212</v>
      </c>
      <c r="E14" s="85">
        <f t="shared" si="4"/>
        <v>3265.5502392344501</v>
      </c>
      <c r="F14" s="86">
        <v>2.61</v>
      </c>
      <c r="G14" s="85">
        <f t="shared" si="0"/>
        <v>3238.772727272727</v>
      </c>
      <c r="H14" s="62" t="s">
        <v>63</v>
      </c>
      <c r="I14" s="105">
        <f t="shared" si="1"/>
        <v>3.63</v>
      </c>
      <c r="J14" s="41">
        <f t="shared" si="2"/>
        <v>2.7293233082706765</v>
      </c>
      <c r="K14" s="85">
        <f t="shared" si="5"/>
        <v>3386.8421052631579</v>
      </c>
      <c r="L14" s="85">
        <f t="shared" si="6"/>
        <v>3286.8421052631579</v>
      </c>
      <c r="M14" s="106">
        <f t="shared" si="7"/>
        <v>21.291866028707773</v>
      </c>
    </row>
    <row r="15" spans="2:21" x14ac:dyDescent="0.4">
      <c r="C15" s="96">
        <v>3.4</v>
      </c>
      <c r="D15" s="41">
        <f t="shared" si="3"/>
        <v>2.5563909774436091</v>
      </c>
      <c r="E15" s="85">
        <f t="shared" si="4"/>
        <v>3172.2488038277515</v>
      </c>
      <c r="F15" s="86">
        <v>2.54</v>
      </c>
      <c r="G15" s="85">
        <f t="shared" si="0"/>
        <v>3151.909090909091</v>
      </c>
      <c r="H15" s="62" t="s">
        <v>54</v>
      </c>
      <c r="I15" s="105">
        <f t="shared" si="1"/>
        <v>3.53</v>
      </c>
      <c r="J15" s="41">
        <f t="shared" si="2"/>
        <v>2.6541353383458648</v>
      </c>
      <c r="K15" s="85">
        <f t="shared" si="5"/>
        <v>3293.5406698564593</v>
      </c>
      <c r="L15" s="85">
        <f t="shared" si="6"/>
        <v>3193.5406698564593</v>
      </c>
      <c r="M15" s="106">
        <f t="shared" si="7"/>
        <v>21.291866028707773</v>
      </c>
    </row>
    <row r="16" spans="2:21" x14ac:dyDescent="0.4">
      <c r="C16" s="96">
        <v>3.3</v>
      </c>
      <c r="D16" s="41">
        <f t="shared" si="3"/>
        <v>2.481203007518797</v>
      </c>
      <c r="E16" s="85">
        <f t="shared" si="4"/>
        <v>3078.9473684210529</v>
      </c>
      <c r="F16" s="86">
        <v>2.46</v>
      </c>
      <c r="G16" s="85">
        <f t="shared" si="0"/>
        <v>3052.636363636364</v>
      </c>
      <c r="H16" s="62" t="s">
        <v>54</v>
      </c>
      <c r="I16" s="105">
        <f t="shared" si="1"/>
        <v>3.4299999999999997</v>
      </c>
      <c r="J16" s="41">
        <f t="shared" si="2"/>
        <v>2.5789473684210527</v>
      </c>
      <c r="K16" s="85">
        <f t="shared" si="5"/>
        <v>3200.2392344497607</v>
      </c>
      <c r="L16" s="85">
        <f t="shared" si="6"/>
        <v>3100.2392344497607</v>
      </c>
      <c r="M16" s="106">
        <f t="shared" si="7"/>
        <v>21.291866028707773</v>
      </c>
    </row>
    <row r="17" spans="3:13" ht="18" thickBot="1" x14ac:dyDescent="0.45">
      <c r="C17" s="97">
        <v>3.2</v>
      </c>
      <c r="D17" s="98">
        <f t="shared" si="3"/>
        <v>2.4060150375939848</v>
      </c>
      <c r="E17" s="99">
        <f t="shared" si="4"/>
        <v>2985.6459330143543</v>
      </c>
      <c r="F17" s="100" t="s">
        <v>55</v>
      </c>
      <c r="G17" s="12"/>
      <c r="H17" s="38"/>
      <c r="I17" s="107">
        <f t="shared" si="1"/>
        <v>3.33</v>
      </c>
      <c r="J17" s="98">
        <f t="shared" si="2"/>
        <v>2.5037593984962405</v>
      </c>
      <c r="K17" s="99">
        <f t="shared" si="5"/>
        <v>3106.9377990430621</v>
      </c>
      <c r="L17" s="99">
        <f t="shared" si="6"/>
        <v>3006.9377990430621</v>
      </c>
      <c r="M17" s="108">
        <f t="shared" si="7"/>
        <v>21.291866028707773</v>
      </c>
    </row>
    <row r="19" spans="3:13" x14ac:dyDescent="0.4">
      <c r="C19" t="s">
        <v>56</v>
      </c>
    </row>
    <row r="20" spans="3:13" x14ac:dyDescent="0.4">
      <c r="C20" s="63"/>
      <c r="D20" t="s">
        <v>57</v>
      </c>
      <c r="H20" s="64"/>
    </row>
    <row r="21" spans="3:13" x14ac:dyDescent="0.4">
      <c r="C21" t="s">
        <v>64</v>
      </c>
      <c r="H21" s="64"/>
    </row>
    <row r="22" spans="3:13" x14ac:dyDescent="0.4">
      <c r="C22" s="63"/>
      <c r="H22" s="64"/>
    </row>
    <row r="23" spans="3:13" x14ac:dyDescent="0.4">
      <c r="C23" s="63"/>
      <c r="H23" s="64"/>
    </row>
  </sheetData>
  <mergeCells count="5">
    <mergeCell ref="F4:G4"/>
    <mergeCell ref="I4:K4"/>
    <mergeCell ref="D2:E2"/>
    <mergeCell ref="D3:E3"/>
    <mergeCell ref="D4:E4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4F35-D79A-4E18-BD61-E2D87DAF24C8}">
  <sheetPr>
    <tabColor rgb="FF92D050"/>
  </sheetPr>
  <dimension ref="B2:R24"/>
  <sheetViews>
    <sheetView topLeftCell="A4" workbookViewId="0">
      <selection activeCell="J24" sqref="J24"/>
    </sheetView>
  </sheetViews>
  <sheetFormatPr defaultRowHeight="17.399999999999999" x14ac:dyDescent="0.4"/>
  <cols>
    <col min="1" max="1" width="4.796875" customWidth="1"/>
    <col min="2" max="2" width="4.296875" customWidth="1"/>
    <col min="3" max="3" width="8" customWidth="1"/>
    <col min="4" max="19" width="6.796875" customWidth="1"/>
  </cols>
  <sheetData>
    <row r="2" spans="2:18" x14ac:dyDescent="0.4">
      <c r="B2" s="33" t="s">
        <v>41</v>
      </c>
    </row>
    <row r="3" spans="2:18" x14ac:dyDescent="0.4">
      <c r="C3" t="s">
        <v>38</v>
      </c>
    </row>
    <row r="4" spans="2:18" ht="18" thickBot="1" x14ac:dyDescent="0.45">
      <c r="C4" t="s">
        <v>39</v>
      </c>
    </row>
    <row r="5" spans="2:18" x14ac:dyDescent="0.4">
      <c r="C5" s="23"/>
      <c r="D5" s="145" t="s">
        <v>24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7"/>
      <c r="P5" s="148" t="s">
        <v>40</v>
      </c>
      <c r="Q5" s="146"/>
      <c r="R5" s="147"/>
    </row>
    <row r="6" spans="2:18" x14ac:dyDescent="0.4">
      <c r="C6" s="24"/>
      <c r="D6" s="153" t="s">
        <v>1</v>
      </c>
      <c r="E6" s="143"/>
      <c r="F6" s="143"/>
      <c r="G6" s="143" t="s">
        <v>43</v>
      </c>
      <c r="H6" s="143"/>
      <c r="I6" s="143"/>
      <c r="J6" s="149" t="s">
        <v>4</v>
      </c>
      <c r="K6" s="143" t="s">
        <v>31</v>
      </c>
      <c r="L6" s="143"/>
      <c r="M6" s="143"/>
      <c r="N6" s="151" t="s">
        <v>53</v>
      </c>
      <c r="O6" s="152"/>
      <c r="P6" s="142" t="s">
        <v>31</v>
      </c>
      <c r="Q6" s="143"/>
      <c r="R6" s="144"/>
    </row>
    <row r="7" spans="2:18" ht="18" thickBot="1" x14ac:dyDescent="0.45">
      <c r="C7" s="31"/>
      <c r="D7" s="32" t="s">
        <v>32</v>
      </c>
      <c r="E7" s="21" t="s">
        <v>33</v>
      </c>
      <c r="F7" s="21" t="s">
        <v>34</v>
      </c>
      <c r="G7" s="21" t="s">
        <v>32</v>
      </c>
      <c r="H7" s="21" t="s">
        <v>33</v>
      </c>
      <c r="I7" s="21" t="s">
        <v>34</v>
      </c>
      <c r="J7" s="150"/>
      <c r="K7" s="21" t="s">
        <v>32</v>
      </c>
      <c r="L7" s="21" t="s">
        <v>33</v>
      </c>
      <c r="M7" s="21" t="s">
        <v>34</v>
      </c>
      <c r="N7" s="21" t="s">
        <v>35</v>
      </c>
      <c r="O7" s="22" t="s">
        <v>36</v>
      </c>
      <c r="P7" s="20" t="s">
        <v>32</v>
      </c>
      <c r="Q7" s="21" t="s">
        <v>33</v>
      </c>
      <c r="R7" s="22" t="s">
        <v>34</v>
      </c>
    </row>
    <row r="8" spans="2:18" x14ac:dyDescent="0.4">
      <c r="C8" s="29" t="s">
        <v>26</v>
      </c>
      <c r="D8" s="42">
        <v>0.91</v>
      </c>
      <c r="E8" s="30">
        <v>0.2</v>
      </c>
      <c r="F8" s="30">
        <f>D8-E8</f>
        <v>0.71</v>
      </c>
      <c r="G8" s="30">
        <v>7</v>
      </c>
      <c r="H8" s="30">
        <v>1</v>
      </c>
      <c r="I8" s="30">
        <v>6</v>
      </c>
      <c r="J8" s="30">
        <f>I8/F8</f>
        <v>8.4507042253521139</v>
      </c>
      <c r="K8" s="30">
        <v>7.2</v>
      </c>
      <c r="L8" s="30">
        <v>-6.6</v>
      </c>
      <c r="M8" s="48">
        <f>K8-L8</f>
        <v>13.8</v>
      </c>
      <c r="N8" s="18">
        <v>125</v>
      </c>
      <c r="O8" s="19">
        <v>151</v>
      </c>
      <c r="P8" s="54">
        <v>7.2</v>
      </c>
      <c r="Q8" s="45">
        <v>-7.4</v>
      </c>
      <c r="R8" s="51">
        <f>P8-Q8</f>
        <v>14.600000000000001</v>
      </c>
    </row>
    <row r="9" spans="2:18" x14ac:dyDescent="0.4">
      <c r="C9" s="27" t="s">
        <v>27</v>
      </c>
      <c r="D9" s="43">
        <v>1.21</v>
      </c>
      <c r="E9" s="8">
        <v>0.2</v>
      </c>
      <c r="F9" s="8">
        <f>D9-E9</f>
        <v>1.01</v>
      </c>
      <c r="G9" s="8">
        <v>9.16</v>
      </c>
      <c r="H9" s="8">
        <v>1</v>
      </c>
      <c r="I9" s="8">
        <v>8.16</v>
      </c>
      <c r="J9" s="8">
        <f>I9/F9</f>
        <v>8.0792079207920793</v>
      </c>
      <c r="K9" s="8">
        <v>9.4</v>
      </c>
      <c r="L9" s="8">
        <v>-8.8000000000000007</v>
      </c>
      <c r="M9" s="49">
        <f>K9-L9</f>
        <v>18.200000000000003</v>
      </c>
      <c r="N9" s="6">
        <v>128</v>
      </c>
      <c r="O9" s="10">
        <v>152</v>
      </c>
      <c r="P9" s="55">
        <v>9.6</v>
      </c>
      <c r="Q9" s="46">
        <v>-9.6999999999999993</v>
      </c>
      <c r="R9" s="52">
        <f>P9-Q9</f>
        <v>19.299999999999997</v>
      </c>
    </row>
    <row r="10" spans="2:18" x14ac:dyDescent="0.4">
      <c r="C10" s="27" t="s">
        <v>28</v>
      </c>
      <c r="D10" s="43">
        <v>1.46</v>
      </c>
      <c r="E10" s="8">
        <v>0.2</v>
      </c>
      <c r="F10" s="8">
        <f>D10-E10</f>
        <v>1.26</v>
      </c>
      <c r="G10" s="8">
        <v>11.7</v>
      </c>
      <c r="H10" s="8">
        <v>1</v>
      </c>
      <c r="I10" s="8">
        <f>G10-H10</f>
        <v>10.7</v>
      </c>
      <c r="J10" s="8">
        <f>I10/F10</f>
        <v>8.4920634920634921</v>
      </c>
      <c r="K10" s="8">
        <v>11.6</v>
      </c>
      <c r="L10" s="8">
        <v>-11</v>
      </c>
      <c r="M10" s="49">
        <f>K10-L10</f>
        <v>22.6</v>
      </c>
      <c r="N10" s="6"/>
      <c r="O10" s="10">
        <v>157</v>
      </c>
      <c r="P10" s="55">
        <v>11.8</v>
      </c>
      <c r="Q10" s="46">
        <v>-12.1</v>
      </c>
      <c r="R10" s="52">
        <f>P10-Q10</f>
        <v>23.9</v>
      </c>
    </row>
    <row r="11" spans="2:18" x14ac:dyDescent="0.4">
      <c r="C11" s="27" t="s">
        <v>29</v>
      </c>
      <c r="D11" s="43">
        <v>1.78</v>
      </c>
      <c r="E11" s="8">
        <v>0.2</v>
      </c>
      <c r="F11" s="8">
        <f>D11-E11</f>
        <v>1.58</v>
      </c>
      <c r="G11" s="8">
        <v>13.9</v>
      </c>
      <c r="H11" s="8">
        <v>1</v>
      </c>
      <c r="I11" s="8">
        <f>G11-H11</f>
        <v>12.9</v>
      </c>
      <c r="J11" s="8">
        <f>I11/F11</f>
        <v>8.1645569620253156</v>
      </c>
      <c r="K11" s="8">
        <v>13.5</v>
      </c>
      <c r="L11" s="8">
        <v>-13</v>
      </c>
      <c r="M11" s="49">
        <f>K11-L11</f>
        <v>26.5</v>
      </c>
      <c r="N11" s="6"/>
      <c r="O11" s="10"/>
      <c r="P11" s="55">
        <v>13.9</v>
      </c>
      <c r="Q11" s="46">
        <v>-14.3</v>
      </c>
      <c r="R11" s="52">
        <f>P11-Q11</f>
        <v>28.200000000000003</v>
      </c>
    </row>
    <row r="12" spans="2:18" ht="18" thickBot="1" x14ac:dyDescent="0.45">
      <c r="C12" s="28" t="s">
        <v>30</v>
      </c>
      <c r="D12" s="44">
        <v>2.09</v>
      </c>
      <c r="E12" s="13">
        <v>0.2</v>
      </c>
      <c r="F12" s="13">
        <f>D12-E12</f>
        <v>1.89</v>
      </c>
      <c r="G12" s="13">
        <v>16.3</v>
      </c>
      <c r="H12" s="13">
        <v>1</v>
      </c>
      <c r="I12" s="13">
        <f>G12-H12</f>
        <v>15.3</v>
      </c>
      <c r="J12" s="13">
        <f>I12/F12</f>
        <v>8.0952380952380967</v>
      </c>
      <c r="K12" s="13">
        <v>16</v>
      </c>
      <c r="L12" s="13">
        <v>-15.5</v>
      </c>
      <c r="M12" s="50">
        <f>K12-L12</f>
        <v>31.5</v>
      </c>
      <c r="N12" s="12"/>
      <c r="O12" s="14"/>
      <c r="P12" s="56">
        <v>16.600000000000001</v>
      </c>
      <c r="Q12" s="47">
        <v>-17</v>
      </c>
      <c r="R12" s="53">
        <f>P12-Q12</f>
        <v>33.6</v>
      </c>
    </row>
    <row r="14" spans="2:18" x14ac:dyDescent="0.4">
      <c r="B14" s="33" t="s">
        <v>42</v>
      </c>
    </row>
    <row r="15" spans="2:18" x14ac:dyDescent="0.4">
      <c r="C15" t="s">
        <v>38</v>
      </c>
    </row>
    <row r="16" spans="2:18" ht="18" thickBot="1" x14ac:dyDescent="0.45">
      <c r="C16" t="s">
        <v>39</v>
      </c>
    </row>
    <row r="17" spans="3:6" x14ac:dyDescent="0.4">
      <c r="C17" s="23"/>
      <c r="D17" s="148" t="s">
        <v>37</v>
      </c>
      <c r="E17" s="146"/>
      <c r="F17" s="147"/>
    </row>
    <row r="18" spans="3:6" x14ac:dyDescent="0.4">
      <c r="C18" s="24"/>
      <c r="D18" s="142" t="s">
        <v>31</v>
      </c>
      <c r="E18" s="143"/>
      <c r="F18" s="144"/>
    </row>
    <row r="19" spans="3:6" ht="18" thickBot="1" x14ac:dyDescent="0.45">
      <c r="C19" s="31"/>
      <c r="D19" s="20" t="s">
        <v>32</v>
      </c>
      <c r="E19" s="21" t="s">
        <v>33</v>
      </c>
      <c r="F19" s="22" t="s">
        <v>34</v>
      </c>
    </row>
    <row r="20" spans="3:6" x14ac:dyDescent="0.4">
      <c r="C20" s="29" t="s">
        <v>26</v>
      </c>
      <c r="D20" s="17">
        <v>7</v>
      </c>
      <c r="E20" s="18">
        <v>-6.6</v>
      </c>
      <c r="F20" s="19">
        <f>D20-E20</f>
        <v>13.6</v>
      </c>
    </row>
    <row r="21" spans="3:6" x14ac:dyDescent="0.4">
      <c r="C21" s="27" t="s">
        <v>27</v>
      </c>
      <c r="D21" s="9">
        <v>9.3000000000000007</v>
      </c>
      <c r="E21" s="6">
        <v>-8.6</v>
      </c>
      <c r="F21" s="10">
        <f>D21-E21</f>
        <v>17.899999999999999</v>
      </c>
    </row>
    <row r="22" spans="3:6" x14ac:dyDescent="0.4">
      <c r="C22" s="27" t="s">
        <v>28</v>
      </c>
      <c r="D22" s="9">
        <v>11.5</v>
      </c>
      <c r="E22" s="6">
        <v>-10.9</v>
      </c>
      <c r="F22" s="10">
        <f>D22-E22</f>
        <v>22.4</v>
      </c>
    </row>
    <row r="23" spans="3:6" x14ac:dyDescent="0.4">
      <c r="C23" s="27" t="s">
        <v>29</v>
      </c>
      <c r="D23" s="9">
        <v>13.5</v>
      </c>
      <c r="E23" s="6">
        <v>-13</v>
      </c>
      <c r="F23" s="10">
        <f>D23-E23</f>
        <v>26.5</v>
      </c>
    </row>
    <row r="24" spans="3:6" ht="18" thickBot="1" x14ac:dyDescent="0.45">
      <c r="C24" s="28" t="s">
        <v>30</v>
      </c>
      <c r="D24" s="11">
        <v>15.9</v>
      </c>
      <c r="E24" s="12">
        <v>-15.3</v>
      </c>
      <c r="F24" s="14">
        <f>D24-E24</f>
        <v>31.200000000000003</v>
      </c>
    </row>
  </sheetData>
  <mergeCells count="10">
    <mergeCell ref="D18:F18"/>
    <mergeCell ref="D5:O5"/>
    <mergeCell ref="D17:F17"/>
    <mergeCell ref="J6:J7"/>
    <mergeCell ref="P6:R6"/>
    <mergeCell ref="P5:R5"/>
    <mergeCell ref="N6:O6"/>
    <mergeCell ref="D6:F6"/>
    <mergeCell ref="G6:I6"/>
    <mergeCell ref="K6:M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B7FA-E758-46DD-92D2-4D684E41EE84}">
  <dimension ref="C1:E20"/>
  <sheetViews>
    <sheetView workbookViewId="0">
      <selection activeCell="G19" sqref="G19"/>
    </sheetView>
  </sheetViews>
  <sheetFormatPr defaultRowHeight="17.399999999999999" x14ac:dyDescent="0.4"/>
  <sheetData>
    <row r="1" spans="3:5" x14ac:dyDescent="0.4">
      <c r="C1" t="s">
        <v>2</v>
      </c>
      <c r="D1">
        <v>68</v>
      </c>
    </row>
    <row r="2" spans="3:5" x14ac:dyDescent="0.4">
      <c r="C2" t="s">
        <v>3</v>
      </c>
      <c r="D2">
        <v>10</v>
      </c>
    </row>
    <row r="3" spans="3:5" x14ac:dyDescent="0.4">
      <c r="C3" t="s">
        <v>4</v>
      </c>
      <c r="D3">
        <f>1+D1/D2</f>
        <v>7.8</v>
      </c>
    </row>
    <row r="4" spans="3:5" x14ac:dyDescent="0.4">
      <c r="C4" t="s">
        <v>1</v>
      </c>
      <c r="D4" t="s">
        <v>5</v>
      </c>
      <c r="E4" t="s">
        <v>6</v>
      </c>
    </row>
    <row r="5" spans="3:5" x14ac:dyDescent="0.4">
      <c r="C5" s="2">
        <v>0.2</v>
      </c>
      <c r="D5" s="1">
        <f t="shared" ref="D5:D20" si="0">C5*D$3</f>
        <v>1.56</v>
      </c>
    </row>
    <row r="6" spans="3:5" x14ac:dyDescent="0.4">
      <c r="C6" s="2">
        <v>0.4</v>
      </c>
      <c r="D6" s="1">
        <f t="shared" si="0"/>
        <v>3.12</v>
      </c>
    </row>
    <row r="7" spans="3:5" x14ac:dyDescent="0.4">
      <c r="C7" s="2">
        <v>0.6</v>
      </c>
      <c r="D7" s="1">
        <f t="shared" si="0"/>
        <v>4.68</v>
      </c>
    </row>
    <row r="8" spans="3:5" x14ac:dyDescent="0.4">
      <c r="C8" s="2">
        <v>0.8</v>
      </c>
      <c r="D8" s="1">
        <f t="shared" si="0"/>
        <v>6.24</v>
      </c>
    </row>
    <row r="9" spans="3:5" x14ac:dyDescent="0.4">
      <c r="C9" s="2">
        <v>1</v>
      </c>
      <c r="D9" s="1">
        <f t="shared" si="0"/>
        <v>7.8</v>
      </c>
      <c r="E9">
        <v>6.8</v>
      </c>
    </row>
    <row r="10" spans="3:5" x14ac:dyDescent="0.4">
      <c r="C10" s="2">
        <v>1.2</v>
      </c>
      <c r="D10" s="1">
        <f t="shared" si="0"/>
        <v>9.36</v>
      </c>
    </row>
    <row r="11" spans="3:5" x14ac:dyDescent="0.4">
      <c r="C11" s="2">
        <v>1.4</v>
      </c>
      <c r="D11" s="1">
        <f t="shared" si="0"/>
        <v>10.92</v>
      </c>
    </row>
    <row r="12" spans="3:5" x14ac:dyDescent="0.4">
      <c r="C12" s="2">
        <v>1.6</v>
      </c>
      <c r="D12" s="1">
        <f t="shared" si="0"/>
        <v>12.48</v>
      </c>
    </row>
    <row r="13" spans="3:5" x14ac:dyDescent="0.4">
      <c r="C13" s="2">
        <v>1.8</v>
      </c>
      <c r="D13" s="1">
        <f t="shared" si="0"/>
        <v>14.04</v>
      </c>
    </row>
    <row r="14" spans="3:5" x14ac:dyDescent="0.4">
      <c r="C14" s="2">
        <v>2</v>
      </c>
      <c r="D14" s="1">
        <f t="shared" si="0"/>
        <v>15.6</v>
      </c>
    </row>
    <row r="15" spans="3:5" x14ac:dyDescent="0.4">
      <c r="C15" s="2">
        <v>2.2000000000000002</v>
      </c>
      <c r="D15" s="1">
        <f t="shared" si="0"/>
        <v>17.16</v>
      </c>
    </row>
    <row r="16" spans="3:5" x14ac:dyDescent="0.4">
      <c r="C16" s="2">
        <v>2.4</v>
      </c>
      <c r="D16" s="1">
        <f t="shared" si="0"/>
        <v>18.72</v>
      </c>
    </row>
    <row r="17" spans="3:4" x14ac:dyDescent="0.4">
      <c r="C17" s="2">
        <v>2.6</v>
      </c>
      <c r="D17" s="1">
        <f t="shared" si="0"/>
        <v>20.28</v>
      </c>
    </row>
    <row r="18" spans="3:4" x14ac:dyDescent="0.4">
      <c r="C18" s="2">
        <v>2.8</v>
      </c>
      <c r="D18" s="3">
        <f t="shared" si="0"/>
        <v>21.84</v>
      </c>
    </row>
    <row r="19" spans="3:4" x14ac:dyDescent="0.4">
      <c r="C19" s="2">
        <v>3</v>
      </c>
      <c r="D19" s="3">
        <f t="shared" si="0"/>
        <v>23.4</v>
      </c>
    </row>
    <row r="20" spans="3:4" x14ac:dyDescent="0.4">
      <c r="C20" s="2">
        <v>3.2</v>
      </c>
      <c r="D20" s="3">
        <f t="shared" si="0"/>
        <v>24.96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2D03-8375-4ADB-B304-86F20825E987}">
  <sheetPr>
    <tabColor rgb="FF92D050"/>
    <pageSetUpPr fitToPage="1"/>
  </sheetPr>
  <dimension ref="B2:V22"/>
  <sheetViews>
    <sheetView tabSelected="1" workbookViewId="0">
      <selection activeCell="J19" sqref="J19"/>
    </sheetView>
  </sheetViews>
  <sheetFormatPr defaultRowHeight="17.399999999999999" x14ac:dyDescent="0.4"/>
  <cols>
    <col min="1" max="2" width="5.19921875" customWidth="1"/>
    <col min="7" max="7" width="10.5" customWidth="1"/>
    <col min="21" max="21" width="6.3984375" bestFit="1" customWidth="1"/>
  </cols>
  <sheetData>
    <row r="2" spans="2:22" x14ac:dyDescent="0.4">
      <c r="B2" s="33" t="s">
        <v>113</v>
      </c>
    </row>
    <row r="3" spans="2:22" ht="18" thickBot="1" x14ac:dyDescent="0.45">
      <c r="C3" s="33" t="s">
        <v>94</v>
      </c>
      <c r="D3" s="33">
        <v>500</v>
      </c>
      <c r="E3" s="33" t="s">
        <v>95</v>
      </c>
      <c r="F3" s="33"/>
      <c r="L3" s="33" t="s">
        <v>58</v>
      </c>
      <c r="M3" s="33">
        <v>10</v>
      </c>
      <c r="N3" s="33" t="s">
        <v>100</v>
      </c>
      <c r="P3" s="33" t="s">
        <v>94</v>
      </c>
      <c r="Q3" s="33">
        <v>500</v>
      </c>
      <c r="R3" s="33" t="s">
        <v>95</v>
      </c>
    </row>
    <row r="4" spans="2:22" ht="18" thickBot="1" x14ac:dyDescent="0.45">
      <c r="D4" s="169" t="s">
        <v>114</v>
      </c>
      <c r="E4" s="133"/>
      <c r="F4" s="133"/>
      <c r="G4" s="134"/>
      <c r="H4" s="169" t="s">
        <v>115</v>
      </c>
      <c r="I4" s="133"/>
      <c r="J4" s="133"/>
      <c r="K4" s="134"/>
      <c r="L4" s="173" t="s">
        <v>115</v>
      </c>
      <c r="M4" s="133"/>
      <c r="N4" s="134"/>
      <c r="P4" s="33" t="s">
        <v>58</v>
      </c>
      <c r="Q4" s="33">
        <v>20</v>
      </c>
      <c r="R4" s="33" t="s">
        <v>100</v>
      </c>
    </row>
    <row r="5" spans="2:22" x14ac:dyDescent="0.4">
      <c r="C5" s="157"/>
      <c r="D5" s="177" t="s">
        <v>96</v>
      </c>
      <c r="E5" s="161"/>
      <c r="F5" s="161"/>
      <c r="G5" s="170" t="s">
        <v>118</v>
      </c>
      <c r="H5" s="177" t="s">
        <v>96</v>
      </c>
      <c r="I5" s="161"/>
      <c r="J5" s="161"/>
      <c r="K5" s="170" t="s">
        <v>118</v>
      </c>
      <c r="L5" s="174" t="s">
        <v>96</v>
      </c>
      <c r="M5" s="165" t="s">
        <v>118</v>
      </c>
      <c r="N5" s="170" t="s">
        <v>119</v>
      </c>
      <c r="P5" s="68"/>
      <c r="Q5" s="137" t="s">
        <v>96</v>
      </c>
      <c r="R5" s="137"/>
      <c r="S5" s="137" t="s">
        <v>99</v>
      </c>
      <c r="T5" s="137"/>
      <c r="U5" s="137" t="s">
        <v>116</v>
      </c>
      <c r="V5" s="154"/>
    </row>
    <row r="6" spans="2:22" ht="18" thickBot="1" x14ac:dyDescent="0.45">
      <c r="C6" s="159"/>
      <c r="D6" s="162" t="s">
        <v>97</v>
      </c>
      <c r="E6" s="35" t="s">
        <v>98</v>
      </c>
      <c r="F6" s="35" t="s">
        <v>117</v>
      </c>
      <c r="G6" s="172"/>
      <c r="H6" s="162" t="s">
        <v>97</v>
      </c>
      <c r="I6" s="35" t="s">
        <v>98</v>
      </c>
      <c r="J6" s="35" t="s">
        <v>117</v>
      </c>
      <c r="K6" s="172"/>
      <c r="L6" s="175"/>
      <c r="M6" s="171"/>
      <c r="N6" s="172"/>
      <c r="P6" s="11"/>
      <c r="Q6" s="35" t="s">
        <v>97</v>
      </c>
      <c r="R6" s="35" t="s">
        <v>98</v>
      </c>
      <c r="S6" s="35" t="s">
        <v>97</v>
      </c>
      <c r="T6" s="35" t="s">
        <v>98</v>
      </c>
      <c r="U6" s="35" t="s">
        <v>97</v>
      </c>
      <c r="V6" s="116" t="s">
        <v>98</v>
      </c>
    </row>
    <row r="7" spans="2:22" x14ac:dyDescent="0.4">
      <c r="C7" s="157" t="s">
        <v>26</v>
      </c>
      <c r="D7" s="17">
        <v>130</v>
      </c>
      <c r="E7" s="18">
        <v>160</v>
      </c>
      <c r="F7" s="18">
        <f>(E7+D7)/2</f>
        <v>145</v>
      </c>
      <c r="G7" s="176">
        <f>$D$3/F7*60</f>
        <v>206.89655172413791</v>
      </c>
      <c r="H7" s="17">
        <v>140</v>
      </c>
      <c r="I7" s="18">
        <v>172</v>
      </c>
      <c r="J7" s="164">
        <f>(I7+H7)/2</f>
        <v>156</v>
      </c>
      <c r="K7" s="176">
        <f>$D$3/J7*60</f>
        <v>192.30769230769232</v>
      </c>
      <c r="L7" s="166">
        <f>J7+$M$3</f>
        <v>166</v>
      </c>
      <c r="M7" s="94">
        <f>$D$3/L7*60</f>
        <v>180.72289156626508</v>
      </c>
      <c r="N7" s="104">
        <f>(K7-M7)</f>
        <v>11.584800741427244</v>
      </c>
      <c r="P7" s="68" t="s">
        <v>26</v>
      </c>
      <c r="Q7" s="73">
        <f>D7+$Q$4</f>
        <v>150</v>
      </c>
      <c r="R7" s="73">
        <f>E7+$Q$4</f>
        <v>180</v>
      </c>
      <c r="S7" s="117">
        <f>$Q$3/Q7</f>
        <v>3.3333333333333335</v>
      </c>
      <c r="T7" s="117">
        <f t="shared" ref="T7:T11" si="0">$Q$3/R7</f>
        <v>2.7777777777777777</v>
      </c>
      <c r="U7" s="121">
        <f>(G7-S7)*60</f>
        <v>12213.793103448274</v>
      </c>
      <c r="V7" s="122" t="e">
        <f>(#REF!-T7)*60</f>
        <v>#REF!</v>
      </c>
    </row>
    <row r="8" spans="2:22" x14ac:dyDescent="0.4">
      <c r="C8" s="158" t="s">
        <v>27</v>
      </c>
      <c r="D8" s="9">
        <v>135</v>
      </c>
      <c r="E8" s="6">
        <v>165</v>
      </c>
      <c r="F8" s="6">
        <f t="shared" ref="F8:F11" si="1">(E8+D8)/2</f>
        <v>150</v>
      </c>
      <c r="G8" s="160">
        <f t="shared" ref="G8:G11" si="2">$D$3/F8*60</f>
        <v>200</v>
      </c>
      <c r="H8" s="9">
        <v>148</v>
      </c>
      <c r="I8" s="6">
        <v>177</v>
      </c>
      <c r="J8" s="85">
        <f t="shared" ref="J8:J11" si="3">(I8+H8)/2</f>
        <v>162.5</v>
      </c>
      <c r="K8" s="160">
        <f t="shared" ref="K8:K10" si="4">$D$3/J8*60</f>
        <v>184.61538461538461</v>
      </c>
      <c r="L8" s="167">
        <f>J8+$M$3*2</f>
        <v>182.5</v>
      </c>
      <c r="M8" s="85">
        <f>$D$3/L8*60</f>
        <v>164.38356164383561</v>
      </c>
      <c r="N8" s="106">
        <f>(K8-M8)</f>
        <v>20.231822971549008</v>
      </c>
      <c r="P8" s="9" t="s">
        <v>27</v>
      </c>
      <c r="Q8" s="6">
        <f>D8+$Q$4*2</f>
        <v>175</v>
      </c>
      <c r="R8" s="6">
        <f>E8+$Q$4*2</f>
        <v>205</v>
      </c>
      <c r="S8" s="8">
        <f t="shared" ref="S8:S11" si="5">$Q$3/Q8</f>
        <v>2.8571428571428572</v>
      </c>
      <c r="T8" s="8">
        <f t="shared" si="0"/>
        <v>2.4390243902439024</v>
      </c>
      <c r="U8" s="114">
        <f>(G8-S8)*60</f>
        <v>11828.571428571428</v>
      </c>
      <c r="V8" s="123" t="e">
        <f>(#REF!-T8)*60</f>
        <v>#REF!</v>
      </c>
    </row>
    <row r="9" spans="2:22" x14ac:dyDescent="0.4">
      <c r="C9" s="158" t="s">
        <v>28</v>
      </c>
      <c r="D9" s="9">
        <v>140</v>
      </c>
      <c r="E9" s="6">
        <v>170</v>
      </c>
      <c r="F9" s="6">
        <f t="shared" si="1"/>
        <v>155</v>
      </c>
      <c r="G9" s="160">
        <f t="shared" si="2"/>
        <v>193.54838709677418</v>
      </c>
      <c r="H9" s="9">
        <v>154</v>
      </c>
      <c r="I9" s="6">
        <v>183</v>
      </c>
      <c r="J9" s="85">
        <f t="shared" si="3"/>
        <v>168.5</v>
      </c>
      <c r="K9" s="160">
        <f t="shared" si="4"/>
        <v>178.04154302670622</v>
      </c>
      <c r="L9" s="167">
        <f>J9+$M$3*3</f>
        <v>198.5</v>
      </c>
      <c r="M9" s="85">
        <f>$D$3/L9*60</f>
        <v>151.13350125944584</v>
      </c>
      <c r="N9" s="106">
        <f>(K9-M9)</f>
        <v>26.908041767260386</v>
      </c>
      <c r="P9" s="9" t="s">
        <v>28</v>
      </c>
      <c r="Q9" s="6">
        <f>D9+$Q$4*2</f>
        <v>180</v>
      </c>
      <c r="R9" s="6">
        <f>E9+$Q$4*2</f>
        <v>210</v>
      </c>
      <c r="S9" s="8">
        <f t="shared" si="5"/>
        <v>2.7777777777777777</v>
      </c>
      <c r="T9" s="8">
        <f t="shared" si="0"/>
        <v>2.3809523809523809</v>
      </c>
      <c r="U9" s="114">
        <f>(G9-S9)*60</f>
        <v>11446.236559139785</v>
      </c>
      <c r="V9" s="123" t="e">
        <f>(#REF!-T9)*60</f>
        <v>#REF!</v>
      </c>
    </row>
    <row r="10" spans="2:22" x14ac:dyDescent="0.4">
      <c r="C10" s="158" t="s">
        <v>29</v>
      </c>
      <c r="D10" s="9">
        <v>145</v>
      </c>
      <c r="E10" s="6">
        <v>175</v>
      </c>
      <c r="F10" s="6">
        <f t="shared" si="1"/>
        <v>160</v>
      </c>
      <c r="G10" s="160">
        <f t="shared" si="2"/>
        <v>187.5</v>
      </c>
      <c r="H10" s="9">
        <v>160</v>
      </c>
      <c r="I10" s="6">
        <v>190</v>
      </c>
      <c r="J10" s="85">
        <f t="shared" si="3"/>
        <v>175</v>
      </c>
      <c r="K10" s="160">
        <f t="shared" si="4"/>
        <v>171.42857142857144</v>
      </c>
      <c r="L10" s="167">
        <f>J10+$M$3*4</f>
        <v>215</v>
      </c>
      <c r="M10" s="85">
        <f>$D$3/L10*60</f>
        <v>139.53488372093025</v>
      </c>
      <c r="N10" s="106">
        <f>(K10-M10)</f>
        <v>31.893687707641192</v>
      </c>
      <c r="P10" s="9" t="s">
        <v>29</v>
      </c>
      <c r="Q10" s="6">
        <f>D10+$Q$4*2</f>
        <v>185</v>
      </c>
      <c r="R10" s="6">
        <f>E10+$Q$4*2</f>
        <v>215</v>
      </c>
      <c r="S10" s="8">
        <f t="shared" si="5"/>
        <v>2.7027027027027026</v>
      </c>
      <c r="T10" s="8">
        <f t="shared" si="0"/>
        <v>2.3255813953488373</v>
      </c>
      <c r="U10" s="114">
        <f>(G10-S10)*60</f>
        <v>11087.837837837837</v>
      </c>
      <c r="V10" s="123" t="e">
        <f>(#REF!-T10)*60</f>
        <v>#REF!</v>
      </c>
    </row>
    <row r="11" spans="2:22" ht="18" thickBot="1" x14ac:dyDescent="0.45">
      <c r="C11" s="159" t="s">
        <v>30</v>
      </c>
      <c r="D11" s="11">
        <v>150</v>
      </c>
      <c r="E11" s="12">
        <v>180</v>
      </c>
      <c r="F11" s="12">
        <f t="shared" si="1"/>
        <v>165</v>
      </c>
      <c r="G11" s="163">
        <f t="shared" si="2"/>
        <v>181.81818181818181</v>
      </c>
      <c r="H11" s="11">
        <v>164</v>
      </c>
      <c r="I11" s="12">
        <v>197</v>
      </c>
      <c r="J11" s="99">
        <f t="shared" si="3"/>
        <v>180.5</v>
      </c>
      <c r="K11" s="163">
        <f>$D$3/J11*60</f>
        <v>166.2049861495845</v>
      </c>
      <c r="L11" s="168">
        <f>J11+$M$3*5</f>
        <v>230.5</v>
      </c>
      <c r="M11" s="99">
        <f>$D$3/L11*60</f>
        <v>130.15184381778744</v>
      </c>
      <c r="N11" s="108">
        <f>(K11-M11)</f>
        <v>36.053142331797062</v>
      </c>
      <c r="P11" s="11" t="s">
        <v>30</v>
      </c>
      <c r="Q11" s="12">
        <f>D11+$Q$4*2</f>
        <v>190</v>
      </c>
      <c r="R11" s="12">
        <f>E11+$Q$4*2</f>
        <v>220</v>
      </c>
      <c r="S11" s="13">
        <f t="shared" si="5"/>
        <v>2.6315789473684212</v>
      </c>
      <c r="T11" s="13">
        <f t="shared" si="0"/>
        <v>2.2727272727272729</v>
      </c>
      <c r="U11" s="124">
        <f>(G11-S11)*60</f>
        <v>10751.196172248805</v>
      </c>
      <c r="V11" s="125" t="e">
        <f>(#REF!-T11)*60</f>
        <v>#REF!</v>
      </c>
    </row>
    <row r="12" spans="2:22" x14ac:dyDescent="0.4">
      <c r="U12" s="113"/>
      <c r="V12" s="113"/>
    </row>
    <row r="13" spans="2:22" x14ac:dyDescent="0.4">
      <c r="U13" s="113"/>
      <c r="V13" s="113"/>
    </row>
    <row r="14" spans="2:22" x14ac:dyDescent="0.4">
      <c r="C14" s="33" t="s">
        <v>94</v>
      </c>
      <c r="D14" s="33">
        <v>250</v>
      </c>
      <c r="E14" s="33" t="s">
        <v>95</v>
      </c>
      <c r="F14" s="33"/>
      <c r="P14" s="33" t="s">
        <v>94</v>
      </c>
      <c r="Q14" s="33">
        <v>250</v>
      </c>
      <c r="R14" s="33" t="s">
        <v>95</v>
      </c>
      <c r="U14" s="113"/>
      <c r="V14" s="113"/>
    </row>
    <row r="15" spans="2:22" ht="18" thickBot="1" x14ac:dyDescent="0.45">
      <c r="P15" s="33" t="s">
        <v>58</v>
      </c>
      <c r="Q15" s="33">
        <v>15</v>
      </c>
      <c r="R15" s="33" t="s">
        <v>100</v>
      </c>
      <c r="U15" s="113"/>
      <c r="V15" s="113"/>
    </row>
    <row r="16" spans="2:22" x14ac:dyDescent="0.4">
      <c r="C16" s="68"/>
      <c r="D16" s="137" t="s">
        <v>96</v>
      </c>
      <c r="E16" s="137"/>
      <c r="F16" s="112"/>
      <c r="G16" s="112" t="s">
        <v>99</v>
      </c>
      <c r="P16" s="68"/>
      <c r="Q16" s="137" t="s">
        <v>96</v>
      </c>
      <c r="R16" s="137"/>
      <c r="S16" s="137" t="s">
        <v>99</v>
      </c>
      <c r="T16" s="137"/>
      <c r="U16" s="137" t="s">
        <v>101</v>
      </c>
      <c r="V16" s="154"/>
    </row>
    <row r="17" spans="3:22" ht="18" thickBot="1" x14ac:dyDescent="0.45">
      <c r="C17" s="11"/>
      <c r="D17" s="35" t="s">
        <v>97</v>
      </c>
      <c r="E17" s="35" t="s">
        <v>98</v>
      </c>
      <c r="F17" s="35"/>
      <c r="G17" s="35" t="s">
        <v>97</v>
      </c>
      <c r="P17" s="11"/>
      <c r="Q17" s="35" t="s">
        <v>97</v>
      </c>
      <c r="R17" s="35" t="s">
        <v>98</v>
      </c>
      <c r="S17" s="35" t="s">
        <v>97</v>
      </c>
      <c r="T17" s="35" t="s">
        <v>98</v>
      </c>
      <c r="U17" s="35" t="s">
        <v>97</v>
      </c>
      <c r="V17" s="116" t="s">
        <v>98</v>
      </c>
    </row>
    <row r="18" spans="3:22" x14ac:dyDescent="0.4">
      <c r="C18" s="68" t="s">
        <v>26</v>
      </c>
      <c r="D18" s="73">
        <v>90</v>
      </c>
      <c r="E18" s="73">
        <v>110</v>
      </c>
      <c r="F18" s="73"/>
      <c r="G18" s="117">
        <f t="shared" ref="G18:G22" si="6">$D$14/D18</f>
        <v>2.7777777777777777</v>
      </c>
      <c r="P18" s="68" t="s">
        <v>26</v>
      </c>
      <c r="Q18" s="73">
        <f>D7+$Q$15</f>
        <v>145</v>
      </c>
      <c r="R18" s="73">
        <f>E7+$Q$15</f>
        <v>175</v>
      </c>
      <c r="S18" s="117">
        <f>$Q$3/Q18</f>
        <v>3.4482758620689653</v>
      </c>
      <c r="T18" s="117">
        <f>$Q$3/R18</f>
        <v>2.8571428571428572</v>
      </c>
      <c r="U18" s="121">
        <f>(G7-S18)*60</f>
        <v>12206.896551724138</v>
      </c>
      <c r="V18" s="122" t="e">
        <f>(#REF!-T18)*60</f>
        <v>#REF!</v>
      </c>
    </row>
    <row r="19" spans="3:22" x14ac:dyDescent="0.4">
      <c r="C19" s="9" t="s">
        <v>27</v>
      </c>
      <c r="D19" s="6">
        <v>110</v>
      </c>
      <c r="E19" s="6">
        <v>130</v>
      </c>
      <c r="F19" s="6"/>
      <c r="G19" s="8">
        <f t="shared" si="6"/>
        <v>2.2727272727272729</v>
      </c>
      <c r="P19" s="9" t="s">
        <v>27</v>
      </c>
      <c r="Q19" s="6">
        <f>D8+$Q$15</f>
        <v>150</v>
      </c>
      <c r="R19" s="6">
        <f>E8+$Q$15</f>
        <v>180</v>
      </c>
      <c r="S19" s="8">
        <f t="shared" ref="S19:S22" si="7">$Q$3/Q19</f>
        <v>3.3333333333333335</v>
      </c>
      <c r="T19" s="8">
        <f t="shared" ref="T19:T22" si="8">$Q$3/R19</f>
        <v>2.7777777777777777</v>
      </c>
      <c r="U19" s="114">
        <f>(G8-S19)*60</f>
        <v>11800</v>
      </c>
      <c r="V19" s="123" t="e">
        <f>(#REF!-T19)*60</f>
        <v>#REF!</v>
      </c>
    </row>
    <row r="20" spans="3:22" x14ac:dyDescent="0.4">
      <c r="C20" s="9" t="s">
        <v>28</v>
      </c>
      <c r="D20" s="6">
        <v>140</v>
      </c>
      <c r="E20" s="6">
        <v>160</v>
      </c>
      <c r="F20" s="6"/>
      <c r="G20" s="8">
        <f t="shared" si="6"/>
        <v>1.7857142857142858</v>
      </c>
      <c r="P20" s="9" t="s">
        <v>28</v>
      </c>
      <c r="Q20" s="6">
        <f>D9+$Q$15</f>
        <v>155</v>
      </c>
      <c r="R20" s="6">
        <f>E9+$Q$15</f>
        <v>185</v>
      </c>
      <c r="S20" s="8">
        <f t="shared" si="7"/>
        <v>3.225806451612903</v>
      </c>
      <c r="T20" s="8">
        <f t="shared" si="8"/>
        <v>2.7027027027027026</v>
      </c>
      <c r="U20" s="114">
        <f>(G9-S20)*60</f>
        <v>11419.354838709676</v>
      </c>
      <c r="V20" s="123" t="e">
        <f>(#REF!-T20)*60</f>
        <v>#REF!</v>
      </c>
    </row>
    <row r="21" spans="3:22" x14ac:dyDescent="0.4">
      <c r="C21" s="9" t="s">
        <v>29</v>
      </c>
      <c r="D21" s="6">
        <v>190</v>
      </c>
      <c r="E21" s="6">
        <v>200</v>
      </c>
      <c r="F21" s="6"/>
      <c r="G21" s="8">
        <f t="shared" si="6"/>
        <v>1.3157894736842106</v>
      </c>
      <c r="P21" s="9" t="s">
        <v>29</v>
      </c>
      <c r="Q21" s="6">
        <f>D10+$Q$15</f>
        <v>160</v>
      </c>
      <c r="R21" s="6">
        <f>E10+$Q$15</f>
        <v>190</v>
      </c>
      <c r="S21" s="8">
        <f t="shared" si="7"/>
        <v>3.125</v>
      </c>
      <c r="T21" s="8">
        <f t="shared" si="8"/>
        <v>2.6315789473684212</v>
      </c>
      <c r="U21" s="114">
        <f>(G10-S21)*60</f>
        <v>11062.5</v>
      </c>
      <c r="V21" s="123" t="e">
        <f>(#REF!-T21)*60</f>
        <v>#REF!</v>
      </c>
    </row>
    <row r="22" spans="3:22" ht="18" thickBot="1" x14ac:dyDescent="0.45">
      <c r="C22" s="11" t="s">
        <v>30</v>
      </c>
      <c r="D22" s="12">
        <v>220</v>
      </c>
      <c r="E22" s="12">
        <v>230</v>
      </c>
      <c r="F22" s="12"/>
      <c r="G22" s="13">
        <f t="shared" si="6"/>
        <v>1.1363636363636365</v>
      </c>
      <c r="P22" s="11" t="s">
        <v>30</v>
      </c>
      <c r="Q22" s="12">
        <f>D11+$Q$15</f>
        <v>165</v>
      </c>
      <c r="R22" s="12">
        <f>E11+$Q$15</f>
        <v>195</v>
      </c>
      <c r="S22" s="13">
        <f t="shared" si="7"/>
        <v>3.0303030303030303</v>
      </c>
      <c r="T22" s="13">
        <f t="shared" si="8"/>
        <v>2.5641025641025643</v>
      </c>
      <c r="U22" s="124">
        <f>(G11-S22)*60</f>
        <v>10727.272727272726</v>
      </c>
      <c r="V22" s="125" t="e">
        <f>(#REF!-T22)*60</f>
        <v>#REF!</v>
      </c>
    </row>
  </sheetData>
  <mergeCells count="17">
    <mergeCell ref="D4:G4"/>
    <mergeCell ref="H4:K4"/>
    <mergeCell ref="D5:F5"/>
    <mergeCell ref="H5:J5"/>
    <mergeCell ref="G5:G6"/>
    <mergeCell ref="K5:K6"/>
    <mergeCell ref="L5:L6"/>
    <mergeCell ref="M5:M6"/>
    <mergeCell ref="L4:N4"/>
    <mergeCell ref="U5:V5"/>
    <mergeCell ref="U16:V16"/>
    <mergeCell ref="D16:E16"/>
    <mergeCell ref="Q5:R5"/>
    <mergeCell ref="S5:T5"/>
    <mergeCell ref="Q16:R16"/>
    <mergeCell ref="S16:T16"/>
    <mergeCell ref="N5:N6"/>
  </mergeCells>
  <phoneticPr fontId="1" type="noConversion"/>
  <pageMargins left="0.7" right="0.7" top="0.75" bottom="0.75" header="0.3" footer="0.3"/>
  <pageSetup paperSize="9" scale="6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2076-824B-4FAE-8E4F-F877D918095F}">
  <sheetPr>
    <tabColor rgb="FF92D050"/>
  </sheetPr>
  <dimension ref="B1:R21"/>
  <sheetViews>
    <sheetView workbookViewId="0">
      <selection activeCell="Q15" sqref="Q15"/>
    </sheetView>
  </sheetViews>
  <sheetFormatPr defaultRowHeight="17.399999999999999" x14ac:dyDescent="0.4"/>
  <cols>
    <col min="1" max="1" width="4.3984375" customWidth="1"/>
    <col min="7" max="7" width="5.5" customWidth="1"/>
  </cols>
  <sheetData>
    <row r="1" spans="2:18" s="33" customFormat="1" x14ac:dyDescent="0.4">
      <c r="B1" s="33" t="s">
        <v>102</v>
      </c>
      <c r="H1" s="33" t="s">
        <v>103</v>
      </c>
    </row>
    <row r="2" spans="2:18" x14ac:dyDescent="0.4">
      <c r="B2" s="33" t="s">
        <v>94</v>
      </c>
      <c r="C2" s="33">
        <v>250</v>
      </c>
      <c r="D2" s="33" t="s">
        <v>95</v>
      </c>
      <c r="H2" s="33" t="s">
        <v>94</v>
      </c>
      <c r="I2" s="33">
        <v>250</v>
      </c>
      <c r="J2" s="33" t="s">
        <v>95</v>
      </c>
    </row>
    <row r="3" spans="2:18" ht="18" thickBot="1" x14ac:dyDescent="0.45">
      <c r="B3" s="33" t="s">
        <v>104</v>
      </c>
      <c r="C3" s="33"/>
      <c r="D3" s="33"/>
      <c r="H3" s="33" t="s">
        <v>105</v>
      </c>
      <c r="I3" s="33"/>
      <c r="J3" s="33"/>
    </row>
    <row r="4" spans="2:18" x14ac:dyDescent="0.4">
      <c r="B4" s="68"/>
      <c r="C4" s="137" t="s">
        <v>96</v>
      </c>
      <c r="D4" s="137"/>
      <c r="E4" s="137" t="s">
        <v>99</v>
      </c>
      <c r="F4" s="154"/>
      <c r="H4" s="68"/>
      <c r="I4" s="137" t="s">
        <v>96</v>
      </c>
      <c r="J4" s="137"/>
      <c r="K4" s="137" t="s">
        <v>99</v>
      </c>
      <c r="L4" s="154"/>
      <c r="N4" s="33" t="s">
        <v>111</v>
      </c>
    </row>
    <row r="5" spans="2:18" ht="18" thickBot="1" x14ac:dyDescent="0.45">
      <c r="B5" s="11"/>
      <c r="C5" s="35" t="s">
        <v>97</v>
      </c>
      <c r="D5" s="35" t="s">
        <v>98</v>
      </c>
      <c r="E5" s="35" t="s">
        <v>97</v>
      </c>
      <c r="F5" s="116" t="s">
        <v>98</v>
      </c>
      <c r="H5" s="11"/>
      <c r="I5" s="35" t="s">
        <v>97</v>
      </c>
      <c r="J5" s="35" t="s">
        <v>98</v>
      </c>
      <c r="K5" s="35" t="s">
        <v>97</v>
      </c>
      <c r="L5" s="116" t="s">
        <v>98</v>
      </c>
      <c r="O5" s="155" t="s">
        <v>112</v>
      </c>
      <c r="P5" s="6">
        <v>5</v>
      </c>
      <c r="Q5" s="6">
        <v>5</v>
      </c>
      <c r="R5" s="6" t="s">
        <v>110</v>
      </c>
    </row>
    <row r="6" spans="2:18" x14ac:dyDescent="0.4">
      <c r="B6" s="68" t="s">
        <v>26</v>
      </c>
      <c r="C6" s="73">
        <v>130</v>
      </c>
      <c r="D6" s="73">
        <v>160</v>
      </c>
      <c r="E6" s="117">
        <f>$C$2/C6</f>
        <v>1.9230769230769231</v>
      </c>
      <c r="F6" s="118">
        <f>$C$2/D6</f>
        <v>1.5625</v>
      </c>
      <c r="H6" s="68" t="s">
        <v>26</v>
      </c>
      <c r="I6" s="73">
        <v>90</v>
      </c>
      <c r="J6" s="73">
        <v>110</v>
      </c>
      <c r="K6" s="117">
        <f t="shared" ref="K6:L10" si="0">$I$2/I6</f>
        <v>2.7777777777777777</v>
      </c>
      <c r="L6" s="118">
        <f t="shared" si="0"/>
        <v>2.2727272727272729</v>
      </c>
      <c r="O6" s="156" t="s">
        <v>106</v>
      </c>
      <c r="P6" s="6">
        <v>2.996</v>
      </c>
      <c r="Q6" s="6">
        <v>2.996</v>
      </c>
      <c r="R6" s="6" t="s">
        <v>110</v>
      </c>
    </row>
    <row r="7" spans="2:18" x14ac:dyDescent="0.4">
      <c r="B7" s="9" t="s">
        <v>27</v>
      </c>
      <c r="C7" s="6">
        <v>135</v>
      </c>
      <c r="D7" s="6">
        <v>165</v>
      </c>
      <c r="E7" s="8">
        <f t="shared" ref="E7:F10" si="1">$C$2/C7</f>
        <v>1.8518518518518519</v>
      </c>
      <c r="F7" s="119">
        <f t="shared" si="1"/>
        <v>1.5151515151515151</v>
      </c>
      <c r="H7" s="9" t="s">
        <v>27</v>
      </c>
      <c r="I7" s="6">
        <v>110</v>
      </c>
      <c r="J7" s="6">
        <v>130</v>
      </c>
      <c r="K7" s="8">
        <f t="shared" si="0"/>
        <v>2.2727272727272729</v>
      </c>
      <c r="L7" s="119">
        <f t="shared" si="0"/>
        <v>1.9230769230769231</v>
      </c>
      <c r="O7" s="156" t="s">
        <v>107</v>
      </c>
      <c r="P7" s="6">
        <v>200</v>
      </c>
      <c r="Q7" s="6">
        <v>150</v>
      </c>
      <c r="R7" s="6"/>
    </row>
    <row r="8" spans="2:18" x14ac:dyDescent="0.4">
      <c r="B8" s="9" t="s">
        <v>28</v>
      </c>
      <c r="C8" s="6">
        <v>140</v>
      </c>
      <c r="D8" s="6">
        <v>170</v>
      </c>
      <c r="E8" s="8">
        <f t="shared" si="1"/>
        <v>1.7857142857142858</v>
      </c>
      <c r="F8" s="119">
        <f t="shared" si="1"/>
        <v>1.4705882352941178</v>
      </c>
      <c r="H8" s="9" t="s">
        <v>28</v>
      </c>
      <c r="I8" s="6">
        <v>140</v>
      </c>
      <c r="J8" s="6">
        <v>160</v>
      </c>
      <c r="K8" s="8">
        <f t="shared" si="0"/>
        <v>1.7857142857142858</v>
      </c>
      <c r="L8" s="119">
        <f t="shared" si="0"/>
        <v>1.5625</v>
      </c>
      <c r="O8" s="156" t="s">
        <v>108</v>
      </c>
      <c r="P8" s="8">
        <f>(P5-P6)/P7*1000</f>
        <v>10.02</v>
      </c>
      <c r="Q8" s="8">
        <f>(Q5-Q6)/Q7*1000</f>
        <v>13.360000000000001</v>
      </c>
      <c r="R8" s="6" t="s">
        <v>109</v>
      </c>
    </row>
    <row r="9" spans="2:18" x14ac:dyDescent="0.4">
      <c r="B9" s="9" t="s">
        <v>29</v>
      </c>
      <c r="C9" s="6">
        <v>145</v>
      </c>
      <c r="D9" s="6">
        <v>175</v>
      </c>
      <c r="E9" s="8">
        <f t="shared" si="1"/>
        <v>1.7241379310344827</v>
      </c>
      <c r="F9" s="119">
        <f t="shared" si="1"/>
        <v>1.4285714285714286</v>
      </c>
      <c r="H9" s="9" t="s">
        <v>29</v>
      </c>
      <c r="I9" s="6">
        <v>190</v>
      </c>
      <c r="J9" s="6">
        <v>200</v>
      </c>
      <c r="K9" s="8">
        <f t="shared" si="0"/>
        <v>1.3157894736842106</v>
      </c>
      <c r="L9" s="119">
        <f t="shared" si="0"/>
        <v>1.25</v>
      </c>
      <c r="M9" s="126">
        <f>(F9-L9)*60</f>
        <v>10.714285714285715</v>
      </c>
    </row>
    <row r="10" spans="2:18" ht="18" thickBot="1" x14ac:dyDescent="0.45">
      <c r="B10" s="11" t="s">
        <v>30</v>
      </c>
      <c r="C10" s="12">
        <v>150</v>
      </c>
      <c r="D10" s="12">
        <v>180</v>
      </c>
      <c r="E10" s="13">
        <f t="shared" si="1"/>
        <v>1.6666666666666667</v>
      </c>
      <c r="F10" s="120">
        <f t="shared" si="1"/>
        <v>1.3888888888888888</v>
      </c>
      <c r="H10" s="11" t="s">
        <v>30</v>
      </c>
      <c r="I10" s="12">
        <v>220</v>
      </c>
      <c r="J10" s="12">
        <v>230</v>
      </c>
      <c r="K10" s="13">
        <f t="shared" si="0"/>
        <v>1.1363636363636365</v>
      </c>
      <c r="L10" s="120">
        <f t="shared" si="0"/>
        <v>1.0869565217391304</v>
      </c>
      <c r="M10" s="126">
        <f>(F10-L10)*60</f>
        <v>18.115942028985508</v>
      </c>
      <c r="O10">
        <v>60</v>
      </c>
      <c r="P10">
        <v>80</v>
      </c>
    </row>
    <row r="11" spans="2:18" x14ac:dyDescent="0.4">
      <c r="O11">
        <f>I10-O10</f>
        <v>160</v>
      </c>
      <c r="P11">
        <f>J10-P10</f>
        <v>150</v>
      </c>
    </row>
    <row r="12" spans="2:18" x14ac:dyDescent="0.4">
      <c r="B12" s="33" t="s">
        <v>102</v>
      </c>
      <c r="C12" s="33"/>
      <c r="D12" s="33"/>
      <c r="E12" s="33"/>
      <c r="F12" s="33"/>
      <c r="G12" s="33"/>
      <c r="H12" s="33" t="s">
        <v>103</v>
      </c>
      <c r="I12" s="33"/>
      <c r="J12" s="33"/>
      <c r="K12" s="33"/>
      <c r="L12" s="33"/>
      <c r="M12" s="33"/>
    </row>
    <row r="13" spans="2:18" x14ac:dyDescent="0.4">
      <c r="B13" s="33" t="s">
        <v>94</v>
      </c>
      <c r="C13" s="33">
        <v>500</v>
      </c>
      <c r="D13" s="33" t="s">
        <v>95</v>
      </c>
      <c r="H13" s="33" t="s">
        <v>94</v>
      </c>
      <c r="I13" s="33">
        <v>500</v>
      </c>
      <c r="J13" s="33" t="s">
        <v>95</v>
      </c>
    </row>
    <row r="14" spans="2:18" ht="18" thickBot="1" x14ac:dyDescent="0.45">
      <c r="B14" s="33" t="s">
        <v>104</v>
      </c>
      <c r="C14" s="33"/>
      <c r="D14" s="33"/>
      <c r="H14" s="33" t="s">
        <v>105</v>
      </c>
      <c r="I14" s="33"/>
      <c r="J14" s="33"/>
    </row>
    <row r="15" spans="2:18" x14ac:dyDescent="0.4">
      <c r="B15" s="68"/>
      <c r="C15" s="137" t="s">
        <v>96</v>
      </c>
      <c r="D15" s="137"/>
      <c r="E15" s="137" t="s">
        <v>99</v>
      </c>
      <c r="F15" s="154"/>
      <c r="H15" s="68"/>
      <c r="I15" s="137" t="s">
        <v>96</v>
      </c>
      <c r="J15" s="137"/>
      <c r="K15" s="137" t="s">
        <v>99</v>
      </c>
      <c r="L15" s="154"/>
    </row>
    <row r="16" spans="2:18" ht="18" thickBot="1" x14ac:dyDescent="0.45">
      <c r="B16" s="127"/>
      <c r="C16" s="115" t="s">
        <v>97</v>
      </c>
      <c r="D16" s="115" t="s">
        <v>98</v>
      </c>
      <c r="E16" s="115" t="s">
        <v>97</v>
      </c>
      <c r="F16" s="128" t="s">
        <v>98</v>
      </c>
      <c r="H16" s="127"/>
      <c r="I16" s="115" t="s">
        <v>97</v>
      </c>
      <c r="J16" s="115" t="s">
        <v>98</v>
      </c>
      <c r="K16" s="115" t="s">
        <v>97</v>
      </c>
      <c r="L16" s="128" t="s">
        <v>98</v>
      </c>
    </row>
    <row r="17" spans="2:13" x14ac:dyDescent="0.4">
      <c r="B17" s="68" t="s">
        <v>26</v>
      </c>
      <c r="C17" s="73">
        <v>130</v>
      </c>
      <c r="D17" s="73">
        <v>160</v>
      </c>
      <c r="E17" s="117">
        <f>$C$13/C17</f>
        <v>3.8461538461538463</v>
      </c>
      <c r="F17" s="118">
        <f>$C$13/D17</f>
        <v>3.125</v>
      </c>
      <c r="H17" s="68" t="s">
        <v>26</v>
      </c>
      <c r="I17" s="73">
        <v>90</v>
      </c>
      <c r="J17" s="73">
        <v>110</v>
      </c>
      <c r="K17" s="117">
        <f>$I$13/I17</f>
        <v>5.5555555555555554</v>
      </c>
      <c r="L17" s="118">
        <f>$I$13/J17</f>
        <v>4.5454545454545459</v>
      </c>
    </row>
    <row r="18" spans="2:13" x14ac:dyDescent="0.4">
      <c r="B18" s="9" t="s">
        <v>27</v>
      </c>
      <c r="C18" s="6">
        <v>135</v>
      </c>
      <c r="D18" s="6">
        <v>165</v>
      </c>
      <c r="E18" s="8">
        <f t="shared" ref="E18:E21" si="2">$C$13/C18</f>
        <v>3.7037037037037037</v>
      </c>
      <c r="F18" s="119">
        <f t="shared" ref="F18:F21" si="3">$C$13/D18</f>
        <v>3.0303030303030303</v>
      </c>
      <c r="H18" s="9" t="s">
        <v>27</v>
      </c>
      <c r="I18" s="6">
        <v>110</v>
      </c>
      <c r="J18" s="6">
        <v>130</v>
      </c>
      <c r="K18" s="8">
        <f t="shared" ref="K18:K21" si="4">$I$13/I18</f>
        <v>4.5454545454545459</v>
      </c>
      <c r="L18" s="119">
        <f t="shared" ref="L18:L21" si="5">$I$13/J18</f>
        <v>3.8461538461538463</v>
      </c>
    </row>
    <row r="19" spans="2:13" x14ac:dyDescent="0.4">
      <c r="B19" s="9" t="s">
        <v>28</v>
      </c>
      <c r="C19" s="6">
        <v>140</v>
      </c>
      <c r="D19" s="6">
        <v>170</v>
      </c>
      <c r="E19" s="8">
        <f t="shared" si="2"/>
        <v>3.5714285714285716</v>
      </c>
      <c r="F19" s="119">
        <f t="shared" si="3"/>
        <v>2.9411764705882355</v>
      </c>
      <c r="H19" s="9" t="s">
        <v>28</v>
      </c>
      <c r="I19" s="6">
        <v>140</v>
      </c>
      <c r="J19" s="6">
        <v>160</v>
      </c>
      <c r="K19" s="8">
        <f t="shared" si="4"/>
        <v>3.5714285714285716</v>
      </c>
      <c r="L19" s="119">
        <f t="shared" si="5"/>
        <v>3.125</v>
      </c>
    </row>
    <row r="20" spans="2:13" x14ac:dyDescent="0.4">
      <c r="B20" s="9" t="s">
        <v>29</v>
      </c>
      <c r="C20" s="6">
        <v>145</v>
      </c>
      <c r="D20" s="6">
        <v>175</v>
      </c>
      <c r="E20" s="8">
        <f t="shared" si="2"/>
        <v>3.4482758620689653</v>
      </c>
      <c r="F20" s="119">
        <f t="shared" si="3"/>
        <v>2.8571428571428572</v>
      </c>
      <c r="H20" s="9" t="s">
        <v>29</v>
      </c>
      <c r="I20" s="6">
        <v>190</v>
      </c>
      <c r="J20" s="6">
        <v>200</v>
      </c>
      <c r="K20" s="8">
        <f t="shared" si="4"/>
        <v>2.6315789473684212</v>
      </c>
      <c r="L20" s="119">
        <f t="shared" si="5"/>
        <v>2.5</v>
      </c>
      <c r="M20" s="126">
        <f>(F20-L20)*60</f>
        <v>21.428571428571431</v>
      </c>
    </row>
    <row r="21" spans="2:13" ht="18" thickBot="1" x14ac:dyDescent="0.45">
      <c r="B21" s="11" t="s">
        <v>30</v>
      </c>
      <c r="C21" s="12">
        <v>150</v>
      </c>
      <c r="D21" s="12">
        <v>180</v>
      </c>
      <c r="E21" s="13">
        <f t="shared" si="2"/>
        <v>3.3333333333333335</v>
      </c>
      <c r="F21" s="120">
        <f t="shared" si="3"/>
        <v>2.7777777777777777</v>
      </c>
      <c r="H21" s="11" t="s">
        <v>30</v>
      </c>
      <c r="I21" s="12">
        <v>220</v>
      </c>
      <c r="J21" s="12">
        <v>230</v>
      </c>
      <c r="K21" s="13">
        <f t="shared" si="4"/>
        <v>2.2727272727272729</v>
      </c>
      <c r="L21" s="120">
        <f t="shared" si="5"/>
        <v>2.1739130434782608</v>
      </c>
      <c r="M21" s="126">
        <f>(F21-L21)*60</f>
        <v>36.231884057971016</v>
      </c>
    </row>
  </sheetData>
  <mergeCells count="8">
    <mergeCell ref="C15:D15"/>
    <mergeCell ref="E15:F15"/>
    <mergeCell ref="I15:J15"/>
    <mergeCell ref="K15:L15"/>
    <mergeCell ref="C4:D4"/>
    <mergeCell ref="E4:F4"/>
    <mergeCell ref="I4:J4"/>
    <mergeCell ref="K4:L4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Issue list</vt:lpstr>
      <vt:lpstr>Leakage</vt:lpstr>
      <vt:lpstr>ADC</vt:lpstr>
      <vt:lpstr>Pout</vt:lpstr>
      <vt:lpstr>DAC</vt:lpstr>
      <vt:lpstr>사용시간</vt:lpstr>
      <vt:lpstr>사용시간 (2)</vt:lpstr>
      <vt:lpstr>ADC!Print_Area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2019-07-29T03:38:49Z</dcterms:modified>
</cp:coreProperties>
</file>