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embeddings/oleObject4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5.bin" ContentType="application/vnd.openxmlformats-officedocument.oleObject"/>
  <Override PartName="/xl/drawings/drawing14.xml" ContentType="application/vnd.openxmlformats-officedocument.drawing+xml"/>
  <Override PartName="/xl/embeddings/oleObject6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any Data\Project\201412_장보고-III\Review\"/>
    </mc:Choice>
  </mc:AlternateContent>
  <bookViews>
    <workbookView xWindow="0" yWindow="0" windowWidth="28800" windowHeight="12390" tabRatio="750" firstSheet="7" activeTab="16"/>
  </bookViews>
  <sheets>
    <sheet name="VHDL" sheetId="7" r:id="rId1"/>
    <sheet name="DC-DC converter_전압조정" sheetId="5" r:id="rId2"/>
    <sheet name="Voltage Monitor" sheetId="2" r:id="rId3"/>
    <sheet name="Current Sensor" sheetId="4" r:id="rId4"/>
    <sheet name="SEL_LED" sheetId="8" r:id="rId5"/>
    <sheet name="nLRESET" sheetId="24" r:id="rId6"/>
    <sheet name="5V DC-DC converter" sheetId="3" r:id="rId7"/>
    <sheet name="LCD_DC-DC Protect Cir" sheetId="6" r:id="rId8"/>
    <sheet name="LCD_Timer 교체" sheetId="10" r:id="rId9"/>
    <sheet name="OR-ing" sheetId="13" r:id="rId10"/>
    <sheet name="Opto-coupler" sheetId="9" r:id="rId11"/>
    <sheet name="납품" sheetId="11" r:id="rId12"/>
    <sheet name="전원반" sheetId="12" r:id="rId13"/>
    <sheet name="28V2 timer" sheetId="17" r:id="rId14"/>
    <sheet name="Motor deriver" sheetId="16" r:id="rId15"/>
    <sheet name="누수센서 PWR" sheetId="23" r:id="rId16"/>
    <sheet name="Backlight Ctrl" sheetId="14" r:id="rId17"/>
    <sheet name="Power Calc" sheetId="18" r:id="rId18"/>
    <sheet name="Motor Test board" sheetId="15" r:id="rId19"/>
    <sheet name="IShare" sheetId="19" r:id="rId20"/>
    <sheet name="truth Table" sheetId="20" r:id="rId21"/>
    <sheet name="Sel SW" sheetId="21" r:id="rId22"/>
    <sheet name="DIOB" sheetId="22" r:id="rId23"/>
    <sheet name="LCD" sheetId="25" r:id="rId24"/>
  </sheets>
  <definedNames>
    <definedName name="_xlnm.Print_Area" localSheetId="3">'Current Sensor'!$A$1:$S$43</definedName>
    <definedName name="_xlnm.Print_Area" localSheetId="22">DIOB!$A$1:$AC$138</definedName>
    <definedName name="_xlnm.Print_Area" localSheetId="20">'truth Table'!$A$1:$Z$150</definedName>
    <definedName name="_xlnm.Print_Area" localSheetId="2">'Voltage Monitor'!$A$1:$AH$135</definedName>
    <definedName name="_xlnm.Print_Area" localSheetId="11">납품!$A$1:$I$26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21" l="1"/>
  <c r="E42" i="21"/>
  <c r="G41" i="21"/>
  <c r="E41" i="21"/>
  <c r="G40" i="21"/>
  <c r="E40" i="21"/>
  <c r="G39" i="21"/>
  <c r="E39" i="21"/>
  <c r="G38" i="21"/>
  <c r="E38" i="21"/>
  <c r="G37" i="21"/>
  <c r="E37" i="21"/>
  <c r="G36" i="21"/>
  <c r="E36" i="21"/>
  <c r="G35" i="21"/>
  <c r="E35" i="21"/>
  <c r="G34" i="21"/>
  <c r="E34" i="21"/>
  <c r="K27" i="21"/>
  <c r="H27" i="21"/>
  <c r="K26" i="21"/>
  <c r="H26" i="21"/>
  <c r="K25" i="21"/>
  <c r="H25" i="21"/>
  <c r="K24" i="21"/>
  <c r="K23" i="21"/>
  <c r="K22" i="21"/>
  <c r="K21" i="21"/>
  <c r="K20" i="21"/>
  <c r="K19" i="21"/>
  <c r="E27" i="21" l="1"/>
  <c r="I27" i="21" s="1"/>
  <c r="E26" i="21"/>
  <c r="I26" i="21" s="1"/>
  <c r="E25" i="21"/>
  <c r="I25" i="21" s="1"/>
  <c r="E24" i="21"/>
  <c r="I24" i="21" s="1"/>
  <c r="E23" i="21"/>
  <c r="I23" i="21" s="1"/>
  <c r="E19" i="21"/>
  <c r="I19" i="21" s="1"/>
  <c r="E20" i="21"/>
  <c r="I20" i="21" s="1"/>
  <c r="E21" i="21"/>
  <c r="I21" i="21" s="1"/>
  <c r="E22" i="21"/>
  <c r="I22" i="21" s="1"/>
  <c r="H24" i="21"/>
  <c r="H23" i="21"/>
  <c r="H22" i="21"/>
  <c r="H21" i="21"/>
  <c r="H20" i="21"/>
  <c r="H19" i="21"/>
  <c r="I36" i="18" l="1"/>
  <c r="I35" i="18"/>
  <c r="I34" i="18"/>
  <c r="G36" i="18"/>
  <c r="G35" i="18"/>
  <c r="G34" i="18"/>
  <c r="I33" i="18"/>
  <c r="G33" i="18"/>
  <c r="E33" i="18"/>
  <c r="E36" i="18" s="1"/>
  <c r="I31" i="18"/>
  <c r="G31" i="18"/>
  <c r="I30" i="18"/>
  <c r="G30" i="18"/>
  <c r="I32" i="18"/>
  <c r="G32" i="18"/>
  <c r="E35" i="18"/>
  <c r="E34" i="18"/>
  <c r="C36" i="18"/>
  <c r="C35" i="18"/>
  <c r="C34" i="18"/>
  <c r="G27" i="18"/>
  <c r="I27" i="18"/>
  <c r="C33" i="18"/>
  <c r="E27" i="18"/>
  <c r="E31" i="18" s="1"/>
  <c r="M31" i="18"/>
  <c r="M30" i="18"/>
  <c r="M29" i="18"/>
  <c r="M28" i="18"/>
  <c r="E32" i="18" l="1"/>
  <c r="E30" i="18"/>
  <c r="C27" i="18"/>
  <c r="C30" i="18" s="1"/>
  <c r="C32" i="18" l="1"/>
  <c r="C31" i="18"/>
  <c r="Q188" i="22"/>
  <c r="Q189" i="22" s="1"/>
  <c r="Q186" i="22"/>
  <c r="Q187" i="22" s="1"/>
  <c r="P186" i="22"/>
  <c r="P188" i="22" s="1"/>
  <c r="P189" i="22" s="1"/>
  <c r="O186" i="22"/>
  <c r="O188" i="22" s="1"/>
  <c r="O189" i="22" s="1"/>
  <c r="N186" i="22"/>
  <c r="N187" i="22" s="1"/>
  <c r="K194" i="22"/>
  <c r="K196" i="22" s="1"/>
  <c r="J197" i="22"/>
  <c r="J196" i="22"/>
  <c r="J194" i="22"/>
  <c r="M186" i="22"/>
  <c r="M188" i="22" s="1"/>
  <c r="M189" i="22" s="1"/>
  <c r="L186" i="22"/>
  <c r="L188" i="22" s="1"/>
  <c r="L189" i="22" s="1"/>
  <c r="P187" i="22" l="1"/>
  <c r="O187" i="22"/>
  <c r="N188" i="22"/>
  <c r="N189" i="22" s="1"/>
  <c r="K197" i="22"/>
  <c r="M187" i="22"/>
  <c r="L187" i="22"/>
  <c r="K186" i="22"/>
  <c r="K188" i="22" s="1"/>
  <c r="K189" i="22" s="1"/>
  <c r="J189" i="22"/>
  <c r="P198" i="22"/>
  <c r="E191" i="22"/>
  <c r="K187" i="22" l="1"/>
  <c r="I175" i="22"/>
  <c r="J188" i="22"/>
  <c r="J187" i="22"/>
  <c r="J186" i="22"/>
  <c r="Q170" i="22"/>
  <c r="O160" i="22"/>
  <c r="O161" i="22" s="1"/>
  <c r="S166" i="22"/>
  <c r="S169" i="22"/>
  <c r="M160" i="22"/>
  <c r="N159" i="22" s="1"/>
  <c r="M180" i="22"/>
  <c r="M179" i="22"/>
  <c r="N176" i="22" s="1"/>
  <c r="E174" i="22"/>
  <c r="F171" i="22" s="1"/>
  <c r="J160" i="22"/>
  <c r="K158" i="22" s="1"/>
  <c r="K163" i="22" s="1"/>
  <c r="K164" i="22" s="1"/>
  <c r="H160" i="22"/>
  <c r="E175" i="22" l="1"/>
  <c r="K159" i="22"/>
  <c r="J161" i="22"/>
  <c r="K156" i="22"/>
  <c r="K157" i="22"/>
  <c r="P156" i="22"/>
  <c r="P159" i="22"/>
  <c r="P157" i="22"/>
  <c r="P158" i="22"/>
  <c r="N156" i="22"/>
  <c r="N157" i="22"/>
  <c r="N158" i="22"/>
  <c r="M161" i="22"/>
  <c r="N177" i="22"/>
  <c r="N178" i="22"/>
  <c r="N175" i="22"/>
  <c r="F172" i="22"/>
  <c r="F173" i="22"/>
  <c r="F170" i="22"/>
  <c r="E161" i="22"/>
  <c r="F161" i="22" s="1"/>
  <c r="F174" i="22" l="1"/>
  <c r="K160" i="22"/>
  <c r="P160" i="22"/>
  <c r="N160" i="22"/>
  <c r="N179" i="22"/>
  <c r="M112" i="22" l="1"/>
  <c r="M111" i="22"/>
  <c r="U108" i="22"/>
  <c r="U110" i="22"/>
  <c r="U112" i="22"/>
  <c r="T112" i="22"/>
  <c r="T111" i="22"/>
  <c r="S112" i="22"/>
  <c r="S111" i="22"/>
  <c r="R112" i="22"/>
  <c r="R111" i="22"/>
  <c r="R110" i="22"/>
  <c r="R109" i="22"/>
  <c r="L111" i="22"/>
  <c r="I112" i="22"/>
  <c r="I111" i="22"/>
  <c r="Q110" i="22"/>
  <c r="Q108" i="22"/>
  <c r="N109" i="22"/>
  <c r="N110" i="22"/>
  <c r="L108" i="22"/>
  <c r="K108" i="22"/>
  <c r="K107" i="22"/>
  <c r="L110" i="22" l="1"/>
  <c r="L109" i="22"/>
  <c r="K112" i="22"/>
  <c r="K111" i="22"/>
  <c r="K110" i="22"/>
  <c r="K109" i="22"/>
  <c r="Q112" i="22" l="1"/>
  <c r="N112" i="22"/>
  <c r="P112" i="22"/>
  <c r="O112" i="22"/>
  <c r="L112" i="22"/>
  <c r="N111" i="22"/>
  <c r="O111" i="22"/>
  <c r="P111" i="22"/>
  <c r="G32" i="22"/>
  <c r="G33" i="22" s="1"/>
  <c r="G31" i="22"/>
  <c r="F32" i="22"/>
  <c r="F33" i="22" s="1"/>
  <c r="F31" i="22"/>
  <c r="D32" i="22"/>
  <c r="D33" i="22" s="1"/>
  <c r="F34" i="22" l="1"/>
  <c r="F35" i="22"/>
  <c r="D34" i="22"/>
  <c r="D35" i="22"/>
  <c r="G35" i="22"/>
  <c r="G34" i="22"/>
  <c r="C6" i="24"/>
  <c r="D5" i="24"/>
  <c r="D6" i="24" s="1"/>
  <c r="C5" i="24"/>
  <c r="G118" i="21" l="1"/>
  <c r="BI118" i="2" l="1"/>
  <c r="BH118" i="2"/>
  <c r="I172" i="5" l="1"/>
  <c r="H172" i="5"/>
  <c r="G172" i="5"/>
  <c r="F172" i="5"/>
  <c r="I170" i="5"/>
  <c r="I171" i="5" s="1"/>
  <c r="H170" i="5"/>
  <c r="H171" i="5" s="1"/>
  <c r="G170" i="5"/>
  <c r="G171" i="5" s="1"/>
  <c r="F170" i="5"/>
  <c r="F171" i="5" s="1"/>
  <c r="I160" i="5"/>
  <c r="E160" i="5"/>
  <c r="E157" i="5"/>
  <c r="E158" i="5" s="1"/>
  <c r="J155" i="5"/>
  <c r="I155" i="5"/>
  <c r="I161" i="5" s="1"/>
  <c r="I162" i="5" s="1"/>
  <c r="H155" i="5"/>
  <c r="G155" i="5"/>
  <c r="G160" i="5" s="1"/>
  <c r="G161" i="5" s="1"/>
  <c r="G162" i="5" s="1"/>
  <c r="F155" i="5"/>
  <c r="E155" i="5"/>
  <c r="E161" i="5" s="1"/>
  <c r="E162" i="5" s="1"/>
  <c r="J154" i="5"/>
  <c r="I154" i="5"/>
  <c r="H154" i="5"/>
  <c r="G154" i="5"/>
  <c r="F154" i="5"/>
  <c r="E154" i="5"/>
  <c r="J153" i="5"/>
  <c r="I153" i="5"/>
  <c r="H153" i="5"/>
  <c r="G153" i="5"/>
  <c r="F153" i="5"/>
  <c r="E153" i="5"/>
  <c r="H160" i="5" l="1"/>
  <c r="H161" i="5" s="1"/>
  <c r="H162" i="5" s="1"/>
  <c r="H157" i="5"/>
  <c r="H158" i="5" s="1"/>
  <c r="F161" i="5"/>
  <c r="F162" i="5" s="1"/>
  <c r="F156" i="5"/>
  <c r="F157" i="5" s="1"/>
  <c r="F158" i="5" s="1"/>
  <c r="I156" i="5"/>
  <c r="I157" i="5" s="1"/>
  <c r="I158" i="5" s="1"/>
  <c r="G157" i="5"/>
  <c r="G158" i="5" s="1"/>
  <c r="J157" i="5"/>
  <c r="J158" i="5" s="1"/>
  <c r="F160" i="5"/>
  <c r="J160" i="5"/>
  <c r="J161" i="5" s="1"/>
  <c r="J162" i="5" s="1"/>
  <c r="J156" i="5"/>
  <c r="K54" i="17"/>
  <c r="K55" i="17" s="1"/>
  <c r="J54" i="17" l="1"/>
  <c r="J55" i="17" s="1"/>
  <c r="I54" i="17"/>
  <c r="I55" i="17" s="1"/>
  <c r="F11" i="23"/>
  <c r="E11" i="23"/>
  <c r="D11" i="23"/>
  <c r="D90" i="22" l="1"/>
  <c r="M53" i="22"/>
  <c r="M52" i="22"/>
  <c r="R15" i="22"/>
  <c r="R16" i="22" s="1"/>
  <c r="Q15" i="22"/>
  <c r="Q16" i="22" s="1"/>
  <c r="P15" i="22"/>
  <c r="P16" i="22" s="1"/>
  <c r="Q11" i="22"/>
  <c r="Q12" i="22" s="1"/>
  <c r="R10" i="22"/>
  <c r="R11" i="22" s="1"/>
  <c r="R12" i="22" s="1"/>
  <c r="Q10" i="22"/>
  <c r="P10" i="22"/>
  <c r="P11" i="22" s="1"/>
  <c r="P12" i="22" s="1"/>
  <c r="I114" i="21"/>
  <c r="K114" i="21" s="1"/>
  <c r="G114" i="21"/>
  <c r="I113" i="21"/>
  <c r="K113" i="21" s="1"/>
  <c r="G113" i="21"/>
  <c r="I112" i="21"/>
  <c r="K112" i="21" s="1"/>
  <c r="G112" i="21"/>
  <c r="I111" i="21"/>
  <c r="K111" i="21" s="1"/>
  <c r="G111" i="21"/>
  <c r="I110" i="21"/>
  <c r="K110" i="21" s="1"/>
  <c r="G110" i="21"/>
  <c r="I109" i="21"/>
  <c r="K109" i="21" s="1"/>
  <c r="G109" i="21"/>
  <c r="H156" i="19"/>
  <c r="G156" i="19"/>
  <c r="H155" i="19"/>
  <c r="G155" i="19"/>
  <c r="F155" i="19"/>
  <c r="E155" i="19"/>
  <c r="D155" i="19"/>
  <c r="C155" i="19"/>
  <c r="J145" i="19"/>
  <c r="I145" i="19"/>
  <c r="H145" i="19"/>
  <c r="G145" i="19"/>
  <c r="F145" i="19"/>
  <c r="E145" i="19"/>
  <c r="D145" i="19"/>
  <c r="C145" i="19"/>
  <c r="J144" i="19"/>
  <c r="I144" i="19"/>
  <c r="H144" i="19"/>
  <c r="G144" i="19"/>
  <c r="F144" i="19"/>
  <c r="E144" i="19"/>
  <c r="D144" i="19"/>
  <c r="C144" i="19"/>
  <c r="J143" i="19"/>
  <c r="I143" i="19"/>
  <c r="H143" i="19"/>
  <c r="G143" i="19"/>
  <c r="F143" i="19"/>
  <c r="E143" i="19"/>
  <c r="D143" i="19"/>
  <c r="C143" i="19"/>
  <c r="J142" i="19"/>
  <c r="I142" i="19"/>
  <c r="H142" i="19"/>
  <c r="G142" i="19"/>
  <c r="F142" i="19"/>
  <c r="E142" i="19"/>
  <c r="D142" i="19"/>
  <c r="C142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L125" i="19"/>
  <c r="K125" i="19"/>
  <c r="H125" i="19"/>
  <c r="G125" i="19"/>
  <c r="D125" i="19"/>
  <c r="C125" i="19"/>
  <c r="AQ124" i="19"/>
  <c r="AP124" i="19"/>
  <c r="AO124" i="19"/>
  <c r="AM124" i="19"/>
  <c r="AK124" i="19"/>
  <c r="AJ124" i="19"/>
  <c r="AI124" i="19"/>
  <c r="AH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L124" i="19"/>
  <c r="K124" i="19"/>
  <c r="H124" i="19"/>
  <c r="G124" i="19"/>
  <c r="D124" i="19"/>
  <c r="C124" i="19"/>
  <c r="AQ123" i="19"/>
  <c r="AP123" i="19"/>
  <c r="AO123" i="19"/>
  <c r="AM123" i="19"/>
  <c r="AK123" i="19"/>
  <c r="AJ123" i="19"/>
  <c r="AI123" i="19"/>
  <c r="AH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L123" i="19"/>
  <c r="K123" i="19"/>
  <c r="H123" i="19"/>
  <c r="G123" i="19"/>
  <c r="D123" i="19"/>
  <c r="C123" i="19"/>
  <c r="AO122" i="19"/>
  <c r="AM122" i="19"/>
  <c r="AK122" i="19"/>
  <c r="AJ122" i="19"/>
  <c r="AI122" i="19"/>
  <c r="AH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L122" i="19"/>
  <c r="K122" i="19"/>
  <c r="H122" i="19"/>
  <c r="G122" i="19"/>
  <c r="D122" i="19"/>
  <c r="C122" i="19"/>
  <c r="AQ121" i="19"/>
  <c r="AP121" i="19"/>
  <c r="AO121" i="19"/>
  <c r="AM121" i="19"/>
  <c r="AK121" i="19"/>
  <c r="AJ121" i="19"/>
  <c r="AI121" i="19"/>
  <c r="AH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AE107" i="19"/>
  <c r="AD107" i="19"/>
  <c r="AC107" i="19"/>
  <c r="N107" i="19"/>
  <c r="AD106" i="19"/>
  <c r="AC106" i="19"/>
  <c r="AB106" i="19"/>
  <c r="J104" i="19"/>
  <c r="I104" i="19"/>
  <c r="H104" i="19"/>
  <c r="G104" i="19"/>
  <c r="F104" i="19"/>
  <c r="E104" i="19"/>
  <c r="D104" i="19"/>
  <c r="C104" i="19"/>
  <c r="J103" i="19"/>
  <c r="I103" i="19"/>
  <c r="H103" i="19"/>
  <c r="G103" i="19"/>
  <c r="F103" i="19"/>
  <c r="E103" i="19"/>
  <c r="D103" i="19"/>
  <c r="C103" i="19"/>
  <c r="J102" i="19"/>
  <c r="I102" i="19"/>
  <c r="H102" i="19"/>
  <c r="G102" i="19"/>
  <c r="F102" i="19"/>
  <c r="E102" i="19"/>
  <c r="D102" i="19"/>
  <c r="C102" i="19"/>
  <c r="J100" i="19"/>
  <c r="I100" i="19"/>
  <c r="H100" i="19"/>
  <c r="G100" i="19"/>
  <c r="F100" i="19"/>
  <c r="E100" i="19"/>
  <c r="D100" i="19"/>
  <c r="C100" i="19"/>
  <c r="H99" i="19"/>
  <c r="F99" i="19"/>
  <c r="E99" i="19"/>
  <c r="J97" i="19"/>
  <c r="I97" i="19"/>
  <c r="H97" i="19"/>
  <c r="G97" i="19"/>
  <c r="F97" i="19"/>
  <c r="E97" i="19"/>
  <c r="D97" i="19"/>
  <c r="C97" i="19"/>
  <c r="J96" i="19"/>
  <c r="I96" i="19"/>
  <c r="H96" i="19"/>
  <c r="G96" i="19"/>
  <c r="F96" i="19"/>
  <c r="E96" i="19"/>
  <c r="D96" i="19"/>
  <c r="C96" i="19"/>
  <c r="J95" i="19"/>
  <c r="I95" i="19"/>
  <c r="H95" i="19"/>
  <c r="G95" i="19"/>
  <c r="F95" i="19"/>
  <c r="E95" i="19"/>
  <c r="D95" i="19"/>
  <c r="C95" i="19"/>
  <c r="J93" i="19"/>
  <c r="I93" i="19"/>
  <c r="H93" i="19"/>
  <c r="G93" i="19"/>
  <c r="F93" i="19"/>
  <c r="E93" i="19"/>
  <c r="D93" i="19"/>
  <c r="C93" i="19"/>
  <c r="J91" i="19"/>
  <c r="I91" i="19"/>
  <c r="H91" i="19"/>
  <c r="G91" i="19"/>
  <c r="F91" i="19"/>
  <c r="E91" i="19"/>
  <c r="D91" i="19"/>
  <c r="C91" i="19"/>
  <c r="H88" i="19"/>
  <c r="G88" i="19"/>
  <c r="F88" i="19"/>
  <c r="E88" i="19"/>
  <c r="J86" i="19"/>
  <c r="I86" i="19"/>
  <c r="H86" i="19"/>
  <c r="G86" i="19"/>
  <c r="F86" i="19"/>
  <c r="E86" i="19"/>
  <c r="D86" i="19"/>
  <c r="C86" i="19"/>
  <c r="S84" i="19"/>
  <c r="J84" i="19"/>
  <c r="I84" i="19"/>
  <c r="H84" i="19"/>
  <c r="G84" i="19"/>
  <c r="F84" i="19"/>
  <c r="E84" i="19"/>
  <c r="D84" i="19"/>
  <c r="C84" i="19"/>
  <c r="S82" i="19"/>
  <c r="J81" i="19"/>
  <c r="I81" i="19"/>
  <c r="H81" i="19"/>
  <c r="G81" i="19"/>
  <c r="F81" i="19"/>
  <c r="E81" i="19"/>
  <c r="D81" i="19"/>
  <c r="C81" i="19"/>
  <c r="S80" i="19"/>
  <c r="J80" i="19"/>
  <c r="I80" i="19"/>
  <c r="H80" i="19"/>
  <c r="G80" i="19"/>
  <c r="F80" i="19"/>
  <c r="E80" i="19"/>
  <c r="D80" i="19"/>
  <c r="C80" i="19"/>
  <c r="S78" i="19"/>
  <c r="J76" i="19"/>
  <c r="I76" i="19"/>
  <c r="H76" i="19"/>
  <c r="G76" i="19"/>
  <c r="F76" i="19"/>
  <c r="E76" i="19"/>
  <c r="D76" i="19"/>
  <c r="C76" i="19"/>
  <c r="J75" i="19"/>
  <c r="I75" i="19"/>
  <c r="H75" i="19"/>
  <c r="G75" i="19"/>
  <c r="F75" i="19"/>
  <c r="E75" i="19"/>
  <c r="D75" i="19"/>
  <c r="C75" i="19"/>
  <c r="G72" i="19"/>
  <c r="F72" i="19"/>
  <c r="E72" i="19"/>
  <c r="D72" i="19"/>
  <c r="C72" i="19"/>
  <c r="C62" i="19"/>
  <c r="D59" i="19"/>
  <c r="C59" i="19"/>
  <c r="P46" i="19"/>
  <c r="E46" i="19"/>
  <c r="P45" i="19"/>
  <c r="O45" i="19"/>
  <c r="N45" i="19"/>
  <c r="E45" i="19"/>
  <c r="D45" i="19"/>
  <c r="C45" i="19"/>
  <c r="P43" i="19"/>
  <c r="O43" i="19"/>
  <c r="N43" i="19"/>
  <c r="E43" i="19"/>
  <c r="D43" i="19"/>
  <c r="C43" i="19"/>
  <c r="P42" i="19"/>
  <c r="O42" i="19"/>
  <c r="N42" i="19"/>
  <c r="E42" i="19"/>
  <c r="D42" i="19"/>
  <c r="C42" i="19"/>
  <c r="P41" i="19"/>
  <c r="O41" i="19"/>
  <c r="N41" i="19"/>
  <c r="E41" i="19"/>
  <c r="D41" i="19"/>
  <c r="C41" i="19"/>
  <c r="P40" i="19"/>
  <c r="O40" i="19"/>
  <c r="N40" i="19"/>
  <c r="E40" i="19"/>
  <c r="D40" i="19"/>
  <c r="C40" i="19"/>
  <c r="P37" i="19"/>
  <c r="O37" i="19"/>
  <c r="N37" i="19"/>
  <c r="E37" i="19"/>
  <c r="D37" i="19"/>
  <c r="C37" i="19"/>
  <c r="P35" i="19"/>
  <c r="O35" i="19"/>
  <c r="N35" i="19"/>
  <c r="E35" i="19"/>
  <c r="D35" i="19"/>
  <c r="C35" i="19"/>
  <c r="G30" i="19"/>
  <c r="G29" i="19"/>
  <c r="C29" i="19"/>
  <c r="H23" i="19"/>
  <c r="F23" i="19"/>
  <c r="H22" i="19"/>
  <c r="F22" i="19"/>
  <c r="H21" i="19"/>
  <c r="F21" i="19"/>
  <c r="H20" i="19"/>
  <c r="F20" i="19"/>
  <c r="E9" i="19"/>
  <c r="AA78" i="15"/>
  <c r="Z78" i="15"/>
  <c r="AA77" i="15"/>
  <c r="Z77" i="15"/>
  <c r="AA76" i="15"/>
  <c r="Z76" i="15"/>
  <c r="AA75" i="15"/>
  <c r="Z75" i="15"/>
  <c r="AA74" i="15"/>
  <c r="Z74" i="15"/>
  <c r="AA73" i="15"/>
  <c r="Z73" i="15"/>
  <c r="AA72" i="15"/>
  <c r="Z72" i="15"/>
  <c r="AA71" i="15"/>
  <c r="Z71" i="15"/>
  <c r="AA70" i="15"/>
  <c r="Z70" i="15"/>
  <c r="AA69" i="15"/>
  <c r="Z69" i="15"/>
  <c r="AA68" i="15"/>
  <c r="Z68" i="15"/>
  <c r="AA67" i="15"/>
  <c r="Z67" i="15"/>
  <c r="AA66" i="15"/>
  <c r="Z66" i="15"/>
  <c r="AA65" i="15"/>
  <c r="Z65" i="15"/>
  <c r="AA64" i="15"/>
  <c r="Z64" i="15"/>
  <c r="AA63" i="15"/>
  <c r="Z63" i="15"/>
  <c r="AA62" i="15"/>
  <c r="Z62" i="15"/>
  <c r="AA61" i="15"/>
  <c r="Z61" i="15"/>
  <c r="AA60" i="15"/>
  <c r="Z60" i="15"/>
  <c r="AA59" i="15"/>
  <c r="Z59" i="15"/>
  <c r="AA58" i="15"/>
  <c r="Z58" i="15"/>
  <c r="AA57" i="15"/>
  <c r="Z57" i="15"/>
  <c r="AA56" i="15"/>
  <c r="Z56" i="15"/>
  <c r="AA55" i="15"/>
  <c r="Z55" i="15"/>
  <c r="AA54" i="15"/>
  <c r="Z54" i="15"/>
  <c r="G54" i="15"/>
  <c r="E54" i="15"/>
  <c r="C54" i="15"/>
  <c r="G53" i="15"/>
  <c r="E53" i="15"/>
  <c r="C53" i="15"/>
  <c r="H52" i="15"/>
  <c r="G52" i="15"/>
  <c r="F52" i="15"/>
  <c r="E52" i="15"/>
  <c r="D52" i="15"/>
  <c r="C52" i="15"/>
  <c r="H51" i="15"/>
  <c r="F51" i="15"/>
  <c r="D51" i="15"/>
  <c r="AA50" i="15"/>
  <c r="Z50" i="15"/>
  <c r="H50" i="15"/>
  <c r="F50" i="15"/>
  <c r="D50" i="15"/>
  <c r="AA49" i="15"/>
  <c r="Z49" i="15"/>
  <c r="H49" i="15"/>
  <c r="F49" i="15"/>
  <c r="D49" i="15"/>
  <c r="AA48" i="15"/>
  <c r="Z48" i="15"/>
  <c r="AA47" i="15"/>
  <c r="Z47" i="15"/>
  <c r="AA46" i="15"/>
  <c r="Z46" i="15"/>
  <c r="AA45" i="15"/>
  <c r="Z45" i="15"/>
  <c r="AA44" i="15"/>
  <c r="Z44" i="15"/>
  <c r="AA43" i="15"/>
  <c r="Z43" i="15"/>
  <c r="AA42" i="15"/>
  <c r="Z42" i="15"/>
  <c r="AA41" i="15"/>
  <c r="Z41" i="15"/>
  <c r="D41" i="15"/>
  <c r="C41" i="15"/>
  <c r="AA40" i="15"/>
  <c r="Z40" i="15"/>
  <c r="D40" i="15"/>
  <c r="C40" i="15"/>
  <c r="AA39" i="15"/>
  <c r="Z39" i="15"/>
  <c r="D39" i="15"/>
  <c r="C39" i="15"/>
  <c r="AA38" i="15"/>
  <c r="Z38" i="15"/>
  <c r="D38" i="15"/>
  <c r="C38" i="15"/>
  <c r="AA37" i="15"/>
  <c r="Z37" i="15"/>
  <c r="D37" i="15"/>
  <c r="C37" i="15"/>
  <c r="AA36" i="15"/>
  <c r="Z36" i="15"/>
  <c r="D36" i="15"/>
  <c r="C36" i="15"/>
  <c r="AA35" i="15"/>
  <c r="Z35" i="15"/>
  <c r="D35" i="15"/>
  <c r="C35" i="15"/>
  <c r="AA34" i="15"/>
  <c r="Z34" i="15"/>
  <c r="AA33" i="15"/>
  <c r="Z33" i="15"/>
  <c r="AA32" i="15"/>
  <c r="Z32" i="15"/>
  <c r="AA31" i="15"/>
  <c r="Z31" i="15"/>
  <c r="AA30" i="15"/>
  <c r="Z30" i="15"/>
  <c r="H30" i="15"/>
  <c r="AA29" i="15"/>
  <c r="Z29" i="15"/>
  <c r="AA28" i="15"/>
  <c r="Z28" i="15"/>
  <c r="AA27" i="15"/>
  <c r="Z27" i="15"/>
  <c r="AA26" i="15"/>
  <c r="Z26" i="15"/>
  <c r="E26" i="15"/>
  <c r="D26" i="15"/>
  <c r="C26" i="15"/>
  <c r="E25" i="15"/>
  <c r="D25" i="15"/>
  <c r="C25" i="15"/>
  <c r="E24" i="15"/>
  <c r="D24" i="15"/>
  <c r="C24" i="15"/>
  <c r="E23" i="15"/>
  <c r="D23" i="15"/>
  <c r="C23" i="15"/>
  <c r="Z22" i="15"/>
  <c r="Z21" i="15"/>
  <c r="Z20" i="15"/>
  <c r="Z19" i="15"/>
  <c r="Z18" i="15"/>
  <c r="Z17" i="15"/>
  <c r="Z16" i="15"/>
  <c r="C16" i="15"/>
  <c r="Z15" i="15"/>
  <c r="C15" i="15"/>
  <c r="Z14" i="15"/>
  <c r="C14" i="15"/>
  <c r="Z13" i="15"/>
  <c r="Z12" i="15"/>
  <c r="Z11" i="15"/>
  <c r="E11" i="15"/>
  <c r="D11" i="15"/>
  <c r="C11" i="15"/>
  <c r="Z10" i="15"/>
  <c r="E10" i="15"/>
  <c r="D10" i="15"/>
  <c r="C10" i="15"/>
  <c r="Z9" i="15"/>
  <c r="Z8" i="15"/>
  <c r="Z7" i="15"/>
  <c r="D7" i="15"/>
  <c r="C7" i="15"/>
  <c r="Z6" i="15"/>
  <c r="E6" i="15"/>
  <c r="D6" i="15"/>
  <c r="C6" i="15"/>
  <c r="Z5" i="15"/>
  <c r="Z4" i="15"/>
  <c r="H21" i="18"/>
  <c r="C20" i="18"/>
  <c r="C19" i="18"/>
  <c r="C18" i="18"/>
  <c r="C17" i="18"/>
  <c r="L16" i="18"/>
  <c r="J16" i="18"/>
  <c r="C16" i="18"/>
  <c r="L15" i="18"/>
  <c r="K15" i="18"/>
  <c r="J15" i="18"/>
  <c r="C15" i="18"/>
  <c r="K14" i="18"/>
  <c r="C14" i="18"/>
  <c r="C7" i="18"/>
  <c r="C6" i="18"/>
  <c r="I144" i="14"/>
  <c r="H144" i="14"/>
  <c r="I143" i="14"/>
  <c r="G143" i="14"/>
  <c r="H140" i="14"/>
  <c r="G140" i="14"/>
  <c r="F140" i="14"/>
  <c r="L139" i="14"/>
  <c r="J139" i="14"/>
  <c r="H139" i="14"/>
  <c r="G139" i="14"/>
  <c r="F139" i="14"/>
  <c r="H138" i="14"/>
  <c r="G138" i="14"/>
  <c r="F138" i="14"/>
  <c r="H137" i="14"/>
  <c r="G137" i="14"/>
  <c r="F137" i="14"/>
  <c r="H136" i="14"/>
  <c r="F136" i="14"/>
  <c r="K94" i="14"/>
  <c r="E94" i="14"/>
  <c r="D94" i="14"/>
  <c r="K93" i="14"/>
  <c r="E93" i="14"/>
  <c r="D93" i="14"/>
  <c r="K92" i="14"/>
  <c r="E92" i="14"/>
  <c r="D92" i="14"/>
  <c r="K91" i="14"/>
  <c r="E91" i="14"/>
  <c r="D91" i="14"/>
  <c r="K90" i="14"/>
  <c r="E90" i="14"/>
  <c r="D90" i="14"/>
  <c r="K89" i="14"/>
  <c r="E89" i="14"/>
  <c r="D89" i="14"/>
  <c r="K88" i="14"/>
  <c r="E88" i="14"/>
  <c r="D88" i="14"/>
  <c r="K87" i="14"/>
  <c r="E87" i="14"/>
  <c r="C83" i="14"/>
  <c r="C71" i="14"/>
  <c r="C70" i="14"/>
  <c r="C69" i="14"/>
  <c r="C68" i="14"/>
  <c r="C67" i="14"/>
  <c r="C66" i="14"/>
  <c r="C65" i="14"/>
  <c r="C64" i="14"/>
  <c r="C63" i="14"/>
  <c r="C62" i="14"/>
  <c r="C61" i="14"/>
  <c r="U60" i="14"/>
  <c r="U59" i="14"/>
  <c r="C56" i="14"/>
  <c r="C55" i="14"/>
  <c r="H53" i="14"/>
  <c r="H52" i="14"/>
  <c r="H51" i="14"/>
  <c r="G51" i="14"/>
  <c r="J50" i="14"/>
  <c r="H50" i="14"/>
  <c r="G50" i="14"/>
  <c r="H49" i="14"/>
  <c r="G49" i="14"/>
  <c r="P48" i="14"/>
  <c r="J48" i="14"/>
  <c r="H48" i="14"/>
  <c r="G48" i="14"/>
  <c r="P47" i="14"/>
  <c r="H47" i="14"/>
  <c r="G47" i="14"/>
  <c r="P46" i="14"/>
  <c r="H46" i="14"/>
  <c r="G46" i="14"/>
  <c r="H45" i="14"/>
  <c r="G45" i="14"/>
  <c r="H44" i="14"/>
  <c r="G44" i="14"/>
  <c r="P43" i="14"/>
  <c r="H43" i="14"/>
  <c r="G43" i="14"/>
  <c r="H42" i="14"/>
  <c r="G42" i="14"/>
  <c r="H39" i="14"/>
  <c r="G39" i="14"/>
  <c r="H38" i="14"/>
  <c r="G38" i="14"/>
  <c r="H37" i="14"/>
  <c r="G37" i="14"/>
  <c r="H36" i="14"/>
  <c r="G36" i="14"/>
  <c r="H35" i="14"/>
  <c r="G35" i="14"/>
  <c r="P34" i="14"/>
  <c r="O34" i="14"/>
  <c r="H34" i="14"/>
  <c r="G34" i="14"/>
  <c r="H33" i="14"/>
  <c r="G33" i="14"/>
  <c r="H32" i="14"/>
  <c r="G32" i="14"/>
  <c r="K30" i="14"/>
  <c r="J30" i="14"/>
  <c r="K29" i="14"/>
  <c r="J29" i="14"/>
  <c r="K27" i="14"/>
  <c r="J27" i="14"/>
  <c r="I27" i="14"/>
  <c r="K26" i="14"/>
  <c r="I26" i="14"/>
  <c r="K24" i="14"/>
  <c r="J24" i="14"/>
  <c r="I24" i="14"/>
  <c r="J23" i="14"/>
  <c r="N10" i="16"/>
  <c r="M10" i="16"/>
  <c r="N8" i="16"/>
  <c r="M8" i="16"/>
  <c r="V7" i="16"/>
  <c r="D56" i="17"/>
  <c r="G55" i="17"/>
  <c r="E55" i="17"/>
  <c r="D55" i="17"/>
  <c r="H54" i="17"/>
  <c r="H55" i="17" s="1"/>
  <c r="G54" i="17"/>
  <c r="E54" i="17"/>
  <c r="E10" i="17"/>
  <c r="K30" i="12"/>
  <c r="J30" i="12"/>
  <c r="I30" i="12"/>
  <c r="K28" i="12"/>
  <c r="J28" i="12"/>
  <c r="I28" i="12"/>
  <c r="E28" i="12"/>
  <c r="E27" i="12"/>
  <c r="U19" i="12"/>
  <c r="T19" i="12"/>
  <c r="S19" i="12"/>
  <c r="U18" i="12"/>
  <c r="T18" i="12"/>
  <c r="S18" i="12"/>
  <c r="H18" i="12"/>
  <c r="F18" i="12"/>
  <c r="D18" i="12"/>
  <c r="U17" i="12"/>
  <c r="T17" i="12"/>
  <c r="S17" i="12"/>
  <c r="N17" i="12"/>
  <c r="M17" i="12"/>
  <c r="U16" i="12"/>
  <c r="T16" i="12"/>
  <c r="S16" i="12"/>
  <c r="M15" i="12"/>
  <c r="M13" i="12"/>
  <c r="O11" i="12"/>
  <c r="H10" i="12"/>
  <c r="H9" i="12"/>
  <c r="T7" i="12"/>
  <c r="S7" i="12"/>
  <c r="T6" i="12"/>
  <c r="S6" i="12"/>
  <c r="I6" i="12"/>
  <c r="I5" i="12"/>
  <c r="I4" i="12"/>
  <c r="E26" i="9"/>
  <c r="G25" i="9"/>
  <c r="E25" i="9"/>
  <c r="G24" i="9"/>
  <c r="E24" i="9"/>
  <c r="G21" i="9"/>
  <c r="E21" i="9"/>
  <c r="K18" i="9"/>
  <c r="J18" i="9"/>
  <c r="K17" i="9"/>
  <c r="J17" i="9"/>
  <c r="D17" i="9"/>
  <c r="D8" i="9"/>
  <c r="E7" i="9"/>
  <c r="D7" i="9"/>
  <c r="N6" i="9"/>
  <c r="M6" i="9"/>
  <c r="L6" i="9"/>
  <c r="K6" i="9"/>
  <c r="J6" i="9"/>
  <c r="D28" i="10"/>
  <c r="D27" i="10"/>
  <c r="D26" i="10"/>
  <c r="F81" i="6"/>
  <c r="E81" i="6"/>
  <c r="F79" i="6"/>
  <c r="E79" i="6"/>
  <c r="F77" i="6"/>
  <c r="E77" i="6"/>
  <c r="F75" i="6"/>
  <c r="E75" i="6"/>
  <c r="H65" i="6"/>
  <c r="H64" i="6"/>
  <c r="H63" i="6"/>
  <c r="L60" i="6"/>
  <c r="L59" i="6"/>
  <c r="G59" i="6"/>
  <c r="F59" i="6"/>
  <c r="H58" i="6"/>
  <c r="K54" i="6"/>
  <c r="J54" i="6"/>
  <c r="I54" i="6"/>
  <c r="H54" i="6"/>
  <c r="G54" i="6"/>
  <c r="F54" i="6"/>
  <c r="E54" i="6"/>
  <c r="K52" i="6"/>
  <c r="J52" i="6"/>
  <c r="I52" i="6"/>
  <c r="H52" i="6"/>
  <c r="G52" i="6"/>
  <c r="F52" i="6"/>
  <c r="E52" i="6"/>
  <c r="O39" i="6"/>
  <c r="Y34" i="6"/>
  <c r="X34" i="6"/>
  <c r="W34" i="6"/>
  <c r="V34" i="6"/>
  <c r="E30" i="6"/>
  <c r="Q26" i="6"/>
  <c r="S10" i="3"/>
  <c r="R10" i="3"/>
  <c r="S9" i="3"/>
  <c r="R9" i="3"/>
  <c r="P94" i="8"/>
  <c r="R93" i="8"/>
  <c r="P93" i="8"/>
  <c r="F71" i="8"/>
  <c r="H70" i="8"/>
  <c r="F70" i="8"/>
  <c r="E70" i="8"/>
  <c r="D70" i="8"/>
  <c r="J66" i="8"/>
  <c r="I66" i="8"/>
  <c r="H66" i="8"/>
  <c r="J65" i="8"/>
  <c r="I65" i="8"/>
  <c r="H65" i="8"/>
  <c r="F65" i="8"/>
  <c r="D65" i="8"/>
  <c r="J64" i="8"/>
  <c r="H64" i="8"/>
  <c r="F64" i="8"/>
  <c r="D64" i="8"/>
  <c r="J63" i="8"/>
  <c r="H63" i="8"/>
  <c r="G63" i="8"/>
  <c r="F63" i="8"/>
  <c r="E63" i="8"/>
  <c r="D63" i="8"/>
  <c r="K38" i="8"/>
  <c r="K37" i="8"/>
  <c r="K30" i="8"/>
  <c r="G33" i="4"/>
  <c r="F33" i="4"/>
  <c r="E33" i="4"/>
  <c r="G31" i="4"/>
  <c r="F31" i="4"/>
  <c r="E31" i="4"/>
  <c r="P28" i="4"/>
  <c r="O28" i="4"/>
  <c r="N28" i="4"/>
  <c r="P27" i="4"/>
  <c r="O27" i="4"/>
  <c r="N27" i="4"/>
  <c r="P23" i="4"/>
  <c r="O23" i="4"/>
  <c r="N23" i="4"/>
  <c r="E23" i="4"/>
  <c r="F22" i="4"/>
  <c r="AK137" i="2"/>
  <c r="AJ137" i="2"/>
  <c r="AK136" i="2"/>
  <c r="AJ136" i="2"/>
  <c r="BI135" i="2"/>
  <c r="BH135" i="2"/>
  <c r="BA135" i="2"/>
  <c r="AZ135" i="2"/>
  <c r="AS135" i="2"/>
  <c r="AR135" i="2"/>
  <c r="AK135" i="2"/>
  <c r="AJ135" i="2"/>
  <c r="AC135" i="2"/>
  <c r="AB135" i="2"/>
  <c r="U135" i="2"/>
  <c r="T135" i="2"/>
  <c r="M135" i="2"/>
  <c r="L135" i="2"/>
  <c r="E135" i="2"/>
  <c r="D135" i="2"/>
  <c r="BI134" i="2"/>
  <c r="BH134" i="2"/>
  <c r="BA134" i="2"/>
  <c r="AZ134" i="2"/>
  <c r="AS134" i="2"/>
  <c r="AR134" i="2"/>
  <c r="AK134" i="2"/>
  <c r="AJ134" i="2"/>
  <c r="AC134" i="2"/>
  <c r="AB134" i="2"/>
  <c r="U134" i="2"/>
  <c r="T134" i="2"/>
  <c r="M134" i="2"/>
  <c r="L134" i="2"/>
  <c r="E134" i="2"/>
  <c r="D134" i="2"/>
  <c r="BI133" i="2"/>
  <c r="BH133" i="2"/>
  <c r="BA133" i="2"/>
  <c r="AZ133" i="2"/>
  <c r="AS133" i="2"/>
  <c r="AR133" i="2"/>
  <c r="AK133" i="2"/>
  <c r="AJ133" i="2"/>
  <c r="AC133" i="2"/>
  <c r="AB133" i="2"/>
  <c r="U133" i="2"/>
  <c r="T133" i="2"/>
  <c r="M133" i="2"/>
  <c r="L133" i="2"/>
  <c r="E133" i="2"/>
  <c r="D133" i="2"/>
  <c r="BI132" i="2"/>
  <c r="BH132" i="2"/>
  <c r="BA132" i="2"/>
  <c r="AZ132" i="2"/>
  <c r="AS132" i="2"/>
  <c r="AR132" i="2"/>
  <c r="AK132" i="2"/>
  <c r="AJ132" i="2"/>
  <c r="AC132" i="2"/>
  <c r="AB132" i="2"/>
  <c r="U132" i="2"/>
  <c r="T132" i="2"/>
  <c r="M132" i="2"/>
  <c r="L132" i="2"/>
  <c r="E132" i="2"/>
  <c r="D132" i="2"/>
  <c r="BI131" i="2"/>
  <c r="BH131" i="2"/>
  <c r="BA131" i="2"/>
  <c r="AZ131" i="2"/>
  <c r="AS131" i="2"/>
  <c r="AR131" i="2"/>
  <c r="AK131" i="2"/>
  <c r="AJ131" i="2"/>
  <c r="AC131" i="2"/>
  <c r="AB131" i="2"/>
  <c r="U131" i="2"/>
  <c r="T131" i="2"/>
  <c r="M131" i="2"/>
  <c r="L131" i="2"/>
  <c r="E131" i="2"/>
  <c r="D131" i="2"/>
  <c r="BI130" i="2"/>
  <c r="BH130" i="2"/>
  <c r="BA130" i="2"/>
  <c r="AZ130" i="2"/>
  <c r="AS130" i="2"/>
  <c r="AR130" i="2"/>
  <c r="AK130" i="2"/>
  <c r="AJ130" i="2"/>
  <c r="AC130" i="2"/>
  <c r="AB130" i="2"/>
  <c r="U130" i="2"/>
  <c r="T130" i="2"/>
  <c r="M130" i="2"/>
  <c r="L130" i="2"/>
  <c r="E130" i="2"/>
  <c r="D130" i="2"/>
  <c r="BI129" i="2"/>
  <c r="BH129" i="2"/>
  <c r="BA129" i="2"/>
  <c r="AZ129" i="2"/>
  <c r="AS129" i="2"/>
  <c r="AR129" i="2"/>
  <c r="AK129" i="2"/>
  <c r="AJ129" i="2"/>
  <c r="AC129" i="2"/>
  <c r="AB129" i="2"/>
  <c r="U129" i="2"/>
  <c r="T129" i="2"/>
  <c r="M129" i="2"/>
  <c r="L129" i="2"/>
  <c r="E129" i="2"/>
  <c r="D129" i="2"/>
  <c r="BI128" i="2"/>
  <c r="BH128" i="2"/>
  <c r="BA128" i="2"/>
  <c r="AZ128" i="2"/>
  <c r="AS128" i="2"/>
  <c r="AR128" i="2"/>
  <c r="AK128" i="2"/>
  <c r="AJ128" i="2"/>
  <c r="AC128" i="2"/>
  <c r="AB128" i="2"/>
  <c r="U128" i="2"/>
  <c r="T128" i="2"/>
  <c r="M128" i="2"/>
  <c r="L128" i="2"/>
  <c r="E128" i="2"/>
  <c r="D128" i="2"/>
  <c r="BI127" i="2"/>
  <c r="BH127" i="2"/>
  <c r="BA127" i="2"/>
  <c r="AZ127" i="2"/>
  <c r="AS127" i="2"/>
  <c r="AR127" i="2"/>
  <c r="AK127" i="2"/>
  <c r="AJ127" i="2"/>
  <c r="AC127" i="2"/>
  <c r="AB127" i="2"/>
  <c r="U127" i="2"/>
  <c r="T127" i="2"/>
  <c r="M127" i="2"/>
  <c r="L127" i="2"/>
  <c r="E127" i="2"/>
  <c r="D127" i="2"/>
  <c r="BI126" i="2"/>
  <c r="BH126" i="2"/>
  <c r="BA126" i="2"/>
  <c r="AZ126" i="2"/>
  <c r="AS126" i="2"/>
  <c r="AR126" i="2"/>
  <c r="AK126" i="2"/>
  <c r="AJ126" i="2"/>
  <c r="AC126" i="2"/>
  <c r="AB126" i="2"/>
  <c r="U126" i="2"/>
  <c r="T126" i="2"/>
  <c r="M126" i="2"/>
  <c r="L126" i="2"/>
  <c r="E126" i="2"/>
  <c r="D126" i="2"/>
  <c r="BI125" i="2"/>
  <c r="BH125" i="2"/>
  <c r="BA125" i="2"/>
  <c r="AZ125" i="2"/>
  <c r="AS125" i="2"/>
  <c r="AR125" i="2"/>
  <c r="AK125" i="2"/>
  <c r="AJ125" i="2"/>
  <c r="AC125" i="2"/>
  <c r="AB125" i="2"/>
  <c r="U125" i="2"/>
  <c r="T125" i="2"/>
  <c r="M125" i="2"/>
  <c r="L125" i="2"/>
  <c r="E125" i="2"/>
  <c r="D125" i="2"/>
  <c r="BI124" i="2"/>
  <c r="BH124" i="2"/>
  <c r="BA124" i="2"/>
  <c r="AZ124" i="2"/>
  <c r="AS124" i="2"/>
  <c r="AR124" i="2"/>
  <c r="AK124" i="2"/>
  <c r="AJ124" i="2"/>
  <c r="AC124" i="2"/>
  <c r="AB124" i="2"/>
  <c r="U124" i="2"/>
  <c r="T124" i="2"/>
  <c r="M124" i="2"/>
  <c r="L124" i="2"/>
  <c r="E124" i="2"/>
  <c r="D124" i="2"/>
  <c r="BI123" i="2"/>
  <c r="BH123" i="2"/>
  <c r="BA123" i="2"/>
  <c r="AZ123" i="2"/>
  <c r="AS123" i="2"/>
  <c r="AR123" i="2"/>
  <c r="AK123" i="2"/>
  <c r="AJ123" i="2"/>
  <c r="AC123" i="2"/>
  <c r="AB123" i="2"/>
  <c r="U123" i="2"/>
  <c r="T123" i="2"/>
  <c r="M123" i="2"/>
  <c r="L123" i="2"/>
  <c r="E123" i="2"/>
  <c r="D123" i="2"/>
  <c r="BI122" i="2"/>
  <c r="BH122" i="2"/>
  <c r="BA122" i="2"/>
  <c r="AZ122" i="2"/>
  <c r="AS122" i="2"/>
  <c r="AR122" i="2"/>
  <c r="AK122" i="2"/>
  <c r="AJ122" i="2"/>
  <c r="AC122" i="2"/>
  <c r="AB122" i="2"/>
  <c r="U122" i="2"/>
  <c r="T122" i="2"/>
  <c r="M122" i="2"/>
  <c r="L122" i="2"/>
  <c r="E122" i="2"/>
  <c r="D122" i="2"/>
  <c r="BI121" i="2"/>
  <c r="BH121" i="2"/>
  <c r="BA121" i="2"/>
  <c r="AZ121" i="2"/>
  <c r="AS121" i="2"/>
  <c r="AR121" i="2"/>
  <c r="AK121" i="2"/>
  <c r="AJ121" i="2"/>
  <c r="AC121" i="2"/>
  <c r="AB121" i="2"/>
  <c r="U121" i="2"/>
  <c r="T121" i="2"/>
  <c r="M121" i="2"/>
  <c r="L121" i="2"/>
  <c r="E121" i="2"/>
  <c r="D121" i="2"/>
  <c r="BI120" i="2"/>
  <c r="BH120" i="2"/>
  <c r="BA120" i="2"/>
  <c r="AZ120" i="2"/>
  <c r="AS120" i="2"/>
  <c r="AR120" i="2"/>
  <c r="AK120" i="2"/>
  <c r="AJ120" i="2"/>
  <c r="AC120" i="2"/>
  <c r="AB120" i="2"/>
  <c r="U120" i="2"/>
  <c r="T120" i="2"/>
  <c r="M120" i="2"/>
  <c r="L120" i="2"/>
  <c r="E120" i="2"/>
  <c r="D120" i="2"/>
  <c r="BI119" i="2"/>
  <c r="BH119" i="2"/>
  <c r="BA119" i="2"/>
  <c r="AZ119" i="2"/>
  <c r="AS119" i="2"/>
  <c r="AR119" i="2"/>
  <c r="AK119" i="2"/>
  <c r="AJ119" i="2"/>
  <c r="AC119" i="2"/>
  <c r="AB119" i="2"/>
  <c r="U119" i="2"/>
  <c r="T119" i="2"/>
  <c r="M119" i="2"/>
  <c r="L119" i="2"/>
  <c r="E119" i="2"/>
  <c r="D119" i="2"/>
  <c r="BA118" i="2"/>
  <c r="AZ118" i="2"/>
  <c r="AS118" i="2"/>
  <c r="AR118" i="2"/>
  <c r="AK118" i="2"/>
  <c r="AJ118" i="2"/>
  <c r="AC118" i="2"/>
  <c r="AB118" i="2"/>
  <c r="U118" i="2"/>
  <c r="T118" i="2"/>
  <c r="M118" i="2"/>
  <c r="L118" i="2"/>
  <c r="E118" i="2"/>
  <c r="D118" i="2"/>
  <c r="BH114" i="2"/>
  <c r="AZ114" i="2"/>
  <c r="AR114" i="2"/>
  <c r="AJ114" i="2"/>
  <c r="AB114" i="2"/>
  <c r="T114" i="2"/>
  <c r="L114" i="2"/>
  <c r="D114" i="2"/>
  <c r="BH113" i="2"/>
  <c r="AZ113" i="2"/>
  <c r="AR113" i="2"/>
  <c r="AJ113" i="2"/>
  <c r="AB113" i="2"/>
  <c r="T113" i="2"/>
  <c r="L113" i="2"/>
  <c r="D113" i="2"/>
  <c r="AO112" i="2"/>
  <c r="AN112" i="2"/>
  <c r="AG112" i="2"/>
  <c r="AF112" i="2"/>
  <c r="I112" i="2"/>
  <c r="H112" i="2"/>
  <c r="AO111" i="2"/>
  <c r="AN111" i="2"/>
  <c r="AG111" i="2"/>
  <c r="AF111" i="2"/>
  <c r="I111" i="2"/>
  <c r="H111" i="2"/>
  <c r="AT105" i="2"/>
  <c r="AS105" i="2"/>
  <c r="AR105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T72" i="2"/>
  <c r="AC71" i="2"/>
  <c r="AB71" i="2"/>
  <c r="T71" i="2"/>
  <c r="AC70" i="2"/>
  <c r="AB70" i="2"/>
  <c r="Y70" i="2"/>
  <c r="X70" i="2"/>
  <c r="AC69" i="2"/>
  <c r="AB69" i="2"/>
  <c r="Y69" i="2"/>
  <c r="X69" i="2"/>
  <c r="AA63" i="2"/>
  <c r="Z63" i="2"/>
  <c r="X63" i="2"/>
  <c r="W63" i="2"/>
  <c r="U63" i="2"/>
  <c r="T63" i="2"/>
  <c r="AA62" i="2"/>
  <c r="Z62" i="2"/>
  <c r="X62" i="2"/>
  <c r="W62" i="2"/>
  <c r="U62" i="2"/>
  <c r="T62" i="2"/>
  <c r="AA61" i="2"/>
  <c r="Z61" i="2"/>
  <c r="X61" i="2"/>
  <c r="W61" i="2"/>
  <c r="U61" i="2"/>
  <c r="T61" i="2"/>
  <c r="AA60" i="2"/>
  <c r="Z60" i="2"/>
  <c r="X60" i="2"/>
  <c r="W60" i="2"/>
  <c r="U60" i="2"/>
  <c r="T60" i="2"/>
  <c r="AA59" i="2"/>
  <c r="Z59" i="2"/>
  <c r="X59" i="2"/>
  <c r="W59" i="2"/>
  <c r="U59" i="2"/>
  <c r="T59" i="2"/>
  <c r="AA58" i="2"/>
  <c r="Z58" i="2"/>
  <c r="X58" i="2"/>
  <c r="W58" i="2"/>
  <c r="U58" i="2"/>
  <c r="T58" i="2"/>
  <c r="AA57" i="2"/>
  <c r="Z57" i="2"/>
  <c r="X57" i="2"/>
  <c r="W57" i="2"/>
  <c r="U57" i="2"/>
  <c r="T57" i="2"/>
  <c r="AA56" i="2"/>
  <c r="Z56" i="2"/>
  <c r="X56" i="2"/>
  <c r="W56" i="2"/>
  <c r="U56" i="2"/>
  <c r="T56" i="2"/>
  <c r="AA55" i="2"/>
  <c r="Z55" i="2"/>
  <c r="X55" i="2"/>
  <c r="W55" i="2"/>
  <c r="U55" i="2"/>
  <c r="T55" i="2"/>
  <c r="AA54" i="2"/>
  <c r="Z54" i="2"/>
  <c r="X54" i="2"/>
  <c r="W54" i="2"/>
  <c r="U54" i="2"/>
  <c r="T54" i="2"/>
  <c r="AA53" i="2"/>
  <c r="Z53" i="2"/>
  <c r="X53" i="2"/>
  <c r="W53" i="2"/>
  <c r="U53" i="2"/>
  <c r="T53" i="2"/>
  <c r="AA52" i="2"/>
  <c r="Z52" i="2"/>
  <c r="X52" i="2"/>
  <c r="W52" i="2"/>
  <c r="U52" i="2"/>
  <c r="T52" i="2"/>
  <c r="AA51" i="2"/>
  <c r="Z51" i="2"/>
  <c r="X51" i="2"/>
  <c r="W51" i="2"/>
  <c r="U51" i="2"/>
  <c r="T51" i="2"/>
  <c r="AA50" i="2"/>
  <c r="Z50" i="2"/>
  <c r="X50" i="2"/>
  <c r="W50" i="2"/>
  <c r="U50" i="2"/>
  <c r="T50" i="2"/>
  <c r="AA49" i="2"/>
  <c r="Z49" i="2"/>
  <c r="X49" i="2"/>
  <c r="W49" i="2"/>
  <c r="U49" i="2"/>
  <c r="T49" i="2"/>
  <c r="AA48" i="2"/>
  <c r="Z48" i="2"/>
  <c r="X48" i="2"/>
  <c r="W48" i="2"/>
  <c r="U48" i="2"/>
  <c r="T48" i="2"/>
  <c r="AA47" i="2"/>
  <c r="Z47" i="2"/>
  <c r="X47" i="2"/>
  <c r="W47" i="2"/>
  <c r="U47" i="2"/>
  <c r="T47" i="2"/>
  <c r="AA46" i="2"/>
  <c r="Z46" i="2"/>
  <c r="X46" i="2"/>
  <c r="W46" i="2"/>
  <c r="U46" i="2"/>
  <c r="T46" i="2"/>
  <c r="AA45" i="2"/>
  <c r="Z45" i="2"/>
  <c r="X45" i="2"/>
  <c r="W45" i="2"/>
  <c r="U45" i="2"/>
  <c r="T45" i="2"/>
  <c r="AA44" i="2"/>
  <c r="Z44" i="2"/>
  <c r="X44" i="2"/>
  <c r="W44" i="2"/>
  <c r="U44" i="2"/>
  <c r="T44" i="2"/>
  <c r="AA43" i="2"/>
  <c r="Z43" i="2"/>
  <c r="X43" i="2"/>
  <c r="W43" i="2"/>
  <c r="U43" i="2"/>
  <c r="T43" i="2"/>
  <c r="J144" i="5"/>
  <c r="R143" i="5"/>
  <c r="Q143" i="5"/>
  <c r="P143" i="5"/>
  <c r="N143" i="5"/>
  <c r="M143" i="5"/>
  <c r="L143" i="5"/>
  <c r="K143" i="5"/>
  <c r="J143" i="5"/>
  <c r="I143" i="5"/>
  <c r="H143" i="5"/>
  <c r="G143" i="5"/>
  <c r="F143" i="5"/>
  <c r="E143" i="5"/>
  <c r="R142" i="5"/>
  <c r="Q142" i="5"/>
  <c r="P142" i="5"/>
  <c r="N142" i="5"/>
  <c r="M142" i="5"/>
  <c r="L142" i="5"/>
  <c r="J142" i="5"/>
  <c r="I142" i="5"/>
  <c r="H142" i="5"/>
  <c r="F142" i="5"/>
  <c r="E142" i="5"/>
  <c r="R136" i="5"/>
  <c r="Q136" i="5"/>
  <c r="P136" i="5"/>
  <c r="N136" i="5"/>
  <c r="M136" i="5"/>
  <c r="L136" i="5"/>
  <c r="J136" i="5"/>
  <c r="I136" i="5"/>
  <c r="H136" i="5"/>
  <c r="F136" i="5"/>
  <c r="E136" i="5"/>
  <c r="R135" i="5"/>
  <c r="Q135" i="5"/>
  <c r="P135" i="5"/>
  <c r="N135" i="5"/>
  <c r="M135" i="5"/>
  <c r="L135" i="5"/>
  <c r="J135" i="5"/>
  <c r="I135" i="5"/>
  <c r="H135" i="5"/>
  <c r="F135" i="5"/>
  <c r="E135" i="5"/>
  <c r="R134" i="5"/>
  <c r="Q134" i="5"/>
  <c r="P134" i="5"/>
  <c r="N134" i="5"/>
  <c r="M134" i="5"/>
  <c r="L134" i="5"/>
  <c r="J134" i="5"/>
  <c r="I134" i="5"/>
  <c r="H134" i="5"/>
  <c r="F134" i="5"/>
  <c r="E134" i="5"/>
  <c r="AA132" i="5"/>
  <c r="Y132" i="5"/>
  <c r="X132" i="5"/>
  <c r="Y130" i="5"/>
  <c r="X130" i="5"/>
  <c r="P128" i="5"/>
  <c r="O128" i="5"/>
  <c r="M128" i="5"/>
  <c r="L128" i="5"/>
  <c r="J128" i="5"/>
  <c r="I128" i="5"/>
  <c r="G128" i="5"/>
  <c r="F128" i="5"/>
  <c r="AA127" i="5"/>
  <c r="Z127" i="5"/>
  <c r="Y127" i="5"/>
  <c r="X127" i="5"/>
  <c r="W127" i="5"/>
  <c r="V127" i="5"/>
  <c r="P127" i="5"/>
  <c r="O127" i="5"/>
  <c r="M127" i="5"/>
  <c r="L127" i="5"/>
  <c r="J127" i="5"/>
  <c r="I127" i="5"/>
  <c r="G127" i="5"/>
  <c r="F127" i="5"/>
  <c r="AA126" i="5"/>
  <c r="Z126" i="5"/>
  <c r="Y126" i="5"/>
  <c r="X126" i="5"/>
  <c r="W126" i="5"/>
  <c r="V126" i="5"/>
  <c r="P126" i="5"/>
  <c r="O126" i="5"/>
  <c r="M126" i="5"/>
  <c r="L126" i="5"/>
  <c r="J126" i="5"/>
  <c r="I126" i="5"/>
  <c r="G126" i="5"/>
  <c r="F126" i="5"/>
  <c r="AA125" i="5"/>
  <c r="Z125" i="5"/>
  <c r="Y125" i="5"/>
  <c r="X125" i="5"/>
  <c r="W125" i="5"/>
  <c r="V125" i="5"/>
  <c r="P125" i="5"/>
  <c r="O125" i="5"/>
  <c r="M125" i="5"/>
  <c r="L125" i="5"/>
  <c r="J125" i="5"/>
  <c r="I125" i="5"/>
  <c r="G125" i="5"/>
  <c r="F125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AA123" i="5"/>
  <c r="Z123" i="5"/>
  <c r="Y123" i="5"/>
  <c r="X123" i="5"/>
  <c r="W123" i="5"/>
  <c r="V123" i="5"/>
  <c r="P123" i="5"/>
  <c r="O123" i="5"/>
  <c r="M123" i="5"/>
  <c r="L123" i="5"/>
  <c r="J123" i="5"/>
  <c r="I123" i="5"/>
  <c r="AA122" i="5"/>
  <c r="Z122" i="5"/>
  <c r="Y122" i="5"/>
  <c r="X122" i="5"/>
  <c r="W122" i="5"/>
  <c r="V122" i="5"/>
  <c r="P122" i="5"/>
  <c r="O122" i="5"/>
  <c r="M122" i="5"/>
  <c r="L122" i="5"/>
  <c r="J122" i="5"/>
  <c r="I122" i="5"/>
  <c r="AA121" i="5"/>
  <c r="Z121" i="5"/>
  <c r="W121" i="5"/>
  <c r="P121" i="5"/>
  <c r="O121" i="5"/>
  <c r="M121" i="5"/>
  <c r="L121" i="5"/>
  <c r="J121" i="5"/>
  <c r="I121" i="5"/>
  <c r="AA120" i="5"/>
  <c r="Z120" i="5"/>
  <c r="Y120" i="5"/>
  <c r="X120" i="5"/>
  <c r="W120" i="5"/>
  <c r="V120" i="5"/>
  <c r="P120" i="5"/>
  <c r="O120" i="5"/>
  <c r="M120" i="5"/>
  <c r="L120" i="5"/>
  <c r="J120" i="5"/>
  <c r="I120" i="5"/>
  <c r="AA119" i="5"/>
  <c r="Z119" i="5"/>
  <c r="Y119" i="5"/>
  <c r="X119" i="5"/>
  <c r="W119" i="5"/>
  <c r="V119" i="5"/>
  <c r="P119" i="5"/>
  <c r="O119" i="5"/>
  <c r="M119" i="5"/>
  <c r="L119" i="5"/>
  <c r="J119" i="5"/>
  <c r="I119" i="5"/>
  <c r="AA118" i="5"/>
  <c r="Z118" i="5"/>
  <c r="Y118" i="5"/>
  <c r="X118" i="5"/>
  <c r="W118" i="5"/>
  <c r="V118" i="5"/>
  <c r="P118" i="5"/>
  <c r="O118" i="5"/>
  <c r="M118" i="5"/>
  <c r="L118" i="5"/>
  <c r="J118" i="5"/>
  <c r="I118" i="5"/>
  <c r="G118" i="5"/>
  <c r="F118" i="5"/>
  <c r="P117" i="5"/>
  <c r="O117" i="5"/>
  <c r="M117" i="5"/>
  <c r="L117" i="5"/>
  <c r="J117" i="5"/>
  <c r="I117" i="5"/>
  <c r="G117" i="5"/>
  <c r="F117" i="5"/>
  <c r="J108" i="5"/>
  <c r="R107" i="5"/>
  <c r="Q107" i="5"/>
  <c r="P107" i="5"/>
  <c r="N107" i="5"/>
  <c r="M107" i="5"/>
  <c r="L107" i="5"/>
  <c r="K107" i="5"/>
  <c r="J107" i="5"/>
  <c r="I107" i="5"/>
  <c r="H107" i="5"/>
  <c r="G107" i="5"/>
  <c r="F107" i="5"/>
  <c r="E107" i="5"/>
  <c r="R106" i="5"/>
  <c r="Q106" i="5"/>
  <c r="P106" i="5"/>
  <c r="N106" i="5"/>
  <c r="M106" i="5"/>
  <c r="L106" i="5"/>
  <c r="J106" i="5"/>
  <c r="I106" i="5"/>
  <c r="H106" i="5"/>
  <c r="F106" i="5"/>
  <c r="E106" i="5"/>
  <c r="R100" i="5"/>
  <c r="Q100" i="5"/>
  <c r="P100" i="5"/>
  <c r="N100" i="5"/>
  <c r="M100" i="5"/>
  <c r="L100" i="5"/>
  <c r="J100" i="5"/>
  <c r="I100" i="5"/>
  <c r="H100" i="5"/>
  <c r="F100" i="5"/>
  <c r="E100" i="5"/>
  <c r="Y99" i="5"/>
  <c r="W99" i="5"/>
  <c r="V99" i="5"/>
  <c r="R99" i="5"/>
  <c r="Q99" i="5"/>
  <c r="P99" i="5"/>
  <c r="N99" i="5"/>
  <c r="M99" i="5"/>
  <c r="L99" i="5"/>
  <c r="K99" i="5"/>
  <c r="J99" i="5"/>
  <c r="I99" i="5"/>
  <c r="H99" i="5"/>
  <c r="G99" i="5"/>
  <c r="F99" i="5"/>
  <c r="E99" i="5"/>
  <c r="D99" i="5"/>
  <c r="R98" i="5"/>
  <c r="Q98" i="5"/>
  <c r="P98" i="5"/>
  <c r="N98" i="5"/>
  <c r="M98" i="5"/>
  <c r="L98" i="5"/>
  <c r="J98" i="5"/>
  <c r="I98" i="5"/>
  <c r="H98" i="5"/>
  <c r="F98" i="5"/>
  <c r="E98" i="5"/>
  <c r="W97" i="5"/>
  <c r="V97" i="5"/>
  <c r="AA96" i="5"/>
  <c r="Z96" i="5"/>
  <c r="Y96" i="5"/>
  <c r="X96" i="5"/>
  <c r="W96" i="5"/>
  <c r="V96" i="5"/>
  <c r="AA95" i="5"/>
  <c r="Z95" i="5"/>
  <c r="Y95" i="5"/>
  <c r="X95" i="5"/>
  <c r="W95" i="5"/>
  <c r="V95" i="5"/>
  <c r="AA94" i="5"/>
  <c r="Z94" i="5"/>
  <c r="Y94" i="5"/>
  <c r="X94" i="5"/>
  <c r="W94" i="5"/>
  <c r="V94" i="5"/>
  <c r="AA92" i="5"/>
  <c r="Z92" i="5"/>
  <c r="Y92" i="5"/>
  <c r="X92" i="5"/>
  <c r="W92" i="5"/>
  <c r="V92" i="5"/>
  <c r="P92" i="5"/>
  <c r="O92" i="5"/>
  <c r="M92" i="5"/>
  <c r="L92" i="5"/>
  <c r="J92" i="5"/>
  <c r="I92" i="5"/>
  <c r="AA91" i="5"/>
  <c r="Z91" i="5"/>
  <c r="Y91" i="5"/>
  <c r="X91" i="5"/>
  <c r="W91" i="5"/>
  <c r="V91" i="5"/>
  <c r="P91" i="5"/>
  <c r="O91" i="5"/>
  <c r="M91" i="5"/>
  <c r="L91" i="5"/>
  <c r="J91" i="5"/>
  <c r="I91" i="5"/>
  <c r="AA90" i="5"/>
  <c r="Z90" i="5"/>
  <c r="W90" i="5"/>
  <c r="P90" i="5"/>
  <c r="O90" i="5"/>
  <c r="M90" i="5"/>
  <c r="L90" i="5"/>
  <c r="J90" i="5"/>
  <c r="I90" i="5"/>
  <c r="AA89" i="5"/>
  <c r="Z89" i="5"/>
  <c r="Y89" i="5"/>
  <c r="X89" i="5"/>
  <c r="W89" i="5"/>
  <c r="V89" i="5"/>
  <c r="P89" i="5"/>
  <c r="O89" i="5"/>
  <c r="M89" i="5"/>
  <c r="L89" i="5"/>
  <c r="J89" i="5"/>
  <c r="I89" i="5"/>
  <c r="AA88" i="5"/>
  <c r="Z88" i="5"/>
  <c r="Y88" i="5"/>
  <c r="X88" i="5"/>
  <c r="W88" i="5"/>
  <c r="V88" i="5"/>
  <c r="P88" i="5"/>
  <c r="O88" i="5"/>
  <c r="M88" i="5"/>
  <c r="L88" i="5"/>
  <c r="J88" i="5"/>
  <c r="I88" i="5"/>
  <c r="AA87" i="5"/>
  <c r="Z87" i="5"/>
  <c r="Y87" i="5"/>
  <c r="X87" i="5"/>
  <c r="W87" i="5"/>
  <c r="V87" i="5"/>
  <c r="P87" i="5"/>
  <c r="O87" i="5"/>
  <c r="M87" i="5"/>
  <c r="L87" i="5"/>
  <c r="J87" i="5"/>
  <c r="I87" i="5"/>
  <c r="G87" i="5"/>
  <c r="F87" i="5"/>
  <c r="P86" i="5"/>
  <c r="O86" i="5"/>
  <c r="M86" i="5"/>
  <c r="L86" i="5"/>
  <c r="J86" i="5"/>
  <c r="I86" i="5"/>
  <c r="G86" i="5"/>
  <c r="F86" i="5"/>
  <c r="X79" i="5"/>
  <c r="W79" i="5"/>
  <c r="V79" i="5"/>
  <c r="U79" i="5"/>
  <c r="T79" i="5"/>
  <c r="S79" i="5"/>
  <c r="Q79" i="5"/>
  <c r="P79" i="5"/>
  <c r="O79" i="5"/>
  <c r="N79" i="5"/>
  <c r="M79" i="5"/>
  <c r="L79" i="5"/>
  <c r="J79" i="5"/>
  <c r="I79" i="5"/>
  <c r="H79" i="5"/>
  <c r="G79" i="5"/>
  <c r="F79" i="5"/>
  <c r="X78" i="5"/>
  <c r="W78" i="5"/>
  <c r="V78" i="5"/>
  <c r="U78" i="5"/>
  <c r="T78" i="5"/>
  <c r="S78" i="5"/>
  <c r="Q78" i="5"/>
  <c r="P78" i="5"/>
  <c r="O78" i="5"/>
  <c r="N78" i="5"/>
  <c r="M78" i="5"/>
  <c r="L78" i="5"/>
  <c r="J78" i="5"/>
  <c r="I78" i="5"/>
  <c r="H78" i="5"/>
  <c r="G78" i="5"/>
  <c r="F78" i="5"/>
  <c r="X77" i="5"/>
  <c r="W77" i="5"/>
  <c r="V77" i="5"/>
  <c r="U77" i="5"/>
  <c r="T77" i="5"/>
  <c r="S77" i="5"/>
  <c r="Q77" i="5"/>
  <c r="P77" i="5"/>
  <c r="O77" i="5"/>
  <c r="N77" i="5"/>
  <c r="M77" i="5"/>
  <c r="L77" i="5"/>
  <c r="J77" i="5"/>
  <c r="I77" i="5"/>
  <c r="H77" i="5"/>
  <c r="G77" i="5"/>
  <c r="F77" i="5"/>
  <c r="X76" i="5"/>
  <c r="W76" i="5"/>
  <c r="V76" i="5"/>
  <c r="U76" i="5"/>
  <c r="T76" i="5"/>
  <c r="S76" i="5"/>
  <c r="Q76" i="5"/>
  <c r="P76" i="5"/>
  <c r="O76" i="5"/>
  <c r="N76" i="5"/>
  <c r="M76" i="5"/>
  <c r="L76" i="5"/>
  <c r="J76" i="5"/>
  <c r="I76" i="5"/>
  <c r="H76" i="5"/>
  <c r="G76" i="5"/>
  <c r="F76" i="5"/>
  <c r="X75" i="5"/>
  <c r="W75" i="5"/>
  <c r="V75" i="5"/>
  <c r="U75" i="5"/>
  <c r="T75" i="5"/>
  <c r="S75" i="5"/>
  <c r="Q75" i="5"/>
  <c r="P75" i="5"/>
  <c r="O75" i="5"/>
  <c r="N75" i="5"/>
  <c r="M75" i="5"/>
  <c r="L75" i="5"/>
  <c r="J75" i="5"/>
  <c r="I75" i="5"/>
  <c r="H75" i="5"/>
  <c r="G75" i="5"/>
  <c r="F75" i="5"/>
  <c r="X74" i="5"/>
  <c r="W74" i="5"/>
  <c r="V74" i="5"/>
  <c r="U74" i="5"/>
  <c r="T74" i="5"/>
  <c r="S74" i="5"/>
  <c r="Q74" i="5"/>
  <c r="P74" i="5"/>
  <c r="O74" i="5"/>
  <c r="N74" i="5"/>
  <c r="M74" i="5"/>
  <c r="L74" i="5"/>
  <c r="J74" i="5"/>
  <c r="I74" i="5"/>
  <c r="H74" i="5"/>
  <c r="G74" i="5"/>
  <c r="F74" i="5"/>
  <c r="X73" i="5"/>
  <c r="W73" i="5"/>
  <c r="V73" i="5"/>
  <c r="U73" i="5"/>
  <c r="T73" i="5"/>
  <c r="S73" i="5"/>
  <c r="Q73" i="5"/>
  <c r="P73" i="5"/>
  <c r="O73" i="5"/>
  <c r="N73" i="5"/>
  <c r="M73" i="5"/>
  <c r="L73" i="5"/>
  <c r="J73" i="5"/>
  <c r="I73" i="5"/>
  <c r="H73" i="5"/>
  <c r="G73" i="5"/>
  <c r="F73" i="5"/>
  <c r="H66" i="5"/>
  <c r="G66" i="5"/>
  <c r="H61" i="5"/>
  <c r="G61" i="5"/>
  <c r="M57" i="5"/>
  <c r="L57" i="5"/>
  <c r="K57" i="5"/>
  <c r="I57" i="5"/>
  <c r="H57" i="5"/>
  <c r="G57" i="5"/>
  <c r="M56" i="5"/>
  <c r="L56" i="5"/>
  <c r="K56" i="5"/>
  <c r="I56" i="5"/>
  <c r="H56" i="5"/>
  <c r="G56" i="5"/>
  <c r="M55" i="5"/>
  <c r="L55" i="5"/>
  <c r="K55" i="5"/>
  <c r="I55" i="5"/>
  <c r="H55" i="5"/>
  <c r="G55" i="5"/>
  <c r="M54" i="5"/>
  <c r="L54" i="5"/>
  <c r="K54" i="5"/>
  <c r="I54" i="5"/>
  <c r="H54" i="5"/>
  <c r="G54" i="5"/>
  <c r="M53" i="5"/>
  <c r="L53" i="5"/>
  <c r="K53" i="5"/>
  <c r="I53" i="5"/>
  <c r="H53" i="5"/>
  <c r="G53" i="5"/>
  <c r="M52" i="5"/>
  <c r="L52" i="5"/>
  <c r="K52" i="5"/>
  <c r="I52" i="5"/>
  <c r="H52" i="5"/>
  <c r="G52" i="5"/>
  <c r="M51" i="5"/>
  <c r="L51" i="5"/>
  <c r="K51" i="5"/>
  <c r="I51" i="5"/>
  <c r="H51" i="5"/>
  <c r="G51" i="5"/>
  <c r="J44" i="5"/>
  <c r="H44" i="5"/>
  <c r="E44" i="5"/>
  <c r="J43" i="5"/>
  <c r="H43" i="5"/>
  <c r="E43" i="5"/>
  <c r="J42" i="5"/>
  <c r="H42" i="5"/>
  <c r="E42" i="5"/>
  <c r="J41" i="5"/>
  <c r="H41" i="5"/>
  <c r="E41" i="5"/>
  <c r="J40" i="5"/>
  <c r="H40" i="5"/>
  <c r="E40" i="5"/>
  <c r="J39" i="5"/>
  <c r="H39" i="5"/>
  <c r="E39" i="5"/>
  <c r="J38" i="5"/>
  <c r="H38" i="5"/>
  <c r="E38" i="5"/>
  <c r="J37" i="5"/>
  <c r="H37" i="5"/>
  <c r="E37" i="5"/>
  <c r="J36" i="5"/>
  <c r="H36" i="5"/>
  <c r="E36" i="5"/>
  <c r="J35" i="5"/>
  <c r="H35" i="5"/>
  <c r="E35" i="5"/>
  <c r="Z31" i="5"/>
  <c r="X31" i="5"/>
  <c r="Z30" i="5"/>
  <c r="X30" i="5"/>
  <c r="O30" i="5"/>
  <c r="N30" i="5"/>
  <c r="L30" i="5"/>
  <c r="K30" i="5"/>
  <c r="G30" i="5"/>
  <c r="Z29" i="5"/>
  <c r="X29" i="5"/>
  <c r="O29" i="5"/>
  <c r="N29" i="5"/>
  <c r="L29" i="5"/>
  <c r="K29" i="5"/>
  <c r="G29" i="5"/>
  <c r="I23" i="5"/>
  <c r="H23" i="5"/>
  <c r="G23" i="5"/>
  <c r="F23" i="5"/>
  <c r="F22" i="5"/>
  <c r="I21" i="5"/>
  <c r="I22" i="5" s="1"/>
  <c r="H21" i="5"/>
  <c r="H22" i="5" s="1"/>
  <c r="G21" i="5"/>
  <c r="G22" i="5" s="1"/>
  <c r="F21" i="5"/>
  <c r="Y20" i="5"/>
  <c r="X20" i="5"/>
  <c r="W20" i="5"/>
  <c r="V20" i="5"/>
  <c r="Y19" i="5"/>
  <c r="X19" i="5"/>
  <c r="W19" i="5"/>
  <c r="V19" i="5"/>
  <c r="Y18" i="5"/>
  <c r="X18" i="5"/>
  <c r="W18" i="5"/>
  <c r="V18" i="5"/>
  <c r="Y16" i="5"/>
  <c r="X16" i="5"/>
  <c r="W16" i="5"/>
  <c r="V16" i="5"/>
  <c r="Y15" i="5"/>
  <c r="X15" i="5"/>
  <c r="W15" i="5"/>
  <c r="V15" i="5"/>
  <c r="X14" i="5"/>
  <c r="W14" i="5"/>
  <c r="V14" i="5"/>
  <c r="Q7" i="5"/>
  <c r="Q6" i="5"/>
  <c r="Q5" i="5"/>
</calcChain>
</file>

<file path=xl/comments1.xml><?xml version="1.0" encoding="utf-8"?>
<comments xmlns="http://schemas.openxmlformats.org/spreadsheetml/2006/main">
  <authors>
    <author>IGJoung</author>
  </authors>
  <commentList>
    <comment ref="D115" authorId="0" shapeId="0">
      <text>
        <r>
          <rPr>
            <b/>
            <sz val="9"/>
            <color indexed="81"/>
            <rFont val="Tahoma"/>
            <family val="2"/>
          </rPr>
          <t>28V2 : OFF status</t>
        </r>
      </text>
    </comment>
  </commentList>
</comments>
</file>

<file path=xl/comments2.xml><?xml version="1.0" encoding="utf-8"?>
<comments xmlns="http://schemas.openxmlformats.org/spreadsheetml/2006/main">
  <authors>
    <author>IGJoung</author>
  </authors>
  <commentList>
    <comment ref="I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Q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Y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AG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AO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AW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BE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  <comment ref="BM117" authorId="0" shapeId="0">
      <text>
        <r>
          <rPr>
            <b/>
            <sz val="9"/>
            <color indexed="81"/>
            <rFont val="Tahoma"/>
            <family val="2"/>
          </rPr>
          <t xml:space="preserve">Opto-Coupler Pin-1
Diode input
</t>
        </r>
      </text>
    </comment>
  </commentList>
</comments>
</file>

<file path=xl/sharedStrings.xml><?xml version="1.0" encoding="utf-8"?>
<sst xmlns="http://schemas.openxmlformats.org/spreadsheetml/2006/main" count="3412" uniqueCount="1584">
  <si>
    <t xml:space="preserve"> &gt;1.27</t>
    <phoneticPr fontId="3" type="noConversion"/>
  </si>
  <si>
    <t xml:space="preserve"> &lt;1.27</t>
    <phoneticPr fontId="3" type="noConversion"/>
  </si>
  <si>
    <t>Vout2</t>
    <phoneticPr fontId="3" type="noConversion"/>
  </si>
  <si>
    <t>Vout1</t>
    <phoneticPr fontId="3" type="noConversion"/>
  </si>
  <si>
    <t>Vin2</t>
    <phoneticPr fontId="3" type="noConversion"/>
  </si>
  <si>
    <t>Vin1</t>
    <phoneticPr fontId="3" type="noConversion"/>
  </si>
  <si>
    <t>Vcc</t>
    <phoneticPr fontId="3" type="noConversion"/>
  </si>
  <si>
    <t>측정치</t>
    <phoneticPr fontId="3" type="noConversion"/>
  </si>
  <si>
    <t>V</t>
    <phoneticPr fontId="3" type="noConversion"/>
  </si>
  <si>
    <t>Vin2</t>
    <phoneticPr fontId="3" type="noConversion"/>
  </si>
  <si>
    <t>Vin1</t>
    <phoneticPr fontId="3" type="noConversion"/>
  </si>
  <si>
    <t>Ohm</t>
    <phoneticPr fontId="3" type="noConversion"/>
  </si>
  <si>
    <t>Rcom</t>
    <phoneticPr fontId="3" type="noConversion"/>
  </si>
  <si>
    <t>Rin2</t>
    <phoneticPr fontId="3" type="noConversion"/>
  </si>
  <si>
    <t>Rin1</t>
    <phoneticPr fontId="3" type="noConversion"/>
  </si>
  <si>
    <t>Vcc</t>
    <phoneticPr fontId="3" type="noConversion"/>
  </si>
  <si>
    <t>+5V</t>
    <phoneticPr fontId="3" type="noConversion"/>
  </si>
  <si>
    <t>+28V2_O</t>
    <phoneticPr fontId="3" type="noConversion"/>
  </si>
  <si>
    <t>+28V2</t>
    <phoneticPr fontId="3" type="noConversion"/>
  </si>
  <si>
    <t>+28V1</t>
    <phoneticPr fontId="3" type="noConversion"/>
  </si>
  <si>
    <t>장보고 III - Power B'd Voltage monitor</t>
    <phoneticPr fontId="3" type="noConversion"/>
  </si>
  <si>
    <t>ON</t>
    <phoneticPr fontId="2" type="noConversion"/>
  </si>
  <si>
    <t>Vin1 - Under voltage detection</t>
    <phoneticPr fontId="2" type="noConversion"/>
  </si>
  <si>
    <t>Vin2 - Over voltage detection</t>
    <phoneticPr fontId="2" type="noConversion"/>
  </si>
  <si>
    <t>Mode</t>
    <phoneticPr fontId="2" type="noConversion"/>
  </si>
  <si>
    <t>Vref</t>
    <phoneticPr fontId="2" type="noConversion"/>
  </si>
  <si>
    <t>Vin1</t>
    <phoneticPr fontId="2" type="noConversion"/>
  </si>
  <si>
    <t>Input1</t>
    <phoneticPr fontId="2" type="noConversion"/>
  </si>
  <si>
    <t>Op-in1</t>
    <phoneticPr fontId="2" type="noConversion"/>
  </si>
  <si>
    <t>L</t>
    <phoneticPr fontId="2" type="noConversion"/>
  </si>
  <si>
    <t>Op-mode1</t>
    <phoneticPr fontId="2" type="noConversion"/>
  </si>
  <si>
    <t>H</t>
    <phoneticPr fontId="2" type="noConversion"/>
  </si>
  <si>
    <t>XOR-1</t>
    <phoneticPr fontId="2" type="noConversion"/>
  </si>
  <si>
    <t>H</t>
    <phoneticPr fontId="2" type="noConversion"/>
  </si>
  <si>
    <t>Output1</t>
    <phoneticPr fontId="2" type="noConversion"/>
  </si>
  <si>
    <t>H</t>
    <phoneticPr fontId="2" type="noConversion"/>
  </si>
  <si>
    <t>L</t>
    <phoneticPr fontId="2" type="noConversion"/>
  </si>
  <si>
    <t>GND</t>
    <phoneticPr fontId="2" type="noConversion"/>
  </si>
  <si>
    <t xml:space="preserve"> &gt;1.27</t>
    <phoneticPr fontId="3" type="noConversion"/>
  </si>
  <si>
    <t>L</t>
    <phoneticPr fontId="2" type="noConversion"/>
  </si>
  <si>
    <t>H</t>
    <phoneticPr fontId="2" type="noConversion"/>
  </si>
  <si>
    <t>OPEN</t>
    <phoneticPr fontId="2" type="noConversion"/>
  </si>
  <si>
    <t>Input2</t>
    <phoneticPr fontId="2" type="noConversion"/>
  </si>
  <si>
    <t>Op-in2</t>
    <phoneticPr fontId="2" type="noConversion"/>
  </si>
  <si>
    <t>Op-mode2</t>
    <phoneticPr fontId="2" type="noConversion"/>
  </si>
  <si>
    <t>XOR-2</t>
    <phoneticPr fontId="2" type="noConversion"/>
  </si>
  <si>
    <t>Output2</t>
    <phoneticPr fontId="2" type="noConversion"/>
  </si>
  <si>
    <t>L</t>
    <phoneticPr fontId="2" type="noConversion"/>
  </si>
  <si>
    <t>L</t>
    <phoneticPr fontId="2" type="noConversion"/>
  </si>
  <si>
    <t>Op-in2와 Output2를 기준으로 봤을때 Value가 inverting.</t>
    <phoneticPr fontId="2" type="noConversion"/>
  </si>
  <si>
    <t>Op-in1와 Output1를 기준으로 봤을때 Value가 Non-inverting.</t>
    <phoneticPr fontId="2" type="noConversion"/>
  </si>
  <si>
    <t>MC33161 operation characterization</t>
    <phoneticPr fontId="2" type="noConversion"/>
  </si>
  <si>
    <t>CH1 - &lt;1.27에서 Output1이 Low이므로 under voltage detection</t>
    <phoneticPr fontId="2" type="noConversion"/>
  </si>
  <si>
    <t>XOR이 Low일때는 Tr = OFF 상태로 next stage이 아무런 영향을 주지 못함.</t>
    <phoneticPr fontId="2" type="noConversion"/>
  </si>
  <si>
    <t xml:space="preserve">XOR이 High 일때, Tr = ON 상태이며, 이때 Output은 GND(Low) 상태가 된다. </t>
    <phoneticPr fontId="2" type="noConversion"/>
  </si>
  <si>
    <t>이를 이용하여 next stage의 회로에서 detection하는 구조임.</t>
  </si>
  <si>
    <t>CH2 - &gt;1.27에서 Output2가 Low이므로 over voltage detection.</t>
    <phoneticPr fontId="2" type="noConversion"/>
  </si>
  <si>
    <t>OUT1</t>
    <phoneticPr fontId="2" type="noConversion"/>
  </si>
  <si>
    <t>OUT2</t>
    <phoneticPr fontId="2" type="noConversion"/>
  </si>
  <si>
    <t>L</t>
    <phoneticPr fontId="2" type="noConversion"/>
  </si>
  <si>
    <t>H</t>
    <phoneticPr fontId="2" type="noConversion"/>
  </si>
  <si>
    <t>Q3</t>
    <phoneticPr fontId="2" type="noConversion"/>
  </si>
  <si>
    <t>OFF</t>
    <phoneticPr fontId="2" type="noConversion"/>
  </si>
  <si>
    <t>LED</t>
    <phoneticPr fontId="2" type="noConversion"/>
  </si>
  <si>
    <t>H</t>
    <phoneticPr fontId="2" type="noConversion"/>
  </si>
  <si>
    <t>L</t>
    <phoneticPr fontId="2" type="noConversion"/>
  </si>
  <si>
    <t>Vin2</t>
    <phoneticPr fontId="2" type="noConversion"/>
  </si>
  <si>
    <t>Origin</t>
    <phoneticPr fontId="2" type="noConversion"/>
  </si>
  <si>
    <t>Diode로 Out1,2가 분리되어 있어서 OUT1,2가 모두 GND일때만 Q3가 OFF되며, 이때 LED OFF됨.</t>
    <phoneticPr fontId="2" type="noConversion"/>
  </si>
  <si>
    <t>Case</t>
    <phoneticPr fontId="2" type="noConversion"/>
  </si>
  <si>
    <t>Detect Range</t>
    <phoneticPr fontId="2" type="noConversion"/>
  </si>
  <si>
    <t>Low</t>
    <phoneticPr fontId="2" type="noConversion"/>
  </si>
  <si>
    <t>High</t>
    <phoneticPr fontId="2" type="noConversion"/>
  </si>
  <si>
    <t>계산</t>
    <phoneticPr fontId="2" type="noConversion"/>
  </si>
  <si>
    <t>실측</t>
    <phoneticPr fontId="2" type="noConversion"/>
  </si>
  <si>
    <t>Opto-Coupler Pin-1</t>
    <phoneticPr fontId="2" type="noConversion"/>
  </si>
  <si>
    <t>V</t>
    <phoneticPr fontId="2" type="noConversion"/>
  </si>
  <si>
    <t>V</t>
    <phoneticPr fontId="2" type="noConversion"/>
  </si>
  <si>
    <t>Remote sense</t>
    <phoneticPr fontId="2" type="noConversion"/>
  </si>
  <si>
    <r>
      <t xml:space="preserve">[Vout(+)-Vout(-)] - [Vsense(+) - Vsense(-)] </t>
    </r>
    <r>
      <rPr>
        <sz val="11"/>
        <color theme="1"/>
        <rFont val="맑은 고딕"/>
        <family val="3"/>
        <charset val="129"/>
      </rPr>
      <t>≤</t>
    </r>
    <r>
      <rPr>
        <sz val="11"/>
        <color theme="1"/>
        <rFont val="맑은 고딕"/>
        <family val="2"/>
        <charset val="129"/>
      </rPr>
      <t xml:space="preserve"> Sense Range(%) x Vout</t>
    </r>
    <phoneticPr fontId="2" type="noConversion"/>
  </si>
  <si>
    <t>Output Voltage Trim</t>
    <phoneticPr fontId="2" type="noConversion"/>
  </si>
  <si>
    <t>Vnom</t>
    <phoneticPr fontId="2" type="noConversion"/>
  </si>
  <si>
    <t>Vdesired</t>
    <phoneticPr fontId="2" type="noConversion"/>
  </si>
  <si>
    <t>ㅿ%</t>
    <phoneticPr fontId="2" type="noConversion"/>
  </si>
  <si>
    <t>%</t>
    <phoneticPr fontId="2" type="noConversion"/>
  </si>
  <si>
    <t>Rtrim-up</t>
    <phoneticPr fontId="2" type="noConversion"/>
  </si>
  <si>
    <t>Kohm</t>
    <phoneticPr fontId="2" type="noConversion"/>
  </si>
  <si>
    <t>Value</t>
    <phoneticPr fontId="2" type="noConversion"/>
  </si>
  <si>
    <t>Unit</t>
    <phoneticPr fontId="2" type="noConversion"/>
  </si>
  <si>
    <t>IO card</t>
    <phoneticPr fontId="2" type="noConversion"/>
  </si>
  <si>
    <t>SBC</t>
    <phoneticPr fontId="2" type="noConversion"/>
  </si>
  <si>
    <t>1ea</t>
    <phoneticPr fontId="2" type="noConversion"/>
  </si>
  <si>
    <t>4ea</t>
    <phoneticPr fontId="2" type="noConversion"/>
  </si>
  <si>
    <t>2ea</t>
    <phoneticPr fontId="2" type="noConversion"/>
  </si>
  <si>
    <t>IO 1ea / SBC 1ea</t>
    <phoneticPr fontId="2" type="noConversion"/>
  </si>
  <si>
    <t>IO 4ea / SBC 2ea</t>
    <phoneticPr fontId="2" type="noConversion"/>
  </si>
  <si>
    <t>본체
condition</t>
    <phoneticPr fontId="2" type="noConversion"/>
  </si>
  <si>
    <t>전원카드 전압 Drop Test - Backplane bare board</t>
    <phoneticPr fontId="2" type="noConversion"/>
  </si>
  <si>
    <t>- 14A load 상태에서도 MOSFET의 Voltage drop은 0.05V로 낮다.</t>
    <phoneticPr fontId="2" type="noConversion"/>
  </si>
  <si>
    <t>- Backplane에서의 Voltage drop이 0.23V로 높은편 이지만, 통제장치 Reset과는 무관한 issue임.</t>
    <phoneticPr fontId="2" type="noConversion"/>
  </si>
  <si>
    <t>통제장치 Reset 관련 검토 내용.</t>
    <phoneticPr fontId="2" type="noConversion"/>
  </si>
  <si>
    <t>1. MOSFET SUM110N04-02L의 V_SD drop은 0.05V 이내로 문제 없음.</t>
    <phoneticPr fontId="2" type="noConversion"/>
  </si>
  <si>
    <t>3. 0.13V trim-up 상태에서도 reset는 비슷한 빈도로 발생함.</t>
    <phoneticPr fontId="2" type="noConversion"/>
  </si>
  <si>
    <t>4. MOSFET의 Source-Drain pin short후 Reset 사람짐.</t>
    <phoneticPr fontId="2" type="noConversion"/>
  </si>
  <si>
    <t>2. Backplane Voltage drop이 0.23V로 다소 높지만, MOSFET Source-Drain short후 reset 개선되는 것과는 무관함.</t>
    <phoneticPr fontId="2" type="noConversion"/>
  </si>
  <si>
    <t>⇒ MOSFET burn : Load의 급격한 변화에 의해 Vout이 transition이 발생하고 이로 인해 Oring controller가 ON/OFF되면서 Q1이 dead Zone이 발생하여 burn 된것으로 보임.</t>
    <phoneticPr fontId="2" type="noConversion"/>
  </si>
  <si>
    <t>U6 Out(FAIL)</t>
    <phoneticPr fontId="2" type="noConversion"/>
  </si>
  <si>
    <t>Diode Out1,2를 Short 시키고, R30 / D8 NC 처리.</t>
    <phoneticPr fontId="2" type="noConversion"/>
  </si>
  <si>
    <t>OFF</t>
    <phoneticPr fontId="2" type="noConversion"/>
  </si>
  <si>
    <t>OPEN</t>
    <phoneticPr fontId="2" type="noConversion"/>
  </si>
  <si>
    <t>Normal Range</t>
    <phoneticPr fontId="2" type="noConversion"/>
  </si>
  <si>
    <t>Under Range</t>
    <phoneticPr fontId="2" type="noConversion"/>
  </si>
  <si>
    <t>Over Range</t>
    <phoneticPr fontId="2" type="noConversion"/>
  </si>
  <si>
    <t>Vout</t>
    <phoneticPr fontId="3" type="noConversion"/>
  </si>
  <si>
    <t>Opto</t>
    <phoneticPr fontId="2" type="noConversion"/>
  </si>
  <si>
    <t>P[W]</t>
    <phoneticPr fontId="2" type="noConversion"/>
  </si>
  <si>
    <t>Spec</t>
    <phoneticPr fontId="2" type="noConversion"/>
  </si>
  <si>
    <t>5V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</si>
  <si>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</si>
  <si>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</si>
  <si>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</si>
  <si>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28V1,2</t>
    <phoneticPr fontId="2" type="noConversion"/>
  </si>
  <si>
    <t>QT1-19 / QT2-19</t>
    <phoneticPr fontId="2" type="noConversion"/>
  </si>
  <si>
    <t>성능인증계획서</t>
    <phoneticPr fontId="2" type="noConversion"/>
  </si>
  <si>
    <t>전원카드 전압 Drop에 의한 Trim-up Resistor Tune</t>
    <phoneticPr fontId="2" type="noConversion"/>
  </si>
  <si>
    <t>Vout+/-</t>
    <phoneticPr fontId="2" type="noConversion"/>
  </si>
  <si>
    <t>DC/DC</t>
    <phoneticPr fontId="2" type="noConversion"/>
  </si>
  <si>
    <t>T1 / T2</t>
    <phoneticPr fontId="2" type="noConversion"/>
  </si>
  <si>
    <t>B-to-B</t>
    <phoneticPr fontId="2" type="noConversion"/>
  </si>
  <si>
    <t>Opposite</t>
    <phoneticPr fontId="2" type="noConversion"/>
  </si>
  <si>
    <t>Vdrop</t>
    <phoneticPr fontId="2" type="noConversion"/>
  </si>
  <si>
    <t>B-to-B (insert)</t>
    <phoneticPr fontId="2" type="noConversion"/>
  </si>
  <si>
    <t>Trim-up</t>
    <phoneticPr fontId="2" type="noConversion"/>
  </si>
  <si>
    <t>P</t>
    <phoneticPr fontId="2" type="noConversion"/>
  </si>
  <si>
    <t>28V1</t>
    <phoneticPr fontId="2" type="noConversion"/>
  </si>
  <si>
    <t>Delta</t>
    <phoneticPr fontId="2" type="noConversion"/>
  </si>
  <si>
    <t>28V2</t>
    <phoneticPr fontId="2" type="noConversion"/>
  </si>
  <si>
    <t>Meas</t>
    <phoneticPr fontId="2" type="noConversion"/>
  </si>
  <si>
    <t>target</t>
    <phoneticPr fontId="2" type="noConversion"/>
  </si>
  <si>
    <t>Power</t>
    <phoneticPr fontId="2" type="noConversion"/>
  </si>
  <si>
    <t>MCR10ERTF1584</t>
    <phoneticPr fontId="2" type="noConversion"/>
  </si>
  <si>
    <t>RES SMD 1.58M OHM 1% 1/8W 0805</t>
    <phoneticPr fontId="2" type="noConversion"/>
  </si>
  <si>
    <t>MCR10EZHJ685</t>
    <phoneticPr fontId="2" type="noConversion"/>
  </si>
  <si>
    <t>RES SMD 6.8M OHM 5% 1/8W 0805</t>
    <phoneticPr fontId="2" type="noConversion"/>
  </si>
  <si>
    <t>T1/T2</t>
    <phoneticPr fontId="2" type="noConversion"/>
  </si>
  <si>
    <t>BtoB</t>
    <phoneticPr fontId="2" type="noConversion"/>
  </si>
  <si>
    <t>28V2</t>
    <phoneticPr fontId="2" type="noConversion"/>
  </si>
  <si>
    <t>ACS713ELCTR-20A</t>
    <phoneticPr fontId="2" type="noConversion"/>
  </si>
  <si>
    <t>Sensitivity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</si>
  <si>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</si>
  <si>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</si>
  <si>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</si>
  <si>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Unit</t>
    <phoneticPr fontId="2" type="noConversion"/>
  </si>
  <si>
    <t>mV/A</t>
    <phoneticPr fontId="2" type="noConversion"/>
  </si>
  <si>
    <t>Current</t>
    <phoneticPr fontId="2" type="noConversion"/>
  </si>
  <si>
    <t>A</t>
    <phoneticPr fontId="2" type="noConversion"/>
  </si>
  <si>
    <t>VIOUT</t>
    <phoneticPr fontId="2" type="noConversion"/>
  </si>
  <si>
    <t>mV</t>
    <phoneticPr fontId="2" type="noConversion"/>
  </si>
  <si>
    <t>OP-AMP Setting - LM2901M</t>
    <phoneticPr fontId="2" type="noConversion"/>
  </si>
  <si>
    <t>Vcc</t>
    <phoneticPr fontId="2" type="noConversion"/>
  </si>
  <si>
    <t>Rup</t>
    <phoneticPr fontId="2" type="noConversion"/>
  </si>
  <si>
    <t>Rdown</t>
    <phoneticPr fontId="2" type="noConversion"/>
  </si>
  <si>
    <t>Kohm</t>
    <phoneticPr fontId="2" type="noConversion"/>
  </si>
  <si>
    <t>V</t>
    <phoneticPr fontId="2" type="noConversion"/>
  </si>
  <si>
    <t>Vref</t>
    <phoneticPr fontId="2" type="noConversion"/>
  </si>
  <si>
    <t>V</t>
    <phoneticPr fontId="2" type="noConversion"/>
  </si>
  <si>
    <t>I</t>
    <phoneticPr fontId="2" type="noConversion"/>
  </si>
  <si>
    <t>mA</t>
    <phoneticPr fontId="2" type="noConversion"/>
  </si>
  <si>
    <t>S/V Load current - 발사체 없는 상태.</t>
    <phoneticPr fontId="2" type="noConversion"/>
  </si>
  <si>
    <t>Origin</t>
    <phoneticPr fontId="2" type="noConversion"/>
  </si>
  <si>
    <t>Tune1</t>
    <phoneticPr fontId="2" type="noConversion"/>
  </si>
  <si>
    <t>Voltage Gain</t>
    <phoneticPr fontId="2" type="noConversion"/>
  </si>
  <si>
    <t>V/mV</t>
    <phoneticPr fontId="2" type="noConversion"/>
  </si>
  <si>
    <t>⇒ OR-ing FET controller의 오동작으로 보임.</t>
    <phoneticPr fontId="2" type="noConversion"/>
  </si>
  <si>
    <t>220VDC</t>
    <phoneticPr fontId="2" type="noConversion"/>
  </si>
  <si>
    <t>P[W]</t>
    <phoneticPr fontId="2" type="noConversion"/>
  </si>
  <si>
    <t>I[A]</t>
    <phoneticPr fontId="2" type="noConversion"/>
  </si>
  <si>
    <t>Condition</t>
    <phoneticPr fontId="2" type="noConversion"/>
  </si>
  <si>
    <t>5V DC-DC</t>
    <phoneticPr fontId="2" type="noConversion"/>
  </si>
  <si>
    <t>I[A]</t>
    <phoneticPr fontId="2" type="noConversion"/>
  </si>
  <si>
    <t>현상</t>
    <phoneticPr fontId="2" type="noConversion"/>
  </si>
  <si>
    <t>Workaround</t>
    <phoneticPr fontId="2" type="noConversion"/>
  </si>
  <si>
    <t>DC-DC Converter Output에 22uF Tantal - S/V 4ea 구동시에도 Reset 발생하지 않음.</t>
    <phoneticPr fontId="2" type="noConversion"/>
  </si>
  <si>
    <t>Solution</t>
    <phoneticPr fontId="2" type="noConversion"/>
  </si>
  <si>
    <t>DC-DC Converter Output의 Transition ( OR-ing input Transition)으로 인한 OR-ing turn-off 발생.</t>
    <phoneticPr fontId="2" type="noConversion"/>
  </si>
  <si>
    <t>High Active topology</t>
    <phoneticPr fontId="2" type="noConversion"/>
  </si>
  <si>
    <t>Low Active topology</t>
    <phoneticPr fontId="2" type="noConversion"/>
  </si>
  <si>
    <t>High Active</t>
    <phoneticPr fontId="2" type="noConversion"/>
  </si>
  <si>
    <t>Low Active</t>
    <phoneticPr fontId="2" type="noConversion"/>
  </si>
  <si>
    <t>Origin</t>
    <phoneticPr fontId="2" type="noConversion"/>
  </si>
  <si>
    <r>
      <rPr>
        <b/>
        <sz val="11"/>
        <color rgb="FFFF0000"/>
        <rFont val="맑은 고딕"/>
        <family val="3"/>
        <charset val="129"/>
      </rPr>
      <t>⇒</t>
    </r>
    <r>
      <rPr>
        <b/>
        <sz val="11"/>
        <color rgb="FFFF0000"/>
        <rFont val="맑은 고딕"/>
        <family val="3"/>
        <charset val="129"/>
        <scheme val="minor"/>
      </rPr>
      <t xml:space="preserve"> 전원카드가 없는 경우에도 정상 동작하는 것으로 표시됨.</t>
    </r>
    <phoneticPr fontId="2" type="noConversion"/>
  </si>
  <si>
    <t>⇒ Vin1,2 Range가 바뀌어 High Active 상태가 나타날 수 없다.</t>
    <phoneticPr fontId="2" type="noConversion"/>
  </si>
  <si>
    <t>측정 결과 - High Active topology</t>
    <phoneticPr fontId="2" type="noConversion"/>
  </si>
  <si>
    <t>측정 결과 - Low Active topology</t>
    <phoneticPr fontId="2" type="noConversion"/>
  </si>
  <si>
    <t>IQ4H050QTV30NRS</t>
  </si>
  <si>
    <t>DC-DC Conveter Trim Resistor 계산 수식</t>
    <phoneticPr fontId="2" type="noConversion"/>
  </si>
  <si>
    <t>trim up Voltage</t>
    <phoneticPr fontId="2" type="noConversion"/>
  </si>
  <si>
    <t>Trim-up Resistor Calculator</t>
    <phoneticPr fontId="2" type="noConversion"/>
  </si>
  <si>
    <t>V</t>
    <phoneticPr fontId="2" type="noConversion"/>
  </si>
  <si>
    <t>전원카드 Spec</t>
    <phoneticPr fontId="2" type="noConversion"/>
  </si>
  <si>
    <t>1% Spec</t>
    <phoneticPr fontId="2" type="noConversion"/>
  </si>
  <si>
    <t>DC/DC</t>
    <phoneticPr fontId="2" type="noConversion"/>
  </si>
  <si>
    <t>Drain</t>
    <phoneticPr fontId="2" type="noConversion"/>
  </si>
  <si>
    <t>전원카드 [V]</t>
    <phoneticPr fontId="2" type="noConversion"/>
  </si>
  <si>
    <t>Drop</t>
    <phoneticPr fontId="2" type="noConversion"/>
  </si>
  <si>
    <t>220VDC</t>
    <phoneticPr fontId="2" type="noConversion"/>
  </si>
  <si>
    <t>I[mA]</t>
    <phoneticPr fontId="2" type="noConversion"/>
  </si>
  <si>
    <t>Load</t>
    <phoneticPr fontId="2" type="noConversion"/>
  </si>
  <si>
    <t>Back-plane</t>
    <phoneticPr fontId="2" type="noConversion"/>
  </si>
  <si>
    <t>drop</t>
    <phoneticPr fontId="2" type="noConversion"/>
  </si>
  <si>
    <t>Opposite</t>
    <phoneticPr fontId="2" type="noConversion"/>
  </si>
  <si>
    <t>Load
[A]</t>
    <phoneticPr fontId="2" type="noConversion"/>
  </si>
  <si>
    <t>220V
[mA]</t>
    <phoneticPr fontId="2" type="noConversion"/>
  </si>
  <si>
    <t>T1/T2</t>
    <phoneticPr fontId="2" type="noConversion"/>
  </si>
  <si>
    <t>R_line</t>
    <phoneticPr fontId="2" type="noConversion"/>
  </si>
  <si>
    <t>B-to-B</t>
    <phoneticPr fontId="2" type="noConversion"/>
  </si>
  <si>
    <t>Line impedance calculator</t>
    <phoneticPr fontId="2" type="noConversion"/>
  </si>
  <si>
    <t>Line impedance가 5.6mOhm으로 MOSFET(SUM110N04-02L)의 Rds=2mOhm 대비 두배 이상으로 크다.</t>
    <phoneticPr fontId="2" type="noConversion"/>
  </si>
  <si>
    <t>⇒ 5V GND copper 보강 필요.</t>
    <phoneticPr fontId="2" type="noConversion"/>
  </si>
  <si>
    <t>⇒ Line impedance 높음 : 내층 GND와 Top면 GND간 VIA 보강 필요.</t>
    <phoneticPr fontId="2" type="noConversion"/>
  </si>
  <si>
    <t>전원카드 전압 Drop Test</t>
    <phoneticPr fontId="2" type="noConversion"/>
  </si>
  <si>
    <t>Trim-up Voltage</t>
    <phoneticPr fontId="2" type="noConversion"/>
  </si>
  <si>
    <t>V</t>
    <phoneticPr fontId="2" type="noConversion"/>
  </si>
  <si>
    <t>5VDC</t>
    <phoneticPr fontId="2" type="noConversion"/>
  </si>
  <si>
    <t>28V1</t>
    <phoneticPr fontId="2" type="noConversion"/>
  </si>
  <si>
    <t>28V2</t>
    <phoneticPr fontId="2" type="noConversion"/>
  </si>
  <si>
    <t>Trim-up</t>
    <phoneticPr fontId="2" type="noConversion"/>
  </si>
  <si>
    <t>DC/DC Vout</t>
    <phoneticPr fontId="2" type="noConversion"/>
  </si>
  <si>
    <t>Meas</t>
    <phoneticPr fontId="2" type="noConversion"/>
  </si>
  <si>
    <t>Test Results - B'd #02</t>
    <phoneticPr fontId="2" type="noConversion"/>
  </si>
  <si>
    <t>통제장치</t>
    <phoneticPr fontId="2" type="noConversion"/>
  </si>
  <si>
    <t>통제장치</t>
    <phoneticPr fontId="2" type="noConversion"/>
  </si>
  <si>
    <t>Test Results - B'd #01</t>
    <phoneticPr fontId="2" type="noConversion"/>
  </si>
  <si>
    <t>계산</t>
    <phoneticPr fontId="2" type="noConversion"/>
  </si>
  <si>
    <t>V</t>
    <phoneticPr fontId="2" type="noConversion"/>
  </si>
  <si>
    <t>Tolerance</t>
    <phoneticPr fontId="2" type="noConversion"/>
  </si>
  <si>
    <t>Delta</t>
    <phoneticPr fontId="2" type="noConversion"/>
  </si>
  <si>
    <t>MLCC 1uF ECO후 Test 예정. - Reset 발생.</t>
    <phoneticPr fontId="2" type="noConversion"/>
  </si>
  <si>
    <t>Tantal 22uF ECO - 빈도는 낮아졌으나, 1/26 1회 Reset 발생.</t>
    <phoneticPr fontId="2" type="noConversion"/>
  </si>
  <si>
    <t>S/V Current sensor review data</t>
    <phoneticPr fontId="2" type="noConversion"/>
  </si>
  <si>
    <t>SPEC</t>
    <phoneticPr fontId="2" type="noConversion"/>
  </si>
  <si>
    <t>S/V OFF</t>
    <phoneticPr fontId="2" type="noConversion"/>
  </si>
  <si>
    <t>S/V ON</t>
    <phoneticPr fontId="2" type="noConversion"/>
  </si>
  <si>
    <t>Unit</t>
    <phoneticPr fontId="2" type="noConversion"/>
  </si>
  <si>
    <t>⇒ S/V OFF 상태에서도 VIOUT=0.5V 상태 유지함.</t>
    <phoneticPr fontId="2" type="noConversion"/>
  </si>
  <si>
    <t>⇒ Other circuit에서 발생하는 Magnetic field가 유기되어 발생하는 것으로 보임.</t>
    <phoneticPr fontId="2" type="noConversion"/>
  </si>
  <si>
    <t>Offset V</t>
    <phoneticPr fontId="2" type="noConversion"/>
  </si>
  <si>
    <t>⇒ 실제 발사체가 있는 경우, Load current는 증가함. - VIOUT 증가 예상.</t>
    <phoneticPr fontId="2" type="noConversion"/>
  </si>
  <si>
    <t>S/V No.</t>
    <phoneticPr fontId="2" type="noConversion"/>
  </si>
  <si>
    <t>⇒ Target Vref = 0.7V ( Offset Voltage 감안하여 설정 )</t>
    <phoneticPr fontId="2" type="noConversion"/>
  </si>
  <si>
    <t>Tune2</t>
    <phoneticPr fontId="2" type="noConversion"/>
  </si>
  <si>
    <t>계산치</t>
    <phoneticPr fontId="2" type="noConversion"/>
  </si>
  <si>
    <t>Vref 기준
계산</t>
    <phoneticPr fontId="2" type="noConversion"/>
  </si>
  <si>
    <t>R 기준
계산</t>
    <phoneticPr fontId="2" type="noConversion"/>
  </si>
  <si>
    <t>V(+)</t>
    <phoneticPr fontId="2" type="noConversion"/>
  </si>
  <si>
    <t>V(-)</t>
    <phoneticPr fontId="2" type="noConversion"/>
  </si>
  <si>
    <t>Vout</t>
    <phoneticPr fontId="2" type="noConversion"/>
  </si>
  <si>
    <t>H</t>
    <phoneticPr fontId="2" type="noConversion"/>
  </si>
  <si>
    <t>L</t>
    <phoneticPr fontId="2" type="noConversion"/>
  </si>
  <si>
    <t>⇒ V(+)를 reference로 V(-) Pin-4의 전압을 check하는 comparator</t>
    <phoneticPr fontId="2" type="noConversion"/>
  </si>
  <si>
    <t>V(+) &gt; V(-) : HIGH</t>
    <phoneticPr fontId="2" type="noConversion"/>
  </si>
  <si>
    <t>V(+) &lt; V(-) : LOW</t>
    <phoneticPr fontId="2" type="noConversion"/>
  </si>
  <si>
    <t>Measurement Results</t>
    <phoneticPr fontId="2" type="noConversion"/>
  </si>
  <si>
    <t>ECO list</t>
    <phoneticPr fontId="2" type="noConversion"/>
  </si>
  <si>
    <t>R241, R243, R250, R252, R256, R257, R261, R263, R269 : 100K -&gt; 5.36K</t>
    <phoneticPr fontId="2" type="noConversion"/>
  </si>
  <si>
    <t>RU3216</t>
    <phoneticPr fontId="2" type="noConversion"/>
  </si>
  <si>
    <t>A</t>
    <phoneticPr fontId="2" type="noConversion"/>
  </si>
  <si>
    <t>R</t>
    <phoneticPr fontId="2" type="noConversion"/>
  </si>
  <si>
    <t>RUK3216FR010CS</t>
    <phoneticPr fontId="2" type="noConversion"/>
  </si>
  <si>
    <t>RUK3216</t>
    <phoneticPr fontId="2" type="noConversion"/>
  </si>
  <si>
    <t>LED</t>
    <phoneticPr fontId="2" type="noConversion"/>
  </si>
  <si>
    <t>LT1370 Specification</t>
    <phoneticPr fontId="2" type="noConversion"/>
  </si>
  <si>
    <t>LCD_INTERFACE Board DC-DC Converter Protection circuit review</t>
    <phoneticPr fontId="2" type="noConversion"/>
  </si>
  <si>
    <t>Issue</t>
    <phoneticPr fontId="2" type="noConversion"/>
  </si>
  <si>
    <t>동작 중 REG2가 dead되는 경우가 자주 발생.</t>
    <phoneticPr fontId="2" type="noConversion"/>
  </si>
  <si>
    <t>Overcurrent에 의한 demage로 파악 - protection circuit 추가</t>
    <phoneticPr fontId="2" type="noConversion"/>
  </si>
  <si>
    <t>Current Limited Power Switch : 6A</t>
    <phoneticPr fontId="2" type="noConversion"/>
  </si>
  <si>
    <t>R9</t>
    <phoneticPr fontId="2" type="noConversion"/>
  </si>
  <si>
    <t>R8</t>
    <phoneticPr fontId="2" type="noConversion"/>
  </si>
  <si>
    <t>VFB</t>
    <phoneticPr fontId="2" type="noConversion"/>
  </si>
  <si>
    <t>Peak Current</t>
    <phoneticPr fontId="2" type="noConversion"/>
  </si>
  <si>
    <t>VIN</t>
    <phoneticPr fontId="2" type="noConversion"/>
  </si>
  <si>
    <t>VOUT</t>
    <phoneticPr fontId="2" type="noConversion"/>
  </si>
  <si>
    <t>IOUT</t>
    <phoneticPr fontId="2" type="noConversion"/>
  </si>
  <si>
    <t>f</t>
    <phoneticPr fontId="2" type="noConversion"/>
  </si>
  <si>
    <t>L</t>
    <phoneticPr fontId="2" type="noConversion"/>
  </si>
  <si>
    <t>Ipeak</t>
    <phoneticPr fontId="2" type="noConversion"/>
  </si>
  <si>
    <t>A</t>
    <phoneticPr fontId="2" type="noConversion"/>
  </si>
  <si>
    <t>uH</t>
    <phoneticPr fontId="2" type="noConversion"/>
  </si>
  <si>
    <t>MHz</t>
    <phoneticPr fontId="2" type="noConversion"/>
  </si>
  <si>
    <t>Unit</t>
    <phoneticPr fontId="2" type="noConversion"/>
  </si>
  <si>
    <t>10uH</t>
    <phoneticPr fontId="2" type="noConversion"/>
  </si>
  <si>
    <t>4.7uH</t>
    <phoneticPr fontId="2" type="noConversion"/>
  </si>
  <si>
    <t>LT1370 Boost Converter</t>
    <phoneticPr fontId="2" type="noConversion"/>
  </si>
  <si>
    <t>V</t>
    <phoneticPr fontId="2" type="noConversion"/>
  </si>
  <si>
    <t>Kohm</t>
    <phoneticPr fontId="2" type="noConversion"/>
  </si>
  <si>
    <t>V</t>
    <phoneticPr fontId="2" type="noConversion"/>
  </si>
  <si>
    <t>Feed Back Voltage</t>
    <phoneticPr fontId="2" type="noConversion"/>
  </si>
  <si>
    <t>LT1910 - Protected High Side MOSFET Driver.</t>
    <phoneticPr fontId="2" type="noConversion"/>
  </si>
  <si>
    <t>Sens Resistor</t>
    <phoneticPr fontId="2" type="noConversion"/>
  </si>
  <si>
    <t>LED Load current</t>
    <phoneticPr fontId="2" type="noConversion"/>
  </si>
  <si>
    <t>Converter Spec 만족함.</t>
    <phoneticPr fontId="2" type="noConversion"/>
  </si>
  <si>
    <t>SPEC</t>
    <phoneticPr fontId="2" type="noConversion"/>
  </si>
  <si>
    <t>Isense</t>
    <phoneticPr fontId="2" type="noConversion"/>
  </si>
  <si>
    <t>uA</t>
    <phoneticPr fontId="2" type="noConversion"/>
  </si>
  <si>
    <t>Vgate</t>
    <phoneticPr fontId="2" type="noConversion"/>
  </si>
  <si>
    <t>V</t>
    <phoneticPr fontId="2" type="noConversion"/>
  </si>
  <si>
    <t>V+</t>
    <phoneticPr fontId="2" type="noConversion"/>
  </si>
  <si>
    <t>Vref</t>
    <phoneticPr fontId="2" type="noConversion"/>
  </si>
  <si>
    <t>mV</t>
    <phoneticPr fontId="2" type="noConversion"/>
  </si>
  <si>
    <t>Rsens</t>
    <phoneticPr fontId="2" type="noConversion"/>
  </si>
  <si>
    <t>Iload</t>
    <phoneticPr fontId="2" type="noConversion"/>
  </si>
  <si>
    <t>Vsens</t>
    <phoneticPr fontId="2" type="noConversion"/>
  </si>
  <si>
    <t>Ohm</t>
    <phoneticPr fontId="2" type="noConversion"/>
  </si>
  <si>
    <t>Limit Load current calculation</t>
    <phoneticPr fontId="2" type="noConversion"/>
  </si>
  <si>
    <t>Iset</t>
    <phoneticPr fontId="2" type="noConversion"/>
  </si>
  <si>
    <t>Rsens ( base on minimum threshold Voltage)</t>
    <phoneticPr fontId="2" type="noConversion"/>
  </si>
  <si>
    <t>Vth</t>
    <phoneticPr fontId="2" type="noConversion"/>
  </si>
  <si>
    <t>A</t>
    <phoneticPr fontId="2" type="noConversion"/>
  </si>
  <si>
    <t>전원 카드 QT1 Test results - 5V trim-up(150Kohm)</t>
    <phoneticPr fontId="2" type="noConversion"/>
  </si>
  <si>
    <t>5V</t>
    <phoneticPr fontId="2" type="noConversion"/>
  </si>
  <si>
    <t>28V1</t>
    <phoneticPr fontId="2" type="noConversion"/>
  </si>
  <si>
    <t>28V2</t>
    <phoneticPr fontId="2" type="noConversion"/>
  </si>
  <si>
    <t>Min</t>
    <phoneticPr fontId="2" type="noConversion"/>
  </si>
  <si>
    <t>Max</t>
    <phoneticPr fontId="2" type="noConversion"/>
  </si>
  <si>
    <t>#02</t>
    <phoneticPr fontId="2" type="noConversion"/>
  </si>
  <si>
    <t>#01</t>
    <phoneticPr fontId="2" type="noConversion"/>
  </si>
  <si>
    <t>Tol</t>
    <phoneticPr fontId="2" type="noConversion"/>
  </si>
  <si>
    <t>Version</t>
    <phoneticPr fontId="2" type="noConversion"/>
  </si>
  <si>
    <t>before</t>
    <phoneticPr fontId="2" type="noConversion"/>
  </si>
  <si>
    <t>After</t>
    <phoneticPr fontId="2" type="noConversion"/>
  </si>
  <si>
    <t>Description</t>
    <phoneticPr fontId="2" type="noConversion"/>
  </si>
  <si>
    <t>SV_Istat[].prn = !(!nSYSRESET # (!ncs_on_sv &amp; !DTACK &amp; !nDS_DLY50));</t>
    <phoneticPr fontId="2" type="noConversion"/>
  </si>
  <si>
    <t>V2.6.2</t>
    <phoneticPr fontId="2" type="noConversion"/>
  </si>
  <si>
    <t>원격모드에서 S/V 구동 안됨</t>
    <phoneticPr fontId="2" type="noConversion"/>
  </si>
  <si>
    <t>REM_Fire[].clrn = nSYSRESET &amp; nRMODE_FIRE_EN &amp; n_tmr_timeout &amp; !LIM_SEN[] &amp; !safe_unlock_bits[];</t>
    <phoneticPr fontId="2" type="noConversion"/>
  </si>
  <si>
    <t>V2.6.1</t>
    <phoneticPr fontId="2" type="noConversion"/>
  </si>
  <si>
    <t>V2.6</t>
    <phoneticPr fontId="2" type="noConversion"/>
  </si>
  <si>
    <t>원격모드에서 motor 구동 안됨</t>
    <phoneticPr fontId="2" type="noConversion"/>
  </si>
  <si>
    <t>Comparator 정상 동작 상태에서 ON_SV register value 변경 안됨.</t>
    <phoneticPr fontId="2" type="noConversion"/>
  </si>
  <si>
    <r>
      <t>SV_Istat[].prn = !(!nSYSRESET # (</t>
    </r>
    <r>
      <rPr>
        <b/>
        <sz val="11"/>
        <color rgb="FF0000FF"/>
        <rFont val="맑은 고딕"/>
        <family val="3"/>
        <charset val="129"/>
        <scheme val="minor"/>
      </rPr>
      <t>Istat_read</t>
    </r>
    <r>
      <rPr>
        <sz val="11"/>
        <color theme="1"/>
        <rFont val="맑은 고딕"/>
        <family val="2"/>
        <charset val="129"/>
        <scheme val="minor"/>
      </rPr>
      <t xml:space="preserve"> &amp; !DTACK &amp; !nDS_DLY50));</t>
    </r>
    <phoneticPr fontId="2" type="noConversion"/>
  </si>
  <si>
    <r>
      <t>REM_Fire[].clrn = nSYSRESET &amp;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0000FF"/>
        <rFont val="맑은 고딕"/>
        <family val="3"/>
        <charset val="129"/>
        <scheme val="minor"/>
      </rPr>
      <t>!nRMODE_FIRE_EN</t>
    </r>
    <r>
      <rPr>
        <sz val="11"/>
        <color theme="1"/>
        <rFont val="맑은 고딕"/>
        <family val="2"/>
        <charset val="129"/>
        <scheme val="minor"/>
      </rPr>
      <t xml:space="preserve"> &amp; n_tmr_timeout &amp; !LIM_SEN[] &amp; !safe_unlock_bits[];</t>
    </r>
    <phoneticPr fontId="2" type="noConversion"/>
  </si>
  <si>
    <t>원격모드에서 S/V 구동 후 선택 LED가 ON 유지됨.</t>
    <phoneticPr fontId="2" type="noConversion"/>
  </si>
  <si>
    <t>V2.6.4</t>
    <phoneticPr fontId="2" type="noConversion"/>
  </si>
  <si>
    <t xml:space="preserve">timer_start.clk = (nREM_MODE &amp; !ncs_fire_con &amp; !nWRITE &amp; DTACK) </t>
    <phoneticPr fontId="2" type="noConversion"/>
  </si>
  <si>
    <r>
      <t>timer_start.clk = (</t>
    </r>
    <r>
      <rPr>
        <b/>
        <sz val="11"/>
        <color rgb="FF0000FF"/>
        <rFont val="맑은 고딕"/>
        <family val="3"/>
        <charset val="129"/>
        <scheme val="minor"/>
      </rPr>
      <t>!nREM_MODE</t>
    </r>
    <r>
      <rPr>
        <sz val="11"/>
        <color theme="1"/>
        <rFont val="맑은 고딕"/>
        <family val="2"/>
        <charset val="129"/>
        <scheme val="minor"/>
      </rPr>
      <t xml:space="preserve"> &amp; !ncs_fire_con &amp; !nWRITE &amp; DTACK)</t>
    </r>
    <phoneticPr fontId="2" type="noConversion"/>
  </si>
  <si>
    <t>2.2uH</t>
    <phoneticPr fontId="2" type="noConversion"/>
  </si>
  <si>
    <t>_OE</t>
    <phoneticPr fontId="2" type="noConversion"/>
  </si>
  <si>
    <t>Open</t>
    <phoneticPr fontId="2" type="noConversion"/>
  </si>
  <si>
    <t>OUT</t>
    <phoneticPr fontId="2" type="noConversion"/>
  </si>
  <si>
    <t>L</t>
    <phoneticPr fontId="2" type="noConversion"/>
  </si>
  <si>
    <t>R1</t>
    <phoneticPr fontId="2" type="noConversion"/>
  </si>
  <si>
    <t>V</t>
    <phoneticPr fontId="2" type="noConversion"/>
  </si>
  <si>
    <t>R2</t>
    <phoneticPr fontId="2" type="noConversion"/>
  </si>
  <si>
    <t>Vref</t>
    <phoneticPr fontId="2" type="noConversion"/>
  </si>
  <si>
    <t>R3</t>
    <phoneticPr fontId="2" type="noConversion"/>
  </si>
  <si>
    <t>Rsum</t>
    <phoneticPr fontId="2" type="noConversion"/>
  </si>
  <si>
    <t>Kohm</t>
    <phoneticPr fontId="2" type="noConversion"/>
  </si>
  <si>
    <t>SD_B</t>
    <phoneticPr fontId="2" type="noConversion"/>
  </si>
  <si>
    <t>10K Pull-Up resistor</t>
    <phoneticPr fontId="2" type="noConversion"/>
  </si>
  <si>
    <t>Origin State</t>
    <phoneticPr fontId="2" type="noConversion"/>
  </si>
  <si>
    <t>CD74HC540M Truth Table</t>
    <phoneticPr fontId="2" type="noConversion"/>
  </si>
  <si>
    <t>Pull-up Resistor</t>
    <phoneticPr fontId="2" type="noConversion"/>
  </si>
  <si>
    <t>Pull-down Resistor</t>
    <phoneticPr fontId="2" type="noConversion"/>
  </si>
  <si>
    <t>Vcc</t>
    <phoneticPr fontId="2" type="noConversion"/>
  </si>
  <si>
    <t>_OE를 OFF시 High impedance 상태가 되어 2.4V 출력으로 High Level까지 올라가지 않음.</t>
    <phoneticPr fontId="2" type="noConversion"/>
  </si>
  <si>
    <t>Output pin에 Pull-up 10K resistor 추가하여 _OE = HIGH 상태에서 Output = HIGH 상태 유지해줌.</t>
    <phoneticPr fontId="2" type="noConversion"/>
  </si>
  <si>
    <t>_OE를 ON(LOW)/OFF(HIGH) control하여, SD_B를 High일때, 출력를 ON/OFF ( 5V / 0V) control</t>
    <phoneticPr fontId="2" type="noConversion"/>
  </si>
  <si>
    <t xml:space="preserve">회로 목적 : </t>
    <phoneticPr fontId="2" type="noConversion"/>
  </si>
  <si>
    <t>ISSUE</t>
    <phoneticPr fontId="2" type="noConversion"/>
  </si>
  <si>
    <t>Solution</t>
    <phoneticPr fontId="2" type="noConversion"/>
  </si>
  <si>
    <t>V2.6.5</t>
    <phoneticPr fontId="2" type="noConversion"/>
  </si>
  <si>
    <t>원격모드에서 Fire register가 Low active로 display됨
 -&gt; High active로 변경.</t>
    <phoneticPr fontId="2" type="noConversion"/>
  </si>
  <si>
    <t># (!ncs_fire_con &amp; (B"11111", FIRE[8..6], B"11", FIRE[5..0]))</t>
    <phoneticPr fontId="2" type="noConversion"/>
  </si>
  <si>
    <r>
      <t xml:space="preserve"># (!ncs_fire_con &amp; (B"11111", </t>
    </r>
    <r>
      <rPr>
        <b/>
        <sz val="11"/>
        <color rgb="FF0000FF"/>
        <rFont val="맑은 고딕"/>
        <family val="3"/>
        <charset val="129"/>
        <scheme val="minor"/>
      </rPr>
      <t>!FIRE[8..6]</t>
    </r>
    <r>
      <rPr>
        <sz val="11"/>
        <color theme="1"/>
        <rFont val="맑은 고딕"/>
        <family val="2"/>
        <charset val="129"/>
        <scheme val="minor"/>
      </rPr>
      <t xml:space="preserve">, B"11", </t>
    </r>
    <r>
      <rPr>
        <b/>
        <sz val="11"/>
        <color rgb="FF0000FF"/>
        <rFont val="맑은 고딕"/>
        <family val="3"/>
        <charset val="129"/>
        <scheme val="minor"/>
      </rPr>
      <t>!FIRE[5..0]</t>
    </r>
    <r>
      <rPr>
        <sz val="11"/>
        <color theme="1"/>
        <rFont val="맑은 고딕"/>
        <family val="2"/>
        <charset val="129"/>
        <scheme val="minor"/>
      </rPr>
      <t>))</t>
    </r>
    <phoneticPr fontId="2" type="noConversion"/>
  </si>
  <si>
    <t>TLC555MD</t>
    <phoneticPr fontId="2" type="noConversion"/>
  </si>
  <si>
    <t>C</t>
    <phoneticPr fontId="2" type="noConversion"/>
  </si>
  <si>
    <t>R90</t>
    <phoneticPr fontId="2" type="noConversion"/>
  </si>
  <si>
    <t>C26</t>
    <phoneticPr fontId="2" type="noConversion"/>
  </si>
  <si>
    <t>Kohm</t>
    <phoneticPr fontId="2" type="noConversion"/>
  </si>
  <si>
    <t>uF</t>
    <phoneticPr fontId="2" type="noConversion"/>
  </si>
  <si>
    <t>시정수</t>
    <phoneticPr fontId="2" type="noConversion"/>
  </si>
  <si>
    <t>sec</t>
    <phoneticPr fontId="2" type="noConversion"/>
  </si>
  <si>
    <t>Ra</t>
    <phoneticPr fontId="2" type="noConversion"/>
  </si>
  <si>
    <t>Rb</t>
    <phoneticPr fontId="2" type="noConversion"/>
  </si>
  <si>
    <t>tc(H)</t>
    <phoneticPr fontId="2" type="noConversion"/>
  </si>
  <si>
    <t>tc(L)</t>
    <phoneticPr fontId="2" type="noConversion"/>
  </si>
  <si>
    <t>T</t>
    <phoneticPr fontId="2" type="noConversion"/>
  </si>
  <si>
    <t>msec</t>
    <phoneticPr fontId="2" type="noConversion"/>
  </si>
  <si>
    <t>Origin</t>
    <phoneticPr fontId="2" type="noConversion"/>
  </si>
  <si>
    <t>measure</t>
    <phoneticPr fontId="2" type="noConversion"/>
  </si>
  <si>
    <t>Tune1</t>
    <phoneticPr fontId="2" type="noConversion"/>
  </si>
  <si>
    <t>Unit</t>
    <phoneticPr fontId="2" type="noConversion"/>
  </si>
  <si>
    <t>Duty cycle Review</t>
    <phoneticPr fontId="2" type="noConversion"/>
  </si>
  <si>
    <t>Tune2</t>
    <phoneticPr fontId="2" type="noConversion"/>
  </si>
  <si>
    <t>SEL_LED OFF</t>
    <phoneticPr fontId="2" type="noConversion"/>
  </si>
  <si>
    <t>SEL_LED ON</t>
    <phoneticPr fontId="2" type="noConversion"/>
  </si>
  <si>
    <t>Tune3</t>
    <phoneticPr fontId="2" type="noConversion"/>
  </si>
  <si>
    <t>LED_CONTROL</t>
    <phoneticPr fontId="2" type="noConversion"/>
  </si>
  <si>
    <t>Normal state</t>
    <phoneticPr fontId="2" type="noConversion"/>
  </si>
  <si>
    <t>3.36V</t>
    <phoneticPr fontId="2" type="noConversion"/>
  </si>
  <si>
    <t>Fire S/W ON or OFF</t>
    <phoneticPr fontId="2" type="noConversion"/>
  </si>
  <si>
    <t>U30</t>
    <phoneticPr fontId="2" type="noConversion"/>
  </si>
  <si>
    <t>구형파</t>
    <phoneticPr fontId="2" type="noConversion"/>
  </si>
  <si>
    <t>LOW</t>
    <phoneticPr fontId="2" type="noConversion"/>
  </si>
  <si>
    <t>U27</t>
    <phoneticPr fontId="2" type="noConversion"/>
  </si>
  <si>
    <t>HIGH</t>
    <phoneticPr fontId="2" type="noConversion"/>
  </si>
  <si>
    <t>U32,U31 Output</t>
    <phoneticPr fontId="2" type="noConversion"/>
  </si>
  <si>
    <t>Enable / disable</t>
    <phoneticPr fontId="2" type="noConversion"/>
  </si>
  <si>
    <t>Disable</t>
    <phoneticPr fontId="2" type="noConversion"/>
  </si>
  <si>
    <t>SEL_LED</t>
    <phoneticPr fontId="2" type="noConversion"/>
  </si>
  <si>
    <t>-</t>
    <phoneticPr fontId="2" type="noConversion"/>
  </si>
  <si>
    <t>점멸</t>
    <phoneticPr fontId="2" type="noConversion"/>
  </si>
  <si>
    <t>OFF</t>
    <phoneticPr fontId="2" type="noConversion"/>
  </si>
  <si>
    <t>Enable</t>
    <phoneticPr fontId="2" type="noConversion"/>
  </si>
  <si>
    <t>ON</t>
    <phoneticPr fontId="2" type="noConversion"/>
  </si>
  <si>
    <t>U27 : NC7SZ125M5X( Buffer )로 교체</t>
    <phoneticPr fontId="2" type="noConversion"/>
  </si>
  <si>
    <t>⇒ SW_SELECTOR board에 적용 : DIOB가 없는 경우에도 적재/선택 LED가 OFF되도록 구현을 위함.</t>
    <phoneticPr fontId="2" type="noConversion"/>
  </si>
  <si>
    <t>Opto-coupler Dead review</t>
    <phoneticPr fontId="2" type="noConversion"/>
  </si>
  <si>
    <t>VCC</t>
    <phoneticPr fontId="2" type="noConversion"/>
  </si>
  <si>
    <t>V</t>
    <phoneticPr fontId="2" type="noConversion"/>
  </si>
  <si>
    <t>R1</t>
    <phoneticPr fontId="2" type="noConversion"/>
  </si>
  <si>
    <t>Kohm</t>
    <phoneticPr fontId="2" type="noConversion"/>
  </si>
  <si>
    <t>R2</t>
    <phoneticPr fontId="2" type="noConversion"/>
  </si>
  <si>
    <t>Vbias</t>
    <phoneticPr fontId="2" type="noConversion"/>
  </si>
  <si>
    <t>Ibias</t>
    <phoneticPr fontId="2" type="noConversion"/>
  </si>
  <si>
    <t>mA</t>
    <phoneticPr fontId="2" type="noConversion"/>
  </si>
  <si>
    <t>Vd1</t>
    <phoneticPr fontId="2" type="noConversion"/>
  </si>
  <si>
    <t>Vd2</t>
    <phoneticPr fontId="2" type="noConversion"/>
  </si>
  <si>
    <t>Vdiode</t>
    <phoneticPr fontId="2" type="noConversion"/>
  </si>
  <si>
    <t>If</t>
    <phoneticPr fontId="2" type="noConversion"/>
  </si>
  <si>
    <t>Vf</t>
    <phoneticPr fontId="2" type="noConversion"/>
  </si>
  <si>
    <t>R</t>
    <phoneticPr fontId="2" type="noConversion"/>
  </si>
  <si>
    <t>ohm</t>
  </si>
  <si>
    <t>Rd</t>
    <phoneticPr fontId="2" type="noConversion"/>
  </si>
  <si>
    <t>Rext</t>
    <phoneticPr fontId="2" type="noConversion"/>
  </si>
  <si>
    <t>Vcc</t>
    <phoneticPr fontId="2" type="noConversion"/>
  </si>
  <si>
    <t>ohm</t>
    <phoneticPr fontId="2" type="noConversion"/>
  </si>
  <si>
    <t>Vext</t>
    <phoneticPr fontId="2" type="noConversion"/>
  </si>
  <si>
    <t>Vd</t>
    <phoneticPr fontId="2" type="noConversion"/>
  </si>
  <si>
    <t>I1</t>
    <phoneticPr fontId="2" type="noConversion"/>
  </si>
  <si>
    <t>I</t>
    <phoneticPr fontId="2" type="noConversion"/>
  </si>
  <si>
    <t>점검치구의 Opto-coupler Bias current가 낮아 Tr에서 저항을 가져 완전히 LOW로 떨어지지 않음.</t>
    <phoneticPr fontId="2" type="noConversion"/>
  </si>
  <si>
    <t>Origin</t>
    <phoneticPr fontId="2" type="noConversion"/>
  </si>
  <si>
    <t>New</t>
    <phoneticPr fontId="2" type="noConversion"/>
  </si>
  <si>
    <t>L/S, P/S</t>
    <phoneticPr fontId="2" type="noConversion"/>
  </si>
  <si>
    <t>S/V, Motor</t>
    <phoneticPr fontId="2" type="noConversion"/>
  </si>
  <si>
    <t>Vcc</t>
    <phoneticPr fontId="2" type="noConversion"/>
  </si>
  <si>
    <t>R129</t>
    <phoneticPr fontId="2" type="noConversion"/>
  </si>
  <si>
    <t>R111</t>
    <phoneticPr fontId="2" type="noConversion"/>
  </si>
  <si>
    <t>Rdiode</t>
    <phoneticPr fontId="2" type="noConversion"/>
  </si>
  <si>
    <t>Rsum</t>
    <phoneticPr fontId="2" type="noConversion"/>
  </si>
  <si>
    <t>Vdiode</t>
    <phoneticPr fontId="2" type="noConversion"/>
  </si>
  <si>
    <t>V</t>
    <phoneticPr fontId="2" type="noConversion"/>
  </si>
  <si>
    <t>Inductor</t>
    <phoneticPr fontId="2" type="noConversion"/>
  </si>
  <si>
    <t>IHLP4040DZER100M01</t>
    <phoneticPr fontId="2" type="noConversion"/>
  </si>
  <si>
    <t>10uH / 6.8A</t>
    <phoneticPr fontId="2" type="noConversion"/>
  </si>
  <si>
    <t>2.2uH / 12A</t>
    <phoneticPr fontId="2" type="noConversion"/>
  </si>
  <si>
    <t>IHLP4040DZER2R2M01</t>
    <phoneticPr fontId="2" type="noConversion"/>
  </si>
  <si>
    <t>TS3DV416DGGR</t>
    <phoneticPr fontId="3" type="noConversion"/>
  </si>
  <si>
    <t>16x8 MUX - 4-CHANNEL DIFFERENTIAL 8:16 MULTIPLEXER SWITCH FOR DVI/HDMI APPLICATIONS</t>
    <phoneticPr fontId="3" type="noConversion"/>
  </si>
  <si>
    <t>SEL</t>
    <phoneticPr fontId="2" type="noConversion"/>
  </si>
  <si>
    <t>L</t>
    <phoneticPr fontId="2" type="noConversion"/>
  </si>
  <si>
    <t>OUTPUT</t>
    <phoneticPr fontId="2" type="noConversion"/>
  </si>
  <si>
    <t>nB1</t>
    <phoneticPr fontId="2" type="noConversion"/>
  </si>
  <si>
    <t>nB2</t>
    <phoneticPr fontId="2" type="noConversion"/>
  </si>
  <si>
    <t>DVI1</t>
    <phoneticPr fontId="2" type="noConversion"/>
  </si>
  <si>
    <t>DIV2</t>
    <phoneticPr fontId="2" type="noConversion"/>
  </si>
  <si>
    <t>U7</t>
    <phoneticPr fontId="2" type="noConversion"/>
  </si>
  <si>
    <t>LM555</t>
    <phoneticPr fontId="2" type="noConversion"/>
  </si>
  <si>
    <t>PORT_SEL</t>
    <phoneticPr fontId="2" type="noConversion"/>
  </si>
  <si>
    <t>OUT</t>
    <phoneticPr fontId="2" type="noConversion"/>
  </si>
  <si>
    <t>L or Open</t>
    <phoneticPr fontId="2" type="noConversion"/>
  </si>
  <si>
    <t>DVI_SEL</t>
    <phoneticPr fontId="2" type="noConversion"/>
  </si>
  <si>
    <t>INVERTER</t>
    <phoneticPr fontId="2" type="noConversion"/>
  </si>
  <si>
    <t>CH1</t>
    <phoneticPr fontId="2" type="noConversion"/>
  </si>
  <si>
    <t>CH2</t>
    <phoneticPr fontId="2" type="noConversion"/>
  </si>
  <si>
    <t>Pulse</t>
    <phoneticPr fontId="2" type="noConversion"/>
  </si>
  <si>
    <t>U8 input</t>
    <phoneticPr fontId="2" type="noConversion"/>
  </si>
  <si>
    <t>U8 output</t>
    <phoneticPr fontId="2" type="noConversion"/>
  </si>
  <si>
    <t>U9 output</t>
    <phoneticPr fontId="2" type="noConversion"/>
  </si>
  <si>
    <t>NET</t>
    <phoneticPr fontId="2" type="noConversion"/>
  </si>
  <si>
    <t>Part</t>
    <phoneticPr fontId="2" type="noConversion"/>
  </si>
  <si>
    <t>H or L</t>
    <phoneticPr fontId="2" type="noConversion"/>
  </si>
  <si>
    <t>Target Opeation</t>
    <phoneticPr fontId="2" type="noConversion"/>
  </si>
  <si>
    <t>=&gt; TRIG의 Input 에 대해서 inverting 될뿐, Pulse에 대해서 HIGH를 유지하지 못함.</t>
    <phoneticPr fontId="2" type="noConversion"/>
  </si>
  <si>
    <t>MAX6371</t>
    <phoneticPr fontId="2" type="noConversion"/>
  </si>
  <si>
    <t>- startup delay가 지나고, watchdog timeout period가 countdown에 들어감.</t>
    <phoneticPr fontId="2" type="noConversion"/>
  </si>
  <si>
    <t>- watchdog timeout 주기내에 WDI에서 logical transition이 발생하지 않는 경우, watchdog output이 assert됨.</t>
    <phoneticPr fontId="2" type="noConversion"/>
  </si>
  <si>
    <t>- watchdog output이 원하지 않는 출력을 발생하지 않게 하기 위해서는 watchdog timeout 주기내에 watchdog input에 transition이 발생해야 함.</t>
    <phoneticPr fontId="2" type="noConversion"/>
  </si>
  <si>
    <r>
      <t>t</t>
    </r>
    <r>
      <rPr>
        <sz val="8"/>
        <color theme="1"/>
        <rFont val="맑은 고딕"/>
        <family val="3"/>
        <charset val="129"/>
        <scheme val="minor"/>
      </rPr>
      <t>WD</t>
    </r>
    <r>
      <rPr>
        <sz val="11"/>
        <color theme="1"/>
        <rFont val="맑은 고딕"/>
        <family val="3"/>
        <charset val="129"/>
        <scheme val="minor"/>
      </rPr>
      <t xml:space="preserve"> : Timeout delay time - SET0~2 pin input에 따라 watchdog timeout period 설정.</t>
    </r>
    <phoneticPr fontId="2" type="noConversion"/>
  </si>
  <si>
    <t>MAX6371 input</t>
    <phoneticPr fontId="2" type="noConversion"/>
  </si>
  <si>
    <t>MAX6371 output</t>
    <phoneticPr fontId="2" type="noConversion"/>
  </si>
  <si>
    <t>Feedback Voltage Setting</t>
    <phoneticPr fontId="2" type="noConversion"/>
  </si>
  <si>
    <t>Vref</t>
    <phoneticPr fontId="2" type="noConversion"/>
  </si>
  <si>
    <t>V</t>
    <phoneticPr fontId="2" type="noConversion"/>
  </si>
  <si>
    <t>R9</t>
    <phoneticPr fontId="2" type="noConversion"/>
  </si>
  <si>
    <t>R8</t>
    <phoneticPr fontId="2" type="noConversion"/>
  </si>
  <si>
    <t>Vcc</t>
    <phoneticPr fontId="2" type="noConversion"/>
  </si>
  <si>
    <t>Kohm</t>
    <phoneticPr fontId="2" type="noConversion"/>
  </si>
  <si>
    <t>V</t>
    <phoneticPr fontId="2" type="noConversion"/>
  </si>
  <si>
    <t>A</t>
    <phoneticPr fontId="2" type="noConversion"/>
  </si>
  <si>
    <t>W</t>
    <phoneticPr fontId="2" type="noConversion"/>
  </si>
  <si>
    <t>측정</t>
    <phoneticPr fontId="2" type="noConversion"/>
  </si>
  <si>
    <t>Vdrop</t>
    <phoneticPr fontId="2" type="noConversion"/>
  </si>
  <si>
    <t>Rsens</t>
    <phoneticPr fontId="2" type="noConversion"/>
  </si>
  <si>
    <t>Para</t>
    <phoneticPr fontId="2" type="noConversion"/>
  </si>
  <si>
    <t>Unit</t>
    <phoneticPr fontId="2" type="noConversion"/>
  </si>
  <si>
    <t>간이 Test</t>
    <phoneticPr fontId="2" type="noConversion"/>
  </si>
  <si>
    <t>MOSFET</t>
    <phoneticPr fontId="2" type="noConversion"/>
  </si>
  <si>
    <t>SUM40N10-30</t>
    <phoneticPr fontId="2" type="noConversion"/>
  </si>
  <si>
    <t>100mOhm x 4</t>
    <phoneticPr fontId="2" type="noConversion"/>
  </si>
  <si>
    <t>Vpower</t>
    <phoneticPr fontId="2" type="noConversion"/>
  </si>
  <si>
    <t>Ipower</t>
    <phoneticPr fontId="2" type="noConversion"/>
  </si>
  <si>
    <t>Ppower</t>
    <phoneticPr fontId="2" type="noConversion"/>
  </si>
  <si>
    <t>Icc</t>
    <phoneticPr fontId="2" type="noConversion"/>
  </si>
  <si>
    <t>efficiency</t>
    <phoneticPr fontId="2" type="noConversion"/>
  </si>
  <si>
    <t>%</t>
    <phoneticPr fontId="2" type="noConversion"/>
  </si>
  <si>
    <t>Ohm</t>
    <phoneticPr fontId="2" type="noConversion"/>
  </si>
  <si>
    <t>1A 정도에서 current limit 걸림 - 간이적으로 Test 환경구성으로 인한 오차로 보임.</t>
    <phoneticPr fontId="2" type="noConversion"/>
  </si>
  <si>
    <t>Current limit Set = 2A ( 25mOhm )</t>
    <phoneticPr fontId="2" type="noConversion"/>
  </si>
  <si>
    <t>_FAULT pin을 Boost Converter S/S pin에 연결하여 Converter도 같이 OFF시킬지 결정해야 함.</t>
    <phoneticPr fontId="2" type="noConversion"/>
  </si>
  <si>
    <t>/CLR</t>
    <phoneticPr fontId="2" type="noConversion"/>
  </si>
  <si>
    <t>/PR</t>
    <phoneticPr fontId="2" type="noConversion"/>
  </si>
  <si>
    <t>D</t>
    <phoneticPr fontId="2" type="noConversion"/>
  </si>
  <si>
    <t>CK</t>
    <phoneticPr fontId="2" type="noConversion"/>
  </si>
  <si>
    <t>Q</t>
    <phoneticPr fontId="2" type="noConversion"/>
  </si>
  <si>
    <t>/Q</t>
    <phoneticPr fontId="2" type="noConversion"/>
  </si>
  <si>
    <t>L</t>
    <phoneticPr fontId="2" type="noConversion"/>
  </si>
  <si>
    <t>H</t>
    <phoneticPr fontId="2" type="noConversion"/>
  </si>
  <si>
    <t>x</t>
    <phoneticPr fontId="2" type="noConversion"/>
  </si>
  <si>
    <t>↑</t>
    <phoneticPr fontId="2" type="noConversion"/>
  </si>
  <si>
    <t>↓</t>
    <phoneticPr fontId="2" type="noConversion"/>
  </si>
  <si>
    <t>Qn</t>
    <phoneticPr fontId="2" type="noConversion"/>
  </si>
  <si>
    <t>/Qn</t>
    <phoneticPr fontId="2" type="noConversion"/>
  </si>
  <si>
    <t>L:167ms/ H:511ms</t>
    <phoneticPr fontId="2" type="noConversion"/>
  </si>
  <si>
    <t>H:167ms/ L:511ms</t>
    <phoneticPr fontId="2" type="noConversion"/>
  </si>
  <si>
    <t>167msec의 tWDO 시간동안 Low 유지 후 다시 High로 원복되며, watchdog time delay후 다시 Low로 떨어지며 이를 반복함.</t>
    <phoneticPr fontId="2" type="noConversion"/>
  </si>
  <si>
    <t>D-type Filp-Flop 추가 : NC7SZ74K8X</t>
    <phoneticPr fontId="2" type="noConversion"/>
  </si>
  <si>
    <t>PORT_SEL</t>
    <phoneticPr fontId="2" type="noConversion"/>
  </si>
  <si>
    <t>VCC</t>
    <phoneticPr fontId="2" type="noConversion"/>
  </si>
  <si>
    <t>DVI_SEL</t>
    <phoneticPr fontId="2" type="noConversion"/>
  </si>
  <si>
    <t>CH1의 상태이며, Output = H.</t>
    <phoneticPr fontId="2" type="noConversion"/>
  </si>
  <si>
    <t>CH2의 MAX6371 output = Low 상태이며, Output = L.</t>
    <phoneticPr fontId="2" type="noConversion"/>
  </si>
  <si>
    <t>CH2의 MAX6371 output = High 상태이며, Output = L 상태를 그대로 유지함.</t>
    <phoneticPr fontId="2" type="noConversion"/>
  </si>
  <si>
    <t>장보고-III 통제장치 납품관련 준비 사항.</t>
    <phoneticPr fontId="2" type="noConversion"/>
  </si>
  <si>
    <t>NO</t>
    <phoneticPr fontId="2" type="noConversion"/>
  </si>
  <si>
    <t>통제장치</t>
    <phoneticPr fontId="2" type="noConversion"/>
  </si>
  <si>
    <t>TACM-CU-001</t>
    <phoneticPr fontId="2" type="noConversion"/>
  </si>
  <si>
    <t>수량</t>
    <phoneticPr fontId="2" type="noConversion"/>
  </si>
  <si>
    <t>확인</t>
    <phoneticPr fontId="2" type="noConversion"/>
  </si>
  <si>
    <t>비고</t>
    <phoneticPr fontId="2" type="noConversion"/>
  </si>
  <si>
    <t xml:space="preserve">장비간 연결케이블,시제품 </t>
    <phoneticPr fontId="2" type="noConversion"/>
  </si>
  <si>
    <t>TACM-CA-001</t>
    <phoneticPr fontId="2" type="noConversion"/>
  </si>
  <si>
    <t>TACM-JB-001</t>
    <phoneticPr fontId="2" type="noConversion"/>
  </si>
  <si>
    <t xml:space="preserve">분배상자, 부유식 </t>
    <phoneticPr fontId="2" type="noConversion"/>
  </si>
  <si>
    <t>TACM-JB-002</t>
    <phoneticPr fontId="2" type="noConversion"/>
  </si>
  <si>
    <t>통제장치</t>
    <phoneticPr fontId="2" type="noConversion"/>
  </si>
  <si>
    <t>분배상자</t>
    <phoneticPr fontId="2" type="noConversion"/>
  </si>
  <si>
    <t xml:space="preserve">케이블 </t>
    <phoneticPr fontId="2" type="noConversion"/>
  </si>
  <si>
    <t>TACM-TU-001</t>
    <phoneticPr fontId="2" type="noConversion"/>
  </si>
  <si>
    <t xml:space="preserve">어뢰기만기 발사체계 환경시험비 </t>
    <phoneticPr fontId="2" type="noConversion"/>
  </si>
  <si>
    <t>TACM-ET-001</t>
    <phoneticPr fontId="2" type="noConversion"/>
  </si>
  <si>
    <t>어뢰기만기 발사체계 설계</t>
    <phoneticPr fontId="2" type="noConversion"/>
  </si>
  <si>
    <t>TACM-EN-001</t>
    <phoneticPr fontId="2" type="noConversion"/>
  </si>
  <si>
    <t>납품 품목</t>
    <phoneticPr fontId="2" type="noConversion"/>
  </si>
  <si>
    <t>품번</t>
    <phoneticPr fontId="2" type="noConversion"/>
  </si>
  <si>
    <t>납품 서류</t>
    <phoneticPr fontId="2" type="noConversion"/>
  </si>
  <si>
    <t>완성품 검사성적서</t>
    <phoneticPr fontId="2" type="noConversion"/>
  </si>
  <si>
    <t>부품/원자재 성적서</t>
    <phoneticPr fontId="2" type="noConversion"/>
  </si>
  <si>
    <t>도장 및 피막성적서 포함</t>
    <phoneticPr fontId="2" type="noConversion"/>
  </si>
  <si>
    <t>회로카드조립체</t>
    <phoneticPr fontId="2" type="noConversion"/>
  </si>
  <si>
    <t>배선조립체</t>
    <phoneticPr fontId="2" type="noConversion"/>
  </si>
  <si>
    <t>외관검사, 치수검사, 성능검사</t>
    <phoneticPr fontId="2" type="noConversion"/>
  </si>
  <si>
    <t>외관검사, 치수검사, 도통검사, 절연검사</t>
    <phoneticPr fontId="2" type="noConversion"/>
  </si>
  <si>
    <t>개발완료 확인서</t>
    <phoneticPr fontId="2" type="noConversion"/>
  </si>
  <si>
    <t>납품 목록 및 사진</t>
    <phoneticPr fontId="2" type="noConversion"/>
  </si>
  <si>
    <t>주요 구성품 조립체 
검사성적서</t>
    <phoneticPr fontId="2" type="noConversion"/>
  </si>
  <si>
    <t>분배상자, 자항식</t>
    <phoneticPr fontId="2" type="noConversion"/>
  </si>
  <si>
    <t>분배상자, 부유식</t>
    <phoneticPr fontId="2" type="noConversion"/>
  </si>
  <si>
    <t>Input</t>
    <phoneticPr fontId="2" type="noConversion"/>
  </si>
  <si>
    <t>Transient input</t>
    <phoneticPr fontId="2" type="noConversion"/>
  </si>
  <si>
    <t>Output</t>
    <phoneticPr fontId="2" type="noConversion"/>
  </si>
  <si>
    <t>PWR</t>
    <phoneticPr fontId="2" type="noConversion"/>
  </si>
  <si>
    <t>Quarter-brick</t>
    <phoneticPr fontId="2" type="noConversion"/>
  </si>
  <si>
    <t>Full-brick</t>
    <phoneticPr fontId="2" type="noConversion"/>
  </si>
  <si>
    <t>V</t>
    <phoneticPr fontId="2" type="noConversion"/>
  </si>
  <si>
    <t>PWR 1</t>
    <phoneticPr fontId="2" type="noConversion"/>
  </si>
  <si>
    <t>Mot No</t>
    <phoneticPr fontId="2" type="noConversion"/>
  </si>
  <si>
    <t>total</t>
    <phoneticPr fontId="2" type="noConversion"/>
  </si>
  <si>
    <t>V2.7</t>
    <phoneticPr fontId="2" type="noConversion"/>
  </si>
  <si>
    <t>MNT_mot_en[2..0], MNT_mot_dir[2..0]   : DFF;</t>
  </si>
  <si>
    <t xml:space="preserve"> (MNT_mot_dir[],MNT_mot_en[]).clk = (!nMNT_MODE &amp; !ncs_mot_con &amp; !nWRITE &amp; DTACK);
 (MNT_mot_dir[]).clrn = nSYSRESET;
 -- Safe Limit Switch falling edge detection
 (MNT_mot_en[]).clrn = !(!nSYSRESET # !n_tmr_timeout # (!SAFE_UNLOCK[] &amp; safe_lock_reg[5..3]) # (!SAFE_LOCK[] &amp; safe_lock_reg[2..0]));  
 (MNT_mot_dir[],MNT_mot_en[]) = (!ncs_mot_con &amp; !nWRITE &amp; DATA[5..0]);</t>
    <phoneticPr fontId="2" type="noConversion"/>
  </si>
  <si>
    <t xml:space="preserve"> IF nEMR_MODE == GND THEN
  MOT_nRST[] = nSYSRESET;
  MOT_DIR[] = EMR_mot_dir[];
  MOT_EN[] = EMR_mot_en[];
 ELSE
  --MOT_nRST[] = REM_mot_nrst[];
  MOT_nRST[] = nSYSRESET;
  MOT_DIR[] = REM_mot_dir[];
  MOT_EN[] = REM_mot_en[];
 END IF;</t>
    <phoneticPr fontId="2" type="noConversion"/>
  </si>
  <si>
    <r>
      <t xml:space="preserve"> IF nEMR_MODE == GND THEN
  MOT_nRST[] = nSYSRESET;
  MOT_DIR[] = EMR_mot_dir[];
  MOT_EN[] = EMR_mot_en[];
</t>
    </r>
    <r>
      <rPr>
        <b/>
        <sz val="11"/>
        <color rgb="FFFF0000"/>
        <rFont val="맑은 고딕"/>
        <family val="3"/>
        <charset val="129"/>
        <scheme val="minor"/>
      </rPr>
      <t xml:space="preserve"> ELSIF nMNT_MODE == GND THEN
  MOT_nRST[] = nSYSRESET;
  MOT_DIR[] = MNT_mot_dir[];
  MOT_EN[] = MNT_mot_en[];</t>
    </r>
    <r>
      <rPr>
        <sz val="11"/>
        <color theme="1"/>
        <rFont val="맑은 고딕"/>
        <family val="2"/>
        <charset val="129"/>
        <scheme val="minor"/>
      </rPr>
      <t xml:space="preserve">
 ELSE
  MOT_nRST[] = nSYSRESET;
  MOT_DIR[] = REM_mot_dir[];
  MOT_EN[] = REM_mot_en[];
 END IF;</t>
    </r>
    <phoneticPr fontId="2" type="noConversion"/>
  </si>
  <si>
    <r>
      <t xml:space="preserve"> timer_start.clk = !nREM_MODE &amp; !ncs_fire_con &amp; !nWRITE &amp; DTACK 
     # !nRMODE_FIRE_EN &amp; mode_sw_edge[1] 
     # !nREM_MODE &amp; mode_sw_edge[6]
     # !nEMR_MODE &amp; !nEM_FIRE_SW
     # !nSAFE_SW &amp; mode_sw_edge[0] 
     # !nEMR_MODE &amp; mode_sw_edge[4]
</t>
    </r>
    <r>
      <rPr>
        <b/>
        <sz val="11"/>
        <color rgb="FFFF0000"/>
        <rFont val="맑은 고딕"/>
        <family val="3"/>
        <charset val="129"/>
        <scheme val="minor"/>
      </rPr>
      <t xml:space="preserve">     # !nMNT_MODE &amp; !ncs_mot_con &amp; !nWRITE &amp; DTACK;</t>
    </r>
    <phoneticPr fontId="2" type="noConversion"/>
  </si>
  <si>
    <r>
      <t xml:space="preserve"> timer_start.clk = </t>
    </r>
    <r>
      <rPr>
        <b/>
        <sz val="11"/>
        <color rgb="FFFF0000"/>
        <rFont val="맑은 고딕"/>
        <family val="3"/>
        <charset val="129"/>
        <scheme val="minor"/>
      </rPr>
      <t>(</t>
    </r>
    <r>
      <rPr>
        <sz val="11"/>
        <color theme="1"/>
        <rFont val="맑은 고딕"/>
        <family val="2"/>
        <charset val="129"/>
        <scheme val="minor"/>
      </rPr>
      <t>!nREM_MODE &amp; !ncs_fire_con &amp; !nWRITE &amp; DTACK</t>
    </r>
    <r>
      <rPr>
        <b/>
        <sz val="11"/>
        <color rgb="FFFF0000"/>
        <rFont val="맑은 고딕"/>
        <family val="3"/>
        <charset val="129"/>
        <scheme val="minor"/>
      </rPr>
      <t>)</t>
    </r>
    <r>
      <rPr>
        <sz val="11"/>
        <color theme="1"/>
        <rFont val="맑은 고딕"/>
        <family val="2"/>
        <charset val="129"/>
        <scheme val="minor"/>
      </rPr>
      <t xml:space="preserve"> 
     # !nRMODE_FIRE_EN &amp; mode_sw_edge[1] 
     # !nREM_MODE &amp; mode_sw_edge[6]
     # !nEMR_MODE &amp; !nEM_FIRE_SW
     # !nSAFE_SW &amp; mode_sw_edge[0] 
     # !nEMR_MODE &amp; mode_sw_edge[4];</t>
    </r>
    <phoneticPr fontId="2" type="noConversion"/>
  </si>
  <si>
    <t>정비모드에서의 motor 구동 안됨는 문제 수정</t>
    <phoneticPr fontId="2" type="noConversion"/>
  </si>
  <si>
    <t>시험장비</t>
    <phoneticPr fontId="2" type="noConversion"/>
  </si>
  <si>
    <t>초기</t>
    <phoneticPr fontId="2" type="noConversion"/>
  </si>
  <si>
    <t>S/V 4ea</t>
    <phoneticPr fontId="2" type="noConversion"/>
  </si>
  <si>
    <t>A/220V</t>
    <phoneticPr fontId="2" type="noConversion"/>
  </si>
  <si>
    <t>V</t>
    <phoneticPr fontId="2" type="noConversion"/>
  </si>
  <si>
    <t>A</t>
    <phoneticPr fontId="2" type="noConversion"/>
  </si>
  <si>
    <t>W</t>
    <phoneticPr fontId="2" type="noConversion"/>
  </si>
  <si>
    <t>V</t>
    <phoneticPr fontId="2" type="noConversion"/>
  </si>
  <si>
    <t>A/28V</t>
    <phoneticPr fontId="2" type="noConversion"/>
  </si>
  <si>
    <t>Off delay</t>
    <phoneticPr fontId="2" type="noConversion"/>
  </si>
  <si>
    <t>NC7SZ38</t>
    <phoneticPr fontId="2" type="noConversion"/>
  </si>
  <si>
    <t>V_IH</t>
    <phoneticPr fontId="2" type="noConversion"/>
  </si>
  <si>
    <t>V_IL</t>
    <phoneticPr fontId="2" type="noConversion"/>
  </si>
  <si>
    <t>0.7Vcc</t>
    <phoneticPr fontId="2" type="noConversion"/>
  </si>
  <si>
    <t>0.3Vcc</t>
    <phoneticPr fontId="2" type="noConversion"/>
  </si>
  <si>
    <t>28V2_ENA</t>
    <phoneticPr fontId="2" type="noConversion"/>
  </si>
  <si>
    <t>H</t>
    <phoneticPr fontId="2" type="noConversion"/>
  </si>
  <si>
    <t>L</t>
    <phoneticPr fontId="2" type="noConversion"/>
  </si>
  <si>
    <t>L</t>
    <phoneticPr fontId="2" type="noConversion"/>
  </si>
  <si>
    <t>H</t>
    <phoneticPr fontId="2" type="noConversion"/>
  </si>
  <si>
    <t>C</t>
    <phoneticPr fontId="2" type="noConversion"/>
  </si>
  <si>
    <t>V_IL 측정</t>
    <phoneticPr fontId="2" type="noConversion"/>
  </si>
  <si>
    <t>Delay</t>
    <phoneticPr fontId="2" type="noConversion"/>
  </si>
  <si>
    <t>usec</t>
    <phoneticPr fontId="2" type="noConversion"/>
  </si>
  <si>
    <t>sec</t>
    <phoneticPr fontId="2" type="noConversion"/>
  </si>
  <si>
    <t>DC/DC converter OFF time</t>
    <phoneticPr fontId="2" type="noConversion"/>
  </si>
  <si>
    <t>DC/DC converter ON time</t>
    <phoneticPr fontId="2" type="noConversion"/>
  </si>
  <si>
    <t>초기 booting시에도 동일한 delay 발생</t>
    <phoneticPr fontId="2" type="noConversion"/>
  </si>
  <si>
    <t>정비모드에서의 motor 구동 안되는 문제 수정</t>
    <phoneticPr fontId="2" type="noConversion"/>
  </si>
  <si>
    <t>Vgate 전압을 Vin과 동일하게 맞춰 external FET의 Vgs 전압 0V 조건을 만들어서 OFF 시킴.</t>
    <phoneticPr fontId="2" type="noConversion"/>
  </si>
  <si>
    <t>즉, Vgate = Vin (Vgs=0V) 일때 FET는 OFF됨</t>
    <phoneticPr fontId="2" type="noConversion"/>
  </si>
  <si>
    <t>NPN transistor를 이용한 Backlight control</t>
    <phoneticPr fontId="2" type="noConversion"/>
  </si>
  <si>
    <t>1. Timer와 NOT Gate를 이용하여 PWM pulse 생성.</t>
    <phoneticPr fontId="2" type="noConversion"/>
  </si>
  <si>
    <t>2. RC filter를 이용하여 regulation</t>
    <phoneticPr fontId="2" type="noConversion"/>
  </si>
  <si>
    <t>3. regulation된 전압을 이용하여 NPN transistor의 Base Voltage를 조정하여, Transistor의 Ic 전류를 조정합니다.</t>
    <phoneticPr fontId="2" type="noConversion"/>
  </si>
  <si>
    <t>4. LED의 GND path를 Transistor의 Colector-Emitter를 통해 연결한다.</t>
    <phoneticPr fontId="2" type="noConversion"/>
  </si>
  <si>
    <t>RC filter</t>
    <phoneticPr fontId="2" type="noConversion"/>
  </si>
  <si>
    <t>Vbase</t>
    <phoneticPr fontId="2" type="noConversion"/>
  </si>
  <si>
    <t>Vcollector</t>
    <phoneticPr fontId="2" type="noConversion"/>
  </si>
  <si>
    <t>R1</t>
    <phoneticPr fontId="2" type="noConversion"/>
  </si>
  <si>
    <t>R2</t>
    <phoneticPr fontId="2" type="noConversion"/>
  </si>
  <si>
    <t>Max</t>
    <phoneticPr fontId="2" type="noConversion"/>
  </si>
  <si>
    <t>Min</t>
    <phoneticPr fontId="2" type="noConversion"/>
  </si>
  <si>
    <t>LED</t>
    <phoneticPr fontId="2" type="noConversion"/>
  </si>
  <si>
    <t>Ic[mA]</t>
    <phoneticPr fontId="2" type="noConversion"/>
  </si>
  <si>
    <t>V</t>
    <phoneticPr fontId="2" type="noConversion"/>
  </si>
  <si>
    <t>I_LED</t>
    <phoneticPr fontId="2" type="noConversion"/>
  </si>
  <si>
    <t>mA</t>
    <phoneticPr fontId="2" type="noConversion"/>
  </si>
  <si>
    <t>Ohm</t>
    <phoneticPr fontId="2" type="noConversion"/>
  </si>
  <si>
    <t>수량</t>
    <phoneticPr fontId="2" type="noConversion"/>
  </si>
  <si>
    <t>ea</t>
    <phoneticPr fontId="2" type="noConversion"/>
  </si>
  <si>
    <t>I_total</t>
    <phoneticPr fontId="2" type="noConversion"/>
  </si>
  <si>
    <t>Sum</t>
    <phoneticPr fontId="2" type="noConversion"/>
  </si>
  <si>
    <t>Time out : 1.4sec, Time gap : 0.8sec</t>
    <phoneticPr fontId="2" type="noConversion"/>
  </si>
  <si>
    <t>Time out : 1.4sec, Time gap : 1.0sec</t>
    <phoneticPr fontId="2" type="noConversion"/>
  </si>
  <si>
    <t>I</t>
    <phoneticPr fontId="2" type="noConversion"/>
  </si>
  <si>
    <t>R</t>
    <phoneticPr fontId="2" type="noConversion"/>
  </si>
  <si>
    <t>P</t>
    <phoneticPr fontId="2" type="noConversion"/>
  </si>
  <si>
    <t>I</t>
    <phoneticPr fontId="2" type="noConversion"/>
  </si>
  <si>
    <t>LED 21ea measurement results</t>
    <phoneticPr fontId="2" type="noConversion"/>
  </si>
  <si>
    <t>Backlight</t>
    <phoneticPr fontId="2" type="noConversion"/>
  </si>
  <si>
    <t>CL-SP172DBW</t>
    <phoneticPr fontId="2" type="noConversion"/>
  </si>
  <si>
    <t>Color</t>
    <phoneticPr fontId="2" type="noConversion"/>
  </si>
  <si>
    <t>White</t>
    <phoneticPr fontId="2" type="noConversion"/>
  </si>
  <si>
    <t>I_F</t>
    <phoneticPr fontId="2" type="noConversion"/>
  </si>
  <si>
    <t>mA</t>
    <phoneticPr fontId="2" type="noConversion"/>
  </si>
  <si>
    <t>P_D</t>
    <phoneticPr fontId="2" type="noConversion"/>
  </si>
  <si>
    <t>mW</t>
    <phoneticPr fontId="2" type="noConversion"/>
  </si>
  <si>
    <t>V_R</t>
    <phoneticPr fontId="2" type="noConversion"/>
  </si>
  <si>
    <t>V</t>
    <phoneticPr fontId="2" type="noConversion"/>
  </si>
  <si>
    <t>V_F</t>
    <phoneticPr fontId="2" type="noConversion"/>
  </si>
  <si>
    <t>Luminous Intensity</t>
    <phoneticPr fontId="2" type="noConversion"/>
  </si>
  <si>
    <t>mcd</t>
    <phoneticPr fontId="2" type="noConversion"/>
  </si>
  <si>
    <t>FF200-OUR-028B</t>
    <phoneticPr fontId="2" type="noConversion"/>
  </si>
  <si>
    <t>Red</t>
    <phoneticPr fontId="2" type="noConversion"/>
  </si>
  <si>
    <t>발사전원</t>
    <phoneticPr fontId="2" type="noConversion"/>
  </si>
  <si>
    <t>LED Spec</t>
    <phoneticPr fontId="2" type="noConversion"/>
  </si>
  <si>
    <t>measure</t>
    <phoneticPr fontId="2" type="noConversion"/>
  </si>
  <si>
    <t>Calculate</t>
    <phoneticPr fontId="2" type="noConversion"/>
  </si>
  <si>
    <t>P</t>
    <phoneticPr fontId="2" type="noConversion"/>
  </si>
  <si>
    <t>수량</t>
    <phoneticPr fontId="2" type="noConversion"/>
  </si>
  <si>
    <t>선택스위치 Left</t>
    <phoneticPr fontId="2" type="noConversion"/>
  </si>
  <si>
    <t>선택스위치 Right</t>
    <phoneticPr fontId="2" type="noConversion"/>
  </si>
  <si>
    <t>LED 수량</t>
    <phoneticPr fontId="2" type="noConversion"/>
  </si>
  <si>
    <t>전원용</t>
    <phoneticPr fontId="2" type="noConversion"/>
  </si>
  <si>
    <t>발사전원</t>
    <phoneticPr fontId="2" type="noConversion"/>
  </si>
  <si>
    <t>안전장치</t>
    <phoneticPr fontId="2" type="noConversion"/>
  </si>
  <si>
    <t>비상발사</t>
    <phoneticPr fontId="2" type="noConversion"/>
  </si>
  <si>
    <t>Vcc</t>
    <phoneticPr fontId="2" type="noConversion"/>
  </si>
  <si>
    <t>R_up</t>
    <phoneticPr fontId="2" type="noConversion"/>
  </si>
  <si>
    <t>R-down</t>
    <phoneticPr fontId="2" type="noConversion"/>
  </si>
  <si>
    <t>Kohm</t>
    <phoneticPr fontId="2" type="noConversion"/>
  </si>
  <si>
    <t>R_sens</t>
    <phoneticPr fontId="2" type="noConversion"/>
  </si>
  <si>
    <t>Ohm</t>
    <phoneticPr fontId="2" type="noConversion"/>
  </si>
  <si>
    <t>I_chop</t>
    <phoneticPr fontId="2" type="noConversion"/>
  </si>
  <si>
    <t>A</t>
    <phoneticPr fontId="2" type="noConversion"/>
  </si>
  <si>
    <t>운용모드</t>
    <phoneticPr fontId="2" type="noConversion"/>
  </si>
  <si>
    <t>선택스위치 LED-Left</t>
    <phoneticPr fontId="2" type="noConversion"/>
  </si>
  <si>
    <t>선택스위치 LED-Right</t>
    <phoneticPr fontId="2" type="noConversion"/>
  </si>
  <si>
    <t>적재 LED - Left</t>
    <phoneticPr fontId="2" type="noConversion"/>
  </si>
  <si>
    <t>적재 LED - Right</t>
    <phoneticPr fontId="2" type="noConversion"/>
  </si>
  <si>
    <t>PMBT2222A</t>
    <phoneticPr fontId="2" type="noConversion"/>
  </si>
  <si>
    <t>Ic</t>
    <phoneticPr fontId="2" type="noConversion"/>
  </si>
  <si>
    <t>mA</t>
    <phoneticPr fontId="2" type="noConversion"/>
  </si>
  <si>
    <t>Vce</t>
    <phoneticPr fontId="2" type="noConversion"/>
  </si>
  <si>
    <t>V</t>
    <phoneticPr fontId="2" type="noConversion"/>
  </si>
  <si>
    <t>Veb</t>
    <phoneticPr fontId="2" type="noConversion"/>
  </si>
  <si>
    <t>V</t>
    <phoneticPr fontId="2" type="noConversion"/>
  </si>
  <si>
    <t>수량</t>
    <phoneticPr fontId="2" type="noConversion"/>
  </si>
  <si>
    <t>전원</t>
    <phoneticPr fontId="2" type="noConversion"/>
  </si>
  <si>
    <t>R_bias</t>
    <phoneticPr fontId="2" type="noConversion"/>
  </si>
  <si>
    <t>I_total[mA]</t>
    <phoneticPr fontId="2" type="noConversion"/>
  </si>
  <si>
    <t>전원램프</t>
    <phoneticPr fontId="2" type="noConversion"/>
  </si>
  <si>
    <t>발사전원램프</t>
    <phoneticPr fontId="2" type="noConversion"/>
  </si>
  <si>
    <t>VDC</t>
    <phoneticPr fontId="2" type="noConversion"/>
  </si>
  <si>
    <t>Kohm</t>
    <phoneticPr fontId="2" type="noConversion"/>
  </si>
  <si>
    <t>I</t>
    <phoneticPr fontId="2" type="noConversion"/>
  </si>
  <si>
    <t>R</t>
    <phoneticPr fontId="2" type="noConversion"/>
  </si>
  <si>
    <t>SSR Bias resistor</t>
    <phoneticPr fontId="2" type="noConversion"/>
  </si>
  <si>
    <t>기존</t>
    <phoneticPr fontId="2" type="noConversion"/>
  </si>
  <si>
    <t>New</t>
    <phoneticPr fontId="2" type="noConversion"/>
  </si>
  <si>
    <t>P</t>
    <phoneticPr fontId="2" type="noConversion"/>
  </si>
  <si>
    <t>W</t>
    <phoneticPr fontId="2" type="noConversion"/>
  </si>
  <si>
    <t>TLP281</t>
    <phoneticPr fontId="2" type="noConversion"/>
  </si>
  <si>
    <t>If</t>
    <phoneticPr fontId="2" type="noConversion"/>
  </si>
  <si>
    <t>mA</t>
    <phoneticPr fontId="2" type="noConversion"/>
  </si>
  <si>
    <t>Rup</t>
    <phoneticPr fontId="2" type="noConversion"/>
  </si>
  <si>
    <t>Rdown</t>
    <phoneticPr fontId="2" type="noConversion"/>
  </si>
  <si>
    <t>Vbias</t>
    <phoneticPr fontId="2" type="noConversion"/>
  </si>
  <si>
    <t>V</t>
    <phoneticPr fontId="2" type="noConversion"/>
  </si>
  <si>
    <t>P_Rup</t>
    <phoneticPr fontId="2" type="noConversion"/>
  </si>
  <si>
    <t>P_Rdown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</si>
  <si>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</si>
  <si>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</si>
  <si>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</si>
  <si>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RUK3216FR020CS</t>
    <phoneticPr fontId="2" type="noConversion"/>
  </si>
  <si>
    <t>P</t>
    <phoneticPr fontId="2" type="noConversion"/>
  </si>
  <si>
    <t xml:space="preserve">Current Sense Resistors - SMD .02 OHM 1/2W 1% </t>
    <phoneticPr fontId="2" type="noConversion"/>
  </si>
  <si>
    <t>TPS3808</t>
    <phoneticPr fontId="2" type="noConversion"/>
  </si>
  <si>
    <t>SENSE</t>
    <phoneticPr fontId="2" type="noConversion"/>
  </si>
  <si>
    <t>/MR</t>
    <phoneticPr fontId="2" type="noConversion"/>
  </si>
  <si>
    <t>/RESET</t>
    <phoneticPr fontId="2" type="noConversion"/>
  </si>
  <si>
    <t>H</t>
    <phoneticPr fontId="2" type="noConversion"/>
  </si>
  <si>
    <t>28V2_ON_OFF</t>
    <phoneticPr fontId="2" type="noConversion"/>
  </si>
  <si>
    <t>DC/DC</t>
    <phoneticPr fontId="2" type="noConversion"/>
  </si>
  <si>
    <t>OFF</t>
    <phoneticPr fontId="2" type="noConversion"/>
  </si>
  <si>
    <t>ON</t>
    <phoneticPr fontId="2" type="noConversion"/>
  </si>
  <si>
    <t>VDD</t>
    <phoneticPr fontId="2" type="noConversion"/>
  </si>
  <si>
    <t>msec</t>
    <phoneticPr fontId="2" type="noConversion"/>
  </si>
  <si>
    <t>Open</t>
    <phoneticPr fontId="2" type="noConversion"/>
  </si>
  <si>
    <t>Tdelay</t>
    <phoneticPr fontId="2" type="noConversion"/>
  </si>
  <si>
    <t>sec</t>
    <phoneticPr fontId="2" type="noConversion"/>
  </si>
  <si>
    <t>nF</t>
    <phoneticPr fontId="2" type="noConversion"/>
  </si>
  <si>
    <t>Q14</t>
    <phoneticPr fontId="2" type="noConversion"/>
  </si>
  <si>
    <t>ON</t>
    <phoneticPr fontId="2" type="noConversion"/>
  </si>
  <si>
    <t>P</t>
    <phoneticPr fontId="2" type="noConversion"/>
  </si>
  <si>
    <t>안전장치 LED</t>
    <phoneticPr fontId="2" type="noConversion"/>
  </si>
  <si>
    <t>Ptotal</t>
    <phoneticPr fontId="2" type="noConversion"/>
  </si>
  <si>
    <t>R_base</t>
    <phoneticPr fontId="2" type="noConversion"/>
  </si>
  <si>
    <t>LRC-LRF1206LF-01-R020-F</t>
    <phoneticPr fontId="2" type="noConversion"/>
  </si>
  <si>
    <t>R1</t>
    <phoneticPr fontId="2" type="noConversion"/>
  </si>
  <si>
    <t>P1</t>
    <phoneticPr fontId="2" type="noConversion"/>
  </si>
  <si>
    <t>P2</t>
    <phoneticPr fontId="2" type="noConversion"/>
  </si>
  <si>
    <t>R3</t>
  </si>
  <si>
    <t>R4</t>
  </si>
  <si>
    <t>P3</t>
  </si>
  <si>
    <t>P4</t>
  </si>
  <si>
    <t>R5</t>
  </si>
  <si>
    <t>P5</t>
  </si>
  <si>
    <t>D38909</t>
  </si>
  <si>
    <t>SSR</t>
    <phoneticPr fontId="2" type="noConversion"/>
  </si>
  <si>
    <t>Kohm</t>
    <phoneticPr fontId="2" type="noConversion"/>
  </si>
  <si>
    <t>mA</t>
    <phoneticPr fontId="2" type="noConversion"/>
  </si>
  <si>
    <t>P</t>
    <phoneticPr fontId="2" type="noConversion"/>
  </si>
  <si>
    <t>W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</si>
  <si>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</si>
  <si>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</si>
  <si>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</si>
  <si>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V1</t>
    <phoneticPr fontId="2" type="noConversion"/>
  </si>
  <si>
    <t>V2</t>
    <phoneticPr fontId="2" type="noConversion"/>
  </si>
  <si>
    <t>V3</t>
  </si>
  <si>
    <t>P1</t>
    <phoneticPr fontId="2" type="noConversion"/>
  </si>
  <si>
    <t>P2</t>
    <phoneticPr fontId="2" type="noConversion"/>
  </si>
  <si>
    <t>P3</t>
    <phoneticPr fontId="2" type="noConversion"/>
  </si>
  <si>
    <t>UCC29002D</t>
    <phoneticPr fontId="2" type="noConversion"/>
  </si>
  <si>
    <t>Load-Share Controller</t>
    <phoneticPr fontId="2" type="noConversion"/>
  </si>
  <si>
    <t>LS pin input impedance</t>
    <phoneticPr fontId="2" type="noConversion"/>
  </si>
  <si>
    <t>Max V on the Load share bus at full Load</t>
    <phoneticPr fontId="2" type="noConversion"/>
  </si>
  <si>
    <t>R_LS</t>
    <phoneticPr fontId="2" type="noConversion"/>
  </si>
  <si>
    <t>Kohm</t>
    <phoneticPr fontId="2" type="noConversion"/>
  </si>
  <si>
    <t>V_LS</t>
    <phoneticPr fontId="2" type="noConversion"/>
  </si>
  <si>
    <t>Iout.min</t>
    <phoneticPr fontId="2" type="noConversion"/>
  </si>
  <si>
    <t>V</t>
    <phoneticPr fontId="2" type="noConversion"/>
  </si>
  <si>
    <t>mA</t>
    <phoneticPr fontId="2" type="noConversion"/>
  </si>
  <si>
    <t>n</t>
    <phoneticPr fontId="2" type="noConversion"/>
  </si>
  <si>
    <t>Current share 지원 가능 module 수</t>
    <phoneticPr fontId="2" type="noConversion"/>
  </si>
  <si>
    <t>Card</t>
    <phoneticPr fontId="2" type="noConversion"/>
  </si>
  <si>
    <t>Load[A]</t>
    <phoneticPr fontId="2" type="noConversion"/>
  </si>
  <si>
    <t>Vout-DC</t>
    <phoneticPr fontId="2" type="noConversion"/>
  </si>
  <si>
    <t>Vout-Pin</t>
    <phoneticPr fontId="2" type="noConversion"/>
  </si>
  <si>
    <t>Isens[mV]</t>
    <phoneticPr fontId="2" type="noConversion"/>
  </si>
  <si>
    <t>Isens[A]</t>
    <phoneticPr fontId="2" type="noConversion"/>
  </si>
  <si>
    <t>delta</t>
    <phoneticPr fontId="2" type="noConversion"/>
  </si>
  <si>
    <t>P</t>
    <phoneticPr fontId="2" type="noConversion"/>
  </si>
  <si>
    <t>W</t>
    <phoneticPr fontId="2" type="noConversion"/>
  </si>
  <si>
    <t>V</t>
    <phoneticPr fontId="2" type="noConversion"/>
  </si>
  <si>
    <t>I</t>
    <phoneticPr fontId="2" type="noConversion"/>
  </si>
  <si>
    <t>V</t>
    <phoneticPr fontId="2" type="noConversion"/>
  </si>
  <si>
    <t>A</t>
    <phoneticPr fontId="2" type="noConversion"/>
  </si>
  <si>
    <t>SPEC</t>
    <phoneticPr fontId="2" type="noConversion"/>
  </si>
  <si>
    <t>P</t>
    <phoneticPr fontId="2" type="noConversion"/>
  </si>
  <si>
    <t>V</t>
    <phoneticPr fontId="2" type="noConversion"/>
  </si>
  <si>
    <t>5V DC-DC conveter</t>
    <phoneticPr fontId="2" type="noConversion"/>
  </si>
  <si>
    <t>Rsens</t>
    <phoneticPr fontId="2" type="noConversion"/>
  </si>
  <si>
    <t>Ohm</t>
    <phoneticPr fontId="2" type="noConversion"/>
  </si>
  <si>
    <t>V</t>
    <phoneticPr fontId="2" type="noConversion"/>
  </si>
  <si>
    <t>Voltage adjustment range</t>
    <phoneticPr fontId="2" type="noConversion"/>
  </si>
  <si>
    <t>CSA Gain</t>
    <phoneticPr fontId="2" type="noConversion"/>
  </si>
  <si>
    <t>Vdd</t>
    <phoneticPr fontId="2" type="noConversion"/>
  </si>
  <si>
    <t>V</t>
    <phoneticPr fontId="2" type="noConversion"/>
  </si>
  <si>
    <t>R15</t>
    <phoneticPr fontId="2" type="noConversion"/>
  </si>
  <si>
    <t>R16</t>
    <phoneticPr fontId="2" type="noConversion"/>
  </si>
  <si>
    <t>A</t>
    <phoneticPr fontId="2" type="noConversion"/>
  </si>
  <si>
    <t>Vcso</t>
    <phoneticPr fontId="2" type="noConversion"/>
  </si>
  <si>
    <t>Results</t>
    <phoneticPr fontId="2" type="noConversion"/>
  </si>
  <si>
    <t>Acsa</t>
    <phoneticPr fontId="2" type="noConversion"/>
  </si>
  <si>
    <t>Radj</t>
    <phoneticPr fontId="2" type="noConversion"/>
  </si>
  <si>
    <t>Vsens</t>
    <phoneticPr fontId="2" type="noConversion"/>
  </si>
  <si>
    <t>range ratio</t>
    <phoneticPr fontId="2" type="noConversion"/>
  </si>
  <si>
    <t>ΔVadj_max</t>
    <phoneticPr fontId="2" type="noConversion"/>
  </si>
  <si>
    <t>Iout_max</t>
    <phoneticPr fontId="2" type="noConversion"/>
  </si>
  <si>
    <t>Iadj_max</t>
    <phoneticPr fontId="2" type="noConversion"/>
  </si>
  <si>
    <t>mA</t>
    <phoneticPr fontId="2" type="noConversion"/>
  </si>
  <si>
    <t>Iadj_max 6mA 기준의 Radj</t>
    <phoneticPr fontId="2" type="noConversion"/>
  </si>
  <si>
    <t>R</t>
    <phoneticPr fontId="2" type="noConversion"/>
  </si>
  <si>
    <t>Rload</t>
    <phoneticPr fontId="2" type="noConversion"/>
  </si>
  <si>
    <t>측정치</t>
    <phoneticPr fontId="2" type="noConversion"/>
  </si>
  <si>
    <t>Vout</t>
    <phoneticPr fontId="2" type="noConversion"/>
  </si>
  <si>
    <t>DC/DC 1</t>
    <phoneticPr fontId="2" type="noConversion"/>
  </si>
  <si>
    <t>DC/DC 2</t>
    <phoneticPr fontId="2" type="noConversion"/>
  </si>
  <si>
    <t>+5V</t>
    <phoneticPr fontId="2" type="noConversion"/>
  </si>
  <si>
    <t>Vr_adj</t>
    <phoneticPr fontId="2" type="noConversion"/>
  </si>
  <si>
    <t>mV</t>
    <phoneticPr fontId="2" type="noConversion"/>
  </si>
  <si>
    <t>V</t>
    <phoneticPr fontId="2" type="noConversion"/>
  </si>
  <si>
    <t>Vsens-</t>
    <phoneticPr fontId="2" type="noConversion"/>
  </si>
  <si>
    <t>Vr_sens</t>
    <phoneticPr fontId="2" type="noConversion"/>
  </si>
  <si>
    <t>Ir_sens</t>
    <phoneticPr fontId="2" type="noConversion"/>
  </si>
  <si>
    <t>A</t>
    <phoneticPr fontId="2" type="noConversion"/>
  </si>
  <si>
    <t>Load = 15A / Vload = 5.02V / R200 = 10 Ohm</t>
    <phoneticPr fontId="2" type="noConversion"/>
  </si>
  <si>
    <t>15A</t>
    <phoneticPr fontId="2" type="noConversion"/>
  </si>
  <si>
    <t>10A</t>
    <phoneticPr fontId="2" type="noConversion"/>
  </si>
  <si>
    <t>5A</t>
    <phoneticPr fontId="2" type="noConversion"/>
  </si>
  <si>
    <t>=&gt; Load current가 증가할수록 Vr_adj가 감소하며, Radj가 큰 경우, 일정 Load current가 over될때, Vr_adj가 역으로 크게 증가하며, Vout이 증가함</t>
    <phoneticPr fontId="2" type="noConversion"/>
  </si>
  <si>
    <t>82Ohm에서 10A load 지점에서 Vr_adj가 수mV에서 200mV로 증가하며, Vout이 급격히 증가함</t>
    <phoneticPr fontId="2" type="noConversion"/>
  </si>
  <si>
    <t>5V Parameter calculation</t>
    <phoneticPr fontId="2" type="noConversion"/>
  </si>
  <si>
    <t>28V1 Parameter calculation</t>
    <phoneticPr fontId="2" type="noConversion"/>
  </si>
  <si>
    <t>각 module의 Output current를 측정하여, 각 module이 동일한 current를 출력하도록 Output voltage를 조정한다.</t>
    <phoneticPr fontId="2" type="noConversion"/>
  </si>
  <si>
    <t>Vcsao</t>
    <phoneticPr fontId="2" type="noConversion"/>
  </si>
  <si>
    <t>V</t>
    <phoneticPr fontId="2" type="noConversion"/>
  </si>
  <si>
    <t>Iout</t>
    <phoneticPr fontId="2" type="noConversion"/>
  </si>
  <si>
    <t>A</t>
    <phoneticPr fontId="2" type="noConversion"/>
  </si>
  <si>
    <t>Vout</t>
    <phoneticPr fontId="2" type="noConversion"/>
  </si>
  <si>
    <t>V</t>
    <phoneticPr fontId="2" type="noConversion"/>
  </si>
  <si>
    <t>Iout_max</t>
    <phoneticPr fontId="2" type="noConversion"/>
  </si>
  <si>
    <t>V</t>
    <phoneticPr fontId="2" type="noConversion"/>
  </si>
  <si>
    <t>ΔVout_max</t>
    <phoneticPr fontId="2" type="noConversion"/>
  </si>
  <si>
    <t>VDD</t>
    <phoneticPr fontId="2" type="noConversion"/>
  </si>
  <si>
    <t>Rsens</t>
    <phoneticPr fontId="2" type="noConversion"/>
  </si>
  <si>
    <t>Ohm</t>
    <phoneticPr fontId="2" type="noConversion"/>
  </si>
  <si>
    <t>ΔVout</t>
    <phoneticPr fontId="2" type="noConversion"/>
  </si>
  <si>
    <t>Pdiss</t>
    <phoneticPr fontId="2" type="noConversion"/>
  </si>
  <si>
    <t>W</t>
    <phoneticPr fontId="2" type="noConversion"/>
  </si>
  <si>
    <t>+5V</t>
    <phoneticPr fontId="2" type="noConversion"/>
  </si>
  <si>
    <t>+28V1</t>
    <phoneticPr fontId="2" type="noConversion"/>
  </si>
  <si>
    <t>Vcso_max</t>
    <phoneticPr fontId="2" type="noConversion"/>
  </si>
  <si>
    <t>&lt; VDD-2</t>
    <phoneticPr fontId="2" type="noConversion"/>
  </si>
  <si>
    <t>Acsa_max</t>
    <phoneticPr fontId="2" type="noConversion"/>
  </si>
  <si>
    <t>V/V</t>
    <phoneticPr fontId="2" type="noConversion"/>
  </si>
  <si>
    <t>R15</t>
    <phoneticPr fontId="2" type="noConversion"/>
  </si>
  <si>
    <t>12V example</t>
    <phoneticPr fontId="2" type="noConversion"/>
  </si>
  <si>
    <t>fco</t>
    <phoneticPr fontId="2" type="noConversion"/>
  </si>
  <si>
    <t>Hz</t>
    <phoneticPr fontId="2" type="noConversion"/>
  </si>
  <si>
    <t>Vcsao</t>
    <phoneticPr fontId="2" type="noConversion"/>
  </si>
  <si>
    <t>Rsens</t>
    <phoneticPr fontId="2" type="noConversion"/>
  </si>
  <si>
    <t>Rg</t>
    <phoneticPr fontId="2" type="noConversion"/>
  </si>
  <si>
    <t>Iadj</t>
    <phoneticPr fontId="2" type="noConversion"/>
  </si>
  <si>
    <t>Radj</t>
    <phoneticPr fontId="2" type="noConversion"/>
  </si>
  <si>
    <t>V</t>
    <phoneticPr fontId="2" type="noConversion"/>
  </si>
  <si>
    <t>계산치, Vcso_max/(Rsens x Iout_max)</t>
    <phoneticPr fontId="2" type="noConversion"/>
  </si>
  <si>
    <t>DC/DC Spec</t>
    <phoneticPr fontId="2" type="noConversion"/>
  </si>
  <si>
    <t>Iout_max x Rsens &lt;&lt; ΔVout_max</t>
    <phoneticPr fontId="2" type="noConversion"/>
  </si>
  <si>
    <t>fpole</t>
    <phoneticPr fontId="2" type="noConversion"/>
  </si>
  <si>
    <t>KHz</t>
    <phoneticPr fontId="2" type="noConversion"/>
  </si>
  <si>
    <t>Ccsa</t>
    <phoneticPr fontId="2" type="noConversion"/>
  </si>
  <si>
    <t>pF</t>
    <phoneticPr fontId="2" type="noConversion"/>
  </si>
  <si>
    <t>ΔVout</t>
    <phoneticPr fontId="2" type="noConversion"/>
  </si>
  <si>
    <t>ΔVout_max</t>
    <phoneticPr fontId="2" type="noConversion"/>
  </si>
  <si>
    <t>=&gt; Rsens를 결정 후, ΔVout이 DC/DC converter의 ΔVout_max(Trim range)에 들어오는지 확인한다</t>
    <phoneticPr fontId="2" type="noConversion"/>
  </si>
  <si>
    <t>1. Determining Rsens</t>
    <phoneticPr fontId="2" type="noConversion"/>
  </si>
  <si>
    <t>2. Setting the Gain of the Current Sense Amplifier</t>
    <phoneticPr fontId="2" type="noConversion"/>
  </si>
  <si>
    <t>=&gt; Vcso_max를 VDD-2로 설정 후, Acsa의 max Gain를 계산한다.</t>
    <phoneticPr fontId="2" type="noConversion"/>
  </si>
  <si>
    <t>=&gt; Acsa를 max Gain보다 낮게 설정 후 그에 맞는 R15/R16 저항을 설정하고, 실제 Vcso와 를 계산한다.</t>
    <phoneticPr fontId="2" type="noConversion"/>
  </si>
  <si>
    <t>=&gt; R16에 맞춰 Noise filter의 high frequency pole(Ccsa)를 계산한다.</t>
    <phoneticPr fontId="2" type="noConversion"/>
  </si>
  <si>
    <t>Iadj_max</t>
    <phoneticPr fontId="2" type="noConversion"/>
  </si>
  <si>
    <t>Radj</t>
    <phoneticPr fontId="2" type="noConversion"/>
  </si>
  <si>
    <t>Vadj</t>
    <phoneticPr fontId="2" type="noConversion"/>
  </si>
  <si>
    <t>(ΔVout_max - ΔVout)/Iadj_max</t>
    <phoneticPr fontId="2" type="noConversion"/>
  </si>
  <si>
    <t>Veao</t>
    <phoneticPr fontId="2" type="noConversion"/>
  </si>
  <si>
    <t>&gt;Veao+1</t>
    <phoneticPr fontId="2" type="noConversion"/>
  </si>
  <si>
    <t>Rload</t>
    <phoneticPr fontId="2" type="noConversion"/>
  </si>
  <si>
    <t>Av</t>
    <phoneticPr fontId="2" type="noConversion"/>
  </si>
  <si>
    <t>Aadj</t>
    <phoneticPr fontId="2" type="noConversion"/>
  </si>
  <si>
    <t>Gm</t>
    <phoneticPr fontId="2" type="noConversion"/>
  </si>
  <si>
    <t>1/Ohm</t>
    <phoneticPr fontId="2" type="noConversion"/>
  </si>
  <si>
    <t>No load</t>
    <phoneticPr fontId="2" type="noConversion"/>
  </si>
  <si>
    <t>4A</t>
    <phoneticPr fontId="2" type="noConversion"/>
  </si>
  <si>
    <t>VLS</t>
    <phoneticPr fontId="2" type="noConversion"/>
  </si>
  <si>
    <t>Vrsens</t>
    <phoneticPr fontId="2" type="noConversion"/>
  </si>
  <si>
    <t>Vout</t>
    <phoneticPr fontId="2" type="noConversion"/>
  </si>
  <si>
    <t>Vsens+</t>
    <phoneticPr fontId="2" type="noConversion"/>
  </si>
  <si>
    <t>Irsens</t>
    <phoneticPr fontId="2" type="noConversion"/>
  </si>
  <si>
    <t>Radj=450 Ohm</t>
    <phoneticPr fontId="2" type="noConversion"/>
  </si>
  <si>
    <t>Vqce</t>
    <phoneticPr fontId="2" type="noConversion"/>
  </si>
  <si>
    <t>Vradj</t>
    <phoneticPr fontId="2" type="noConversion"/>
  </si>
  <si>
    <t>Iadj</t>
    <phoneticPr fontId="2" type="noConversion"/>
  </si>
  <si>
    <t>Radj=150 Ohm</t>
    <phoneticPr fontId="2" type="noConversion"/>
  </si>
  <si>
    <t>Radj=150 Ohm, R107=499</t>
    <phoneticPr fontId="2" type="noConversion"/>
  </si>
  <si>
    <t>Ve</t>
    <phoneticPr fontId="2" type="noConversion"/>
  </si>
  <si>
    <t>9A</t>
    <phoneticPr fontId="2" type="noConversion"/>
  </si>
  <si>
    <t>정상</t>
    <phoneticPr fontId="2" type="noConversion"/>
  </si>
  <si>
    <t>누수</t>
    <phoneticPr fontId="2" type="noConversion"/>
  </si>
  <si>
    <t>Sensor</t>
    <phoneticPr fontId="2" type="noConversion"/>
  </si>
  <si>
    <t>OFF</t>
    <phoneticPr fontId="2" type="noConversion"/>
  </si>
  <si>
    <t>ON</t>
    <phoneticPr fontId="2" type="noConversion"/>
  </si>
  <si>
    <t>Psensor</t>
    <phoneticPr fontId="2" type="noConversion"/>
  </si>
  <si>
    <t>NC</t>
    <phoneticPr fontId="2" type="noConversion"/>
  </si>
  <si>
    <t>비정상</t>
    <phoneticPr fontId="2" type="noConversion"/>
  </si>
  <si>
    <t>U39 IN</t>
    <phoneticPr fontId="2" type="noConversion"/>
  </si>
  <si>
    <t>NO</t>
    <phoneticPr fontId="2" type="noConversion"/>
  </si>
  <si>
    <t>LOW</t>
    <phoneticPr fontId="2" type="noConversion"/>
  </si>
  <si>
    <t>OPEN</t>
    <phoneticPr fontId="2" type="noConversion"/>
  </si>
  <si>
    <t>SAFETY0_LOCK</t>
    <phoneticPr fontId="2" type="noConversion"/>
  </si>
  <si>
    <t>SAFETY0_UNLOCK</t>
    <phoneticPr fontId="2" type="noConversion"/>
  </si>
  <si>
    <t>점검치구 OUT</t>
    <phoneticPr fontId="2" type="noConversion"/>
  </si>
  <si>
    <t>점검치구 IN</t>
    <phoneticPr fontId="2" type="noConversion"/>
  </si>
  <si>
    <t>SV_DRV</t>
    <phoneticPr fontId="2" type="noConversion"/>
  </si>
  <si>
    <t>HIGH</t>
    <phoneticPr fontId="2" type="noConversion"/>
  </si>
  <si>
    <t>B_MOT_OUT</t>
    <phoneticPr fontId="2" type="noConversion"/>
  </si>
  <si>
    <t>DBOX0_WLEAK_SEN</t>
    <phoneticPr fontId="2" type="noConversion"/>
  </si>
  <si>
    <t>PSENSOR</t>
    <phoneticPr fontId="2" type="noConversion"/>
  </si>
  <si>
    <t>LSENSOR</t>
  </si>
  <si>
    <t xml:space="preserve">DIOB </t>
    <phoneticPr fontId="2" type="noConversion"/>
  </si>
  <si>
    <t>U51 In</t>
    <phoneticPr fontId="2" type="noConversion"/>
  </si>
  <si>
    <t>U51 Out</t>
    <phoneticPr fontId="2" type="noConversion"/>
  </si>
  <si>
    <t>EPLD</t>
    <phoneticPr fontId="2" type="noConversion"/>
  </si>
  <si>
    <t>U38 In</t>
    <phoneticPr fontId="2" type="noConversion"/>
  </si>
  <si>
    <t>U39 Out</t>
    <phoneticPr fontId="2" type="noConversion"/>
  </si>
  <si>
    <t>7A</t>
    <phoneticPr fontId="2" type="noConversion"/>
  </si>
  <si>
    <t>I_delta</t>
    <phoneticPr fontId="2" type="noConversion"/>
  </si>
  <si>
    <t>12V</t>
    <phoneticPr fontId="2" type="noConversion"/>
  </si>
  <si>
    <t>Iadj[mA]</t>
    <phoneticPr fontId="2" type="noConversion"/>
  </si>
  <si>
    <t>R107[Kohm]</t>
    <phoneticPr fontId="2" type="noConversion"/>
  </si>
  <si>
    <t>R16</t>
    <phoneticPr fontId="2" type="noConversion"/>
  </si>
  <si>
    <t>R100</t>
    <phoneticPr fontId="2" type="noConversion"/>
  </si>
  <si>
    <t>R106</t>
    <phoneticPr fontId="2" type="noConversion"/>
  </si>
  <si>
    <t>1K</t>
    <phoneticPr fontId="2" type="noConversion"/>
  </si>
  <si>
    <t>10K</t>
    <phoneticPr fontId="2" type="noConversion"/>
  </si>
  <si>
    <t>5K</t>
    <phoneticPr fontId="2" type="noConversion"/>
  </si>
  <si>
    <t>16.2K</t>
    <phoneticPr fontId="2" type="noConversion"/>
  </si>
  <si>
    <t>2.7K</t>
    <phoneticPr fontId="2" type="noConversion"/>
  </si>
  <si>
    <t>10A</t>
    <phoneticPr fontId="2" type="noConversion"/>
  </si>
  <si>
    <t>&lt;6mA</t>
    <phoneticPr fontId="2" type="noConversion"/>
  </si>
  <si>
    <t>28V1</t>
    <phoneticPr fontId="2" type="noConversion"/>
  </si>
  <si>
    <t>R206</t>
    <phoneticPr fontId="2" type="noConversion"/>
  </si>
  <si>
    <t>R200</t>
    <phoneticPr fontId="2" type="noConversion"/>
  </si>
  <si>
    <t>15A</t>
    <phoneticPr fontId="2" type="noConversion"/>
  </si>
  <si>
    <t>8.2K</t>
    <phoneticPr fontId="2" type="noConversion"/>
  </si>
  <si>
    <t>Vout-DC</t>
    <phoneticPr fontId="2" type="noConversion"/>
  </si>
  <si>
    <t>V2.0</t>
    <phoneticPr fontId="2" type="noConversion"/>
  </si>
  <si>
    <t>V1.1</t>
    <phoneticPr fontId="2" type="noConversion"/>
  </si>
  <si>
    <t>L</t>
    <phoneticPr fontId="18" type="noConversion"/>
  </si>
  <si>
    <t>L</t>
    <phoneticPr fontId="18" type="noConversion"/>
  </si>
  <si>
    <t>H</t>
    <phoneticPr fontId="18" type="noConversion"/>
  </si>
  <si>
    <t>H</t>
    <phoneticPr fontId="18" type="noConversion"/>
  </si>
  <si>
    <t>L</t>
    <phoneticPr fontId="18" type="noConversion"/>
  </si>
  <si>
    <t>H</t>
    <phoneticPr fontId="18" type="noConversion"/>
  </si>
  <si>
    <t>L</t>
    <phoneticPr fontId="18" type="noConversion"/>
  </si>
  <si>
    <t>Level</t>
    <phoneticPr fontId="2" type="noConversion"/>
  </si>
  <si>
    <t>Hz</t>
    <phoneticPr fontId="2" type="noConversion"/>
  </si>
  <si>
    <t>sec</t>
    <phoneticPr fontId="2" type="noConversion"/>
  </si>
  <si>
    <t>Clock</t>
    <phoneticPr fontId="2" type="noConversion"/>
  </si>
  <si>
    <t>Pulse periode</t>
    <phoneticPr fontId="2" type="noConversion"/>
  </si>
  <si>
    <t>Pulse width
[msec]</t>
    <phoneticPr fontId="18" type="noConversion"/>
  </si>
  <si>
    <t>Delta btw Level
[msec]</t>
    <phoneticPr fontId="18" type="noConversion"/>
  </si>
  <si>
    <t>Duty rate
(%)</t>
    <phoneticPr fontId="18" type="noConversion"/>
  </si>
  <si>
    <t>DIM2</t>
    <phoneticPr fontId="18" type="noConversion"/>
  </si>
  <si>
    <t>DIM1</t>
    <phoneticPr fontId="18" type="noConversion"/>
  </si>
  <si>
    <t>DIM0</t>
    <phoneticPr fontId="18" type="noConversion"/>
  </si>
  <si>
    <t>0A</t>
    <phoneticPr fontId="2" type="noConversion"/>
  </si>
  <si>
    <t>Single mode</t>
    <phoneticPr fontId="2" type="noConversion"/>
  </si>
  <si>
    <t>StartSync</t>
    <phoneticPr fontId="2" type="noConversion"/>
  </si>
  <si>
    <t>Ishare</t>
    <phoneticPr fontId="2" type="noConversion"/>
  </si>
  <si>
    <t>측정치</t>
    <phoneticPr fontId="2" type="noConversion"/>
  </si>
  <si>
    <t>선택 S/W LED</t>
    <phoneticPr fontId="2" type="noConversion"/>
  </si>
  <si>
    <t>OFF</t>
    <phoneticPr fontId="2" type="noConversion"/>
  </si>
  <si>
    <t>V</t>
    <phoneticPr fontId="2" type="noConversion"/>
  </si>
  <si>
    <t>R</t>
    <phoneticPr fontId="2" type="noConversion"/>
  </si>
  <si>
    <t>I</t>
    <phoneticPr fontId="2" type="noConversion"/>
  </si>
  <si>
    <t>BL_DIM</t>
    <phoneticPr fontId="2" type="noConversion"/>
  </si>
  <si>
    <t>L</t>
    <phoneticPr fontId="2" type="noConversion"/>
  </si>
  <si>
    <t>INPUT</t>
    <phoneticPr fontId="2" type="noConversion"/>
  </si>
  <si>
    <t>L</t>
    <phoneticPr fontId="2" type="noConversion"/>
  </si>
  <si>
    <t>B</t>
    <phoneticPr fontId="2" type="noConversion"/>
  </si>
  <si>
    <t>OUTPUT</t>
    <phoneticPr fontId="2" type="noConversion"/>
  </si>
  <si>
    <t>Z</t>
    <phoneticPr fontId="2" type="noConversion"/>
  </si>
  <si>
    <t>Open drain</t>
    <phoneticPr fontId="2" type="noConversion"/>
  </si>
  <si>
    <t>안전장치</t>
    <phoneticPr fontId="2" type="noConversion"/>
  </si>
  <si>
    <t>Input</t>
    <phoneticPr fontId="2" type="noConversion"/>
  </si>
  <si>
    <t>DIOB</t>
    <phoneticPr fontId="2" type="noConversion"/>
  </si>
  <si>
    <t>L</t>
    <phoneticPr fontId="2" type="noConversion"/>
  </si>
  <si>
    <t>OPEN</t>
    <phoneticPr fontId="2" type="noConversion"/>
  </si>
  <si>
    <t>H</t>
    <phoneticPr fontId="2" type="noConversion"/>
  </si>
  <si>
    <t>U42</t>
    <phoneticPr fontId="2" type="noConversion"/>
  </si>
  <si>
    <t>U36</t>
    <phoneticPr fontId="2" type="noConversion"/>
  </si>
  <si>
    <t>H</t>
    <phoneticPr fontId="2" type="noConversion"/>
  </si>
  <si>
    <t>mode</t>
    <phoneticPr fontId="2" type="noConversion"/>
  </si>
  <si>
    <t>Lock</t>
    <phoneticPr fontId="2" type="noConversion"/>
  </si>
  <si>
    <t>L</t>
    <phoneticPr fontId="2" type="noConversion"/>
  </si>
  <si>
    <t>동작중</t>
    <phoneticPr fontId="2" type="noConversion"/>
  </si>
  <si>
    <t>Unlock</t>
    <phoneticPr fontId="2" type="noConversion"/>
  </si>
  <si>
    <t>Origin</t>
    <phoneticPr fontId="2" type="noConversion"/>
  </si>
  <si>
    <t>P39</t>
    <phoneticPr fontId="2" type="noConversion"/>
  </si>
  <si>
    <t>P41</t>
    <phoneticPr fontId="2" type="noConversion"/>
  </si>
  <si>
    <t xml:space="preserve">Lock </t>
    <phoneticPr fontId="2" type="noConversion"/>
  </si>
  <si>
    <t>Green</t>
    <phoneticPr fontId="2" type="noConversion"/>
  </si>
  <si>
    <t>Unlock</t>
    <phoneticPr fontId="2" type="noConversion"/>
  </si>
  <si>
    <t>Red</t>
    <phoneticPr fontId="2" type="noConversion"/>
  </si>
  <si>
    <t>동작중</t>
    <phoneticPr fontId="2" type="noConversion"/>
  </si>
  <si>
    <t>Orange</t>
    <phoneticPr fontId="2" type="noConversion"/>
  </si>
  <si>
    <t>카드미삽</t>
    <phoneticPr fontId="2" type="noConversion"/>
  </si>
  <si>
    <t>카드미삽</t>
    <phoneticPr fontId="2" type="noConversion"/>
  </si>
  <si>
    <t>OFF</t>
    <phoneticPr fontId="2" type="noConversion"/>
  </si>
  <si>
    <t>OFF</t>
    <phoneticPr fontId="2" type="noConversion"/>
  </si>
  <si>
    <t>P39-&gt;
 P41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</si>
  <si>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</si>
  <si>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</si>
  <si>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</si>
  <si>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R2+R3</t>
    <phoneticPr fontId="2" type="noConversion"/>
  </si>
  <si>
    <t>Vsum</t>
    <phoneticPr fontId="2" type="noConversion"/>
  </si>
  <si>
    <t>Isum</t>
    <phoneticPr fontId="2" type="noConversion"/>
  </si>
  <si>
    <t>Current</t>
    <phoneticPr fontId="2" type="noConversion"/>
  </si>
  <si>
    <t>35W</t>
    <phoneticPr fontId="2" type="noConversion"/>
  </si>
  <si>
    <t>V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</si>
  <si>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</si>
  <si>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</si>
  <si>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</si>
  <si>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R2+R3</t>
    <phoneticPr fontId="2" type="noConversion"/>
  </si>
  <si>
    <t>Vr2_r3</t>
    <phoneticPr fontId="2" type="noConversion"/>
  </si>
  <si>
    <t>-</t>
    <phoneticPr fontId="2" type="noConversion"/>
  </si>
  <si>
    <t>Ir3</t>
    <phoneticPr fontId="2" type="noConversion"/>
  </si>
  <si>
    <t>V6.0</t>
    <phoneticPr fontId="2" type="noConversion"/>
  </si>
  <si>
    <t>시정수 3dB</t>
    <phoneticPr fontId="2" type="noConversion"/>
  </si>
  <si>
    <t>SSR</t>
    <phoneticPr fontId="2" type="noConversion"/>
  </si>
  <si>
    <t>D4D07</t>
    <phoneticPr fontId="2" type="noConversion"/>
  </si>
  <si>
    <t>INPUT</t>
    <phoneticPr fontId="2" type="noConversion"/>
  </si>
  <si>
    <t>Vin</t>
    <phoneticPr fontId="2" type="noConversion"/>
  </si>
  <si>
    <t>VDC</t>
    <phoneticPr fontId="2" type="noConversion"/>
  </si>
  <si>
    <t>Min</t>
    <phoneticPr fontId="2" type="noConversion"/>
  </si>
  <si>
    <t>Max</t>
    <phoneticPr fontId="2" type="noConversion"/>
  </si>
  <si>
    <t>Von_min</t>
    <phoneticPr fontId="2" type="noConversion"/>
  </si>
  <si>
    <t>Voff_min</t>
    <phoneticPr fontId="2" type="noConversion"/>
  </si>
  <si>
    <t>Ion</t>
    <phoneticPr fontId="2" type="noConversion"/>
  </si>
  <si>
    <t>mA</t>
    <phoneticPr fontId="2" type="noConversion"/>
  </si>
  <si>
    <t>IQ4H050QTV30NRS</t>
    <phoneticPr fontId="2" type="noConversion"/>
  </si>
  <si>
    <t>V</t>
    <phoneticPr fontId="2" type="noConversion"/>
  </si>
  <si>
    <t>I</t>
    <phoneticPr fontId="2" type="noConversion"/>
  </si>
  <si>
    <t>IQ4H280QTV05NRS</t>
    <phoneticPr fontId="2" type="noConversion"/>
  </si>
  <si>
    <t>IQ4H280FTV21NRF</t>
    <phoneticPr fontId="2" type="noConversion"/>
  </si>
  <si>
    <t>W</t>
    <phoneticPr fontId="2" type="noConversion"/>
  </si>
  <si>
    <t>I[A]</t>
    <phoneticPr fontId="2" type="noConversion"/>
  </si>
  <si>
    <t>DC-DC Converter</t>
    <phoneticPr fontId="2" type="noConversion"/>
  </si>
  <si>
    <t>X</t>
    <phoneticPr fontId="2" type="noConversion"/>
  </si>
  <si>
    <t>?</t>
    <phoneticPr fontId="2" type="noConversion"/>
  </si>
  <si>
    <t>LED up</t>
    <phoneticPr fontId="2" type="noConversion"/>
  </si>
  <si>
    <t>LED down</t>
    <phoneticPr fontId="2" type="noConversion"/>
  </si>
  <si>
    <t>A_out</t>
    <phoneticPr fontId="2" type="noConversion"/>
  </si>
  <si>
    <t>B_out</t>
    <phoneticPr fontId="2" type="noConversion"/>
  </si>
  <si>
    <t>A_in1</t>
    <phoneticPr fontId="2" type="noConversion"/>
  </si>
  <si>
    <t>A_in2</t>
    <phoneticPr fontId="2" type="noConversion"/>
  </si>
  <si>
    <t>Watchdog timeout 주기내에 WDI에 transition이 발생하면 Timer가 clear되면서 다시 Countdown에 들어가면서 WDO는 High를 유지함</t>
    <phoneticPr fontId="2" type="noConversion"/>
  </si>
  <si>
    <t>Watchdog timeout 주기내에 WDI에 transition이 발생하지 않으면,  WDO timeout 동안 WDO가 LOW 상태를 유지후 다시 High 변경됨.</t>
    <phoneticPr fontId="2" type="noConversion"/>
  </si>
  <si>
    <t>CH1</t>
    <phoneticPr fontId="2" type="noConversion"/>
  </si>
  <si>
    <t>WDO</t>
    <phoneticPr fontId="2" type="noConversion"/>
  </si>
  <si>
    <t>#WDO</t>
    <phoneticPr fontId="2" type="noConversion"/>
  </si>
  <si>
    <t>CH2</t>
    <phoneticPr fontId="2" type="noConversion"/>
  </si>
  <si>
    <t>Data no change이므로 High</t>
    <phoneticPr fontId="2" type="noConversion"/>
  </si>
  <si>
    <t>X</t>
    <phoneticPr fontId="2" type="noConversion"/>
  </si>
  <si>
    <t>clock없는 상태이므로 사용하지 않음, 즉, 앞의 상태 유지 Low</t>
    <phoneticPr fontId="2" type="noConversion"/>
  </si>
  <si>
    <t>Hz</t>
    <phoneticPr fontId="2" type="noConversion"/>
  </si>
  <si>
    <t>NC</t>
    <phoneticPr fontId="2" type="noConversion"/>
  </si>
  <si>
    <t>Trms</t>
    <phoneticPr fontId="2" type="noConversion"/>
  </si>
  <si>
    <t>New 1/26</t>
    <phoneticPr fontId="2" type="noConversion"/>
  </si>
  <si>
    <t>mamual reset(/MR)이 Low일때, /RESET =LOW</t>
    <phoneticPr fontId="2" type="noConversion"/>
  </si>
  <si>
    <t>SENSE voltage가 preset threshold voltage 밑으로 떨어지는 경우, /RESET = LOW</t>
    <phoneticPr fontId="2" type="noConversion"/>
  </si>
  <si>
    <t>/RESET output은 SENSE or /MR이 threshold voltage이상으로 증가한 이후 delay time 만큼 유지됨</t>
    <phoneticPr fontId="2" type="noConversion"/>
  </si>
  <si>
    <t>Ct[nF] Pin 상태에 따른 delay time</t>
    <phoneticPr fontId="2" type="noConversion"/>
  </si>
  <si>
    <t>CAP value에따라 1.25ms ~ 10sec까지 조정 가능</t>
    <phoneticPr fontId="2" type="noConversion"/>
  </si>
  <si>
    <t>VDD</t>
    <phoneticPr fontId="2" type="noConversion"/>
  </si>
  <si>
    <t>V</t>
    <phoneticPr fontId="2" type="noConversion"/>
  </si>
  <si>
    <t>Vit</t>
    <phoneticPr fontId="2" type="noConversion"/>
  </si>
  <si>
    <t>TPS3808G50 - threshold voltage ( Vit )</t>
    <phoneticPr fontId="2" type="noConversion"/>
  </si>
  <si>
    <t>28V2_ENA</t>
    <phoneticPr fontId="2" type="noConversion"/>
  </si>
  <si>
    <t>안전</t>
    <phoneticPr fontId="2" type="noConversion"/>
  </si>
  <si>
    <t>5V</t>
    <phoneticPr fontId="2" type="noConversion"/>
  </si>
  <si>
    <t>허가</t>
    <phoneticPr fontId="2" type="noConversion"/>
  </si>
  <si>
    <t>GND</t>
    <phoneticPr fontId="2" type="noConversion"/>
  </si>
  <si>
    <t>IQ4H280FTV21NRF</t>
    <phoneticPr fontId="2" type="noConversion"/>
  </si>
  <si>
    <t>Off</t>
    <phoneticPr fontId="2" type="noConversion"/>
  </si>
  <si>
    <t>-</t>
    <phoneticPr fontId="2" type="noConversion"/>
  </si>
  <si>
    <t>V</t>
    <phoneticPr fontId="2" type="noConversion"/>
  </si>
  <si>
    <t>On</t>
    <phoneticPr fontId="2" type="noConversion"/>
  </si>
  <si>
    <t>State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</si>
  <si>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</si>
  <si>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</si>
  <si>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</si>
  <si>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ON/OFF control - Low Active : +ON/OFF pin이 0V일때 DC/DC converter ON</t>
    <phoneticPr fontId="2" type="noConversion"/>
  </si>
  <si>
    <t>+ON/OFF</t>
    <phoneticPr fontId="2" type="noConversion"/>
  </si>
  <si>
    <t>0V</t>
    <phoneticPr fontId="2" type="noConversion"/>
  </si>
  <si>
    <t>Timer operation</t>
    <phoneticPr fontId="2" type="noConversion"/>
  </si>
  <si>
    <t>H</t>
    <phoneticPr fontId="2" type="noConversion"/>
  </si>
  <si>
    <t>Delay</t>
    <phoneticPr fontId="2" type="noConversion"/>
  </si>
  <si>
    <t>O</t>
    <phoneticPr fontId="2" type="noConversion"/>
  </si>
  <si>
    <t>X</t>
    <phoneticPr fontId="2" type="noConversion"/>
  </si>
  <si>
    <t>허가에서 안전으로 상태변경시 delay 발생 - DC/DC converter가 OFF될때 설정된 time만큼 delay후 OFF됨</t>
    <phoneticPr fontId="2" type="noConversion"/>
  </si>
  <si>
    <t>System truth table</t>
    <phoneticPr fontId="2" type="noConversion"/>
  </si>
  <si>
    <t>Delay time Setup</t>
    <phoneticPr fontId="2" type="noConversion"/>
  </si>
  <si>
    <t>C213</t>
    <phoneticPr fontId="2" type="noConversion"/>
  </si>
  <si>
    <t>Cap value</t>
    <phoneticPr fontId="2" type="noConversion"/>
  </si>
  <si>
    <t>Tdelay</t>
    <phoneticPr fontId="2" type="noConversion"/>
  </si>
  <si>
    <t>R129</t>
    <phoneticPr fontId="2" type="noConversion"/>
  </si>
  <si>
    <t>R111</t>
    <phoneticPr fontId="2" type="noConversion"/>
  </si>
  <si>
    <t>Vcc</t>
    <phoneticPr fontId="2" type="noConversion"/>
  </si>
  <si>
    <t>Ohm</t>
    <phoneticPr fontId="2" type="noConversion"/>
  </si>
  <si>
    <t>Rsum</t>
    <phoneticPr fontId="2" type="noConversion"/>
  </si>
  <si>
    <t>V</t>
    <phoneticPr fontId="2" type="noConversion"/>
  </si>
  <si>
    <t>Diode를 Open으로 가정</t>
    <phoneticPr fontId="2" type="noConversion"/>
  </si>
  <si>
    <t>I</t>
    <phoneticPr fontId="2" type="noConversion"/>
  </si>
  <si>
    <t>V1.0</t>
    <phoneticPr fontId="2" type="noConversion"/>
  </si>
  <si>
    <t>V2.0</t>
    <phoneticPr fontId="2" type="noConversion"/>
  </si>
  <si>
    <t>-</t>
    <phoneticPr fontId="2" type="noConversion"/>
  </si>
  <si>
    <t>BZT52C2V7S-7-F</t>
    <phoneticPr fontId="2" type="noConversion"/>
  </si>
  <si>
    <t>Control Voltage</t>
    <phoneticPr fontId="2" type="noConversion"/>
  </si>
  <si>
    <t>-</t>
    <phoneticPr fontId="2" type="noConversion"/>
  </si>
  <si>
    <t>Turn On Voltage</t>
    <phoneticPr fontId="2" type="noConversion"/>
  </si>
  <si>
    <t>Turn Off Voltage</t>
    <phoneticPr fontId="2" type="noConversion"/>
  </si>
  <si>
    <t>VDC</t>
    <phoneticPr fontId="2" type="noConversion"/>
  </si>
  <si>
    <t>Typycal Input Current @ 5 VDC</t>
    <phoneticPr fontId="2" type="noConversion"/>
  </si>
  <si>
    <t>mA</t>
    <phoneticPr fontId="2" type="noConversion"/>
  </si>
  <si>
    <t>Nominal Input Impedance</t>
    <phoneticPr fontId="2" type="noConversion"/>
  </si>
  <si>
    <t>Output Operating V</t>
    <phoneticPr fontId="2" type="noConversion"/>
  </si>
  <si>
    <t>Maximum Load Current</t>
    <phoneticPr fontId="2" type="noConversion"/>
  </si>
  <si>
    <t>A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</si>
  <si>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</si>
  <si>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</si>
  <si>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</si>
  <si>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R62</t>
    <phoneticPr fontId="2" type="noConversion"/>
  </si>
  <si>
    <t>RLY11</t>
    <phoneticPr fontId="2" type="noConversion"/>
  </si>
  <si>
    <t>SSR impedance 고려</t>
    <phoneticPr fontId="2" type="noConversion"/>
  </si>
  <si>
    <t>74LVX3245</t>
    <phoneticPr fontId="2" type="noConversion"/>
  </si>
  <si>
    <t>T/R</t>
    <phoneticPr fontId="2" type="noConversion"/>
  </si>
  <si>
    <t>HIGH</t>
    <phoneticPr fontId="2" type="noConversion"/>
  </si>
  <si>
    <t>Data</t>
    <phoneticPr fontId="2" type="noConversion"/>
  </si>
  <si>
    <t>A -&gt; B</t>
    <phoneticPr fontId="2" type="noConversion"/>
  </si>
  <si>
    <t>LOW</t>
    <phoneticPr fontId="2" type="noConversion"/>
  </si>
  <si>
    <t>B -&gt; A</t>
    <phoneticPr fontId="2" type="noConversion"/>
  </si>
  <si>
    <t>/OE</t>
    <phoneticPr fontId="2" type="noConversion"/>
  </si>
  <si>
    <t>disable</t>
    <phoneticPr fontId="2" type="noConversion"/>
  </si>
  <si>
    <t>enable</t>
    <phoneticPr fontId="2" type="noConversion"/>
  </si>
  <si>
    <t>IC</t>
    <phoneticPr fontId="2" type="noConversion"/>
  </si>
  <si>
    <t>High impedance</t>
    <phoneticPr fontId="2" type="noConversion"/>
  </si>
  <si>
    <t>MM74HCT244</t>
    <phoneticPr fontId="2" type="noConversion"/>
  </si>
  <si>
    <t>1G</t>
    <phoneticPr fontId="2" type="noConversion"/>
  </si>
  <si>
    <t>1A</t>
    <phoneticPr fontId="2" type="noConversion"/>
  </si>
  <si>
    <t>1Y</t>
    <phoneticPr fontId="2" type="noConversion"/>
  </si>
  <si>
    <t>2G</t>
    <phoneticPr fontId="2" type="noConversion"/>
  </si>
  <si>
    <t>2A</t>
    <phoneticPr fontId="2" type="noConversion"/>
  </si>
  <si>
    <t>2Y</t>
    <phoneticPr fontId="2" type="noConversion"/>
  </si>
  <si>
    <t>Z</t>
    <phoneticPr fontId="2" type="noConversion"/>
  </si>
  <si>
    <t>-</t>
    <phoneticPr fontId="2" type="noConversion"/>
  </si>
  <si>
    <t>Vcc in1</t>
    <phoneticPr fontId="2" type="noConversion"/>
  </si>
  <si>
    <t>Vcc in2</t>
    <phoneticPr fontId="2" type="noConversion"/>
  </si>
  <si>
    <t>VIH</t>
    <phoneticPr fontId="2" type="noConversion"/>
  </si>
  <si>
    <t>VIL</t>
    <phoneticPr fontId="2" type="noConversion"/>
  </si>
  <si>
    <t>SOIC-24</t>
    <phoneticPr fontId="2" type="noConversion"/>
  </si>
  <si>
    <t>SOIC-20</t>
    <phoneticPr fontId="2" type="noConversion"/>
  </si>
  <si>
    <t>10.6x13</t>
    <phoneticPr fontId="2" type="noConversion"/>
  </si>
  <si>
    <t>10.3x15.4</t>
    <phoneticPr fontId="2" type="noConversion"/>
  </si>
  <si>
    <t>Package</t>
    <phoneticPr fontId="2" type="noConversion"/>
  </si>
  <si>
    <t>Size</t>
    <phoneticPr fontId="2" type="noConversion"/>
  </si>
  <si>
    <t>1. Opto-coupler protection circuit</t>
    <phoneticPr fontId="2" type="noConversion"/>
  </si>
  <si>
    <t>2. SSR Protection circuit</t>
    <phoneticPr fontId="2" type="noConversion"/>
  </si>
  <si>
    <t>3. Buffer review</t>
    <phoneticPr fontId="2" type="noConversion"/>
  </si>
  <si>
    <t>S1BB-13-F</t>
    <phoneticPr fontId="2" type="noConversion"/>
  </si>
  <si>
    <t>Peak Reverse Voltage</t>
    <phoneticPr fontId="2" type="noConversion"/>
  </si>
  <si>
    <t>RMS Reverse Voltage</t>
    <phoneticPr fontId="2" type="noConversion"/>
  </si>
  <si>
    <t>V</t>
    <phoneticPr fontId="2" type="noConversion"/>
  </si>
  <si>
    <t>V</t>
    <phoneticPr fontId="2" type="noConversion"/>
  </si>
  <si>
    <t>Average Rectified Iout</t>
    <phoneticPr fontId="2" type="noConversion"/>
  </si>
  <si>
    <t>A</t>
    <phoneticPr fontId="2" type="noConversion"/>
  </si>
  <si>
    <t>Peak Forward Surge Current</t>
    <phoneticPr fontId="2" type="noConversion"/>
  </si>
  <si>
    <t>A</t>
    <phoneticPr fontId="2" type="noConversion"/>
  </si>
  <si>
    <t>Unit</t>
    <phoneticPr fontId="2" type="noConversion"/>
  </si>
  <si>
    <t>Forward Voltage</t>
    <phoneticPr fontId="2" type="noConversion"/>
  </si>
  <si>
    <t>mm</t>
    <phoneticPr fontId="2" type="noConversion"/>
  </si>
  <si>
    <t>4.6x4</t>
    <phoneticPr fontId="2" type="noConversion"/>
  </si>
  <si>
    <t>SSR Diode를 short 가정</t>
    <phoneticPr fontId="2" type="noConversion"/>
  </si>
  <si>
    <t>VIH range가 같으므로, Common 5V 사용 가능</t>
    <phoneticPr fontId="2" type="noConversion"/>
  </si>
  <si>
    <t>Cable Open</t>
    <phoneticPr fontId="2" type="noConversion"/>
  </si>
  <si>
    <t>정상</t>
    <phoneticPr fontId="2" type="noConversion"/>
  </si>
  <si>
    <t>비정상</t>
    <phoneticPr fontId="2" type="noConversion"/>
  </si>
  <si>
    <t>K7L-AT50</t>
    <phoneticPr fontId="2" type="noConversion"/>
  </si>
  <si>
    <t>OUTPUT</t>
    <phoneticPr fontId="2" type="noConversion"/>
  </si>
  <si>
    <t>OFF</t>
    <phoneticPr fontId="2" type="noConversion"/>
  </si>
  <si>
    <t>LED</t>
    <phoneticPr fontId="2" type="noConversion"/>
  </si>
  <si>
    <t>Mode</t>
    <phoneticPr fontId="2" type="noConversion"/>
  </si>
  <si>
    <t>NC</t>
    <phoneticPr fontId="2" type="noConversion"/>
  </si>
  <si>
    <t>NO</t>
    <phoneticPr fontId="2" type="noConversion"/>
  </si>
  <si>
    <t>누수</t>
    <phoneticPr fontId="2" type="noConversion"/>
  </si>
  <si>
    <t>ON</t>
    <phoneticPr fontId="2" type="noConversion"/>
  </si>
  <si>
    <t>Normal</t>
    <phoneticPr fontId="2" type="noConversion"/>
  </si>
  <si>
    <t>Condition</t>
    <phoneticPr fontId="2" type="noConversion"/>
  </si>
  <si>
    <t>System truth table</t>
    <phoneticPr fontId="2" type="noConversion"/>
  </si>
  <si>
    <t>GND</t>
    <phoneticPr fontId="2" type="noConversion"/>
  </si>
  <si>
    <t>OPEN</t>
    <phoneticPr fontId="2" type="noConversion"/>
  </si>
  <si>
    <t>IN</t>
    <phoneticPr fontId="2" type="noConversion"/>
  </si>
  <si>
    <t>Status</t>
    <phoneticPr fontId="2" type="noConversion"/>
  </si>
  <si>
    <t>WLEAK_SEN</t>
    <phoneticPr fontId="2" type="noConversion"/>
  </si>
  <si>
    <t>점검치구</t>
    <phoneticPr fontId="2" type="noConversion"/>
  </si>
  <si>
    <t>0.5 bar</t>
    <phoneticPr fontId="2" type="noConversion"/>
  </si>
  <si>
    <t>0 bar</t>
    <phoneticPr fontId="2" type="noConversion"/>
  </si>
  <si>
    <t>분배상자가 없는 상태에서 분배상자 오류 표시를 위해서는 Disconnection detect이 구현되어야 한다.</t>
    <phoneticPr fontId="2" type="noConversion"/>
  </si>
  <si>
    <t>PHASE</t>
    <phoneticPr fontId="2" type="noConversion"/>
  </si>
  <si>
    <t>HIGH</t>
    <phoneticPr fontId="2" type="noConversion"/>
  </si>
  <si>
    <t>LOW</t>
    <phoneticPr fontId="2" type="noConversion"/>
  </si>
  <si>
    <t>OUT1</t>
    <phoneticPr fontId="2" type="noConversion"/>
  </si>
  <si>
    <t>OUT2</t>
    <phoneticPr fontId="2" type="noConversion"/>
  </si>
  <si>
    <t>+</t>
    <phoneticPr fontId="2" type="noConversion"/>
  </si>
  <si>
    <t>-</t>
    <phoneticPr fontId="2" type="noConversion"/>
  </si>
  <si>
    <t>Internal R</t>
    <phoneticPr fontId="2" type="noConversion"/>
  </si>
  <si>
    <t>ENBL</t>
    <phoneticPr fontId="2" type="noConversion"/>
  </si>
  <si>
    <t>ON</t>
    <phoneticPr fontId="2" type="noConversion"/>
  </si>
  <si>
    <t>OFF</t>
    <phoneticPr fontId="2" type="noConversion"/>
  </si>
  <si>
    <t>DECAY</t>
    <phoneticPr fontId="2" type="noConversion"/>
  </si>
  <si>
    <t>Pull-Down and
Pull-Up</t>
    <phoneticPr fontId="2" type="noConversion"/>
  </si>
  <si>
    <t>Fast brake</t>
    <phoneticPr fontId="2" type="noConversion"/>
  </si>
  <si>
    <t>Slow brake</t>
    <phoneticPr fontId="2" type="noConversion"/>
  </si>
  <si>
    <t>OPEN</t>
    <phoneticPr fontId="2" type="noConversion"/>
  </si>
  <si>
    <t>nRESET</t>
    <phoneticPr fontId="2" type="noConversion"/>
  </si>
  <si>
    <t>nSLEEP</t>
    <phoneticPr fontId="2" type="noConversion"/>
  </si>
  <si>
    <t>-</t>
    <phoneticPr fontId="2" type="noConversion"/>
  </si>
  <si>
    <t>nFAULT</t>
    <phoneticPr fontId="2" type="noConversion"/>
  </si>
  <si>
    <t>Fault</t>
    <phoneticPr fontId="2" type="noConversion"/>
  </si>
  <si>
    <t>Normal</t>
    <phoneticPr fontId="2" type="noConversion"/>
  </si>
  <si>
    <t>Voltage</t>
    <phoneticPr fontId="2" type="noConversion"/>
  </si>
  <si>
    <t>Control truth table</t>
    <phoneticPr fontId="2" type="noConversion"/>
  </si>
  <si>
    <t>Logic Level</t>
    <phoneticPr fontId="2" type="noConversion"/>
  </si>
  <si>
    <t>VIL</t>
    <phoneticPr fontId="2" type="noConversion"/>
  </si>
  <si>
    <t>VIH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</si>
  <si>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</si>
  <si>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</si>
  <si>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</si>
  <si>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Rpu</t>
    <phoneticPr fontId="2" type="noConversion"/>
  </si>
  <si>
    <t>Rpd</t>
    <phoneticPr fontId="2" type="noConversion"/>
  </si>
  <si>
    <t>Kohm</t>
    <phoneticPr fontId="2" type="noConversion"/>
  </si>
  <si>
    <t>V</t>
    <phoneticPr fontId="2" type="noConversion"/>
  </si>
  <si>
    <t>V</t>
    <phoneticPr fontId="2" type="noConversion"/>
  </si>
  <si>
    <t>High impedance</t>
    <phoneticPr fontId="2" type="noConversion"/>
  </si>
  <si>
    <t>Motor drive Current</t>
    <phoneticPr fontId="2" type="noConversion"/>
  </si>
  <si>
    <t>Origin</t>
    <phoneticPr fontId="2" type="noConversion"/>
  </si>
  <si>
    <t>V2.0</t>
    <phoneticPr fontId="2" type="noConversion"/>
  </si>
  <si>
    <t>Current Scale</t>
    <phoneticPr fontId="2" type="noConversion"/>
  </si>
  <si>
    <t>I0</t>
    <phoneticPr fontId="2" type="noConversion"/>
  </si>
  <si>
    <t>I1</t>
    <phoneticPr fontId="2" type="noConversion"/>
  </si>
  <si>
    <t>I2</t>
  </si>
  <si>
    <t>I3</t>
  </si>
  <si>
    <t>I4</t>
  </si>
  <si>
    <t>Scale</t>
    <phoneticPr fontId="2" type="noConversion"/>
  </si>
  <si>
    <t>%</t>
    <phoneticPr fontId="2" type="noConversion"/>
  </si>
  <si>
    <t>Comment</t>
    <phoneticPr fontId="2" type="noConversion"/>
  </si>
  <si>
    <t>Decay Pin internal Setting</t>
    <phoneticPr fontId="2" type="noConversion"/>
  </si>
  <si>
    <t>1. DRV8840PWP</t>
    <phoneticPr fontId="2" type="noConversion"/>
  </si>
  <si>
    <t>2. Motor Driver Power supply</t>
    <phoneticPr fontId="2" type="noConversion"/>
  </si>
  <si>
    <t>- ENBL이 inative일때 동작함</t>
    <phoneticPr fontId="2" type="noConversion"/>
  </si>
  <si>
    <t>Pull-Down
100Kohm</t>
    <phoneticPr fontId="2" type="noConversion"/>
  </si>
  <si>
    <t>Normal mode</t>
    <phoneticPr fontId="2" type="noConversion"/>
  </si>
  <si>
    <t>Sleep mode</t>
    <phoneticPr fontId="2" type="noConversion"/>
  </si>
  <si>
    <t>-</t>
    <phoneticPr fontId="2" type="noConversion"/>
  </si>
  <si>
    <t>Open-Drain</t>
    <phoneticPr fontId="2" type="noConversion"/>
  </si>
  <si>
    <t>nRESET이 active-LOW가 되거나 VM 전원이 reset될때 Fault 상태가 풀림</t>
    <phoneticPr fontId="2" type="noConversion"/>
  </si>
  <si>
    <t>1) 정비모드에서 28V1을 사용 : 안전장치는 하나만 운용해야 함</t>
    <phoneticPr fontId="2" type="noConversion"/>
  </si>
  <si>
    <t>2) Normal 상태에서는 28V2를 사용</t>
    <phoneticPr fontId="2" type="noConversion"/>
  </si>
  <si>
    <t>1) Line1 : sensing band와 연결</t>
    <phoneticPr fontId="2" type="noConversion"/>
  </si>
  <si>
    <t xml:space="preserve">2) Line2 : sensing band가 있는 위치까지 Line1과 같이 배선하며, 종단은 Open 시킴 </t>
    <phoneticPr fontId="2" type="noConversion"/>
  </si>
  <si>
    <t>inductive Noise canceller 역할 수행</t>
    <phoneticPr fontId="2" type="noConversion"/>
  </si>
  <si>
    <t>K7L-AT50 - Liquid Leakage Sensor Amplifier</t>
    <phoneticPr fontId="2" type="noConversion"/>
  </si>
  <si>
    <t>K7L-AT50D - Liquid Leakage Sensor Amplifier with Disconnection Detection Function</t>
    <phoneticPr fontId="2" type="noConversion"/>
  </si>
  <si>
    <t>장보고 III에서는 K7L-AT50 사용으로 Disconnection detect이 안됨</t>
    <phoneticPr fontId="2" type="noConversion"/>
  </si>
  <si>
    <t>1. Leakage sensor</t>
    <phoneticPr fontId="2" type="noConversion"/>
  </si>
  <si>
    <t>2. Psensor</t>
    <phoneticPr fontId="2" type="noConversion"/>
  </si>
  <si>
    <t>4. RESET delay</t>
    <phoneticPr fontId="2" type="noConversion"/>
  </si>
  <si>
    <t>정비모드에서의 motor 구동 안되는 문제 수정</t>
    <phoneticPr fontId="2" type="noConversion"/>
  </si>
  <si>
    <t xml:space="preserve"> nTMR_TIMEOUT          : INPUT;</t>
    <phoneticPr fontId="2" type="noConversion"/>
  </si>
  <si>
    <t xml:space="preserve"> nLRESET            : INPUT;</t>
    <phoneticPr fontId="2" type="noConversion"/>
  </si>
  <si>
    <t xml:space="preserve"> UP_CLOCK_IN, DN_CLOCK_IN      : INPUT;
 --UP_CLOCK_OUT, DN_CLOCK_OUT      : OUTPUT;</t>
    <phoneticPr fontId="2" type="noConversion"/>
  </si>
  <si>
    <t xml:space="preserve"> RST_mot_en[2..0], RST_mot_dir[2..0]   : DFF;</t>
    <phoneticPr fontId="2" type="noConversion"/>
  </si>
  <si>
    <t>안전장치 구동 오류 해결
안전장치 Reset 설정
Time-out : 1 -&gt; 1.5sec
Power on시 S/V 구동 오류 해결</t>
    <phoneticPr fontId="2" type="noConversion"/>
  </si>
  <si>
    <t>기만기 발사를 최대 4ea로 제한</t>
    <phoneticPr fontId="2" type="noConversion"/>
  </si>
  <si>
    <t xml:space="preserve"> PON_state, reset_delay[2..0]      : DFF;</t>
    <phoneticPr fontId="2" type="noConversion"/>
  </si>
  <si>
    <t>INCLUDE "74193.inc";
 select_cntr           : 74193;
 cnt_out[3..0]          : NODE;
 over_select           : LCELL;</t>
    <phoneticPr fontId="2" type="noConversion"/>
  </si>
  <si>
    <t>R89</t>
    <phoneticPr fontId="2" type="noConversion"/>
  </si>
  <si>
    <t>C25</t>
    <phoneticPr fontId="2" type="noConversion"/>
  </si>
  <si>
    <t>msec</t>
    <phoneticPr fontId="2" type="noConversion"/>
  </si>
  <si>
    <t>NC7SZ14 delay는 3.7nsec로 무시함</t>
    <phoneticPr fontId="2" type="noConversion"/>
  </si>
  <si>
    <t>Fire timeout pin name 수정
Power on시 330msec delay를 주어, Power On시 S/V와 Motor가 순간 동작하는 부분을 개선</t>
    <phoneticPr fontId="2" type="noConversion"/>
  </si>
  <si>
    <t>Power on시 330msec delay를 주어, Power On시 S/V와 Motor가 순간 동작하는 부분을 개선</t>
    <phoneticPr fontId="2" type="noConversion"/>
  </si>
  <si>
    <t xml:space="preserve"> select_cntr           : 74193;
 cnt_out[3..0]          : NODE;
 over_select           : LCELL;</t>
    <phoneticPr fontId="2" type="noConversion"/>
  </si>
  <si>
    <t xml:space="preserve"> (RST_mot_dir[],RST_mot_en[]).clk = (!reset_delay[2] &amp; reset_delay[1]);
 -- Safe Limit Switch lock position detection
 (RST_mot_en[]).clrn = !(!nSYSRESET # !nLRESET # !n_tmr_timeout # (!SAFE_LOCK[] &amp; !safe_lck_reg[2..0]));  
 (RST_mot_dir[]) = VCC;
 (RST_mot_en[]) = VCC;</t>
    <phoneticPr fontId="2" type="noConversion"/>
  </si>
  <si>
    <t>Power On시 모든 안전장치를 Lock시키기 위해서 RESET 추가</t>
    <phoneticPr fontId="2" type="noConversion"/>
  </si>
  <si>
    <t>+3.3V가 인가된 후 330msec의 delay 후 nLRESET signal 공급</t>
    <phoneticPr fontId="2" type="noConversion"/>
  </si>
  <si>
    <t>장비 Power ON후 초기에 순간적으로 S/V 및 Motor가 동작하는 것을 방지하기 위해 추가</t>
    <phoneticPr fontId="2" type="noConversion"/>
  </si>
  <si>
    <t>Initial</t>
    <phoneticPr fontId="2" type="noConversion"/>
  </si>
  <si>
    <t>U12 IN</t>
    <phoneticPr fontId="2" type="noConversion"/>
  </si>
  <si>
    <t>U13 IN</t>
    <phoneticPr fontId="2" type="noConversion"/>
  </si>
  <si>
    <t>nLRESET</t>
    <phoneticPr fontId="2" type="noConversion"/>
  </si>
  <si>
    <t>330msec delay 이후</t>
    <phoneticPr fontId="2" type="noConversion"/>
  </si>
  <si>
    <t>330msec 이후에 U12 input이 HIGH가 됨</t>
    <phoneticPr fontId="2" type="noConversion"/>
  </si>
  <si>
    <t>V2.1</t>
    <phoneticPr fontId="2" type="noConversion"/>
  </si>
  <si>
    <t>V2.0</t>
    <phoneticPr fontId="2" type="noConversion"/>
  </si>
  <si>
    <t>test</t>
    <phoneticPr fontId="2" type="noConversion"/>
  </si>
  <si>
    <t>Vout</t>
    <phoneticPr fontId="2" type="noConversion"/>
  </si>
  <si>
    <t>Low</t>
    <phoneticPr fontId="2" type="noConversion"/>
  </si>
  <si>
    <t>High</t>
    <phoneticPr fontId="2" type="noConversion"/>
  </si>
  <si>
    <t>1.2V</t>
    <phoneticPr fontId="2" type="noConversion"/>
  </si>
  <si>
    <t>2.6V</t>
    <phoneticPr fontId="2" type="noConversion"/>
  </si>
  <si>
    <t>Bus Switch(U58)의 enable pin(/OE)를 PULL-UP하여, booting 초기 default High를 걸어 Bus Switch를 OFF 시킨다(booting초기 FIRE Low 상태에서 SSR 동작되는 문제 해결)</t>
    <phoneticPr fontId="2" type="noConversion"/>
  </si>
  <si>
    <t xml:space="preserve"> </t>
    <phoneticPr fontId="2" type="noConversion"/>
  </si>
  <si>
    <t>U29 Diode를 short로 가정</t>
    <phoneticPr fontId="2" type="noConversion"/>
  </si>
  <si>
    <t>R316</t>
    <phoneticPr fontId="2" type="noConversion"/>
  </si>
  <si>
    <t>MM74HCT244WM</t>
    <phoneticPr fontId="2" type="noConversion"/>
  </si>
  <si>
    <t>3.3V Bias delay를 제거하여 Buffer가 Unstable 상태를 제거함</t>
    <phoneticPr fontId="2" type="noConversion"/>
  </si>
  <si>
    <t>mixed decay mode</t>
    <phoneticPr fontId="2" type="noConversion"/>
  </si>
  <si>
    <t>R2</t>
    <phoneticPr fontId="2" type="noConversion"/>
  </si>
  <si>
    <t>K</t>
    <phoneticPr fontId="2" type="noConversion"/>
  </si>
  <si>
    <t>K</t>
    <phoneticPr fontId="2" type="noConversion"/>
  </si>
  <si>
    <t>Vref</t>
    <phoneticPr fontId="2" type="noConversion"/>
  </si>
  <si>
    <t>V</t>
    <phoneticPr fontId="2" type="noConversion"/>
  </si>
  <si>
    <t>Vout</t>
    <phoneticPr fontId="2" type="noConversion"/>
  </si>
  <si>
    <t>Vadj</t>
    <phoneticPr fontId="2" type="noConversion"/>
  </si>
  <si>
    <t>R_78AA12_0.5SMD Voltage adjustment</t>
    <phoneticPr fontId="2" type="noConversion"/>
  </si>
  <si>
    <t>측정치</t>
    <phoneticPr fontId="2" type="noConversion"/>
  </si>
  <si>
    <t>D38909</t>
    <phoneticPr fontId="2" type="noConversion"/>
  </si>
  <si>
    <t>TC7S14</t>
    <phoneticPr fontId="2" type="noConversion"/>
  </si>
  <si>
    <t>NC7SZ74</t>
    <phoneticPr fontId="2" type="noConversion"/>
  </si>
  <si>
    <t>/Q</t>
    <phoneticPr fontId="2" type="noConversion"/>
  </si>
  <si>
    <t>28V2 Full feature Trim adjustment</t>
    <phoneticPr fontId="2" type="noConversion"/>
  </si>
  <si>
    <t>Low level Vout</t>
    <phoneticPr fontId="2" type="noConversion"/>
  </si>
  <si>
    <t>Min</t>
    <phoneticPr fontId="2" type="noConversion"/>
  </si>
  <si>
    <t>Typ</t>
    <phoneticPr fontId="2" type="noConversion"/>
  </si>
  <si>
    <t>Max</t>
    <phoneticPr fontId="2" type="noConversion"/>
  </si>
  <si>
    <t>-</t>
    <phoneticPr fontId="2" type="noConversion"/>
  </si>
  <si>
    <t>I_OL=32mA</t>
    <phoneticPr fontId="2" type="noConversion"/>
  </si>
  <si>
    <t>52mA for 28VDC</t>
    <phoneticPr fontId="2" type="noConversion"/>
  </si>
  <si>
    <t>DC Output Diode I</t>
    <phoneticPr fontId="2" type="noConversion"/>
  </si>
  <si>
    <t>V</t>
    <phoneticPr fontId="2" type="noConversion"/>
  </si>
  <si>
    <t>mA</t>
    <phoneticPr fontId="2" type="noConversion"/>
  </si>
  <si>
    <t>Vout&lt;-0.5V</t>
    <phoneticPr fontId="2" type="noConversion"/>
  </si>
  <si>
    <t>OFF</t>
    <phoneticPr fontId="2" type="noConversion"/>
  </si>
  <si>
    <t>SEL_LED0</t>
    <phoneticPr fontId="2" type="noConversion"/>
  </si>
  <si>
    <t>LU1 IN</t>
    <phoneticPr fontId="2" type="noConversion"/>
  </si>
  <si>
    <t>tune</t>
    <phoneticPr fontId="2" type="noConversion"/>
  </si>
  <si>
    <t>Fixed</t>
    <phoneticPr fontId="2" type="noConversion"/>
  </si>
  <si>
    <t>3.3V Power on후 330msec 후 nLRESET이 High로 변경</t>
    <phoneticPr fontId="2" type="noConversion"/>
  </si>
  <si>
    <t>Power on후 330msec delay 후, 발사관 선택, 안전장치, FIRE 동작이 가능하도록 delay 추가</t>
    <phoneticPr fontId="2" type="noConversion"/>
  </si>
  <si>
    <t>발사대 Path</t>
    <phoneticPr fontId="2" type="noConversion"/>
  </si>
  <si>
    <t>Vd1</t>
    <phoneticPr fontId="2" type="noConversion"/>
  </si>
  <si>
    <t>Vd2</t>
    <phoneticPr fontId="2" type="noConversion"/>
  </si>
  <si>
    <t>R129</t>
    <phoneticPr fontId="2" type="noConversion"/>
  </si>
  <si>
    <t>I_R129</t>
    <phoneticPr fontId="2" type="noConversion"/>
  </si>
  <si>
    <t>R_S/V</t>
    <phoneticPr fontId="2" type="noConversion"/>
  </si>
  <si>
    <t>I_U29</t>
    <phoneticPr fontId="2" type="noConversion"/>
  </si>
  <si>
    <t>R111</t>
    <phoneticPr fontId="2" type="noConversion"/>
  </si>
  <si>
    <t>R?</t>
    <phoneticPr fontId="2" type="noConversion"/>
  </si>
  <si>
    <t>5. S/V path</t>
    <phoneticPr fontId="2" type="noConversion"/>
  </si>
  <si>
    <t>TEST_EN</t>
    <phoneticPr fontId="2" type="noConversion"/>
  </si>
  <si>
    <t>S/V</t>
    <phoneticPr fontId="2" type="noConversion"/>
  </si>
  <si>
    <t>FIRE</t>
    <phoneticPr fontId="2" type="noConversion"/>
  </si>
  <si>
    <t>ON_SSR</t>
    <phoneticPr fontId="2" type="noConversion"/>
  </si>
  <si>
    <t>HIGH</t>
    <phoneticPr fontId="2" type="noConversion"/>
  </si>
  <si>
    <t>O</t>
    <phoneticPr fontId="2" type="noConversion"/>
  </si>
  <si>
    <t>OK</t>
    <phoneticPr fontId="2" type="noConversion"/>
  </si>
  <si>
    <t>LOW</t>
    <phoneticPr fontId="2" type="noConversion"/>
  </si>
  <si>
    <t>TEST enable시 초기 Low 상태에서 FIRE시 HIGH로 변경됨</t>
    <phoneticPr fontId="2" type="noConversion"/>
  </si>
  <si>
    <t>TEST disable(default)상태는 항상 HIGH를 유지함. S/V유무와 관계없이 FIRE 상태에 대한 detect이 가능함</t>
    <phoneticPr fontId="2" type="noConversion"/>
  </si>
  <si>
    <t>O</t>
    <phoneticPr fontId="2" type="noConversion"/>
  </si>
  <si>
    <t>X</t>
    <phoneticPr fontId="2" type="noConversion"/>
  </si>
  <si>
    <t>R1</t>
    <phoneticPr fontId="2" type="noConversion"/>
  </si>
  <si>
    <t>R2</t>
    <phoneticPr fontId="2" type="noConversion"/>
  </si>
  <si>
    <t>-</t>
    <phoneticPr fontId="2" type="noConversion"/>
  </si>
  <si>
    <t>R_SUM</t>
    <phoneticPr fontId="2" type="noConversion"/>
  </si>
  <si>
    <t>V_R1</t>
    <phoneticPr fontId="2" type="noConversion"/>
  </si>
  <si>
    <t>V_R2</t>
    <phoneticPr fontId="2" type="noConversion"/>
  </si>
  <si>
    <t>V_R3</t>
    <phoneticPr fontId="2" type="noConversion"/>
  </si>
  <si>
    <t>P_R1</t>
    <phoneticPr fontId="2" type="noConversion"/>
  </si>
  <si>
    <t>P_R2</t>
    <phoneticPr fontId="2" type="noConversion"/>
  </si>
  <si>
    <t>P_R3</t>
  </si>
  <si>
    <t>V_R_sum</t>
    <phoneticPr fontId="2" type="noConversion"/>
  </si>
  <si>
    <t>P_R_sum</t>
    <phoneticPr fontId="2" type="noConversion"/>
  </si>
  <si>
    <t>I_opto</t>
    <phoneticPr fontId="2" type="noConversion"/>
  </si>
  <si>
    <t>V</t>
    <phoneticPr fontId="2" type="noConversion"/>
  </si>
  <si>
    <t>Vd</t>
    <phoneticPr fontId="2" type="noConversion"/>
  </si>
  <si>
    <t>V_Din</t>
    <phoneticPr fontId="2" type="noConversion"/>
  </si>
  <si>
    <t>V_Dout</t>
    <phoneticPr fontId="2" type="noConversion"/>
  </si>
  <si>
    <t>S/V Test</t>
    <phoneticPr fontId="2" type="noConversion"/>
  </si>
  <si>
    <t>V_Din</t>
    <phoneticPr fontId="2" type="noConversion"/>
  </si>
  <si>
    <t>V_Dout</t>
    <phoneticPr fontId="2" type="noConversion"/>
  </si>
  <si>
    <t>S/V</t>
    <phoneticPr fontId="2" type="noConversion"/>
  </si>
  <si>
    <t>점검치구</t>
    <phoneticPr fontId="2" type="noConversion"/>
  </si>
  <si>
    <t>w/o S/V</t>
    <phoneticPr fontId="2" type="noConversion"/>
  </si>
  <si>
    <t>자체진단 - photo-coupler 전압 측정</t>
    <phoneticPr fontId="2" type="noConversion"/>
  </si>
  <si>
    <t>Results</t>
    <phoneticPr fontId="2" type="noConversion"/>
  </si>
  <si>
    <t>PASS</t>
    <phoneticPr fontId="2" type="noConversion"/>
  </si>
  <si>
    <t>FAIL</t>
    <phoneticPr fontId="2" type="noConversion"/>
  </si>
  <si>
    <t>V</t>
    <phoneticPr fontId="2" type="noConversion"/>
  </si>
  <si>
    <t>Ω</t>
    <phoneticPr fontId="2" type="noConversion"/>
  </si>
  <si>
    <t>측정치</t>
    <phoneticPr fontId="2" type="noConversion"/>
  </si>
  <si>
    <t>I_total</t>
    <phoneticPr fontId="2" type="noConversion"/>
  </si>
  <si>
    <t>Cap 방전 I</t>
    <phoneticPr fontId="2" type="noConversion"/>
  </si>
  <si>
    <t>V_Cap</t>
    <phoneticPr fontId="2" type="noConversion"/>
  </si>
  <si>
    <t>R</t>
    <phoneticPr fontId="2" type="noConversion"/>
  </si>
  <si>
    <t>I</t>
    <phoneticPr fontId="2" type="noConversion"/>
  </si>
  <si>
    <t>R</t>
    <phoneticPr fontId="2" type="noConversion"/>
  </si>
  <si>
    <t>R1</t>
    <phoneticPr fontId="2" type="noConversion"/>
  </si>
  <si>
    <t>R2</t>
    <phoneticPr fontId="2" type="noConversion"/>
  </si>
  <si>
    <t>V1</t>
    <phoneticPr fontId="2" type="noConversion"/>
  </si>
  <si>
    <t>V2</t>
    <phoneticPr fontId="2" type="noConversion"/>
  </si>
  <si>
    <t>A</t>
    <phoneticPr fontId="2" type="noConversion"/>
  </si>
  <si>
    <t>Vbias</t>
    <phoneticPr fontId="2" type="noConversion"/>
  </si>
  <si>
    <t>I_total</t>
    <phoneticPr fontId="2" type="noConversion"/>
  </si>
  <si>
    <t>R_total</t>
    <phoneticPr fontId="2" type="noConversion"/>
  </si>
  <si>
    <t>V_diode</t>
    <phoneticPr fontId="2" type="noConversion"/>
  </si>
  <si>
    <t>R2</t>
    <phoneticPr fontId="2" type="noConversion"/>
  </si>
  <si>
    <t>R1</t>
    <phoneticPr fontId="2" type="noConversion"/>
  </si>
  <si>
    <t>Heater LED</t>
    <phoneticPr fontId="2" type="noConversion"/>
  </si>
  <si>
    <t>R3</t>
    <phoneticPr fontId="2" type="noConversion"/>
  </si>
  <si>
    <t>R15</t>
    <phoneticPr fontId="2" type="noConversion"/>
  </si>
  <si>
    <t>R16</t>
    <phoneticPr fontId="2" type="noConversion"/>
  </si>
  <si>
    <t>선도함</t>
    <phoneticPr fontId="2" type="noConversion"/>
  </si>
  <si>
    <t>2.3V target</t>
    <phoneticPr fontId="2" type="noConversion"/>
  </si>
  <si>
    <t>U2</t>
    <phoneticPr fontId="2" type="noConversion"/>
  </si>
  <si>
    <t>TFP401AMPZPEP</t>
    <phoneticPr fontId="2" type="noConversion"/>
  </si>
  <si>
    <t>Pin No</t>
    <phoneticPr fontId="2" type="noConversion"/>
  </si>
  <si>
    <t>Name</t>
    <phoneticPr fontId="2" type="noConversion"/>
  </si>
  <si>
    <t>Bus No</t>
    <phoneticPr fontId="2" type="noConversion"/>
  </si>
  <si>
    <t>QE0</t>
    <phoneticPr fontId="2" type="noConversion"/>
  </si>
  <si>
    <t>QE1</t>
    <phoneticPr fontId="2" type="noConversion"/>
  </si>
  <si>
    <t>QE2</t>
  </si>
  <si>
    <t>QE3</t>
  </si>
  <si>
    <t>QE4</t>
  </si>
  <si>
    <t>QE5</t>
  </si>
  <si>
    <t>QE6</t>
  </si>
  <si>
    <t>QE7</t>
  </si>
  <si>
    <t>QE8</t>
  </si>
  <si>
    <t>QE9</t>
  </si>
  <si>
    <t>QE10</t>
  </si>
  <si>
    <t>QE11</t>
  </si>
  <si>
    <t>QE12</t>
  </si>
  <si>
    <t>QE13</t>
  </si>
  <si>
    <t>QE14</t>
  </si>
  <si>
    <t>QE15</t>
  </si>
  <si>
    <t>QE16</t>
  </si>
  <si>
    <t>QE17</t>
  </si>
  <si>
    <t>QE18</t>
  </si>
  <si>
    <t>QE19</t>
  </si>
  <si>
    <t>QE20</t>
  </si>
  <si>
    <t>QE21</t>
  </si>
  <si>
    <t>QE22</t>
  </si>
  <si>
    <t>QE23</t>
  </si>
  <si>
    <t>U4</t>
    <phoneticPr fontId="2" type="noConversion"/>
  </si>
  <si>
    <t>SN65LVDS93ADGG</t>
    <phoneticPr fontId="2" type="noConversion"/>
  </si>
  <si>
    <t>D0</t>
    <phoneticPr fontId="2" type="noConversion"/>
  </si>
  <si>
    <t>D1</t>
    <phoneticPr fontId="2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</si>
  <si>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</si>
  <si>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</si>
  <si>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</si>
  <si>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</si>
  <si>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</si>
  <si>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</si>
  <si>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</si>
  <si>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</si>
  <si>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</si>
  <si>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</si>
  <si>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</si>
  <si>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</si>
  <si>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</si>
  <si>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</si>
  <si>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</si>
  <si>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</si>
  <si>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</si>
  <si>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</si>
  <si>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</si>
  <si>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</si>
  <si>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</si>
  <si>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</si>
  <si>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</si>
  <si>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</si>
  <si>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</si>
  <si>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</si>
  <si>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DE</t>
    <phoneticPr fontId="2" type="noConversion"/>
  </si>
  <si>
    <t>VSYNC</t>
    <phoneticPr fontId="2" type="noConversion"/>
  </si>
  <si>
    <t>HSYNC</t>
    <phoneticPr fontId="2" type="noConversion"/>
  </si>
  <si>
    <t>Even blue pixel output</t>
  </si>
  <si>
    <t>Even green pixel output</t>
  </si>
  <si>
    <t>Even red pixel output</t>
    <phoneticPr fontId="2" type="noConversion"/>
  </si>
  <si>
    <t>Y0P/M</t>
    <phoneticPr fontId="2" type="noConversion"/>
  </si>
  <si>
    <t>Y1P/M</t>
    <phoneticPr fontId="2" type="noConversion"/>
  </si>
  <si>
    <t>Y2P/M</t>
    <phoneticPr fontId="2" type="noConversion"/>
  </si>
  <si>
    <t>Y3P/M</t>
    <phoneticPr fontId="2" type="noConversion"/>
  </si>
  <si>
    <t>SHORT</t>
    <phoneticPr fontId="2" type="noConversion"/>
  </si>
  <si>
    <t>OPEN</t>
    <phoneticPr fontId="2" type="noConversion"/>
  </si>
  <si>
    <t>OPEN</t>
    <phoneticPr fontId="2" type="noConversion"/>
  </si>
  <si>
    <t>OPEN</t>
    <phoneticPr fontId="2" type="noConversion"/>
  </si>
  <si>
    <t>GND</t>
    <phoneticPr fontId="2" type="noConversion"/>
  </si>
  <si>
    <t>GND</t>
    <phoneticPr fontId="2" type="noConversion"/>
  </si>
  <si>
    <t>GND</t>
    <phoneticPr fontId="2" type="noConversion"/>
  </si>
  <si>
    <t>압력</t>
    <phoneticPr fontId="2" type="noConversion"/>
  </si>
  <si>
    <t>유</t>
    <phoneticPr fontId="2" type="noConversion"/>
  </si>
  <si>
    <t>무</t>
    <phoneticPr fontId="2" type="noConversion"/>
  </si>
  <si>
    <t>Status</t>
    <phoneticPr fontId="2" type="noConversion"/>
  </si>
  <si>
    <t>Normal</t>
    <phoneticPr fontId="2" type="noConversion"/>
  </si>
  <si>
    <t>EPLD V12.0</t>
    <phoneticPr fontId="2" type="noConversion"/>
  </si>
  <si>
    <t>분배상자가 없는 상태에서 분배상자 오류 표시를 위해서는 정상일때 Low 이어야 한다. - NO로 설정되어 High 정상으로 처리</t>
    <phoneticPr fontId="2" type="noConversion"/>
  </si>
  <si>
    <t>LED</t>
    <phoneticPr fontId="2" type="noConversion"/>
  </si>
  <si>
    <t>C_in1</t>
    <phoneticPr fontId="2" type="noConversion"/>
  </si>
  <si>
    <t>C_in2</t>
    <phoneticPr fontId="2" type="noConversion"/>
  </si>
  <si>
    <t>C_out</t>
    <phoneticPr fontId="2" type="noConversion"/>
  </si>
  <si>
    <t>LED #1은 anode 전압이 높은 경우가 없기 때문에 항상 OFF 상태임</t>
    <phoneticPr fontId="2" type="noConversion"/>
  </si>
  <si>
    <t>1) Path #1 Operation</t>
    <phoneticPr fontId="2" type="noConversion"/>
  </si>
  <si>
    <t>2) Path #2 Operation</t>
    <phoneticPr fontId="2" type="noConversion"/>
  </si>
  <si>
    <t>LED input이 Low, BL_DIM이 High 인 경우, LED #2가 ON이 된다. BL_DIM의 Pulse width 조정으로 LED 밝기가 조절됨</t>
    <phoneticPr fontId="2" type="noConversion"/>
  </si>
  <si>
    <t xml:space="preserve">LED input이 Low인 경우, LED #2가 ON이 되며, 저항 560을 통해 전류가 제한됨. </t>
    <phoneticPr fontId="2" type="noConversion"/>
  </si>
  <si>
    <t>BL_DIM 신호가 없는 경우에도 최소 밝기로 LED가 ON이 될 수 있도록 설계된 부분임</t>
    <phoneticPr fontId="2" type="noConversion"/>
  </si>
  <si>
    <t>LED #2는 아래 두가지 경우로 해석됨</t>
    <phoneticPr fontId="2" type="noConversion"/>
  </si>
  <si>
    <t>A_out
/B_in</t>
    <phoneticPr fontId="2" type="noConversion"/>
  </si>
  <si>
    <t>LED #2</t>
    <phoneticPr fontId="2" type="noConversion"/>
  </si>
  <si>
    <t>LED input이 High-Z(Open) 상태일때도 LED #2가 ON이 되므로 LED input의 default Setting을 High로 설정해야 한다.</t>
    <phoneticPr fontId="2" type="noConversion"/>
  </si>
  <si>
    <t>/OE</t>
    <phoneticPr fontId="2" type="noConversion"/>
  </si>
  <si>
    <t>IN</t>
    <phoneticPr fontId="2" type="noConversion"/>
  </si>
  <si>
    <t>Z</t>
    <phoneticPr fontId="2" type="noConversion"/>
  </si>
  <si>
    <t>X</t>
    <phoneticPr fontId="2" type="noConversion"/>
  </si>
  <si>
    <t>NC7SZ74 D-type Filp-Flop Truth table</t>
    <phoneticPr fontId="2" type="noConversion"/>
  </si>
  <si>
    <t>NC7SZ125 3-state Buffer Truth table</t>
    <phoneticPr fontId="2" type="noConversion"/>
  </si>
  <si>
    <t>NC7SZ38 - NAND GATE Truth table</t>
    <phoneticPr fontId="2" type="noConversion"/>
  </si>
  <si>
    <t>선택 S/W 회로 분석</t>
    <phoneticPr fontId="2" type="noConversion"/>
  </si>
  <si>
    <t>1. LED ON/OFF 및 밝기 조절 회로</t>
    <phoneticPr fontId="2" type="noConversion"/>
  </si>
  <si>
    <t>D38909 LED Current</t>
    <phoneticPr fontId="2" type="noConversion"/>
  </si>
  <si>
    <t>2. 선택 S/W 회로</t>
    <phoneticPr fontId="2" type="noConversion"/>
  </si>
  <si>
    <t>1) IC truth table</t>
    <phoneticPr fontId="2" type="noConversion"/>
  </si>
  <si>
    <t>2) S/W operation</t>
    <phoneticPr fontId="2" type="noConversion"/>
  </si>
  <si>
    <t>KEY</t>
    <phoneticPr fontId="2" type="noConversion"/>
  </si>
  <si>
    <t>CLR_Hx</t>
    <phoneticPr fontId="2" type="noConversion"/>
  </si>
  <si>
    <t>항상 /PR은 High 이므로, 나올수 없는 case</t>
    <phoneticPr fontId="2" type="noConversion"/>
  </si>
  <si>
    <t>S/W의 상승 edge후 /Q가 Low가 되며, 이후 S/W의 상승 edge 상태는 나올 수 없음</t>
    <phoneticPr fontId="2" type="noConversion"/>
  </si>
  <si>
    <t>③ S/W의 하강 edge에서 상승 edge의 상태를 그대로 유지함</t>
    <phoneticPr fontId="2" type="noConversion"/>
  </si>
  <si>
    <r>
      <rPr>
        <sz val="11"/>
        <color theme="1"/>
        <rFont val="맑은 고딕"/>
        <family val="3"/>
        <charset val="129"/>
      </rPr>
      <t>②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S/W의 상승 edge에서 Q=High, /Q=Low 상태가 됨</t>
    </r>
    <phoneticPr fontId="2" type="noConversion"/>
  </si>
  <si>
    <r>
      <rPr>
        <sz val="11"/>
        <color theme="1"/>
        <rFont val="맑은 고딕"/>
        <family val="3"/>
        <charset val="129"/>
      </rPr>
      <t>①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S/W의 상태변화가 없는 경우 Q는 Low 유지</t>
    </r>
    <phoneticPr fontId="2" type="noConversion"/>
  </si>
  <si>
    <t>H</t>
    <phoneticPr fontId="2" type="noConversion"/>
  </si>
  <si>
    <t>/PR</t>
    <phoneticPr fontId="2" type="noConversion"/>
  </si>
  <si>
    <t>Q</t>
    <phoneticPr fontId="2" type="noConversion"/>
  </si>
  <si>
    <t>/Q</t>
    <phoneticPr fontId="2" type="noConversion"/>
  </si>
  <si>
    <t>X</t>
    <phoneticPr fontId="2" type="noConversion"/>
  </si>
  <si>
    <t>case 없음</t>
    <phoneticPr fontId="2" type="noConversion"/>
  </si>
  <si>
    <t>default 상태</t>
    <phoneticPr fontId="2" type="noConversion"/>
  </si>
  <si>
    <t>CLR_Hx clock을 통해 주기적으로 Clear(Low 출력)를 시켜주며,</t>
    <phoneticPr fontId="2" type="noConversion"/>
  </si>
  <si>
    <t>D38909의 S/W의 rising edge 발생시 High를 출력한다.</t>
    <phoneticPr fontId="2" type="noConversion"/>
  </si>
  <si>
    <t>Vin &gt; Vref</t>
    <phoneticPr fontId="2" type="noConversion"/>
  </si>
  <si>
    <t>Vin &lt; Vref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</si>
</sst>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"/>
    <numFmt numFmtId="177" formatCode="0.00_ "/>
    <numFmt numFmtId="178" formatCode="0.0&quot;%&quot;"/>
    <numFmt numFmtId="179" formatCode="0.000"/>
    <numFmt numFmtId="180" formatCode="0.000_ ;[Red]\-0.000\ "/>
    <numFmt numFmtId="181" formatCode="&quot;#&quot;00"/>
    <numFmt numFmtId="182" formatCode="0.00&quot;%&quot;"/>
    <numFmt numFmtId="183" formatCode="0.0_ "/>
    <numFmt numFmtId="184" formatCode="0_ "/>
    <numFmt numFmtId="185" formatCode="0.0000"/>
    <numFmt numFmtId="186" formatCode="0.000%"/>
    <numFmt numFmtId="187" formatCode="0.00000_ "/>
    <numFmt numFmtId="188" formatCode="0.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</fills>
  <borders count="91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7" fillId="11" borderId="0" applyNumberFormat="0" applyBorder="0" applyAlignment="0" applyProtection="0">
      <alignment vertical="center"/>
    </xf>
  </cellStyleXfs>
  <cellXfs count="1173">
    <xf numFmtId="0" fontId="0" fillId="0" borderId="0" xfId="0">
      <alignment vertical="center"/>
    </xf>
    <xf numFmtId="0" fontId="1" fillId="0" borderId="0" xfId="1"/>
    <xf numFmtId="0" fontId="1" fillId="0" borderId="0" xfId="1" applyFill="1"/>
    <xf numFmtId="2" fontId="1" fillId="0" borderId="3" xfId="1" applyNumberFormat="1" applyBorder="1"/>
    <xf numFmtId="2" fontId="1" fillId="0" borderId="3" xfId="1" applyNumberFormat="1" applyFill="1" applyBorder="1"/>
    <xf numFmtId="2" fontId="1" fillId="2" borderId="3" xfId="1" applyNumberFormat="1" applyFill="1" applyBorder="1"/>
    <xf numFmtId="176" fontId="1" fillId="0" borderId="4" xfId="1" applyNumberFormat="1" applyFill="1" applyBorder="1"/>
    <xf numFmtId="0" fontId="1" fillId="0" borderId="1" xfId="1" applyFill="1" applyBorder="1"/>
    <xf numFmtId="0" fontId="1" fillId="0" borderId="0" xfId="1" applyBorder="1" applyAlignment="1">
      <alignment horizontal="center"/>
    </xf>
    <xf numFmtId="2" fontId="1" fillId="0" borderId="0" xfId="1" applyNumberFormat="1" applyBorder="1"/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1" fillId="0" borderId="12" xfId="1" applyBorder="1" applyAlignment="1">
      <alignment horizontal="center"/>
    </xf>
    <xf numFmtId="2" fontId="1" fillId="0" borderId="13" xfId="1" applyNumberFormat="1" applyBorder="1"/>
    <xf numFmtId="0" fontId="4" fillId="0" borderId="14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1" fillId="0" borderId="3" xfId="1" applyBorder="1"/>
    <xf numFmtId="0" fontId="1" fillId="0" borderId="15" xfId="1" applyBorder="1" applyAlignment="1">
      <alignment horizontal="center"/>
    </xf>
    <xf numFmtId="0" fontId="1" fillId="0" borderId="16" xfId="1" applyBorder="1"/>
    <xf numFmtId="0" fontId="4" fillId="0" borderId="17" xfId="1" applyFont="1" applyBorder="1" applyAlignment="1">
      <alignment horizontal="center"/>
    </xf>
    <xf numFmtId="0" fontId="4" fillId="0" borderId="0" xfId="1" quotePrefix="1" applyFont="1"/>
    <xf numFmtId="0" fontId="4" fillId="0" borderId="0" xfId="1" applyFont="1"/>
    <xf numFmtId="2" fontId="1" fillId="6" borderId="3" xfId="1" applyNumberFormat="1" applyFill="1" applyBorder="1"/>
    <xf numFmtId="0" fontId="1" fillId="0" borderId="17" xfId="1" applyBorder="1"/>
    <xf numFmtId="0" fontId="1" fillId="0" borderId="3" xfId="1" applyFill="1" applyBorder="1"/>
    <xf numFmtId="0" fontId="1" fillId="0" borderId="3" xfId="1" applyBorder="1" applyAlignment="1">
      <alignment horizontal="center"/>
    </xf>
    <xf numFmtId="0" fontId="1" fillId="0" borderId="13" xfId="1" applyFill="1" applyBorder="1"/>
    <xf numFmtId="0" fontId="4" fillId="0" borderId="13" xfId="1" applyFont="1" applyBorder="1" applyAlignment="1">
      <alignment horizontal="center"/>
    </xf>
    <xf numFmtId="0" fontId="1" fillId="0" borderId="13" xfId="1" applyBorder="1" applyAlignment="1">
      <alignment horizontal="center"/>
    </xf>
    <xf numFmtId="0" fontId="4" fillId="0" borderId="16" xfId="1" applyFont="1" applyBorder="1" applyAlignment="1">
      <alignment horizontal="center"/>
    </xf>
    <xf numFmtId="0" fontId="1" fillId="0" borderId="19" xfId="1" applyFill="1" applyBorder="1"/>
    <xf numFmtId="0" fontId="4" fillId="0" borderId="19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1" fillId="0" borderId="18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/>
    <xf numFmtId="0" fontId="1" fillId="0" borderId="13" xfId="1" applyBorder="1" applyAlignment="1"/>
    <xf numFmtId="0" fontId="1" fillId="3" borderId="18" xfId="1" applyFill="1" applyBorder="1" applyAlignment="1">
      <alignment horizontal="center"/>
    </xf>
    <xf numFmtId="0" fontId="1" fillId="3" borderId="19" xfId="1" applyFill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1" fillId="0" borderId="12" xfId="1" applyFill="1" applyBorder="1"/>
    <xf numFmtId="0" fontId="1" fillId="5" borderId="20" xfId="1" applyFill="1" applyBorder="1"/>
    <xf numFmtId="0" fontId="4" fillId="0" borderId="23" xfId="1" applyFont="1" applyBorder="1" applyAlignment="1">
      <alignment horizontal="center"/>
    </xf>
    <xf numFmtId="0" fontId="4" fillId="0" borderId="17" xfId="1" quotePrefix="1" applyFont="1" applyBorder="1"/>
    <xf numFmtId="2" fontId="1" fillId="0" borderId="13" xfId="1" applyNumberFormat="1" applyFill="1" applyBorder="1"/>
    <xf numFmtId="2" fontId="1" fillId="6" borderId="13" xfId="1" applyNumberFormat="1" applyFill="1" applyBorder="1"/>
    <xf numFmtId="0" fontId="4" fillId="0" borderId="24" xfId="1" applyFont="1" applyBorder="1" applyAlignment="1">
      <alignment horizontal="center"/>
    </xf>
    <xf numFmtId="176" fontId="4" fillId="0" borderId="25" xfId="1" applyNumberFormat="1" applyFont="1" applyFill="1" applyBorder="1"/>
    <xf numFmtId="176" fontId="4" fillId="0" borderId="26" xfId="1" applyNumberFormat="1" applyFont="1" applyFill="1" applyBorder="1"/>
    <xf numFmtId="0" fontId="4" fillId="0" borderId="27" xfId="1" applyFont="1" applyBorder="1" applyAlignment="1">
      <alignment horizontal="center"/>
    </xf>
    <xf numFmtId="2" fontId="1" fillId="4" borderId="28" xfId="1" applyNumberFormat="1" applyFill="1" applyBorder="1"/>
    <xf numFmtId="2" fontId="1" fillId="0" borderId="28" xfId="1" applyNumberFormat="1" applyFill="1" applyBorder="1"/>
    <xf numFmtId="2" fontId="1" fillId="0" borderId="29" xfId="1" applyNumberFormat="1" applyFill="1" applyBorder="1"/>
    <xf numFmtId="2" fontId="1" fillId="4" borderId="4" xfId="1" applyNumberFormat="1" applyFill="1" applyBorder="1"/>
    <xf numFmtId="2" fontId="1" fillId="0" borderId="4" xfId="1" applyNumberFormat="1" applyFill="1" applyBorder="1"/>
    <xf numFmtId="2" fontId="1" fillId="0" borderId="14" xfId="1" applyNumberFormat="1" applyFill="1" applyBorder="1"/>
    <xf numFmtId="0" fontId="4" fillId="0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2" fontId="1" fillId="0" borderId="2" xfId="1" applyNumberFormat="1" applyFill="1" applyBorder="1"/>
    <xf numFmtId="176" fontId="1" fillId="0" borderId="30" xfId="1" applyNumberFormat="1" applyFill="1" applyBorder="1"/>
    <xf numFmtId="2" fontId="1" fillId="2" borderId="31" xfId="1" applyNumberFormat="1" applyFill="1" applyBorder="1"/>
    <xf numFmtId="2" fontId="1" fillId="0" borderId="32" xfId="1" applyNumberFormat="1" applyFill="1" applyBorder="1"/>
    <xf numFmtId="0" fontId="1" fillId="0" borderId="33" xfId="1" applyFill="1" applyBorder="1"/>
    <xf numFmtId="176" fontId="1" fillId="0" borderId="18" xfId="1" applyNumberFormat="1" applyFill="1" applyBorder="1"/>
    <xf numFmtId="2" fontId="1" fillId="2" borderId="19" xfId="1" applyNumberFormat="1" applyFill="1" applyBorder="1"/>
    <xf numFmtId="0" fontId="1" fillId="0" borderId="20" xfId="1" applyFill="1" applyBorder="1"/>
    <xf numFmtId="176" fontId="1" fillId="0" borderId="17" xfId="1" applyNumberFormat="1" applyFill="1" applyBorder="1"/>
    <xf numFmtId="2" fontId="1" fillId="2" borderId="16" xfId="1" applyNumberFormat="1" applyFill="1" applyBorder="1"/>
    <xf numFmtId="2" fontId="1" fillId="0" borderId="35" xfId="1" applyNumberFormat="1" applyFill="1" applyBorder="1"/>
    <xf numFmtId="0" fontId="1" fillId="0" borderId="15" xfId="1" applyFill="1" applyBorder="1"/>
    <xf numFmtId="176" fontId="1" fillId="0" borderId="14" xfId="1" applyNumberFormat="1" applyFill="1" applyBorder="1"/>
    <xf numFmtId="2" fontId="1" fillId="2" borderId="13" xfId="1" applyNumberFormat="1" applyFill="1" applyBorder="1"/>
    <xf numFmtId="2" fontId="1" fillId="5" borderId="2" xfId="1" applyNumberFormat="1" applyFill="1" applyBorder="1"/>
    <xf numFmtId="2" fontId="1" fillId="5" borderId="36" xfId="1" applyNumberFormat="1" applyFill="1" applyBorder="1"/>
    <xf numFmtId="2" fontId="1" fillId="5" borderId="34" xfId="1" applyNumberFormat="1" applyFill="1" applyBorder="1"/>
    <xf numFmtId="0" fontId="4" fillId="0" borderId="10" xfId="1" applyFont="1" applyFill="1" applyBorder="1" applyAlignment="1">
      <alignment horizontal="center"/>
    </xf>
    <xf numFmtId="2" fontId="1" fillId="0" borderId="37" xfId="1" applyNumberFormat="1" applyFill="1" applyBorder="1"/>
    <xf numFmtId="2" fontId="1" fillId="0" borderId="38" xfId="1" applyNumberFormat="1" applyFill="1" applyBorder="1"/>
    <xf numFmtId="2" fontId="1" fillId="0" borderId="39" xfId="1" applyNumberFormat="1" applyFill="1" applyBorder="1"/>
    <xf numFmtId="2" fontId="1" fillId="0" borderId="40" xfId="1" applyNumberFormat="1" applyFill="1" applyBorder="1"/>
    <xf numFmtId="2" fontId="1" fillId="0" borderId="41" xfId="1" applyNumberFormat="1" applyFill="1" applyBorder="1"/>
    <xf numFmtId="2" fontId="1" fillId="0" borderId="25" xfId="1" applyNumberFormat="1" applyFill="1" applyBorder="1"/>
    <xf numFmtId="2" fontId="1" fillId="0" borderId="1" xfId="1" applyNumberFormat="1" applyFill="1" applyBorder="1"/>
    <xf numFmtId="2" fontId="1" fillId="0" borderId="42" xfId="1" applyNumberFormat="1" applyFill="1" applyBorder="1"/>
    <xf numFmtId="2" fontId="1" fillId="0" borderId="33" xfId="1" applyNumberFormat="1" applyFill="1" applyBorder="1"/>
    <xf numFmtId="2" fontId="1" fillId="0" borderId="24" xfId="1" applyNumberFormat="1" applyFill="1" applyBorder="1"/>
    <xf numFmtId="2" fontId="1" fillId="0" borderId="15" xfId="1" applyNumberFormat="1" applyFill="1" applyBorder="1"/>
    <xf numFmtId="2" fontId="1" fillId="0" borderId="26" xfId="1" applyNumberFormat="1" applyFill="1" applyBorder="1"/>
    <xf numFmtId="2" fontId="1" fillId="0" borderId="12" xfId="1" applyNumberFormat="1" applyFill="1" applyBorder="1"/>
    <xf numFmtId="2" fontId="1" fillId="0" borderId="43" xfId="1" applyNumberFormat="1" applyFill="1" applyBorder="1"/>
    <xf numFmtId="2" fontId="1" fillId="0" borderId="20" xfId="1" applyNumberFormat="1" applyFill="1" applyBorder="1"/>
    <xf numFmtId="0" fontId="4" fillId="0" borderId="16" xfId="1" applyFont="1" applyBorder="1"/>
    <xf numFmtId="176" fontId="1" fillId="0" borderId="3" xfId="1" applyNumberFormat="1" applyBorder="1"/>
    <xf numFmtId="176" fontId="1" fillId="0" borderId="1" xfId="1" applyNumberFormat="1" applyBorder="1"/>
    <xf numFmtId="176" fontId="1" fillId="0" borderId="13" xfId="1" applyNumberFormat="1" applyBorder="1"/>
    <xf numFmtId="176" fontId="1" fillId="0" borderId="12" xfId="1" applyNumberFormat="1" applyBorder="1"/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4" fillId="0" borderId="14" xfId="0" applyFont="1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7" fillId="0" borderId="4" xfId="0" applyFont="1" applyBorder="1">
      <alignment vertical="center"/>
    </xf>
    <xf numFmtId="2" fontId="0" fillId="0" borderId="3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4" fillId="0" borderId="18" xfId="0" applyFont="1" applyBorder="1">
      <alignment vertical="center"/>
    </xf>
    <xf numFmtId="176" fontId="0" fillId="0" borderId="19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>
      <alignment vertical="center"/>
    </xf>
    <xf numFmtId="0" fontId="0" fillId="0" borderId="36" xfId="0" applyBorder="1">
      <alignment vertical="center"/>
    </xf>
    <xf numFmtId="2" fontId="0" fillId="0" borderId="4" xfId="0" applyNumberFormat="1" applyBorder="1">
      <alignment vertical="center"/>
    </xf>
    <xf numFmtId="2" fontId="0" fillId="0" borderId="14" xfId="0" applyNumberForma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5" borderId="8" xfId="0" applyFont="1" applyFill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/>
    </xf>
    <xf numFmtId="0" fontId="4" fillId="0" borderId="16" xfId="1" applyFont="1" applyBorder="1" applyAlignment="1">
      <alignment horizontal="center"/>
    </xf>
    <xf numFmtId="177" fontId="0" fillId="0" borderId="3" xfId="0" applyNumberFormat="1" applyBorder="1">
      <alignment vertical="center"/>
    </xf>
    <xf numFmtId="2" fontId="0" fillId="0" borderId="13" xfId="0" applyNumberFormat="1" applyBorder="1">
      <alignment vertical="center"/>
    </xf>
    <xf numFmtId="177" fontId="0" fillId="0" borderId="13" xfId="0" applyNumberFormat="1" applyBorder="1">
      <alignment vertical="center"/>
    </xf>
    <xf numFmtId="0" fontId="0" fillId="0" borderId="0" xfId="0" quotePrefix="1">
      <alignment vertical="center"/>
    </xf>
    <xf numFmtId="0" fontId="0" fillId="0" borderId="18" xfId="0" applyBorder="1">
      <alignment vertical="center"/>
    </xf>
    <xf numFmtId="2" fontId="0" fillId="0" borderId="19" xfId="0" applyNumberFormat="1" applyBorder="1">
      <alignment vertical="center"/>
    </xf>
    <xf numFmtId="177" fontId="0" fillId="0" borderId="19" xfId="0" applyNumberFormat="1" applyBorder="1">
      <alignment vertical="center"/>
    </xf>
    <xf numFmtId="0" fontId="5" fillId="0" borderId="0" xfId="0" applyFont="1">
      <alignment vertical="center"/>
    </xf>
    <xf numFmtId="0" fontId="9" fillId="0" borderId="0" xfId="1" quotePrefix="1" applyFont="1"/>
    <xf numFmtId="0" fontId="1" fillId="0" borderId="14" xfId="1" applyFill="1" applyBorder="1" applyAlignment="1">
      <alignment horizontal="center"/>
    </xf>
    <xf numFmtId="0" fontId="1" fillId="0" borderId="1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2" fontId="1" fillId="0" borderId="19" xfId="1" applyNumberFormat="1" applyFill="1" applyBorder="1"/>
    <xf numFmtId="2" fontId="1" fillId="0" borderId="36" xfId="1" applyNumberFormat="1" applyFill="1" applyBorder="1"/>
    <xf numFmtId="2" fontId="1" fillId="0" borderId="34" xfId="1" applyNumberFormat="1" applyFill="1" applyBorder="1"/>
    <xf numFmtId="2" fontId="1" fillId="3" borderId="39" xfId="1" applyNumberFormat="1" applyFill="1" applyBorder="1"/>
    <xf numFmtId="2" fontId="1" fillId="3" borderId="37" xfId="1" applyNumberFormat="1" applyFill="1" applyBorder="1"/>
    <xf numFmtId="2" fontId="1" fillId="3" borderId="40" xfId="1" applyNumberFormat="1" applyFill="1" applyBorder="1"/>
    <xf numFmtId="1" fontId="0" fillId="0" borderId="19" xfId="0" applyNumberFormat="1" applyBorder="1">
      <alignment vertical="center"/>
    </xf>
    <xf numFmtId="1" fontId="0" fillId="0" borderId="3" xfId="0" applyNumberFormat="1" applyBorder="1">
      <alignment vertical="center"/>
    </xf>
    <xf numFmtId="1" fontId="0" fillId="0" borderId="13" xfId="0" applyNumberFormat="1" applyBorder="1">
      <alignment vertical="center"/>
    </xf>
    <xf numFmtId="178" fontId="0" fillId="0" borderId="12" xfId="0" applyNumberFormat="1" applyBorder="1">
      <alignment vertical="center"/>
    </xf>
    <xf numFmtId="178" fontId="0" fillId="0" borderId="20" xfId="0" applyNumberFormat="1" applyBorder="1">
      <alignment vertical="center"/>
    </xf>
    <xf numFmtId="0" fontId="4" fillId="5" borderId="48" xfId="0" applyFont="1" applyFill="1" applyBorder="1" applyAlignment="1">
      <alignment horizontal="center" vertical="center" wrapText="1"/>
    </xf>
    <xf numFmtId="0" fontId="4" fillId="5" borderId="49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 wrapText="1"/>
    </xf>
    <xf numFmtId="0" fontId="0" fillId="0" borderId="52" xfId="0" applyBorder="1">
      <alignment vertical="center"/>
    </xf>
    <xf numFmtId="0" fontId="0" fillId="0" borderId="29" xfId="0" applyBorder="1">
      <alignment vertical="center"/>
    </xf>
    <xf numFmtId="0" fontId="4" fillId="5" borderId="47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18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0" fillId="0" borderId="0" xfId="0" applyNumberFormat="1">
      <alignment vertical="center"/>
    </xf>
    <xf numFmtId="180" fontId="0" fillId="0" borderId="19" xfId="0" applyNumberFormat="1" applyBorder="1">
      <alignment vertical="center"/>
    </xf>
    <xf numFmtId="0" fontId="4" fillId="5" borderId="48" xfId="0" applyFont="1" applyFill="1" applyBorder="1" applyAlignment="1">
      <alignment horizontal="center" vertical="center"/>
    </xf>
    <xf numFmtId="179" fontId="0" fillId="0" borderId="3" xfId="0" applyNumberFormat="1" applyBorder="1">
      <alignment vertical="center"/>
    </xf>
    <xf numFmtId="180" fontId="0" fillId="3" borderId="3" xfId="0" applyNumberFormat="1" applyFill="1" applyBorder="1">
      <alignment vertical="center"/>
    </xf>
    <xf numFmtId="0" fontId="7" fillId="0" borderId="17" xfId="0" applyFont="1" applyBorder="1">
      <alignment vertical="center"/>
    </xf>
    <xf numFmtId="0" fontId="0" fillId="0" borderId="16" xfId="0" applyBorder="1">
      <alignment vertical="center"/>
    </xf>
    <xf numFmtId="0" fontId="7" fillId="2" borderId="14" xfId="0" applyFont="1" applyFill="1" applyBorder="1">
      <alignment vertical="center"/>
    </xf>
    <xf numFmtId="176" fontId="0" fillId="2" borderId="13" xfId="0" applyNumberFormat="1" applyFill="1" applyBorder="1">
      <alignment vertical="center"/>
    </xf>
    <xf numFmtId="0" fontId="0" fillId="2" borderId="12" xfId="0" applyFill="1" applyBorder="1">
      <alignment vertical="center"/>
    </xf>
    <xf numFmtId="0" fontId="4" fillId="2" borderId="14" xfId="0" applyFont="1" applyFill="1" applyBorder="1">
      <alignment vertical="center"/>
    </xf>
    <xf numFmtId="0" fontId="0" fillId="2" borderId="13" xfId="0" applyFill="1" applyBorder="1">
      <alignment vertical="center"/>
    </xf>
    <xf numFmtId="0" fontId="4" fillId="5" borderId="53" xfId="0" applyFont="1" applyFill="1" applyBorder="1" applyAlignment="1">
      <alignment horizontal="center" vertical="center"/>
    </xf>
    <xf numFmtId="0" fontId="4" fillId="5" borderId="54" xfId="0" applyFont="1" applyFill="1" applyBorder="1" applyAlignment="1">
      <alignment horizontal="center"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4" fillId="5" borderId="47" xfId="0" applyFont="1" applyFill="1" applyBorder="1" applyAlignment="1">
      <alignment horizontal="center" vertical="center"/>
    </xf>
    <xf numFmtId="180" fontId="0" fillId="0" borderId="20" xfId="0" applyNumberFormat="1" applyFill="1" applyBorder="1">
      <alignment vertical="center"/>
    </xf>
    <xf numFmtId="178" fontId="4" fillId="5" borderId="48" xfId="0" applyNumberFormat="1" applyFont="1" applyFill="1" applyBorder="1" applyAlignment="1">
      <alignment horizontal="center" vertical="center"/>
    </xf>
    <xf numFmtId="180" fontId="0" fillId="0" borderId="3" xfId="0" applyNumberFormat="1" applyFill="1" applyBorder="1">
      <alignment vertical="center"/>
    </xf>
    <xf numFmtId="180" fontId="0" fillId="0" borderId="13" xfId="0" applyNumberFormat="1" applyFill="1" applyBorder="1">
      <alignment vertical="center"/>
    </xf>
    <xf numFmtId="180" fontId="0" fillId="0" borderId="19" xfId="0" applyNumberFormat="1" applyFill="1" applyBorder="1">
      <alignment vertical="center"/>
    </xf>
    <xf numFmtId="180" fontId="0" fillId="0" borderId="20" xfId="0" applyNumberFormat="1" applyBorder="1">
      <alignment vertical="center"/>
    </xf>
    <xf numFmtId="178" fontId="4" fillId="5" borderId="49" xfId="0" applyNumberFormat="1" applyFont="1" applyFill="1" applyBorder="1" applyAlignment="1">
      <alignment horizontal="center" vertical="center"/>
    </xf>
    <xf numFmtId="179" fontId="0" fillId="2" borderId="13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0" fontId="0" fillId="3" borderId="3" xfId="0" applyFill="1" applyBorder="1">
      <alignment vertical="center"/>
    </xf>
    <xf numFmtId="2" fontId="0" fillId="3" borderId="3" xfId="0" applyNumberFormat="1" applyFill="1" applyBorder="1">
      <alignment vertical="center"/>
    </xf>
    <xf numFmtId="176" fontId="0" fillId="0" borderId="4" xfId="0" applyNumberFormat="1" applyFill="1" applyBorder="1">
      <alignment vertical="center"/>
    </xf>
    <xf numFmtId="0" fontId="0" fillId="0" borderId="3" xfId="0" applyFill="1" applyBorder="1">
      <alignment vertical="center"/>
    </xf>
    <xf numFmtId="2" fontId="0" fillId="0" borderId="3" xfId="0" applyNumberFormat="1" applyFill="1" applyBorder="1">
      <alignment vertical="center"/>
    </xf>
    <xf numFmtId="180" fontId="0" fillId="0" borderId="1" xfId="0" applyNumberFormat="1" applyFill="1" applyBorder="1">
      <alignment vertical="center"/>
    </xf>
    <xf numFmtId="0" fontId="0" fillId="3" borderId="19" xfId="0" applyFill="1" applyBorder="1">
      <alignment vertical="center"/>
    </xf>
    <xf numFmtId="178" fontId="0" fillId="0" borderId="19" xfId="0" applyNumberFormat="1" applyBorder="1">
      <alignment vertical="center"/>
    </xf>
    <xf numFmtId="176" fontId="0" fillId="2" borderId="14" xfId="0" applyNumberFormat="1" applyFill="1" applyBorder="1">
      <alignment vertical="center"/>
    </xf>
    <xf numFmtId="2" fontId="0" fillId="2" borderId="13" xfId="0" applyNumberFormat="1" applyFill="1" applyBorder="1">
      <alignment vertical="center"/>
    </xf>
    <xf numFmtId="180" fontId="0" fillId="2" borderId="13" xfId="0" applyNumberFormat="1" applyFill="1" applyBorder="1">
      <alignment vertical="center"/>
    </xf>
    <xf numFmtId="0" fontId="0" fillId="2" borderId="57" xfId="0" applyFill="1" applyBorder="1">
      <alignment vertical="center"/>
    </xf>
    <xf numFmtId="2" fontId="9" fillId="2" borderId="13" xfId="0" applyNumberFormat="1" applyFont="1" applyFill="1" applyBorder="1">
      <alignment vertical="center"/>
    </xf>
    <xf numFmtId="180" fontId="0" fillId="0" borderId="12" xfId="0" applyNumberFormat="1" applyFill="1" applyBorder="1">
      <alignment vertical="center"/>
    </xf>
    <xf numFmtId="0" fontId="0" fillId="3" borderId="20" xfId="0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0" xfId="0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8" xfId="0" applyFont="1" applyFill="1" applyBorder="1">
      <alignment vertical="center"/>
    </xf>
    <xf numFmtId="179" fontId="0" fillId="0" borderId="7" xfId="0" applyNumberFormat="1" applyBorder="1">
      <alignment vertical="center"/>
    </xf>
    <xf numFmtId="0" fontId="0" fillId="0" borderId="5" xfId="0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3" xfId="0" applyFont="1" applyBorder="1">
      <alignment vertical="center"/>
    </xf>
    <xf numFmtId="176" fontId="0" fillId="0" borderId="3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8" xfId="0" applyBorder="1">
      <alignment vertical="center"/>
    </xf>
    <xf numFmtId="2" fontId="0" fillId="0" borderId="29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9" fillId="0" borderId="0" xfId="1" quotePrefix="1" applyFont="1" applyFill="1"/>
    <xf numFmtId="0" fontId="1" fillId="0" borderId="18" xfId="1" applyFill="1" applyBorder="1" applyAlignment="1">
      <alignment horizontal="center"/>
    </xf>
    <xf numFmtId="0" fontId="1" fillId="0" borderId="19" xfId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43" xfId="1" applyFont="1" applyBorder="1" applyAlignment="1">
      <alignment horizontal="center"/>
    </xf>
    <xf numFmtId="0" fontId="4" fillId="0" borderId="25" xfId="1" applyFont="1" applyBorder="1" applyAlignment="1">
      <alignment horizontal="center"/>
    </xf>
    <xf numFmtId="0" fontId="4" fillId="0" borderId="26" xfId="1" applyFont="1" applyBorder="1" applyAlignment="1">
      <alignment horizontal="center"/>
    </xf>
    <xf numFmtId="0" fontId="4" fillId="0" borderId="61" xfId="1" applyFont="1" applyBorder="1" applyAlignment="1">
      <alignment horizontal="center"/>
    </xf>
    <xf numFmtId="0" fontId="1" fillId="0" borderId="52" xfId="1" applyFill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29" xfId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1" fillId="4" borderId="3" xfId="1" applyFill="1" applyBorder="1"/>
    <xf numFmtId="0" fontId="1" fillId="5" borderId="1" xfId="1" applyFill="1" applyBorder="1"/>
    <xf numFmtId="0" fontId="1" fillId="4" borderId="19" xfId="1" applyFill="1" applyBorder="1"/>
    <xf numFmtId="176" fontId="0" fillId="3" borderId="3" xfId="0" applyNumberFormat="1" applyFill="1" applyBorder="1">
      <alignment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0" fillId="3" borderId="56" xfId="0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178" fontId="0" fillId="0" borderId="64" xfId="0" applyNumberFormat="1" applyBorder="1">
      <alignment vertical="center"/>
    </xf>
    <xf numFmtId="0" fontId="4" fillId="5" borderId="14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0" fillId="5" borderId="24" xfId="0" applyFill="1" applyBorder="1">
      <alignment vertical="center"/>
    </xf>
    <xf numFmtId="0" fontId="4" fillId="5" borderId="5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80" fontId="0" fillId="3" borderId="19" xfId="0" applyNumberFormat="1" applyFill="1" applyBorder="1">
      <alignment vertical="center"/>
    </xf>
    <xf numFmtId="0" fontId="0" fillId="3" borderId="56" xfId="0" applyFill="1" applyBorder="1">
      <alignment vertical="center"/>
    </xf>
    <xf numFmtId="180" fontId="0" fillId="2" borderId="71" xfId="0" applyNumberFormat="1" applyFill="1" applyBorder="1">
      <alignment vertical="center"/>
    </xf>
    <xf numFmtId="178" fontId="4" fillId="5" borderId="72" xfId="0" applyNumberFormat="1" applyFont="1" applyFill="1" applyBorder="1" applyAlignment="1">
      <alignment horizontal="center" vertical="center"/>
    </xf>
    <xf numFmtId="180" fontId="0" fillId="0" borderId="34" xfId="0" applyNumberFormat="1" applyBorder="1">
      <alignment vertical="center"/>
    </xf>
    <xf numFmtId="180" fontId="0" fillId="0" borderId="2" xfId="0" applyNumberFormat="1" applyBorder="1">
      <alignment vertical="center"/>
    </xf>
    <xf numFmtId="180" fontId="0" fillId="3" borderId="2" xfId="0" applyNumberFormat="1" applyFill="1" applyBorder="1">
      <alignment vertical="center"/>
    </xf>
    <xf numFmtId="180" fontId="0" fillId="0" borderId="2" xfId="0" applyNumberFormat="1" applyFill="1" applyBorder="1">
      <alignment vertical="center"/>
    </xf>
    <xf numFmtId="180" fontId="0" fillId="2" borderId="36" xfId="0" applyNumberFormat="1" applyFill="1" applyBorder="1">
      <alignment vertical="center"/>
    </xf>
    <xf numFmtId="2" fontId="0" fillId="0" borderId="18" xfId="0" applyNumberFormat="1" applyBorder="1">
      <alignment vertical="center"/>
    </xf>
    <xf numFmtId="2" fontId="0" fillId="3" borderId="4" xfId="0" applyNumberFormat="1" applyFill="1" applyBorder="1">
      <alignment vertical="center"/>
    </xf>
    <xf numFmtId="2" fontId="0" fillId="0" borderId="4" xfId="0" applyNumberFormat="1" applyFill="1" applyBorder="1">
      <alignment vertical="center"/>
    </xf>
    <xf numFmtId="2" fontId="0" fillId="2" borderId="14" xfId="0" applyNumberFormat="1" applyFill="1" applyBorder="1">
      <alignment vertical="center"/>
    </xf>
    <xf numFmtId="0" fontId="4" fillId="4" borderId="47" xfId="0" applyFont="1" applyFill="1" applyBorder="1" applyAlignment="1">
      <alignment horizontal="center" vertical="center"/>
    </xf>
    <xf numFmtId="178" fontId="4" fillId="4" borderId="48" xfId="0" applyNumberFormat="1" applyFont="1" applyFill="1" applyBorder="1" applyAlignment="1">
      <alignment horizontal="center" vertical="center"/>
    </xf>
    <xf numFmtId="178" fontId="4" fillId="4" borderId="49" xfId="0" applyNumberFormat="1" applyFont="1" applyFill="1" applyBorder="1" applyAlignment="1">
      <alignment horizontal="center" vertical="center"/>
    </xf>
    <xf numFmtId="2" fontId="0" fillId="4" borderId="18" xfId="0" applyNumberFormat="1" applyFill="1" applyBorder="1">
      <alignment vertical="center"/>
    </xf>
    <xf numFmtId="180" fontId="0" fillId="4" borderId="19" xfId="0" applyNumberFormat="1" applyFill="1" applyBorder="1">
      <alignment vertical="center"/>
    </xf>
    <xf numFmtId="180" fontId="0" fillId="4" borderId="20" xfId="0" applyNumberFormat="1" applyFill="1" applyBorder="1">
      <alignment vertical="center"/>
    </xf>
    <xf numFmtId="2" fontId="0" fillId="4" borderId="4" xfId="0" applyNumberFormat="1" applyFill="1" applyBorder="1">
      <alignment vertical="center"/>
    </xf>
    <xf numFmtId="180" fontId="0" fillId="4" borderId="3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  <xf numFmtId="2" fontId="0" fillId="4" borderId="14" xfId="0" applyNumberFormat="1" applyFill="1" applyBorder="1">
      <alignment vertical="center"/>
    </xf>
    <xf numFmtId="180" fontId="0" fillId="4" borderId="13" xfId="0" applyNumberFormat="1" applyFill="1" applyBorder="1">
      <alignment vertical="center"/>
    </xf>
    <xf numFmtId="180" fontId="0" fillId="4" borderId="12" xfId="0" applyNumberFormat="1" applyFill="1" applyBorder="1">
      <alignment vertical="center"/>
    </xf>
    <xf numFmtId="177" fontId="0" fillId="4" borderId="18" xfId="0" applyNumberFormat="1" applyFill="1" applyBorder="1">
      <alignment vertical="center"/>
    </xf>
    <xf numFmtId="177" fontId="0" fillId="4" borderId="73" xfId="0" applyNumberFormat="1" applyFill="1" applyBorder="1">
      <alignment vertical="center"/>
    </xf>
    <xf numFmtId="0" fontId="4" fillId="0" borderId="58" xfId="0" applyFont="1" applyBorder="1">
      <alignment vertical="center"/>
    </xf>
    <xf numFmtId="0" fontId="0" fillId="0" borderId="59" xfId="0" applyBorder="1">
      <alignment vertical="center"/>
    </xf>
    <xf numFmtId="0" fontId="4" fillId="0" borderId="59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0" fontId="0" fillId="0" borderId="71" xfId="0" applyNumberFormat="1" applyFill="1" applyBorder="1">
      <alignment vertical="center"/>
    </xf>
    <xf numFmtId="2" fontId="0" fillId="4" borderId="73" xfId="0" applyNumberFormat="1" applyFill="1" applyBorder="1">
      <alignment vertical="center"/>
    </xf>
    <xf numFmtId="0" fontId="0" fillId="0" borderId="34" xfId="0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36" xfId="0" applyFill="1" applyBorder="1">
      <alignment vertical="center"/>
    </xf>
    <xf numFmtId="180" fontId="0" fillId="0" borderId="34" xfId="0" applyNumberFormat="1" applyFill="1" applyBorder="1">
      <alignment vertical="center"/>
    </xf>
    <xf numFmtId="0" fontId="4" fillId="5" borderId="51" xfId="0" applyFont="1" applyFill="1" applyBorder="1" applyAlignment="1">
      <alignment horizontal="center" vertical="center"/>
    </xf>
    <xf numFmtId="180" fontId="0" fillId="0" borderId="69" xfId="0" applyNumberFormat="1" applyFill="1" applyBorder="1">
      <alignment vertical="center"/>
    </xf>
    <xf numFmtId="180" fontId="0" fillId="2" borderId="74" xfId="0" applyNumberFormat="1" applyFill="1" applyBorder="1">
      <alignment vertical="center"/>
    </xf>
    <xf numFmtId="2" fontId="0" fillId="0" borderId="28" xfId="0" applyNumberForma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" fontId="0" fillId="0" borderId="52" xfId="0" applyNumberFormat="1" applyBorder="1">
      <alignment vertical="center"/>
    </xf>
    <xf numFmtId="0" fontId="4" fillId="0" borderId="75" xfId="0" applyFont="1" applyBorder="1" applyAlignment="1">
      <alignment horizontal="center" vertical="center"/>
    </xf>
    <xf numFmtId="178" fontId="4" fillId="5" borderId="13" xfId="0" applyNumberFormat="1" applyFont="1" applyFill="1" applyBorder="1" applyAlignment="1">
      <alignment horizontal="center" vertical="center"/>
    </xf>
    <xf numFmtId="178" fontId="4" fillId="5" borderId="12" xfId="0" applyNumberFormat="1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177" fontId="0" fillId="0" borderId="20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12" xfId="0" applyNumberFormat="1" applyBorder="1">
      <alignment vertical="center"/>
    </xf>
    <xf numFmtId="180" fontId="0" fillId="3" borderId="20" xfId="0" applyNumberFormat="1" applyFill="1" applyBorder="1">
      <alignment vertical="center"/>
    </xf>
    <xf numFmtId="176" fontId="0" fillId="2" borderId="4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180" fontId="0" fillId="2" borderId="3" xfId="0" applyNumberFormat="1" applyFill="1" applyBorder="1">
      <alignment vertical="center"/>
    </xf>
    <xf numFmtId="180" fontId="0" fillId="2" borderId="1" xfId="0" applyNumberFormat="1" applyFill="1" applyBorder="1">
      <alignment vertical="center"/>
    </xf>
    <xf numFmtId="0" fontId="0" fillId="2" borderId="28" xfId="0" applyFill="1" applyBorder="1">
      <alignment vertical="center"/>
    </xf>
    <xf numFmtId="180" fontId="0" fillId="2" borderId="19" xfId="0" applyNumberFormat="1" applyFill="1" applyBorder="1">
      <alignment vertical="center"/>
    </xf>
    <xf numFmtId="180" fontId="0" fillId="2" borderId="20" xfId="0" applyNumberFormat="1" applyFill="1" applyBorder="1">
      <alignment vertical="center"/>
    </xf>
    <xf numFmtId="176" fontId="0" fillId="0" borderId="14" xfId="0" applyNumberFormat="1" applyFill="1" applyBorder="1">
      <alignment vertical="center"/>
    </xf>
    <xf numFmtId="0" fontId="0" fillId="0" borderId="36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4" xfId="0" applyFill="1" applyBorder="1">
      <alignment vertical="center"/>
    </xf>
    <xf numFmtId="180" fontId="0" fillId="0" borderId="74" xfId="0" applyNumberFormat="1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180" fontId="0" fillId="0" borderId="7" xfId="0" applyNumberFormat="1" applyFill="1" applyBorder="1">
      <alignment vertical="center"/>
    </xf>
    <xf numFmtId="180" fontId="0" fillId="0" borderId="5" xfId="0" applyNumberFormat="1" applyFill="1" applyBorder="1">
      <alignment vertical="center"/>
    </xf>
    <xf numFmtId="176" fontId="4" fillId="0" borderId="8" xfId="0" applyNumberFormat="1" applyFont="1" applyFill="1" applyBorder="1" applyAlignment="1">
      <alignment horizontal="center" vertical="center"/>
    </xf>
    <xf numFmtId="1" fontId="0" fillId="2" borderId="31" xfId="0" applyNumberFormat="1" applyFill="1" applyBorder="1">
      <alignment vertical="center"/>
    </xf>
    <xf numFmtId="1" fontId="0" fillId="2" borderId="33" xfId="0" applyNumberFormat="1" applyFill="1" applyBorder="1">
      <alignment vertical="center"/>
    </xf>
    <xf numFmtId="0" fontId="0" fillId="2" borderId="33" xfId="0" applyFill="1" applyBorder="1">
      <alignment vertical="center"/>
    </xf>
    <xf numFmtId="179" fontId="0" fillId="2" borderId="3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9" fontId="0" fillId="0" borderId="13" xfId="0" applyNumberFormat="1" applyBorder="1">
      <alignment vertical="center"/>
    </xf>
    <xf numFmtId="0" fontId="0" fillId="0" borderId="12" xfId="0" applyFill="1" applyBorder="1">
      <alignment vertical="center"/>
    </xf>
    <xf numFmtId="176" fontId="0" fillId="3" borderId="17" xfId="0" applyNumberFormat="1" applyFill="1" applyBorder="1">
      <alignment vertical="center"/>
    </xf>
    <xf numFmtId="0" fontId="0" fillId="3" borderId="35" xfId="0" applyFill="1" applyBorder="1">
      <alignment vertical="center"/>
    </xf>
    <xf numFmtId="0" fontId="0" fillId="3" borderId="17" xfId="0" applyFill="1" applyBorder="1">
      <alignment vertical="center"/>
    </xf>
    <xf numFmtId="180" fontId="0" fillId="3" borderId="16" xfId="0" applyNumberFormat="1" applyFill="1" applyBorder="1">
      <alignment vertical="center"/>
    </xf>
    <xf numFmtId="180" fontId="0" fillId="3" borderId="15" xfId="0" applyNumberFormat="1" applyFill="1" applyBorder="1">
      <alignment vertical="center"/>
    </xf>
    <xf numFmtId="0" fontId="0" fillId="3" borderId="27" xfId="0" applyFill="1" applyBorder="1">
      <alignment vertical="center"/>
    </xf>
    <xf numFmtId="176" fontId="0" fillId="3" borderId="18" xfId="0" applyNumberFormat="1" applyFill="1" applyBorder="1">
      <alignment vertical="center"/>
    </xf>
    <xf numFmtId="0" fontId="0" fillId="3" borderId="34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52" xfId="0" applyFill="1" applyBorder="1">
      <alignment vertical="center"/>
    </xf>
    <xf numFmtId="176" fontId="0" fillId="3" borderId="73" xfId="0" applyNumberFormat="1" applyFill="1" applyBorder="1">
      <alignment vertical="center"/>
    </xf>
    <xf numFmtId="0" fontId="0" fillId="3" borderId="69" xfId="0" applyFill="1" applyBorder="1">
      <alignment vertical="center"/>
    </xf>
    <xf numFmtId="0" fontId="0" fillId="3" borderId="73" xfId="0" applyFill="1" applyBorder="1">
      <alignment vertical="center"/>
    </xf>
    <xf numFmtId="180" fontId="0" fillId="3" borderId="71" xfId="0" applyNumberFormat="1" applyFill="1" applyBorder="1">
      <alignment vertical="center"/>
    </xf>
    <xf numFmtId="180" fontId="0" fillId="3" borderId="74" xfId="0" applyNumberFormat="1" applyFill="1" applyBorder="1">
      <alignment vertical="center"/>
    </xf>
    <xf numFmtId="0" fontId="0" fillId="3" borderId="78" xfId="0" applyFill="1" applyBorder="1">
      <alignment vertical="center"/>
    </xf>
    <xf numFmtId="0" fontId="0" fillId="7" borderId="17" xfId="0" applyFill="1" applyBorder="1">
      <alignment vertical="center"/>
    </xf>
    <xf numFmtId="180" fontId="0" fillId="7" borderId="16" xfId="0" applyNumberFormat="1" applyFill="1" applyBorder="1">
      <alignment vertical="center"/>
    </xf>
    <xf numFmtId="180" fontId="0" fillId="7" borderId="15" xfId="0" applyNumberFormat="1" applyFill="1" applyBorder="1">
      <alignment vertical="center"/>
    </xf>
    <xf numFmtId="0" fontId="0" fillId="7" borderId="18" xfId="0" applyFill="1" applyBorder="1">
      <alignment vertical="center"/>
    </xf>
    <xf numFmtId="180" fontId="0" fillId="7" borderId="19" xfId="0" applyNumberFormat="1" applyFill="1" applyBorder="1">
      <alignment vertical="center"/>
    </xf>
    <xf numFmtId="180" fontId="0" fillId="7" borderId="20" xfId="0" applyNumberFormat="1" applyFill="1" applyBorder="1">
      <alignment vertical="center"/>
    </xf>
    <xf numFmtId="0" fontId="4" fillId="5" borderId="58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181" fontId="4" fillId="5" borderId="7" xfId="0" applyNumberFormat="1" applyFont="1" applyFill="1" applyBorder="1" applyAlignment="1">
      <alignment horizontal="center" vertical="center"/>
    </xf>
    <xf numFmtId="0" fontId="11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9" fillId="0" borderId="13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5" borderId="77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0" fillId="5" borderId="7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5" xfId="0" applyFill="1" applyBorder="1">
      <alignment vertical="center"/>
    </xf>
    <xf numFmtId="0" fontId="4" fillId="2" borderId="4" xfId="0" applyFont="1" applyFill="1" applyBorder="1">
      <alignment vertical="center"/>
    </xf>
    <xf numFmtId="2" fontId="4" fillId="2" borderId="3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2" fontId="4" fillId="2" borderId="13" xfId="0" applyNumberFormat="1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5" borderId="7" xfId="0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5" borderId="14" xfId="0" applyFill="1" applyBorder="1">
      <alignment vertical="center"/>
    </xf>
    <xf numFmtId="182" fontId="0" fillId="0" borderId="19" xfId="0" applyNumberFormat="1" applyBorder="1">
      <alignment vertical="center"/>
    </xf>
    <xf numFmtId="182" fontId="0" fillId="0" borderId="3" xfId="0" applyNumberFormat="1" applyBorder="1">
      <alignment vertical="center"/>
    </xf>
    <xf numFmtId="182" fontId="0" fillId="0" borderId="13" xfId="0" applyNumberFormat="1" applyBorder="1">
      <alignment vertical="center"/>
    </xf>
    <xf numFmtId="0" fontId="0" fillId="0" borderId="0" xfId="0" applyAlignment="1">
      <alignment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Fill="1" applyBorder="1">
      <alignment vertical="center"/>
    </xf>
    <xf numFmtId="176" fontId="0" fillId="0" borderId="3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0" fontId="0" fillId="2" borderId="19" xfId="0" applyFill="1" applyBorder="1">
      <alignment vertical="center"/>
    </xf>
    <xf numFmtId="0" fontId="0" fillId="2" borderId="3" xfId="0" applyFill="1" applyBorder="1">
      <alignment vertical="center"/>
    </xf>
    <xf numFmtId="176" fontId="0" fillId="2" borderId="3" xfId="0" applyNumberFormat="1" applyFill="1" applyBorder="1">
      <alignment vertical="center"/>
    </xf>
    <xf numFmtId="0" fontId="9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81" xfId="0" applyFont="1" applyFill="1" applyBorder="1" applyAlignment="1">
      <alignment horizontal="left" vertical="center"/>
    </xf>
    <xf numFmtId="0" fontId="0" fillId="5" borderId="16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2" xfId="0" applyFill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 applyFill="1" applyBorder="1">
      <alignment vertical="center"/>
    </xf>
    <xf numFmtId="0" fontId="0" fillId="3" borderId="13" xfId="0" applyFill="1" applyBorder="1">
      <alignment vertical="center"/>
    </xf>
    <xf numFmtId="2" fontId="0" fillId="0" borderId="12" xfId="0" applyNumberFormat="1" applyBorder="1">
      <alignment vertical="center"/>
    </xf>
    <xf numFmtId="0" fontId="4" fillId="5" borderId="7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0" fillId="0" borderId="4" xfId="0" applyNumberFormat="1" applyBorder="1">
      <alignment vertical="center"/>
    </xf>
    <xf numFmtId="179" fontId="0" fillId="0" borderId="14" xfId="0" applyNumberFormat="1" applyBorder="1">
      <alignment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7" xfId="0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3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176" fontId="0" fillId="0" borderId="15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0" fillId="0" borderId="31" xfId="0" applyNumberFormat="1" applyBorder="1">
      <alignment vertical="center"/>
    </xf>
    <xf numFmtId="176" fontId="0" fillId="0" borderId="33" xfId="0" applyNumberFormat="1" applyBorder="1">
      <alignment vertical="center"/>
    </xf>
    <xf numFmtId="176" fontId="0" fillId="0" borderId="16" xfId="0" applyNumberFormat="1" applyBorder="1">
      <alignment vertical="center"/>
    </xf>
    <xf numFmtId="0" fontId="0" fillId="0" borderId="4" xfId="0" quotePrefix="1" applyBorder="1">
      <alignment vertical="center"/>
    </xf>
    <xf numFmtId="2" fontId="0" fillId="0" borderId="16" xfId="0" applyNumberFormat="1" applyBorder="1">
      <alignment vertical="center"/>
    </xf>
    <xf numFmtId="0" fontId="4" fillId="0" borderId="16" xfId="0" quotePrefix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4" fillId="0" borderId="69" xfId="0" applyFont="1" applyBorder="1" applyAlignment="1">
      <alignment horizontal="center" vertical="center"/>
    </xf>
    <xf numFmtId="0" fontId="0" fillId="0" borderId="81" xfId="0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179" fontId="4" fillId="0" borderId="13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47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9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quotePrefix="1" applyFont="1" applyFill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0" fillId="10" borderId="0" xfId="0" applyFill="1">
      <alignment vertical="center"/>
    </xf>
    <xf numFmtId="185" fontId="0" fillId="0" borderId="0" xfId="0" applyNumberFormat="1">
      <alignment vertical="center"/>
    </xf>
    <xf numFmtId="176" fontId="0" fillId="10" borderId="0" xfId="0" applyNumberFormat="1" applyFill="1">
      <alignment vertical="center"/>
    </xf>
    <xf numFmtId="0" fontId="0" fillId="0" borderId="0" xfId="0" applyFill="1">
      <alignment vertical="center"/>
    </xf>
    <xf numFmtId="0" fontId="9" fillId="0" borderId="0" xfId="0" quotePrefix="1" applyFont="1">
      <alignment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0" fillId="10" borderId="3" xfId="0" applyFill="1" applyBorder="1">
      <alignment vertical="center"/>
    </xf>
    <xf numFmtId="0" fontId="0" fillId="10" borderId="13" xfId="0" applyFill="1" applyBorder="1">
      <alignment vertical="center"/>
    </xf>
    <xf numFmtId="0" fontId="0" fillId="10" borderId="16" xfId="0" applyFill="1" applyBorder="1">
      <alignment vertical="center"/>
    </xf>
    <xf numFmtId="0" fontId="9" fillId="0" borderId="4" xfId="0" quotePrefix="1" applyFont="1" applyBorder="1">
      <alignment vertical="center"/>
    </xf>
    <xf numFmtId="176" fontId="0" fillId="10" borderId="3" xfId="0" applyNumberFormat="1" applyFill="1" applyBorder="1">
      <alignment vertical="center"/>
    </xf>
    <xf numFmtId="0" fontId="4" fillId="5" borderId="16" xfId="0" quotePrefix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5" xfId="0" applyFill="1" applyBorder="1">
      <alignment vertical="center"/>
    </xf>
    <xf numFmtId="176" fontId="0" fillId="10" borderId="2" xfId="0" applyNumberFormat="1" applyFill="1" applyBorder="1">
      <alignment vertical="center"/>
    </xf>
    <xf numFmtId="179" fontId="0" fillId="0" borderId="2" xfId="0" applyNumberFormat="1" applyBorder="1">
      <alignment vertical="center"/>
    </xf>
    <xf numFmtId="0" fontId="0" fillId="0" borderId="32" xfId="0" applyBorder="1">
      <alignment vertical="center"/>
    </xf>
    <xf numFmtId="0" fontId="4" fillId="0" borderId="27" xfId="0" quotePrefix="1" applyFont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10" borderId="28" xfId="0" applyFill="1" applyBorder="1">
      <alignment vertical="center"/>
    </xf>
    <xf numFmtId="0" fontId="0" fillId="10" borderId="29" xfId="0" applyFill="1" applyBorder="1">
      <alignment vertical="center"/>
    </xf>
    <xf numFmtId="0" fontId="0" fillId="10" borderId="27" xfId="0" applyFill="1" applyBorder="1">
      <alignment vertical="center"/>
    </xf>
    <xf numFmtId="176" fontId="0" fillId="10" borderId="28" xfId="0" applyNumberFormat="1" applyFill="1" applyBorder="1">
      <alignment vertical="center"/>
    </xf>
    <xf numFmtId="179" fontId="0" fillId="0" borderId="28" xfId="0" applyNumberFormat="1" applyBorder="1">
      <alignment vertical="center"/>
    </xf>
    <xf numFmtId="0" fontId="0" fillId="0" borderId="85" xfId="0" applyBorder="1">
      <alignment vertical="center"/>
    </xf>
    <xf numFmtId="0" fontId="4" fillId="0" borderId="17" xfId="0" quotePrefix="1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/>
    </xf>
    <xf numFmtId="0" fontId="0" fillId="10" borderId="4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12" xfId="0" applyFill="1" applyBorder="1">
      <alignment vertical="center"/>
    </xf>
    <xf numFmtId="0" fontId="0" fillId="10" borderId="17" xfId="0" applyFill="1" applyBorder="1">
      <alignment vertical="center"/>
    </xf>
    <xf numFmtId="0" fontId="0" fillId="10" borderId="15" xfId="0" applyFill="1" applyBorder="1">
      <alignment vertical="center"/>
    </xf>
    <xf numFmtId="0" fontId="0" fillId="0" borderId="4" xfId="0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10" borderId="4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0" fontId="0" fillId="0" borderId="30" xfId="0" applyBorder="1">
      <alignment vertical="center"/>
    </xf>
    <xf numFmtId="0" fontId="0" fillId="0" borderId="33" xfId="0" applyBorder="1">
      <alignment vertical="center"/>
    </xf>
    <xf numFmtId="0" fontId="0" fillId="0" borderId="16" xfId="0" applyBorder="1" applyAlignment="1">
      <alignment horizontal="center" vertical="center"/>
    </xf>
    <xf numFmtId="0" fontId="4" fillId="3" borderId="4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8" borderId="3" xfId="0" applyFill="1" applyBorder="1">
      <alignment vertical="center"/>
    </xf>
    <xf numFmtId="2" fontId="0" fillId="0" borderId="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7" fillId="11" borderId="86" xfId="2" applyBorder="1" applyAlignment="1">
      <alignment horizontal="center" vertical="center"/>
    </xf>
    <xf numFmtId="0" fontId="17" fillId="11" borderId="58" xfId="2" applyBorder="1" applyAlignment="1">
      <alignment horizontal="center" vertical="center" wrapText="1"/>
    </xf>
    <xf numFmtId="0" fontId="17" fillId="11" borderId="59" xfId="2" applyBorder="1" applyAlignment="1">
      <alignment horizontal="center" vertical="center" wrapText="1"/>
    </xf>
    <xf numFmtId="0" fontId="17" fillId="11" borderId="60" xfId="2" applyBorder="1" applyAlignment="1">
      <alignment horizontal="center" vertical="center" wrapText="1"/>
    </xf>
    <xf numFmtId="0" fontId="17" fillId="11" borderId="87" xfId="2" applyBorder="1" applyAlignment="1">
      <alignment horizontal="center" vertical="center"/>
    </xf>
    <xf numFmtId="0" fontId="17" fillId="11" borderId="59" xfId="2" applyBorder="1" applyAlignment="1">
      <alignment horizontal="center" vertical="center"/>
    </xf>
    <xf numFmtId="0" fontId="17" fillId="11" borderId="60" xfId="2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86" fontId="0" fillId="0" borderId="15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2" fontId="1" fillId="0" borderId="16" xfId="1" applyNumberFormat="1" applyFill="1" applyBorder="1"/>
    <xf numFmtId="0" fontId="4" fillId="0" borderId="81" xfId="0" applyFont="1" applyFill="1" applyBorder="1">
      <alignment vertical="center"/>
    </xf>
    <xf numFmtId="187" fontId="0" fillId="0" borderId="0" xfId="0" applyNumberFormat="1">
      <alignment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6" fontId="4" fillId="10" borderId="3" xfId="0" applyNumberFormat="1" applyFont="1" applyFill="1" applyBorder="1">
      <alignment vertical="center"/>
    </xf>
    <xf numFmtId="0" fontId="4" fillId="0" borderId="31" xfId="0" applyFont="1" applyBorder="1">
      <alignment vertical="center"/>
    </xf>
    <xf numFmtId="176" fontId="12" fillId="10" borderId="3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1" applyFont="1" applyBorder="1"/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7" borderId="13" xfId="0" applyFill="1" applyBorder="1">
      <alignment vertical="center"/>
    </xf>
    <xf numFmtId="0" fontId="0" fillId="7" borderId="16" xfId="0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2" fontId="0" fillId="0" borderId="0" xfId="0" quotePrefix="1" applyNumberFormat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12" borderId="3" xfId="0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44" xfId="0" applyBorder="1">
      <alignment vertical="center"/>
    </xf>
    <xf numFmtId="0" fontId="0" fillId="0" borderId="46" xfId="0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quotePrefix="1" applyBorder="1">
      <alignment vertical="center"/>
    </xf>
    <xf numFmtId="0" fontId="0" fillId="0" borderId="13" xfId="0" quotePrefix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9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77" xfId="0" applyBorder="1">
      <alignment vertical="center"/>
    </xf>
    <xf numFmtId="0" fontId="4" fillId="0" borderId="44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2" fillId="0" borderId="0" xfId="0" quotePrefix="1" applyFont="1" applyFill="1" applyBorder="1" applyAlignment="1">
      <alignment horizontal="left" vertical="center"/>
    </xf>
    <xf numFmtId="0" fontId="0" fillId="0" borderId="3" xfId="0" quotePrefix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0" fillId="2" borderId="3" xfId="0" applyNumberFormat="1" applyFill="1" applyBorder="1">
      <alignment vertical="center"/>
    </xf>
    <xf numFmtId="0" fontId="0" fillId="2" borderId="7" xfId="0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9" fontId="0" fillId="0" borderId="12" xfId="0" applyNumberFormat="1" applyBorder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89" xfId="0" applyFont="1" applyFill="1" applyBorder="1" applyAlignment="1">
      <alignment horizontal="center" vertical="center"/>
    </xf>
    <xf numFmtId="179" fontId="0" fillId="2" borderId="0" xfId="0" applyNumberFormat="1" applyFill="1">
      <alignment vertical="center"/>
    </xf>
    <xf numFmtId="188" fontId="0" fillId="0" borderId="0" xfId="0" applyNumberForma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14" borderId="1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3" xfId="0" applyFill="1" applyBorder="1">
      <alignment vertical="center"/>
    </xf>
    <xf numFmtId="0" fontId="0" fillId="7" borderId="12" xfId="0" applyFill="1" applyBorder="1">
      <alignment vertical="center"/>
    </xf>
    <xf numFmtId="0" fontId="0" fillId="8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8" borderId="12" xfId="0" applyFill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2" xfId="0" quotePrefix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2" fillId="0" borderId="3" xfId="0" quotePrefix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3" xfId="0" quotePrefix="1" applyFont="1" applyBorder="1" applyAlignment="1">
      <alignment horizontal="center" vertical="center"/>
    </xf>
    <xf numFmtId="0" fontId="12" fillId="12" borderId="1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0" fillId="0" borderId="89" xfId="0" applyFill="1" applyBorder="1" applyAlignment="1">
      <alignment horizontal="left" vertical="center"/>
    </xf>
    <xf numFmtId="0" fontId="0" fillId="12" borderId="89" xfId="0" applyFill="1" applyBorder="1" applyAlignment="1">
      <alignment horizontal="left" vertical="center"/>
    </xf>
    <xf numFmtId="0" fontId="12" fillId="0" borderId="89" xfId="0" applyFont="1" applyFill="1" applyBorder="1" applyAlignment="1">
      <alignment horizontal="left" vertical="center"/>
    </xf>
    <xf numFmtId="0" fontId="0" fillId="3" borderId="18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90" xfId="0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5" borderId="58" xfId="0" applyFont="1" applyFill="1" applyBorder="1" applyAlignment="1">
      <alignment horizontal="center" vertical="center" wrapText="1"/>
    </xf>
    <xf numFmtId="0" fontId="4" fillId="5" borderId="76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4" fillId="5" borderId="24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0" borderId="35" xfId="0" applyBorder="1" applyAlignment="1">
      <alignment vertical="center"/>
    </xf>
    <xf numFmtId="0" fontId="4" fillId="5" borderId="15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5" borderId="35" xfId="0" applyFont="1" applyFill="1" applyBorder="1" applyAlignment="1">
      <alignment horizontal="center" vertical="center" wrapText="1"/>
    </xf>
    <xf numFmtId="0" fontId="4" fillId="5" borderId="72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4" fillId="5" borderId="24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53" xfId="0" applyBorder="1" applyAlignment="1">
      <alignment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5" borderId="66" xfId="0" applyFont="1" applyFill="1" applyBorder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68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70" xfId="0" applyBorder="1" applyAlignment="1">
      <alignment vertical="center"/>
    </xf>
    <xf numFmtId="0" fontId="0" fillId="5" borderId="27" xfId="0" applyFill="1" applyBorder="1" applyAlignment="1">
      <alignment horizontal="center" vertical="center"/>
    </xf>
    <xf numFmtId="0" fontId="4" fillId="0" borderId="22" xfId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4" fillId="0" borderId="7" xfId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77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1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3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45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3" xfId="0" quotePrefix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83" fontId="0" fillId="0" borderId="84" xfId="0" applyNumberForma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8" xfId="0" applyBorder="1" applyAlignment="1">
      <alignment vertical="center"/>
    </xf>
    <xf numFmtId="184" fontId="0" fillId="0" borderId="84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71" xfId="0" applyBorder="1" applyAlignment="1">
      <alignment vertical="center"/>
    </xf>
    <xf numFmtId="0" fontId="0" fillId="0" borderId="81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5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3">
    <cellStyle name="좋음" xfId="2" builtinId="26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00FF"/>
      <color rgb="FF5B9BD5"/>
      <color rgb="FFED7D31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g"/><Relationship Id="rId2" Type="http://schemas.openxmlformats.org/officeDocument/2006/relationships/image" Target="../media/image31.jpg"/><Relationship Id="rId1" Type="http://schemas.openxmlformats.org/officeDocument/2006/relationships/image" Target="../media/image30.jpg"/><Relationship Id="rId4" Type="http://schemas.openxmlformats.org/officeDocument/2006/relationships/image" Target="../media/image33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Relationship Id="rId5" Type="http://schemas.openxmlformats.org/officeDocument/2006/relationships/image" Target="../media/image49.png"/><Relationship Id="rId4" Type="http://schemas.openxmlformats.org/officeDocument/2006/relationships/image" Target="../media/image4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4" Type="http://schemas.openxmlformats.org/officeDocument/2006/relationships/image" Target="../media/image54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5" Type="http://schemas.openxmlformats.org/officeDocument/2006/relationships/image" Target="../media/image59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7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13" Type="http://schemas.openxmlformats.org/officeDocument/2006/relationships/image" Target="../media/image80.png"/><Relationship Id="rId3" Type="http://schemas.openxmlformats.org/officeDocument/2006/relationships/image" Target="../media/image70.png"/><Relationship Id="rId7" Type="http://schemas.openxmlformats.org/officeDocument/2006/relationships/image" Target="../media/image74.png"/><Relationship Id="rId12" Type="http://schemas.openxmlformats.org/officeDocument/2006/relationships/image" Target="../media/image79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2.png"/><Relationship Id="rId10" Type="http://schemas.openxmlformats.org/officeDocument/2006/relationships/image" Target="../media/image77.png"/><Relationship Id="rId4" Type="http://schemas.openxmlformats.org/officeDocument/2006/relationships/image" Target="../media/image71.png"/><Relationship Id="rId9" Type="http://schemas.openxmlformats.org/officeDocument/2006/relationships/image" Target="../media/image76.png"/><Relationship Id="rId14" Type="http://schemas.openxmlformats.org/officeDocument/2006/relationships/image" Target="../media/image8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66.emf"/><Relationship Id="rId2" Type="http://schemas.openxmlformats.org/officeDocument/2006/relationships/image" Target="../media/image65.emf"/><Relationship Id="rId1" Type="http://schemas.openxmlformats.org/officeDocument/2006/relationships/image" Target="../media/image6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6</xdr:row>
      <xdr:rowOff>95250</xdr:rowOff>
    </xdr:from>
    <xdr:to>
      <xdr:col>9</xdr:col>
      <xdr:colOff>561975</xdr:colOff>
      <xdr:row>15</xdr:row>
      <xdr:rowOff>133350</xdr:rowOff>
    </xdr:to>
    <xdr:grpSp>
      <xdr:nvGrpSpPr>
        <xdr:cNvPr id="2" name="그룹 1"/>
        <xdr:cNvGrpSpPr/>
      </xdr:nvGrpSpPr>
      <xdr:grpSpPr>
        <a:xfrm>
          <a:off x="1131234" y="1372721"/>
          <a:ext cx="4148417" cy="1976717"/>
          <a:chOff x="9153525" y="3886200"/>
          <a:chExt cx="3838575" cy="1924050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53525" y="3886200"/>
            <a:ext cx="2695575" cy="4286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53525" y="4410075"/>
            <a:ext cx="3838575" cy="4000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그림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58375" y="4905375"/>
            <a:ext cx="2600325" cy="504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86950" y="5505450"/>
            <a:ext cx="268605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38</xdr:row>
      <xdr:rowOff>47626</xdr:rowOff>
    </xdr:from>
    <xdr:to>
      <xdr:col>8</xdr:col>
      <xdr:colOff>495300</xdr:colOff>
      <xdr:row>55</xdr:row>
      <xdr:rowOff>73784</xdr:rowOff>
    </xdr:to>
    <xdr:grpSp>
      <xdr:nvGrpSpPr>
        <xdr:cNvPr id="15" name="그룹 14"/>
        <xdr:cNvGrpSpPr/>
      </xdr:nvGrpSpPr>
      <xdr:grpSpPr>
        <a:xfrm>
          <a:off x="733425" y="8048626"/>
          <a:ext cx="5248275" cy="3588508"/>
          <a:chOff x="1371600" y="8210551"/>
          <a:chExt cx="5248275" cy="3588508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0" y="8210551"/>
            <a:ext cx="5248275" cy="3588508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3600450" y="8753475"/>
            <a:ext cx="339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0000FF"/>
                </a:solidFill>
              </a:rPr>
              <a:t>5V</a:t>
            </a:r>
            <a:endParaRPr lang="ko-KR" altLang="en-US" sz="1100" b="1">
              <a:solidFill>
                <a:srgbClr val="0000FF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819650" y="9239250"/>
            <a:ext cx="482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28V2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</xdr:col>
      <xdr:colOff>52350</xdr:colOff>
      <xdr:row>57</xdr:row>
      <xdr:rowOff>71401</xdr:rowOff>
    </xdr:from>
    <xdr:to>
      <xdr:col>8</xdr:col>
      <xdr:colOff>500025</xdr:colOff>
      <xdr:row>74</xdr:row>
      <xdr:rowOff>97559</xdr:rowOff>
    </xdr:to>
    <xdr:grpSp>
      <xdr:nvGrpSpPr>
        <xdr:cNvPr id="16" name="그룹 15"/>
        <xdr:cNvGrpSpPr/>
      </xdr:nvGrpSpPr>
      <xdr:grpSpPr>
        <a:xfrm>
          <a:off x="738150" y="12053851"/>
          <a:ext cx="5248275" cy="3588508"/>
          <a:chOff x="976275" y="12644401"/>
          <a:chExt cx="5248275" cy="3588508"/>
        </a:xfrm>
      </xdr:grpSpPr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76275" y="12644401"/>
            <a:ext cx="5248275" cy="3588508"/>
          </a:xfrm>
          <a:prstGeom prst="rect">
            <a:avLst/>
          </a:prstGeom>
        </xdr:spPr>
      </xdr:pic>
      <xdr:sp macro="" textlink="">
        <xdr:nvSpPr>
          <xdr:cNvPr id="9" name="TextBox 8"/>
          <xdr:cNvSpPr txBox="1"/>
        </xdr:nvSpPr>
        <xdr:spPr>
          <a:xfrm>
            <a:off x="2524125" y="13087350"/>
            <a:ext cx="482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28V1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228975" y="13649325"/>
            <a:ext cx="339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0000FF"/>
                </a:solidFill>
              </a:rPr>
              <a:t>5V</a:t>
            </a:r>
            <a:endParaRPr lang="ko-KR" altLang="en-US" sz="1100" b="1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9</xdr:col>
      <xdr:colOff>59475</xdr:colOff>
      <xdr:row>57</xdr:row>
      <xdr:rowOff>49951</xdr:rowOff>
    </xdr:from>
    <xdr:to>
      <xdr:col>16</xdr:col>
      <xdr:colOff>507150</xdr:colOff>
      <xdr:row>74</xdr:row>
      <xdr:rowOff>76109</xdr:rowOff>
    </xdr:to>
    <xdr:grpSp>
      <xdr:nvGrpSpPr>
        <xdr:cNvPr id="17" name="그룹 16"/>
        <xdr:cNvGrpSpPr/>
      </xdr:nvGrpSpPr>
      <xdr:grpSpPr>
        <a:xfrm>
          <a:off x="6403125" y="12032401"/>
          <a:ext cx="5248275" cy="3588508"/>
          <a:chOff x="7107975" y="12089551"/>
          <a:chExt cx="5248275" cy="3588508"/>
        </a:xfrm>
      </xdr:grpSpPr>
      <xdr:pic>
        <xdr:nvPicPr>
          <xdr:cNvPr id="5" name="그림 4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107975" y="12089551"/>
            <a:ext cx="5248275" cy="3588508"/>
          </a:xfrm>
          <a:prstGeom prst="rect">
            <a:avLst/>
          </a:prstGeom>
        </xdr:spPr>
      </xdr:pic>
      <xdr:sp macro="" textlink="">
        <xdr:nvSpPr>
          <xdr:cNvPr id="10" name="TextBox 9"/>
          <xdr:cNvSpPr txBox="1"/>
        </xdr:nvSpPr>
        <xdr:spPr>
          <a:xfrm>
            <a:off x="8515350" y="12563475"/>
            <a:ext cx="482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28V1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9096375" y="13173075"/>
            <a:ext cx="339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0000FF"/>
                </a:solidFill>
              </a:rPr>
              <a:t>5V</a:t>
            </a:r>
            <a:endParaRPr lang="ko-KR" altLang="en-US" sz="1100" b="1">
              <a:solidFill>
                <a:srgbClr val="0000FF"/>
              </a:solidFill>
            </a:endParaRPr>
          </a:p>
        </xdr:txBody>
      </xdr:sp>
    </xdr:grpSp>
    <xdr:clientData/>
  </xdr:twoCellAnchor>
  <xdr:twoCellAnchor>
    <xdr:from>
      <xdr:col>9</xdr:col>
      <xdr:colOff>54750</xdr:colOff>
      <xdr:row>38</xdr:row>
      <xdr:rowOff>64276</xdr:rowOff>
    </xdr:from>
    <xdr:to>
      <xdr:col>16</xdr:col>
      <xdr:colOff>502425</xdr:colOff>
      <xdr:row>55</xdr:row>
      <xdr:rowOff>90434</xdr:rowOff>
    </xdr:to>
    <xdr:grpSp>
      <xdr:nvGrpSpPr>
        <xdr:cNvPr id="14" name="그룹 13"/>
        <xdr:cNvGrpSpPr/>
      </xdr:nvGrpSpPr>
      <xdr:grpSpPr>
        <a:xfrm>
          <a:off x="6398400" y="8065276"/>
          <a:ext cx="5248275" cy="3588508"/>
          <a:chOff x="7293750" y="8074801"/>
          <a:chExt cx="5248275" cy="3588508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93750" y="8074801"/>
            <a:ext cx="5248275" cy="3588508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991600" y="8915400"/>
            <a:ext cx="48256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28V2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048625" y="8639175"/>
            <a:ext cx="3395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0000FF"/>
                </a:solidFill>
              </a:rPr>
              <a:t>5V</a:t>
            </a:r>
            <a:endParaRPr lang="ko-KR" altLang="en-US" sz="1100" b="1">
              <a:solidFill>
                <a:srgbClr val="0000FF"/>
              </a:solidFill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29</xdr:row>
      <xdr:rowOff>57150</xdr:rowOff>
    </xdr:from>
    <xdr:to>
      <xdr:col>23</xdr:col>
      <xdr:colOff>542925</xdr:colOff>
      <xdr:row>53</xdr:row>
      <xdr:rowOff>20621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6191250"/>
          <a:ext cx="6657975" cy="5030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30</xdr:row>
      <xdr:rowOff>114301</xdr:rowOff>
    </xdr:from>
    <xdr:to>
      <xdr:col>11</xdr:col>
      <xdr:colOff>142875</xdr:colOff>
      <xdr:row>41</xdr:row>
      <xdr:rowOff>145391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0648951"/>
          <a:ext cx="6791325" cy="233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342900</xdr:colOff>
      <xdr:row>2</xdr:row>
      <xdr:rowOff>38100</xdr:rowOff>
    </xdr:from>
    <xdr:to>
      <xdr:col>20</xdr:col>
      <xdr:colOff>676275</xdr:colOff>
      <xdr:row>15</xdr:row>
      <xdr:rowOff>85725</xdr:rowOff>
    </xdr:to>
    <xdr:grpSp>
      <xdr:nvGrpSpPr>
        <xdr:cNvPr id="6" name="그룹 5"/>
        <xdr:cNvGrpSpPr/>
      </xdr:nvGrpSpPr>
      <xdr:grpSpPr>
        <a:xfrm>
          <a:off x="8153400" y="457200"/>
          <a:ext cx="6505575" cy="2809875"/>
          <a:chOff x="8201025" y="542925"/>
          <a:chExt cx="6505575" cy="2809875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01025" y="542925"/>
            <a:ext cx="6505575" cy="2767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모서리가 둥근 직사각형 4"/>
          <xdr:cNvSpPr/>
        </xdr:nvSpPr>
        <xdr:spPr>
          <a:xfrm>
            <a:off x="11487150" y="542925"/>
            <a:ext cx="3171825" cy="280987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17</xdr:col>
      <xdr:colOff>47625</xdr:colOff>
      <xdr:row>19</xdr:row>
      <xdr:rowOff>57150</xdr:rowOff>
    </xdr:from>
    <xdr:to>
      <xdr:col>29</xdr:col>
      <xdr:colOff>634120</xdr:colOff>
      <xdr:row>26</xdr:row>
      <xdr:rowOff>28575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4076700"/>
          <a:ext cx="8816095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19</xdr:row>
      <xdr:rowOff>57150</xdr:rowOff>
    </xdr:from>
    <xdr:to>
      <xdr:col>16</xdr:col>
      <xdr:colOff>104775</xdr:colOff>
      <xdr:row>28</xdr:row>
      <xdr:rowOff>96720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076700"/>
          <a:ext cx="4229100" cy="1944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542925</xdr:colOff>
      <xdr:row>50</xdr:row>
      <xdr:rowOff>47625</xdr:rowOff>
    </xdr:from>
    <xdr:to>
      <xdr:col>7</xdr:col>
      <xdr:colOff>76200</xdr:colOff>
      <xdr:row>51</xdr:row>
      <xdr:rowOff>114300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" y="10182225"/>
          <a:ext cx="32956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58</xdr:row>
          <xdr:rowOff>161925</xdr:rowOff>
        </xdr:from>
        <xdr:to>
          <xdr:col>15</xdr:col>
          <xdr:colOff>28575</xdr:colOff>
          <xdr:row>74</xdr:row>
          <xdr:rowOff>19050</xdr:rowOff>
        </xdr:to>
        <xdr:sp macro="" textlink="">
          <xdr:nvSpPr>
            <xdr:cNvPr id="12295" name="Object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240815</xdr:colOff>
      <xdr:row>17</xdr:row>
      <xdr:rowOff>200025</xdr:rowOff>
    </xdr:from>
    <xdr:to>
      <xdr:col>23</xdr:col>
      <xdr:colOff>561975</xdr:colOff>
      <xdr:row>40</xdr:row>
      <xdr:rowOff>180975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2240" y="3867150"/>
          <a:ext cx="786496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168792</xdr:colOff>
      <xdr:row>17</xdr:row>
      <xdr:rowOff>104775</xdr:rowOff>
    </xdr:from>
    <xdr:to>
      <xdr:col>12</xdr:col>
      <xdr:colOff>114300</xdr:colOff>
      <xdr:row>40</xdr:row>
      <xdr:rowOff>201946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217" y="3771900"/>
          <a:ext cx="6803508" cy="49168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38101</xdr:colOff>
      <xdr:row>43</xdr:row>
      <xdr:rowOff>133350</xdr:rowOff>
    </xdr:from>
    <xdr:to>
      <xdr:col>17</xdr:col>
      <xdr:colOff>533401</xdr:colOff>
      <xdr:row>56</xdr:row>
      <xdr:rowOff>99889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6" y="11372850"/>
          <a:ext cx="10782300" cy="2690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1</xdr:row>
      <xdr:rowOff>114300</xdr:rowOff>
    </xdr:from>
    <xdr:to>
      <xdr:col>28</xdr:col>
      <xdr:colOff>504825</xdr:colOff>
      <xdr:row>21</xdr:row>
      <xdr:rowOff>4831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0050" y="323850"/>
          <a:ext cx="8543925" cy="4129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2</xdr:row>
          <xdr:rowOff>180975</xdr:rowOff>
        </xdr:from>
        <xdr:to>
          <xdr:col>14</xdr:col>
          <xdr:colOff>676275</xdr:colOff>
          <xdr:row>17</xdr:row>
          <xdr:rowOff>161925</xdr:rowOff>
        </xdr:to>
        <xdr:sp macro="" textlink="">
          <xdr:nvSpPr>
            <xdr:cNvPr id="10245" name="Object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285751</xdr:colOff>
      <xdr:row>114</xdr:row>
      <xdr:rowOff>95250</xdr:rowOff>
    </xdr:from>
    <xdr:to>
      <xdr:col>6</xdr:col>
      <xdr:colOff>81941</xdr:colOff>
      <xdr:row>125</xdr:row>
      <xdr:rowOff>180975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1" y="24374475"/>
          <a:ext cx="535879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95</xdr:row>
      <xdr:rowOff>76200</xdr:rowOff>
    </xdr:from>
    <xdr:to>
      <xdr:col>6</xdr:col>
      <xdr:colOff>114300</xdr:colOff>
      <xdr:row>114</xdr:row>
      <xdr:rowOff>43801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20373975"/>
          <a:ext cx="5381625" cy="3949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418154</xdr:colOff>
      <xdr:row>114</xdr:row>
      <xdr:rowOff>95250</xdr:rowOff>
    </xdr:from>
    <xdr:to>
      <xdr:col>13</xdr:col>
      <xdr:colOff>342899</xdr:colOff>
      <xdr:row>126</xdr:row>
      <xdr:rowOff>104775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7454" y="24374475"/>
          <a:ext cx="537304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438150</xdr:colOff>
      <xdr:row>95</xdr:row>
      <xdr:rowOff>19050</xdr:rowOff>
    </xdr:from>
    <xdr:to>
      <xdr:col>13</xdr:col>
      <xdr:colOff>371475</xdr:colOff>
      <xdr:row>114</xdr:row>
      <xdr:rowOff>25481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20316825"/>
          <a:ext cx="5381625" cy="3987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2</xdr:row>
          <xdr:rowOff>142875</xdr:rowOff>
        </xdr:from>
        <xdr:to>
          <xdr:col>11</xdr:col>
          <xdr:colOff>447675</xdr:colOff>
          <xdr:row>16</xdr:row>
          <xdr:rowOff>76200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200025</xdr:colOff>
      <xdr:row>2</xdr:row>
      <xdr:rowOff>161925</xdr:rowOff>
    </xdr:from>
    <xdr:to>
      <xdr:col>33</xdr:col>
      <xdr:colOff>266700</xdr:colOff>
      <xdr:row>18</xdr:row>
      <xdr:rowOff>58189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581025"/>
          <a:ext cx="6257925" cy="327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400050</xdr:colOff>
      <xdr:row>2</xdr:row>
      <xdr:rowOff>152401</xdr:rowOff>
    </xdr:from>
    <xdr:to>
      <xdr:col>36</xdr:col>
      <xdr:colOff>76200</xdr:colOff>
      <xdr:row>23</xdr:row>
      <xdr:rowOff>92763</xdr:rowOff>
    </xdr:to>
    <xdr:grpSp>
      <xdr:nvGrpSpPr>
        <xdr:cNvPr id="9" name="그룹 8"/>
        <xdr:cNvGrpSpPr/>
      </xdr:nvGrpSpPr>
      <xdr:grpSpPr>
        <a:xfrm>
          <a:off x="15211425" y="571501"/>
          <a:ext cx="3438525" cy="4379012"/>
          <a:chOff x="7629525" y="238126"/>
          <a:chExt cx="4476750" cy="4340912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29525" y="238126"/>
            <a:ext cx="4476750" cy="43409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모서리가 둥근 직사각형 3"/>
          <xdr:cNvSpPr/>
        </xdr:nvSpPr>
        <xdr:spPr>
          <a:xfrm>
            <a:off x="11096625" y="2124075"/>
            <a:ext cx="190500" cy="209550"/>
          </a:xfrm>
          <a:prstGeom prst="roundRect">
            <a:avLst/>
          </a:prstGeom>
          <a:solidFill>
            <a:srgbClr val="5B9BD5">
              <a:alpha val="50196"/>
            </a:srgbClr>
          </a:solidFill>
          <a:ln>
            <a:solidFill>
              <a:srgbClr val="5B9BD5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모서리가 둥근 직사각형 4"/>
          <xdr:cNvSpPr/>
        </xdr:nvSpPr>
        <xdr:spPr>
          <a:xfrm>
            <a:off x="11115675" y="4276725"/>
            <a:ext cx="190500" cy="209550"/>
          </a:xfrm>
          <a:prstGeom prst="roundRect">
            <a:avLst/>
          </a:prstGeom>
          <a:solidFill>
            <a:srgbClr val="5B9BD5">
              <a:alpha val="50196"/>
            </a:srgbClr>
          </a:solidFill>
          <a:ln>
            <a:solidFill>
              <a:srgbClr val="5B9BD5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모서리가 둥근 직사각형 5"/>
          <xdr:cNvSpPr/>
        </xdr:nvSpPr>
        <xdr:spPr>
          <a:xfrm>
            <a:off x="11563349" y="4067174"/>
            <a:ext cx="200025" cy="409575"/>
          </a:xfrm>
          <a:prstGeom prst="roundRect">
            <a:avLst/>
          </a:prstGeom>
          <a:solidFill>
            <a:srgbClr val="5B9BD5">
              <a:alpha val="50196"/>
            </a:srgbClr>
          </a:solidFill>
          <a:ln>
            <a:solidFill>
              <a:srgbClr val="5B9BD5"/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모서리가 둥근 직사각형 6"/>
          <xdr:cNvSpPr/>
        </xdr:nvSpPr>
        <xdr:spPr>
          <a:xfrm>
            <a:off x="11572875" y="581025"/>
            <a:ext cx="190500" cy="209550"/>
          </a:xfrm>
          <a:prstGeom prst="roundRect">
            <a:avLst/>
          </a:prstGeom>
          <a:solidFill>
            <a:srgbClr val="ED7D31">
              <a:alpha val="50196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모서리가 둥근 직사각형 7"/>
          <xdr:cNvSpPr/>
        </xdr:nvSpPr>
        <xdr:spPr>
          <a:xfrm>
            <a:off x="11582400" y="2495550"/>
            <a:ext cx="180975" cy="438150"/>
          </a:xfrm>
          <a:prstGeom prst="roundRect">
            <a:avLst/>
          </a:prstGeom>
          <a:solidFill>
            <a:srgbClr val="ED7D31">
              <a:alpha val="50196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23</xdr:col>
      <xdr:colOff>76201</xdr:colOff>
      <xdr:row>73</xdr:row>
      <xdr:rowOff>9525</xdr:rowOff>
    </xdr:from>
    <xdr:to>
      <xdr:col>34</xdr:col>
      <xdr:colOff>334397</xdr:colOff>
      <xdr:row>91</xdr:row>
      <xdr:rowOff>152400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58701" y="15440025"/>
          <a:ext cx="5639821" cy="393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276225</xdr:colOff>
      <xdr:row>49</xdr:row>
      <xdr:rowOff>152400</xdr:rowOff>
    </xdr:from>
    <xdr:to>
      <xdr:col>32</xdr:col>
      <xdr:colOff>180975</xdr:colOff>
      <xdr:row>66</xdr:row>
      <xdr:rowOff>85602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0477500"/>
          <a:ext cx="5972175" cy="3562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295275</xdr:colOff>
      <xdr:row>72</xdr:row>
      <xdr:rowOff>0</xdr:rowOff>
    </xdr:from>
    <xdr:to>
      <xdr:col>27</xdr:col>
      <xdr:colOff>57150</xdr:colOff>
      <xdr:row>80</xdr:row>
      <xdr:rowOff>179393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9675" y="15240000"/>
          <a:ext cx="5248275" cy="1865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115</xdr:row>
      <xdr:rowOff>76200</xdr:rowOff>
    </xdr:from>
    <xdr:to>
      <xdr:col>21</xdr:col>
      <xdr:colOff>381000</xdr:colOff>
      <xdr:row>136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733800"/>
          <a:ext cx="13468350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180975</xdr:colOff>
      <xdr:row>101</xdr:row>
      <xdr:rowOff>73025</xdr:rowOff>
    </xdr:from>
    <xdr:to>
      <xdr:col>25</xdr:col>
      <xdr:colOff>539750</xdr:colOff>
      <xdr:row>113</xdr:row>
      <xdr:rowOff>8009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50" y="21202650"/>
          <a:ext cx="5819775" cy="2554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330200</xdr:colOff>
      <xdr:row>27</xdr:row>
      <xdr:rowOff>19051</xdr:rowOff>
    </xdr:from>
    <xdr:to>
      <xdr:col>25</xdr:col>
      <xdr:colOff>171450</xdr:colOff>
      <xdr:row>45</xdr:row>
      <xdr:rowOff>76200</xdr:rowOff>
    </xdr:to>
    <xdr:grpSp>
      <xdr:nvGrpSpPr>
        <xdr:cNvPr id="14" name="그룹 13"/>
        <xdr:cNvGrpSpPr/>
      </xdr:nvGrpSpPr>
      <xdr:grpSpPr>
        <a:xfrm>
          <a:off x="7874000" y="5705476"/>
          <a:ext cx="8756650" cy="3876674"/>
          <a:chOff x="8277225" y="17821276"/>
          <a:chExt cx="9096375" cy="4006894"/>
        </a:xfrm>
      </xdr:grpSpPr>
      <xdr:pic>
        <xdr:nvPicPr>
          <xdr:cNvPr id="10" name="그림 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77225" y="17821276"/>
            <a:ext cx="9096375" cy="40068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모서리가 둥근 직사각형 12"/>
          <xdr:cNvSpPr/>
        </xdr:nvSpPr>
        <xdr:spPr>
          <a:xfrm>
            <a:off x="8420100" y="20421599"/>
            <a:ext cx="8934449" cy="37147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7</xdr:col>
      <xdr:colOff>609600</xdr:colOff>
      <xdr:row>48</xdr:row>
      <xdr:rowOff>161925</xdr:rowOff>
    </xdr:from>
    <xdr:to>
      <xdr:col>15</xdr:col>
      <xdr:colOff>247650</xdr:colOff>
      <xdr:row>58</xdr:row>
      <xdr:rowOff>112452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0306050"/>
          <a:ext cx="5124450" cy="2065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85726</xdr:colOff>
      <xdr:row>75</xdr:row>
      <xdr:rowOff>190500</xdr:rowOff>
    </xdr:from>
    <xdr:to>
      <xdr:col>20</xdr:col>
      <xdr:colOff>161926</xdr:colOff>
      <xdr:row>92</xdr:row>
      <xdr:rowOff>135231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6" y="28527375"/>
          <a:ext cx="12420600" cy="35070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47626</xdr:colOff>
      <xdr:row>13</xdr:row>
      <xdr:rowOff>123825</xdr:rowOff>
    </xdr:from>
    <xdr:to>
      <xdr:col>13</xdr:col>
      <xdr:colOff>352426</xdr:colOff>
      <xdr:row>24</xdr:row>
      <xdr:rowOff>111453</xdr:rowOff>
    </xdr:to>
    <xdr:grpSp>
      <xdr:nvGrpSpPr>
        <xdr:cNvPr id="25" name="그룹 24"/>
        <xdr:cNvGrpSpPr/>
      </xdr:nvGrpSpPr>
      <xdr:grpSpPr>
        <a:xfrm>
          <a:off x="733426" y="2867025"/>
          <a:ext cx="7848600" cy="2292678"/>
          <a:chOff x="723901" y="15478125"/>
          <a:chExt cx="7848600" cy="2292678"/>
        </a:xfrm>
      </xdr:grpSpPr>
      <xdr:pic>
        <xdr:nvPicPr>
          <xdr:cNvPr id="20" name="그림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3901" y="15478125"/>
            <a:ext cx="7848600" cy="22926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모서리가 둥근 직사각형 21"/>
          <xdr:cNvSpPr/>
        </xdr:nvSpPr>
        <xdr:spPr>
          <a:xfrm>
            <a:off x="2152650" y="15928974"/>
            <a:ext cx="3276599" cy="91122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247651</xdr:colOff>
      <xdr:row>5</xdr:row>
      <xdr:rowOff>19050</xdr:rowOff>
    </xdr:from>
    <xdr:to>
      <xdr:col>12</xdr:col>
      <xdr:colOff>285750</xdr:colOff>
      <xdr:row>10</xdr:row>
      <xdr:rowOff>190500</xdr:rowOff>
    </xdr:to>
    <xdr:grpSp>
      <xdr:nvGrpSpPr>
        <xdr:cNvPr id="24" name="그룹 23"/>
        <xdr:cNvGrpSpPr/>
      </xdr:nvGrpSpPr>
      <xdr:grpSpPr>
        <a:xfrm>
          <a:off x="3676651" y="1076325"/>
          <a:ext cx="4152899" cy="1228725"/>
          <a:chOff x="3705226" y="13973175"/>
          <a:chExt cx="4505324" cy="1362844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05226" y="13973175"/>
            <a:ext cx="4505324" cy="13628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모서리가 둥근 직사각형 20"/>
          <xdr:cNvSpPr/>
        </xdr:nvSpPr>
        <xdr:spPr>
          <a:xfrm>
            <a:off x="3714751" y="14652625"/>
            <a:ext cx="2095499" cy="21590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모서리가 둥근 직사각형 22"/>
          <xdr:cNvSpPr/>
        </xdr:nvSpPr>
        <xdr:spPr>
          <a:xfrm>
            <a:off x="3714751" y="14204950"/>
            <a:ext cx="2095499" cy="21590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104776</xdr:colOff>
      <xdr:row>5</xdr:row>
      <xdr:rowOff>107950</xdr:rowOff>
    </xdr:from>
    <xdr:to>
      <xdr:col>24</xdr:col>
      <xdr:colOff>504826</xdr:colOff>
      <xdr:row>22</xdr:row>
      <xdr:rowOff>143820</xdr:rowOff>
    </xdr:to>
    <xdr:grpSp>
      <xdr:nvGrpSpPr>
        <xdr:cNvPr id="5" name="그룹 4"/>
        <xdr:cNvGrpSpPr/>
      </xdr:nvGrpSpPr>
      <xdr:grpSpPr>
        <a:xfrm>
          <a:off x="9020176" y="1165225"/>
          <a:ext cx="7258050" cy="3607745"/>
          <a:chOff x="9020176" y="1165225"/>
          <a:chExt cx="7258050" cy="3607745"/>
        </a:xfrm>
      </xdr:grpSpPr>
      <xdr:grpSp>
        <xdr:nvGrpSpPr>
          <xdr:cNvPr id="12" name="그룹 11"/>
          <xdr:cNvGrpSpPr/>
        </xdr:nvGrpSpPr>
        <xdr:grpSpPr>
          <a:xfrm>
            <a:off x="9020176" y="1165225"/>
            <a:ext cx="7258050" cy="3607745"/>
            <a:chOff x="4371976" y="20326350"/>
            <a:chExt cx="7296150" cy="3607745"/>
          </a:xfrm>
        </xdr:grpSpPr>
        <xdr:pic>
          <xdr:nvPicPr>
            <xdr:cNvPr id="6" name="그림 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371976" y="20326350"/>
              <a:ext cx="7296150" cy="36077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" name="모서리가 둥근 직사각형 10"/>
            <xdr:cNvSpPr/>
          </xdr:nvSpPr>
          <xdr:spPr>
            <a:xfrm>
              <a:off x="4476750" y="23202900"/>
              <a:ext cx="3276600" cy="266700"/>
            </a:xfrm>
            <a:prstGeom prst="round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26" name="모서리가 둥근 직사각형 25"/>
          <xdr:cNvSpPr/>
        </xdr:nvSpPr>
        <xdr:spPr>
          <a:xfrm>
            <a:off x="12887326" y="3746500"/>
            <a:ext cx="3259490" cy="26670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666750</xdr:colOff>
          <xdr:row>108</xdr:row>
          <xdr:rowOff>0</xdr:rowOff>
        </xdr:from>
        <xdr:to>
          <xdr:col>18</xdr:col>
          <xdr:colOff>381000</xdr:colOff>
          <xdr:row>120</xdr:row>
          <xdr:rowOff>133350</xdr:rowOff>
        </xdr:to>
        <xdr:sp macro="" textlink="">
          <xdr:nvSpPr>
            <xdr:cNvPr id="24580" name="Object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209549</xdr:colOff>
      <xdr:row>32</xdr:row>
      <xdr:rowOff>123826</xdr:rowOff>
    </xdr:from>
    <xdr:to>
      <xdr:col>23</xdr:col>
      <xdr:colOff>261509</xdr:colOff>
      <xdr:row>57</xdr:row>
      <xdr:rowOff>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099" y="7105651"/>
          <a:ext cx="11358135" cy="5343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190500</xdr:colOff>
          <xdr:row>15</xdr:row>
          <xdr:rowOff>85725</xdr:rowOff>
        </xdr:from>
        <xdr:to>
          <xdr:col>21</xdr:col>
          <xdr:colOff>342900</xdr:colOff>
          <xdr:row>27</xdr:row>
          <xdr:rowOff>104775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71</xdr:row>
          <xdr:rowOff>66675</xdr:rowOff>
        </xdr:from>
        <xdr:to>
          <xdr:col>20</xdr:col>
          <xdr:colOff>219075</xdr:colOff>
          <xdr:row>83</xdr:row>
          <xdr:rowOff>142875</xdr:rowOff>
        </xdr:to>
        <xdr:sp macro="" textlink="">
          <xdr:nvSpPr>
            <xdr:cNvPr id="24586" name="Object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</xdr:colOff>
      <xdr:row>2</xdr:row>
      <xdr:rowOff>57150</xdr:rowOff>
    </xdr:from>
    <xdr:to>
      <xdr:col>12</xdr:col>
      <xdr:colOff>646557</xdr:colOff>
      <xdr:row>24</xdr:row>
      <xdr:rowOff>180975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485775"/>
          <a:ext cx="7571233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47626</xdr:colOff>
      <xdr:row>18</xdr:row>
      <xdr:rowOff>6351</xdr:rowOff>
    </xdr:from>
    <xdr:to>
      <xdr:col>19</xdr:col>
      <xdr:colOff>657225</xdr:colOff>
      <xdr:row>27</xdr:row>
      <xdr:rowOff>142247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7626" y="3848101"/>
          <a:ext cx="4022724" cy="19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73025</xdr:colOff>
      <xdr:row>2</xdr:row>
      <xdr:rowOff>85727</xdr:rowOff>
    </xdr:from>
    <xdr:to>
      <xdr:col>28</xdr:col>
      <xdr:colOff>412750</xdr:colOff>
      <xdr:row>20</xdr:row>
      <xdr:rowOff>200702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8775" y="514352"/>
          <a:ext cx="5800725" cy="394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36</xdr:row>
      <xdr:rowOff>104775</xdr:rowOff>
    </xdr:from>
    <xdr:to>
      <xdr:col>27</xdr:col>
      <xdr:colOff>57150</xdr:colOff>
      <xdr:row>44</xdr:row>
      <xdr:rowOff>167635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6457950"/>
          <a:ext cx="8220075" cy="173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85725</xdr:colOff>
      <xdr:row>36</xdr:row>
      <xdr:rowOff>76201</xdr:rowOff>
    </xdr:from>
    <xdr:to>
      <xdr:col>14</xdr:col>
      <xdr:colOff>466725</xdr:colOff>
      <xdr:row>44</xdr:row>
      <xdr:rowOff>132097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6429376"/>
          <a:ext cx="8791575" cy="1732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57151</xdr:colOff>
      <xdr:row>69</xdr:row>
      <xdr:rowOff>28576</xdr:rowOff>
    </xdr:from>
    <xdr:to>
      <xdr:col>11</xdr:col>
      <xdr:colOff>1</xdr:colOff>
      <xdr:row>81</xdr:row>
      <xdr:rowOff>159120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13363576"/>
          <a:ext cx="6229350" cy="2645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66676</xdr:colOff>
      <xdr:row>69</xdr:row>
      <xdr:rowOff>66675</xdr:rowOff>
    </xdr:from>
    <xdr:to>
      <xdr:col>20</xdr:col>
      <xdr:colOff>352426</xdr:colOff>
      <xdr:row>81</xdr:row>
      <xdr:rowOff>146658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6" y="13439775"/>
          <a:ext cx="5829300" cy="25945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</xdr:colOff>
      <xdr:row>87</xdr:row>
      <xdr:rowOff>57150</xdr:rowOff>
    </xdr:from>
    <xdr:to>
      <xdr:col>17</xdr:col>
      <xdr:colOff>419100</xdr:colOff>
      <xdr:row>100</xdr:row>
      <xdr:rowOff>66675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7211675"/>
          <a:ext cx="5962650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112</xdr:row>
      <xdr:rowOff>95251</xdr:rowOff>
    </xdr:from>
    <xdr:to>
      <xdr:col>28</xdr:col>
      <xdr:colOff>333375</xdr:colOff>
      <xdr:row>124</xdr:row>
      <xdr:rowOff>81039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612476"/>
          <a:ext cx="9115425" cy="2500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112</xdr:row>
      <xdr:rowOff>76200</xdr:rowOff>
    </xdr:from>
    <xdr:to>
      <xdr:col>14</xdr:col>
      <xdr:colOff>524765</xdr:colOff>
      <xdr:row>124</xdr:row>
      <xdr:rowOff>85725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3593425"/>
          <a:ext cx="927824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125</xdr:row>
      <xdr:rowOff>161925</xdr:rowOff>
    </xdr:from>
    <xdr:to>
      <xdr:col>14</xdr:col>
      <xdr:colOff>509981</xdr:colOff>
      <xdr:row>137</xdr:row>
      <xdr:rowOff>46631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6403300"/>
          <a:ext cx="9215831" cy="2399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123824</xdr:colOff>
      <xdr:row>125</xdr:row>
      <xdr:rowOff>182824</xdr:rowOff>
    </xdr:from>
    <xdr:to>
      <xdr:col>28</xdr:col>
      <xdr:colOff>160979</xdr:colOff>
      <xdr:row>137</xdr:row>
      <xdr:rowOff>19050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074" y="26424199"/>
          <a:ext cx="8952555" cy="2350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138</xdr:row>
      <xdr:rowOff>66675</xdr:rowOff>
    </xdr:from>
    <xdr:to>
      <xdr:col>14</xdr:col>
      <xdr:colOff>247650</xdr:colOff>
      <xdr:row>150</xdr:row>
      <xdr:rowOff>1452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9032200"/>
          <a:ext cx="9001125" cy="2449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180976</xdr:colOff>
      <xdr:row>138</xdr:row>
      <xdr:rowOff>133350</xdr:rowOff>
    </xdr:from>
    <xdr:to>
      <xdr:col>28</xdr:col>
      <xdr:colOff>159624</xdr:colOff>
      <xdr:row>150</xdr:row>
      <xdr:rowOff>68127</xdr:rowOff>
    </xdr:to>
    <xdr:pic>
      <xdr:nvPicPr>
        <xdr:cNvPr id="28" name="그림 2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6" y="29098875"/>
          <a:ext cx="8894048" cy="2449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</xdr:colOff>
      <xdr:row>21</xdr:row>
      <xdr:rowOff>85724</xdr:rowOff>
    </xdr:from>
    <xdr:to>
      <xdr:col>15</xdr:col>
      <xdr:colOff>228599</xdr:colOff>
      <xdr:row>34</xdr:row>
      <xdr:rowOff>14517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9" y="5400674"/>
          <a:ext cx="6981825" cy="2652943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66675</xdr:colOff>
      <xdr:row>1</xdr:row>
      <xdr:rowOff>63500</xdr:rowOff>
    </xdr:from>
    <xdr:to>
      <xdr:col>26</xdr:col>
      <xdr:colOff>438150</xdr:colOff>
      <xdr:row>9</xdr:row>
      <xdr:rowOff>10122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269875"/>
          <a:ext cx="4562475" cy="1645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</xdr:colOff>
      <xdr:row>1</xdr:row>
      <xdr:rowOff>73025</xdr:rowOff>
    </xdr:from>
    <xdr:to>
      <xdr:col>33</xdr:col>
      <xdr:colOff>327026</xdr:colOff>
      <xdr:row>17</xdr:row>
      <xdr:rowOff>187545</xdr:rowOff>
    </xdr:to>
    <xdr:grpSp>
      <xdr:nvGrpSpPr>
        <xdr:cNvPr id="16" name="그룹 15"/>
        <xdr:cNvGrpSpPr/>
      </xdr:nvGrpSpPr>
      <xdr:grpSpPr>
        <a:xfrm>
          <a:off x="13630276" y="282575"/>
          <a:ext cx="3489325" cy="3543520"/>
          <a:chOff x="6848476" y="6648450"/>
          <a:chExt cx="3486150" cy="3572095"/>
        </a:xfrm>
      </xdr:grpSpPr>
      <xdr:pic>
        <xdr:nvPicPr>
          <xdr:cNvPr id="8" name="그림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48476" y="6648450"/>
            <a:ext cx="3486150" cy="357209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TextBox 9"/>
          <xdr:cNvSpPr txBox="1"/>
        </xdr:nvSpPr>
        <xdr:spPr>
          <a:xfrm>
            <a:off x="7648575" y="7896225"/>
            <a:ext cx="5808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Op-in1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686675" y="8896350"/>
            <a:ext cx="58086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Op-in2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8267700" y="7505700"/>
            <a:ext cx="8079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Op-mode1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8334375" y="8562975"/>
            <a:ext cx="80791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Op-mode2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924925" y="7905750"/>
            <a:ext cx="55194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XOR-1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943975" y="8963025"/>
            <a:ext cx="55194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 b="1">
                <a:solidFill>
                  <a:srgbClr val="FF0000"/>
                </a:solidFill>
              </a:rPr>
              <a:t>XOR-2</a:t>
            </a:r>
            <a:endParaRPr lang="ko-KR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57150</xdr:colOff>
      <xdr:row>65</xdr:row>
      <xdr:rowOff>57150</xdr:rowOff>
    </xdr:from>
    <xdr:to>
      <xdr:col>16</xdr:col>
      <xdr:colOff>190500</xdr:colOff>
      <xdr:row>78</xdr:row>
      <xdr:rowOff>133350</xdr:rowOff>
    </xdr:to>
    <xdr:grpSp>
      <xdr:nvGrpSpPr>
        <xdr:cNvPr id="19" name="그룹 18"/>
        <xdr:cNvGrpSpPr/>
      </xdr:nvGrpSpPr>
      <xdr:grpSpPr>
        <a:xfrm>
          <a:off x="590550" y="13849350"/>
          <a:ext cx="7467600" cy="2857500"/>
          <a:chOff x="38100" y="0"/>
          <a:chExt cx="7745770" cy="2943224"/>
        </a:xfrm>
      </xdr:grpSpPr>
      <xdr:pic>
        <xdr:nvPicPr>
          <xdr:cNvPr id="20" name="그림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0"/>
            <a:ext cx="7745770" cy="294322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설명선 2 20"/>
          <xdr:cNvSpPr/>
        </xdr:nvSpPr>
        <xdr:spPr>
          <a:xfrm>
            <a:off x="1295400" y="133350"/>
            <a:ext cx="1381125" cy="219075"/>
          </a:xfrm>
          <a:prstGeom prst="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195109"/>
              <a:gd name="adj6" fmla="val -3218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R28 : 73.5K -&gt; 90.7K</a:t>
            </a:r>
            <a:endParaRPr lang="ko-KR" altLang="en-US" sz="1100"/>
          </a:p>
        </xdr:txBody>
      </xdr:sp>
      <xdr:sp macro="" textlink="">
        <xdr:nvSpPr>
          <xdr:cNvPr id="22" name="설명선 2 21"/>
          <xdr:cNvSpPr/>
        </xdr:nvSpPr>
        <xdr:spPr>
          <a:xfrm>
            <a:off x="1419225" y="419100"/>
            <a:ext cx="1381125" cy="219075"/>
          </a:xfrm>
          <a:prstGeom prst="borderCallout2">
            <a:avLst>
              <a:gd name="adj1" fmla="val 18750"/>
              <a:gd name="adj2" fmla="val -8333"/>
              <a:gd name="adj3" fmla="val 31794"/>
              <a:gd name="adj4" fmla="val -12529"/>
              <a:gd name="adj5" fmla="val 73369"/>
              <a:gd name="adj6" fmla="val -30115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R26 : </a:t>
            </a:r>
            <a:r>
              <a:rPr lang="en-US" altLang="ko-K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90.7K</a:t>
            </a:r>
            <a:r>
              <a:rPr lang="en-US" altLang="ko-KR" sz="1100"/>
              <a:t> -&gt; </a:t>
            </a:r>
            <a:r>
              <a:rPr lang="en-US" altLang="ko-K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73.5K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57150</xdr:colOff>
      <xdr:row>92</xdr:row>
      <xdr:rowOff>66675</xdr:rowOff>
    </xdr:from>
    <xdr:to>
      <xdr:col>16</xdr:col>
      <xdr:colOff>190500</xdr:colOff>
      <xdr:row>105</xdr:row>
      <xdr:rowOff>180975</xdr:rowOff>
    </xdr:to>
    <xdr:grpSp>
      <xdr:nvGrpSpPr>
        <xdr:cNvPr id="30" name="그룹 29"/>
        <xdr:cNvGrpSpPr/>
      </xdr:nvGrpSpPr>
      <xdr:grpSpPr>
        <a:xfrm>
          <a:off x="590550" y="19592925"/>
          <a:ext cx="7467600" cy="2838450"/>
          <a:chOff x="600075" y="19621500"/>
          <a:chExt cx="7467600" cy="2838450"/>
        </a:xfrm>
      </xdr:grpSpPr>
      <xdr:grpSp>
        <xdr:nvGrpSpPr>
          <xdr:cNvPr id="23" name="그룹 22"/>
          <xdr:cNvGrpSpPr/>
        </xdr:nvGrpSpPr>
        <xdr:grpSpPr>
          <a:xfrm>
            <a:off x="600075" y="19621500"/>
            <a:ext cx="7467600" cy="2838450"/>
            <a:chOff x="38100" y="0"/>
            <a:chExt cx="7745770" cy="2943224"/>
          </a:xfrm>
        </xdr:grpSpPr>
        <xdr:pic>
          <xdr:nvPicPr>
            <xdr:cNvPr id="24" name="그림 2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100" y="0"/>
              <a:ext cx="7745770" cy="2943224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5" name="설명선 2 24"/>
            <xdr:cNvSpPr/>
          </xdr:nvSpPr>
          <xdr:spPr>
            <a:xfrm>
              <a:off x="4476698" y="1762987"/>
              <a:ext cx="461787" cy="212331"/>
            </a:xfrm>
            <a:prstGeom prst="borderCallout2">
              <a:avLst>
                <a:gd name="adj1" fmla="val 18750"/>
                <a:gd name="adj2" fmla="val -8333"/>
                <a:gd name="adj3" fmla="val 18750"/>
                <a:gd name="adj4" fmla="val -16667"/>
                <a:gd name="adj5" fmla="val -219657"/>
                <a:gd name="adj6" fmla="val -50068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100"/>
                <a:t>NC</a:t>
              </a:r>
              <a:endParaRPr lang="ko-KR" altLang="en-US" sz="1100"/>
            </a:p>
          </xdr:txBody>
        </xdr:sp>
      </xdr:grpSp>
      <xdr:sp macro="" textlink="">
        <xdr:nvSpPr>
          <xdr:cNvPr id="27" name="설명선 2 26"/>
          <xdr:cNvSpPr/>
        </xdr:nvSpPr>
        <xdr:spPr>
          <a:xfrm>
            <a:off x="4371975" y="19707225"/>
            <a:ext cx="445203" cy="204772"/>
          </a:xfrm>
          <a:prstGeom prst="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352479"/>
              <a:gd name="adj6" fmla="val -112113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NC</a:t>
            </a:r>
            <a:endParaRPr lang="ko-KR" altLang="en-US" sz="1100"/>
          </a:p>
        </xdr:txBody>
      </xdr:sp>
      <xdr:cxnSp macro="">
        <xdr:nvCxnSpPr>
          <xdr:cNvPr id="28" name="직선 연결선 27"/>
          <xdr:cNvCxnSpPr/>
        </xdr:nvCxnSpPr>
        <xdr:spPr>
          <a:xfrm>
            <a:off x="3581400" y="20869275"/>
            <a:ext cx="0" cy="123825"/>
          </a:xfrm>
          <a:prstGeom prst="line">
            <a:avLst/>
          </a:prstGeom>
          <a:ln w="19050">
            <a:headEnd type="oval"/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설명선 2 28"/>
          <xdr:cNvSpPr/>
        </xdr:nvSpPr>
        <xdr:spPr>
          <a:xfrm>
            <a:off x="3857625" y="21536025"/>
            <a:ext cx="533400" cy="228600"/>
          </a:xfrm>
          <a:prstGeom prst="borderCallout2">
            <a:avLst>
              <a:gd name="adj1" fmla="val 18750"/>
              <a:gd name="adj2" fmla="val -8333"/>
              <a:gd name="adj3" fmla="val 18750"/>
              <a:gd name="adj4" fmla="val -16667"/>
              <a:gd name="adj5" fmla="val -219657"/>
              <a:gd name="adj6" fmla="val -50068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Short</a:t>
            </a:r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6</xdr:row>
      <xdr:rowOff>1</xdr:rowOff>
    </xdr:from>
    <xdr:to>
      <xdr:col>9</xdr:col>
      <xdr:colOff>666750</xdr:colOff>
      <xdr:row>16</xdr:row>
      <xdr:rowOff>195892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285876"/>
          <a:ext cx="5181600" cy="2291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47626</xdr:colOff>
      <xdr:row>2</xdr:row>
      <xdr:rowOff>38101</xdr:rowOff>
    </xdr:from>
    <xdr:to>
      <xdr:col>18</xdr:col>
      <xdr:colOff>600076</xdr:colOff>
      <xdr:row>12</xdr:row>
      <xdr:rowOff>144931</xdr:rowOff>
    </xdr:to>
    <xdr:grpSp>
      <xdr:nvGrpSpPr>
        <xdr:cNvPr id="5" name="그룹 4"/>
        <xdr:cNvGrpSpPr/>
      </xdr:nvGrpSpPr>
      <xdr:grpSpPr>
        <a:xfrm>
          <a:off x="6334126" y="466726"/>
          <a:ext cx="5353050" cy="2221380"/>
          <a:chOff x="6334126" y="466726"/>
          <a:chExt cx="5353050" cy="2221380"/>
        </a:xfrm>
      </xdr:grpSpPr>
      <xdr:pic>
        <xdr:nvPicPr>
          <xdr:cNvPr id="2" name="그림 1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34126" y="466726"/>
            <a:ext cx="5353050" cy="22213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설명선 2 3"/>
          <xdr:cNvSpPr/>
        </xdr:nvSpPr>
        <xdr:spPr>
          <a:xfrm>
            <a:off x="6438900" y="2333625"/>
            <a:ext cx="1400175" cy="285750"/>
          </a:xfrm>
          <a:prstGeom prst="borderCallout2">
            <a:avLst>
              <a:gd name="adj1" fmla="val 25417"/>
              <a:gd name="adj2" fmla="val 107313"/>
              <a:gd name="adj3" fmla="val 25417"/>
              <a:gd name="adj4" fmla="val 113945"/>
              <a:gd name="adj5" fmla="val -57501"/>
              <a:gd name="adj6" fmla="val 12952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 b="1"/>
              <a:t>R243 : 100K -&gt; 5.36K</a:t>
            </a:r>
            <a:endParaRPr lang="ko-KR" altLang="en-US" sz="11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590549</xdr:colOff>
          <xdr:row>43</xdr:row>
          <xdr:rowOff>104775</xdr:rowOff>
        </xdr:from>
        <xdr:to>
          <xdr:col>24</xdr:col>
          <xdr:colOff>207736</xdr:colOff>
          <xdr:row>58</xdr:row>
          <xdr:rowOff>123825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104776</xdr:rowOff>
    </xdr:from>
    <xdr:to>
      <xdr:col>10</xdr:col>
      <xdr:colOff>161925</xdr:colOff>
      <xdr:row>15</xdr:row>
      <xdr:rowOff>202532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3876"/>
          <a:ext cx="5553075" cy="2821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123825</xdr:colOff>
      <xdr:row>1</xdr:row>
      <xdr:rowOff>123825</xdr:rowOff>
    </xdr:from>
    <xdr:to>
      <xdr:col>21</xdr:col>
      <xdr:colOff>78447</xdr:colOff>
      <xdr:row>25</xdr:row>
      <xdr:rowOff>133350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333375"/>
          <a:ext cx="6126822" cy="503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43</xdr:row>
      <xdr:rowOff>66675</xdr:rowOff>
    </xdr:from>
    <xdr:to>
      <xdr:col>13</xdr:col>
      <xdr:colOff>71386</xdr:colOff>
      <xdr:row>56</xdr:row>
      <xdr:rowOff>19050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144000"/>
          <a:ext cx="7491361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</xdr:colOff>
      <xdr:row>43</xdr:row>
      <xdr:rowOff>38101</xdr:rowOff>
    </xdr:from>
    <xdr:to>
      <xdr:col>21</xdr:col>
      <xdr:colOff>342900</xdr:colOff>
      <xdr:row>53</xdr:row>
      <xdr:rowOff>60065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9115426"/>
          <a:ext cx="5095875" cy="2117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66676</xdr:colOff>
      <xdr:row>57</xdr:row>
      <xdr:rowOff>95251</xdr:rowOff>
    </xdr:from>
    <xdr:to>
      <xdr:col>24</xdr:col>
      <xdr:colOff>657225</xdr:colOff>
      <xdr:row>71</xdr:row>
      <xdr:rowOff>211630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6" y="12106276"/>
          <a:ext cx="7448549" cy="308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47626</xdr:colOff>
      <xdr:row>79</xdr:row>
      <xdr:rowOff>76200</xdr:rowOff>
    </xdr:from>
    <xdr:to>
      <xdr:col>17</xdr:col>
      <xdr:colOff>200026</xdr:colOff>
      <xdr:row>87</xdr:row>
      <xdr:rowOff>10959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6" y="16783050"/>
          <a:ext cx="2209800" cy="1611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</xdr:colOff>
      <xdr:row>79</xdr:row>
      <xdr:rowOff>148713</xdr:rowOff>
    </xdr:from>
    <xdr:to>
      <xdr:col>12</xdr:col>
      <xdr:colOff>609600</xdr:colOff>
      <xdr:row>93</xdr:row>
      <xdr:rowOff>21815</xdr:rowOff>
    </xdr:to>
    <xdr:grpSp>
      <xdr:nvGrpSpPr>
        <xdr:cNvPr id="6" name="그룹 5"/>
        <xdr:cNvGrpSpPr/>
      </xdr:nvGrpSpPr>
      <xdr:grpSpPr>
        <a:xfrm>
          <a:off x="523875" y="16855563"/>
          <a:ext cx="7458075" cy="2806802"/>
          <a:chOff x="8753475" y="15560163"/>
          <a:chExt cx="7458075" cy="2806802"/>
        </a:xfrm>
      </xdr:grpSpPr>
      <xdr:pic>
        <xdr:nvPicPr>
          <xdr:cNvPr id="10" name="그림 9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53475" y="15560163"/>
            <a:ext cx="7458075" cy="280680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모서리가 둥근 직사각형 10"/>
          <xdr:cNvSpPr/>
        </xdr:nvSpPr>
        <xdr:spPr>
          <a:xfrm>
            <a:off x="14906625" y="16459200"/>
            <a:ext cx="1304924" cy="158115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2</xdr:row>
      <xdr:rowOff>57150</xdr:rowOff>
    </xdr:from>
    <xdr:to>
      <xdr:col>16</xdr:col>
      <xdr:colOff>276225</xdr:colOff>
      <xdr:row>14</xdr:row>
      <xdr:rowOff>200025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76250"/>
          <a:ext cx="6315075" cy="265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9</xdr:row>
      <xdr:rowOff>95250</xdr:rowOff>
    </xdr:from>
    <xdr:to>
      <xdr:col>10</xdr:col>
      <xdr:colOff>238125</xdr:colOff>
      <xdr:row>22</xdr:row>
      <xdr:rowOff>95250</xdr:rowOff>
    </xdr:to>
    <xdr:grpSp>
      <xdr:nvGrpSpPr>
        <xdr:cNvPr id="11" name="그룹 10"/>
        <xdr:cNvGrpSpPr/>
      </xdr:nvGrpSpPr>
      <xdr:grpSpPr>
        <a:xfrm>
          <a:off x="1019175" y="2009775"/>
          <a:ext cx="4943475" cy="2733675"/>
          <a:chOff x="781050" y="8658225"/>
          <a:chExt cx="5934075" cy="2705100"/>
        </a:xfrm>
      </xdr:grpSpPr>
      <xdr:pic>
        <xdr:nvPicPr>
          <xdr:cNvPr id="7" name="그림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1050" y="8658225"/>
            <a:ext cx="5934075" cy="2705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모서리가 둥근 직사각형 7"/>
          <xdr:cNvSpPr/>
        </xdr:nvSpPr>
        <xdr:spPr>
          <a:xfrm>
            <a:off x="4514850" y="9248775"/>
            <a:ext cx="723900" cy="1343025"/>
          </a:xfrm>
          <a:prstGeom prst="roundRect">
            <a:avLst/>
          </a:prstGeom>
          <a:solidFill>
            <a:srgbClr val="FFC000">
              <a:alpha val="36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모서리가 둥근 직사각형 9"/>
          <xdr:cNvSpPr/>
        </xdr:nvSpPr>
        <xdr:spPr>
          <a:xfrm>
            <a:off x="1752600" y="9220200"/>
            <a:ext cx="723900" cy="581025"/>
          </a:xfrm>
          <a:prstGeom prst="roundRect">
            <a:avLst/>
          </a:prstGeom>
          <a:solidFill>
            <a:srgbClr val="FFC000">
              <a:alpha val="36000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</xdr:row>
      <xdr:rowOff>123825</xdr:rowOff>
    </xdr:from>
    <xdr:to>
      <xdr:col>12</xdr:col>
      <xdr:colOff>447675</xdr:colOff>
      <xdr:row>18</xdr:row>
      <xdr:rowOff>81014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542925"/>
          <a:ext cx="6953250" cy="3309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47625</xdr:colOff>
      <xdr:row>2</xdr:row>
      <xdr:rowOff>85726</xdr:rowOff>
    </xdr:from>
    <xdr:to>
      <xdr:col>21</xdr:col>
      <xdr:colOff>429929</xdr:colOff>
      <xdr:row>18</xdr:row>
      <xdr:rowOff>161926</xdr:rowOff>
    </xdr:to>
    <xdr:grpSp>
      <xdr:nvGrpSpPr>
        <xdr:cNvPr id="5" name="그룹 4"/>
        <xdr:cNvGrpSpPr/>
      </xdr:nvGrpSpPr>
      <xdr:grpSpPr>
        <a:xfrm>
          <a:off x="7820025" y="504826"/>
          <a:ext cx="5868704" cy="3429000"/>
          <a:chOff x="8143875" y="504826"/>
          <a:chExt cx="5868704" cy="3429000"/>
        </a:xfrm>
      </xdr:grpSpPr>
      <xdr:pic>
        <xdr:nvPicPr>
          <xdr:cNvPr id="3" name="그림 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43875" y="504826"/>
            <a:ext cx="5868704" cy="34290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모서리가 둥근 직사각형 3"/>
          <xdr:cNvSpPr/>
        </xdr:nvSpPr>
        <xdr:spPr>
          <a:xfrm>
            <a:off x="12363450" y="3495675"/>
            <a:ext cx="1000125" cy="171450"/>
          </a:xfrm>
          <a:prstGeom prst="roundRect">
            <a:avLst/>
          </a:prstGeom>
          <a:solidFill>
            <a:srgbClr val="FFC000">
              <a:alpha val="33000"/>
            </a:srgbClr>
          </a:solidFill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19</xdr:col>
      <xdr:colOff>523875</xdr:colOff>
      <xdr:row>1</xdr:row>
      <xdr:rowOff>161925</xdr:rowOff>
    </xdr:from>
    <xdr:to>
      <xdr:col>23</xdr:col>
      <xdr:colOff>190500</xdr:colOff>
      <xdr:row>10</xdr:row>
      <xdr:rowOff>0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1075" y="371475"/>
          <a:ext cx="240982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76201</xdr:colOff>
      <xdr:row>21</xdr:row>
      <xdr:rowOff>66675</xdr:rowOff>
    </xdr:from>
    <xdr:to>
      <xdr:col>24</xdr:col>
      <xdr:colOff>171451</xdr:colOff>
      <xdr:row>26</xdr:row>
      <xdr:rowOff>32038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1" y="4467225"/>
          <a:ext cx="2838450" cy="1032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123825</xdr:colOff>
      <xdr:row>32</xdr:row>
      <xdr:rowOff>142875</xdr:rowOff>
    </xdr:from>
    <xdr:to>
      <xdr:col>8</xdr:col>
      <xdr:colOff>476250</xdr:colOff>
      <xdr:row>45</xdr:row>
      <xdr:rowOff>152400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6896100"/>
          <a:ext cx="41433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33</xdr:row>
      <xdr:rowOff>85725</xdr:rowOff>
    </xdr:from>
    <xdr:to>
      <xdr:col>6</xdr:col>
      <xdr:colOff>333375</xdr:colOff>
      <xdr:row>43</xdr:row>
      <xdr:rowOff>107553</xdr:rowOff>
    </xdr:to>
    <xdr:grpSp>
      <xdr:nvGrpSpPr>
        <xdr:cNvPr id="5" name="그룹 4"/>
        <xdr:cNvGrpSpPr/>
      </xdr:nvGrpSpPr>
      <xdr:grpSpPr>
        <a:xfrm>
          <a:off x="962025" y="7077075"/>
          <a:ext cx="2771775" cy="2145903"/>
          <a:chOff x="6934200" y="3419475"/>
          <a:chExt cx="2771775" cy="2117328"/>
        </a:xfrm>
      </xdr:grpSpPr>
      <xdr:pic>
        <xdr:nvPicPr>
          <xdr:cNvPr id="4" name="그림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34200" y="3419475"/>
            <a:ext cx="2771775" cy="21173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모서리가 둥근 직사각형 2"/>
          <xdr:cNvSpPr/>
        </xdr:nvSpPr>
        <xdr:spPr>
          <a:xfrm>
            <a:off x="7019925" y="4972050"/>
            <a:ext cx="2543175" cy="21907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209550</xdr:colOff>
      <xdr:row>47</xdr:row>
      <xdr:rowOff>95251</xdr:rowOff>
    </xdr:from>
    <xdr:to>
      <xdr:col>10</xdr:col>
      <xdr:colOff>409575</xdr:colOff>
      <xdr:row>61</xdr:row>
      <xdr:rowOff>74679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0020301"/>
          <a:ext cx="5686425" cy="2913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53</xdr:row>
          <xdr:rowOff>76200</xdr:rowOff>
        </xdr:from>
        <xdr:to>
          <xdr:col>22</xdr:col>
          <xdr:colOff>0</xdr:colOff>
          <xdr:row>60</xdr:row>
          <xdr:rowOff>161925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504825</xdr:colOff>
          <xdr:row>61</xdr:row>
          <xdr:rowOff>123825</xdr:rowOff>
        </xdr:from>
        <xdr:to>
          <xdr:col>22</xdr:col>
          <xdr:colOff>9525</xdr:colOff>
          <xdr:row>68</xdr:row>
          <xdr:rowOff>19050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</xdr:row>
      <xdr:rowOff>85725</xdr:rowOff>
    </xdr:from>
    <xdr:to>
      <xdr:col>14</xdr:col>
      <xdr:colOff>676275</xdr:colOff>
      <xdr:row>12</xdr:row>
      <xdr:rowOff>19507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5275"/>
          <a:ext cx="8867775" cy="2238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34.emf"/><Relationship Id="rId4" Type="http://schemas.openxmlformats.org/officeDocument/2006/relationships/oleObject" Target="../embeddings/oleObject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44.emf"/><Relationship Id="rId4" Type="http://schemas.openxmlformats.org/officeDocument/2006/relationships/oleObject" Target="../embeddings/oleObject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50.emf"/><Relationship Id="rId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8.vml"/><Relationship Id="rId7" Type="http://schemas.openxmlformats.org/officeDocument/2006/relationships/image" Target="../media/image65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64.emf"/><Relationship Id="rId4" Type="http://schemas.openxmlformats.org/officeDocument/2006/relationships/oleObject" Target="../embeddings/oleObject7.bin"/><Relationship Id="rId9" Type="http://schemas.openxmlformats.org/officeDocument/2006/relationships/image" Target="../media/image66.emf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26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25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zoomScale="85" zoomScaleNormal="85" workbookViewId="0">
      <selection activeCell="D10" sqref="D10"/>
    </sheetView>
  </sheetViews>
  <sheetFormatPr defaultRowHeight="16.5" x14ac:dyDescent="0.3"/>
  <cols>
    <col min="3" max="3" width="55.625" customWidth="1"/>
    <col min="4" max="4" width="60.75" style="427" customWidth="1"/>
    <col min="5" max="5" width="62.125" style="427" customWidth="1"/>
  </cols>
  <sheetData>
    <row r="1" spans="2:5" ht="17.25" thickBot="1" x14ac:dyDescent="0.35"/>
    <row r="2" spans="2:5" s="415" customFormat="1" x14ac:dyDescent="0.3">
      <c r="B2" s="330" t="s">
        <v>328</v>
      </c>
      <c r="C2" s="329" t="s">
        <v>331</v>
      </c>
      <c r="D2" s="331" t="s">
        <v>329</v>
      </c>
      <c r="E2" s="428" t="s">
        <v>330</v>
      </c>
    </row>
    <row r="3" spans="2:5" x14ac:dyDescent="0.3">
      <c r="B3" s="104" t="s">
        <v>337</v>
      </c>
      <c r="C3" s="106" t="s">
        <v>338</v>
      </c>
      <c r="D3" s="429"/>
      <c r="E3" s="430"/>
    </row>
    <row r="4" spans="2:5" ht="33" x14ac:dyDescent="0.3">
      <c r="B4" s="104" t="s">
        <v>336</v>
      </c>
      <c r="C4" s="106" t="s">
        <v>334</v>
      </c>
      <c r="D4" s="429" t="s">
        <v>335</v>
      </c>
      <c r="E4" s="430" t="s">
        <v>341</v>
      </c>
    </row>
    <row r="5" spans="2:5" x14ac:dyDescent="0.3">
      <c r="B5" s="104" t="s">
        <v>333</v>
      </c>
      <c r="C5" s="106" t="s">
        <v>339</v>
      </c>
      <c r="D5" s="429" t="s">
        <v>332</v>
      </c>
      <c r="E5" s="430" t="s">
        <v>340</v>
      </c>
    </row>
    <row r="6" spans="2:5" x14ac:dyDescent="0.3">
      <c r="B6" s="104" t="s">
        <v>343</v>
      </c>
      <c r="C6" s="106" t="s">
        <v>342</v>
      </c>
      <c r="D6" s="429" t="s">
        <v>344</v>
      </c>
      <c r="E6" s="430" t="s">
        <v>345</v>
      </c>
    </row>
    <row r="7" spans="2:5" ht="33" x14ac:dyDescent="0.3">
      <c r="B7" s="104" t="s">
        <v>371</v>
      </c>
      <c r="C7" s="429" t="s">
        <v>372</v>
      </c>
      <c r="D7" s="429" t="s">
        <v>373</v>
      </c>
      <c r="E7" s="430" t="s">
        <v>374</v>
      </c>
    </row>
    <row r="8" spans="2:5" x14ac:dyDescent="0.3">
      <c r="B8" s="104" t="s">
        <v>590</v>
      </c>
      <c r="C8" s="106" t="s">
        <v>1308</v>
      </c>
      <c r="D8" s="429"/>
      <c r="E8" s="430" t="s">
        <v>591</v>
      </c>
    </row>
    <row r="9" spans="2:5" ht="148.5" x14ac:dyDescent="0.3">
      <c r="B9" s="104" t="s">
        <v>590</v>
      </c>
      <c r="C9" s="106" t="s">
        <v>597</v>
      </c>
      <c r="D9" s="429"/>
      <c r="E9" s="430" t="s">
        <v>592</v>
      </c>
    </row>
    <row r="10" spans="2:5" ht="231" x14ac:dyDescent="0.3">
      <c r="B10" s="104" t="s">
        <v>590</v>
      </c>
      <c r="C10" s="106" t="s">
        <v>626</v>
      </c>
      <c r="D10" s="512" t="s">
        <v>593</v>
      </c>
      <c r="E10" s="513" t="s">
        <v>594</v>
      </c>
    </row>
    <row r="11" spans="2:5" ht="115.5" x14ac:dyDescent="0.3">
      <c r="B11" s="104" t="s">
        <v>590</v>
      </c>
      <c r="C11" s="106" t="s">
        <v>597</v>
      </c>
      <c r="D11" s="512" t="s">
        <v>596</v>
      </c>
      <c r="E11" s="513" t="s">
        <v>595</v>
      </c>
    </row>
    <row r="12" spans="2:5" ht="82.5" x14ac:dyDescent="0.3">
      <c r="B12" s="104" t="s">
        <v>1058</v>
      </c>
      <c r="C12" s="751" t="s">
        <v>1313</v>
      </c>
      <c r="D12" s="784" t="s">
        <v>411</v>
      </c>
      <c r="E12" s="430" t="s">
        <v>1316</v>
      </c>
    </row>
    <row r="13" spans="2:5" ht="49.5" x14ac:dyDescent="0.3">
      <c r="B13" s="104"/>
      <c r="C13" s="751" t="s">
        <v>1321</v>
      </c>
      <c r="D13" s="429" t="s">
        <v>1309</v>
      </c>
      <c r="E13" s="430" t="s">
        <v>1310</v>
      </c>
    </row>
    <row r="14" spans="2:5" ht="33" x14ac:dyDescent="0.3">
      <c r="B14" s="104"/>
      <c r="C14" s="751" t="s">
        <v>1314</v>
      </c>
      <c r="D14" s="784" t="s">
        <v>411</v>
      </c>
      <c r="E14" s="430" t="s">
        <v>1311</v>
      </c>
    </row>
    <row r="15" spans="2:5" x14ac:dyDescent="0.3">
      <c r="B15" s="104"/>
      <c r="C15" s="751" t="s">
        <v>1325</v>
      </c>
      <c r="D15" s="784" t="s">
        <v>411</v>
      </c>
      <c r="E15" s="430" t="s">
        <v>1312</v>
      </c>
    </row>
    <row r="16" spans="2:5" ht="33" x14ac:dyDescent="0.3">
      <c r="B16" s="104"/>
      <c r="C16" s="751" t="s">
        <v>1322</v>
      </c>
      <c r="D16" s="784" t="s">
        <v>411</v>
      </c>
      <c r="E16" s="430" t="s">
        <v>1315</v>
      </c>
    </row>
    <row r="17" spans="2:5" ht="49.5" x14ac:dyDescent="0.3">
      <c r="B17" s="104"/>
      <c r="C17" s="751"/>
      <c r="D17" s="429"/>
      <c r="E17" s="430" t="s">
        <v>1323</v>
      </c>
    </row>
    <row r="18" spans="2:5" ht="99" x14ac:dyDescent="0.3">
      <c r="B18" s="104"/>
      <c r="C18" s="751" t="s">
        <v>1325</v>
      </c>
      <c r="D18" s="429"/>
      <c r="E18" s="430" t="s">
        <v>1324</v>
      </c>
    </row>
    <row r="19" spans="2:5" x14ac:dyDescent="0.3">
      <c r="B19" s="104"/>
      <c r="C19" s="751"/>
      <c r="D19" s="429"/>
      <c r="E19" s="430"/>
    </row>
    <row r="20" spans="2:5" x14ac:dyDescent="0.3">
      <c r="B20" s="104"/>
      <c r="C20" s="751"/>
      <c r="D20" s="429"/>
      <c r="E20" s="430"/>
    </row>
    <row r="21" spans="2:5" x14ac:dyDescent="0.3">
      <c r="B21" s="104"/>
      <c r="C21" s="751"/>
      <c r="D21" s="429"/>
      <c r="E21" s="430"/>
    </row>
    <row r="22" spans="2:5" x14ac:dyDescent="0.3">
      <c r="B22" s="104"/>
      <c r="C22" s="751"/>
      <c r="D22" s="429"/>
      <c r="E22" s="430"/>
    </row>
    <row r="23" spans="2:5" x14ac:dyDescent="0.3">
      <c r="B23" s="104"/>
      <c r="C23" s="751"/>
      <c r="D23" s="429"/>
      <c r="E23" s="430"/>
    </row>
    <row r="24" spans="2:5" x14ac:dyDescent="0.3">
      <c r="B24" s="104"/>
      <c r="C24" s="751"/>
      <c r="D24" s="429"/>
      <c r="E24" s="430"/>
    </row>
    <row r="25" spans="2:5" x14ac:dyDescent="0.3">
      <c r="B25" s="104"/>
      <c r="C25" s="106"/>
      <c r="D25" s="429"/>
      <c r="E25" s="430"/>
    </row>
    <row r="26" spans="2:5" x14ac:dyDescent="0.3">
      <c r="B26" s="104"/>
      <c r="C26" s="106"/>
      <c r="D26" s="429"/>
      <c r="E26" s="430"/>
    </row>
    <row r="27" spans="2:5" ht="17.25" thickBot="1" x14ac:dyDescent="0.35">
      <c r="B27" s="118"/>
      <c r="C27" s="109"/>
      <c r="D27" s="431"/>
      <c r="E27" s="43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6:C17"/>
  <sheetViews>
    <sheetView workbookViewId="0">
      <selection activeCell="K22" sqref="K22"/>
    </sheetView>
  </sheetViews>
  <sheetFormatPr defaultRowHeight="16.5" x14ac:dyDescent="0.3"/>
  <sheetData>
    <row r="16" spans="3:3" x14ac:dyDescent="0.3">
      <c r="C16" t="s">
        <v>627</v>
      </c>
    </row>
    <row r="17" spans="3:3" x14ac:dyDescent="0.3">
      <c r="C17" t="s">
        <v>628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F29" sqref="F29"/>
    </sheetView>
  </sheetViews>
  <sheetFormatPr defaultRowHeight="16.5" x14ac:dyDescent="0.3"/>
  <cols>
    <col min="1" max="1" width="3.75" customWidth="1"/>
    <col min="2" max="2" width="4.5" customWidth="1"/>
  </cols>
  <sheetData>
    <row r="1" spans="2:15" ht="17.25" thickBot="1" x14ac:dyDescent="0.35"/>
    <row r="2" spans="2:15" x14ac:dyDescent="0.3">
      <c r="B2" t="s">
        <v>418</v>
      </c>
      <c r="I2" s="388"/>
      <c r="J2" s="985" t="s">
        <v>445</v>
      </c>
      <c r="K2" s="985"/>
      <c r="L2" s="985" t="s">
        <v>446</v>
      </c>
      <c r="M2" s="985"/>
      <c r="N2" s="451"/>
      <c r="O2" s="452"/>
    </row>
    <row r="3" spans="2:15" ht="17.25" thickBot="1" x14ac:dyDescent="0.35">
      <c r="I3" s="423"/>
      <c r="J3" s="129" t="s">
        <v>443</v>
      </c>
      <c r="K3" s="129" t="s">
        <v>444</v>
      </c>
      <c r="L3" s="129" t="s">
        <v>443</v>
      </c>
      <c r="M3" s="129" t="s">
        <v>444</v>
      </c>
      <c r="N3" s="453"/>
      <c r="O3" s="454"/>
    </row>
    <row r="4" spans="2:15" x14ac:dyDescent="0.3">
      <c r="C4" t="s">
        <v>419</v>
      </c>
      <c r="D4">
        <v>28</v>
      </c>
      <c r="E4">
        <v>28</v>
      </c>
      <c r="F4" t="s">
        <v>420</v>
      </c>
      <c r="I4" s="433" t="s">
        <v>436</v>
      </c>
      <c r="J4" s="116">
        <v>5</v>
      </c>
      <c r="K4" s="116">
        <v>5</v>
      </c>
      <c r="L4" s="116">
        <v>28</v>
      </c>
      <c r="M4" s="116">
        <v>28</v>
      </c>
      <c r="N4" s="116">
        <v>3.3</v>
      </c>
      <c r="O4" s="117" t="s">
        <v>77</v>
      </c>
    </row>
    <row r="5" spans="2:15" x14ac:dyDescent="0.3">
      <c r="C5" t="s">
        <v>421</v>
      </c>
      <c r="D5">
        <v>3.3</v>
      </c>
      <c r="E5">
        <v>3.3</v>
      </c>
      <c r="F5" t="s">
        <v>422</v>
      </c>
      <c r="I5" s="434" t="s">
        <v>432</v>
      </c>
      <c r="J5" s="106">
        <v>2</v>
      </c>
      <c r="K5" s="106">
        <v>0.5</v>
      </c>
      <c r="L5" s="106">
        <v>6.65</v>
      </c>
      <c r="M5" s="106">
        <v>3.3</v>
      </c>
      <c r="N5" s="106">
        <v>0.33</v>
      </c>
      <c r="O5" s="107" t="s">
        <v>86</v>
      </c>
    </row>
    <row r="6" spans="2:15" ht="17.25" thickBot="1" x14ac:dyDescent="0.35">
      <c r="C6" t="s">
        <v>423</v>
      </c>
      <c r="D6">
        <v>1</v>
      </c>
      <c r="E6">
        <v>0.3</v>
      </c>
      <c r="F6" t="s">
        <v>422</v>
      </c>
      <c r="I6" s="435" t="s">
        <v>441</v>
      </c>
      <c r="J6" s="109">
        <f>J4/J5</f>
        <v>2.5</v>
      </c>
      <c r="K6" s="113">
        <f>K4/K5</f>
        <v>10</v>
      </c>
      <c r="L6" s="113">
        <f>L4/L5</f>
        <v>4.2105263157894735</v>
      </c>
      <c r="M6" s="113">
        <f>M4/M5</f>
        <v>8.4848484848484844</v>
      </c>
      <c r="N6" s="113">
        <f>N4/N5</f>
        <v>9.9999999999999982</v>
      </c>
      <c r="O6" s="110" t="s">
        <v>426</v>
      </c>
    </row>
    <row r="7" spans="2:15" x14ac:dyDescent="0.3">
      <c r="C7" t="s">
        <v>424</v>
      </c>
      <c r="D7" s="174">
        <f>D4*D6/(D5+D6)</f>
        <v>6.5116279069767442</v>
      </c>
      <c r="E7" s="174">
        <f>E4*E6/(E5+E6)</f>
        <v>2.3333333333333335</v>
      </c>
      <c r="F7" t="s">
        <v>420</v>
      </c>
      <c r="I7" t="s">
        <v>442</v>
      </c>
    </row>
    <row r="8" spans="2:15" x14ac:dyDescent="0.3">
      <c r="C8" t="s">
        <v>425</v>
      </c>
      <c r="D8" s="174">
        <f>D4/D5</f>
        <v>8.4848484848484844</v>
      </c>
      <c r="F8" t="s">
        <v>426</v>
      </c>
    </row>
    <row r="10" spans="2:15" x14ac:dyDescent="0.3">
      <c r="C10" t="s">
        <v>427</v>
      </c>
      <c r="D10">
        <v>15.7</v>
      </c>
      <c r="F10" t="s">
        <v>420</v>
      </c>
    </row>
    <row r="11" spans="2:15" x14ac:dyDescent="0.3">
      <c r="C11" t="s">
        <v>428</v>
      </c>
      <c r="D11">
        <v>14.6</v>
      </c>
      <c r="F11" t="s">
        <v>420</v>
      </c>
    </row>
    <row r="12" spans="2:15" x14ac:dyDescent="0.3">
      <c r="C12" t="s">
        <v>429</v>
      </c>
    </row>
    <row r="13" spans="2:15" x14ac:dyDescent="0.3">
      <c r="I13" t="s">
        <v>447</v>
      </c>
      <c r="J13">
        <v>28</v>
      </c>
      <c r="K13">
        <v>28</v>
      </c>
      <c r="L13" t="s">
        <v>77</v>
      </c>
    </row>
    <row r="14" spans="2:15" x14ac:dyDescent="0.3">
      <c r="I14" t="s">
        <v>448</v>
      </c>
      <c r="J14">
        <v>3.3</v>
      </c>
      <c r="K14">
        <v>3.3</v>
      </c>
      <c r="L14" t="s">
        <v>86</v>
      </c>
    </row>
    <row r="15" spans="2:15" x14ac:dyDescent="0.3">
      <c r="C15" t="s">
        <v>431</v>
      </c>
      <c r="D15">
        <v>1.1499999999999999</v>
      </c>
      <c r="E15" t="s">
        <v>420</v>
      </c>
      <c r="I15" t="s">
        <v>449</v>
      </c>
      <c r="J15">
        <v>1</v>
      </c>
      <c r="K15">
        <v>1</v>
      </c>
      <c r="L15" t="s">
        <v>86</v>
      </c>
    </row>
    <row r="16" spans="2:15" x14ac:dyDescent="0.3">
      <c r="C16" t="s">
        <v>430</v>
      </c>
      <c r="D16">
        <v>0.01</v>
      </c>
      <c r="E16" t="s">
        <v>155</v>
      </c>
      <c r="I16" t="s">
        <v>450</v>
      </c>
      <c r="J16">
        <v>0.3</v>
      </c>
      <c r="K16">
        <v>0.4</v>
      </c>
      <c r="L16" t="s">
        <v>86</v>
      </c>
    </row>
    <row r="17" spans="3:12" x14ac:dyDescent="0.3">
      <c r="C17" t="s">
        <v>432</v>
      </c>
      <c r="D17">
        <f>D15/D16</f>
        <v>114.99999999999999</v>
      </c>
      <c r="E17" t="s">
        <v>433</v>
      </c>
      <c r="I17" t="s">
        <v>451</v>
      </c>
      <c r="J17" s="173">
        <f>(J15*J16)/(J15+J16)</f>
        <v>0.23076923076923075</v>
      </c>
      <c r="K17" s="173">
        <f>(K15*K16)/(K15+K16)</f>
        <v>0.28571428571428575</v>
      </c>
      <c r="L17" t="s">
        <v>86</v>
      </c>
    </row>
    <row r="18" spans="3:12" x14ac:dyDescent="0.3">
      <c r="I18" t="s">
        <v>452</v>
      </c>
      <c r="J18" s="174">
        <f>J13*J17/(J14+J17)</f>
        <v>1.8300653594771241</v>
      </c>
      <c r="K18" s="174">
        <f>K13*K17/(K14+K17)</f>
        <v>2.2310756972111561</v>
      </c>
      <c r="L18" t="s">
        <v>453</v>
      </c>
    </row>
    <row r="19" spans="3:12" x14ac:dyDescent="0.3">
      <c r="C19" t="s">
        <v>436</v>
      </c>
      <c r="E19">
        <v>28</v>
      </c>
      <c r="G19">
        <v>28</v>
      </c>
    </row>
    <row r="20" spans="3:12" x14ac:dyDescent="0.3">
      <c r="C20" t="s">
        <v>421</v>
      </c>
      <c r="E20">
        <v>3300</v>
      </c>
      <c r="G20">
        <v>3300</v>
      </c>
      <c r="H20" t="s">
        <v>437</v>
      </c>
    </row>
    <row r="21" spans="3:12" x14ac:dyDescent="0.3">
      <c r="C21" t="s">
        <v>423</v>
      </c>
      <c r="D21">
        <v>1000</v>
      </c>
      <c r="E21" s="1069">
        <f>(D21*D22)/(D21+D22)</f>
        <v>230.76923076923077</v>
      </c>
      <c r="F21">
        <v>680</v>
      </c>
      <c r="G21" s="1069">
        <f>(F21*F22)/(F21+F22)</f>
        <v>208.16326530612244</v>
      </c>
      <c r="H21" s="1069" t="s">
        <v>437</v>
      </c>
    </row>
    <row r="22" spans="3:12" x14ac:dyDescent="0.3">
      <c r="C22" t="s">
        <v>434</v>
      </c>
      <c r="D22">
        <v>300</v>
      </c>
      <c r="E22" s="1069"/>
      <c r="F22">
        <v>300</v>
      </c>
      <c r="G22" s="1069"/>
      <c r="H22" s="1069"/>
    </row>
    <row r="23" spans="3:12" x14ac:dyDescent="0.3">
      <c r="C23" t="s">
        <v>435</v>
      </c>
      <c r="E23">
        <v>4000</v>
      </c>
      <c r="G23">
        <v>4000</v>
      </c>
      <c r="H23" t="s">
        <v>437</v>
      </c>
    </row>
    <row r="24" spans="3:12" x14ac:dyDescent="0.3">
      <c r="C24" t="s">
        <v>439</v>
      </c>
      <c r="E24">
        <f>E19*(E21+E23)/(E20+E21+E23)</f>
        <v>15.730337078651685</v>
      </c>
      <c r="G24">
        <f>G19*(G21+G23)/(G20+G21+G23)</f>
        <v>15.693394944278335</v>
      </c>
      <c r="H24" t="s">
        <v>76</v>
      </c>
    </row>
    <row r="25" spans="3:12" x14ac:dyDescent="0.3">
      <c r="C25" t="s">
        <v>438</v>
      </c>
      <c r="E25">
        <f>E24*E23/(E21+E23)</f>
        <v>14.872318692543411</v>
      </c>
      <c r="G25">
        <f>G24*G23/(G21+G23)</f>
        <v>14.91709703723838</v>
      </c>
    </row>
    <row r="26" spans="3:12" x14ac:dyDescent="0.3">
      <c r="C26" t="s">
        <v>440</v>
      </c>
      <c r="E26">
        <f>(E19-E24)/E20</f>
        <v>3.718079673135853E-3</v>
      </c>
    </row>
  </sheetData>
  <mergeCells count="5">
    <mergeCell ref="E21:E22"/>
    <mergeCell ref="H21:H22"/>
    <mergeCell ref="G21:G22"/>
    <mergeCell ref="J2:K2"/>
    <mergeCell ref="L2:M2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"/>
  <sheetViews>
    <sheetView zoomScaleNormal="100" workbookViewId="0">
      <selection activeCell="E31" sqref="E31"/>
    </sheetView>
  </sheetViews>
  <sheetFormatPr defaultRowHeight="16.5" x14ac:dyDescent="0.3"/>
  <cols>
    <col min="1" max="1" width="3.25" customWidth="1"/>
    <col min="2" max="2" width="5.25" customWidth="1"/>
    <col min="3" max="3" width="17.5" customWidth="1"/>
    <col min="4" max="4" width="15.5" customWidth="1"/>
    <col min="5" max="5" width="35" customWidth="1"/>
    <col min="6" max="6" width="6.875" style="172" customWidth="1"/>
    <col min="8" max="8" width="23" customWidth="1"/>
    <col min="9" max="9" width="4" customWidth="1"/>
  </cols>
  <sheetData>
    <row r="3" spans="2:8" ht="20.25" x14ac:dyDescent="0.3">
      <c r="B3" s="511" t="s">
        <v>545</v>
      </c>
    </row>
    <row r="4" spans="2:8" ht="17.25" thickBot="1" x14ac:dyDescent="0.35"/>
    <row r="5" spans="2:8" s="415" customFormat="1" ht="18" thickBot="1" x14ac:dyDescent="0.35">
      <c r="B5" s="508" t="s">
        <v>546</v>
      </c>
      <c r="C5" s="1075" t="s">
        <v>565</v>
      </c>
      <c r="D5" s="1075"/>
      <c r="E5" s="509" t="s">
        <v>566</v>
      </c>
      <c r="F5" s="509" t="s">
        <v>549</v>
      </c>
      <c r="G5" s="509" t="s">
        <v>550</v>
      </c>
      <c r="H5" s="510" t="s">
        <v>551</v>
      </c>
    </row>
    <row r="6" spans="2:8" x14ac:dyDescent="0.3">
      <c r="B6" s="491">
        <v>1</v>
      </c>
      <c r="C6" s="1006" t="s">
        <v>547</v>
      </c>
      <c r="D6" s="1006"/>
      <c r="E6" s="489" t="s">
        <v>548</v>
      </c>
      <c r="F6" s="489">
        <v>1</v>
      </c>
      <c r="G6" s="116"/>
      <c r="H6" s="117"/>
    </row>
    <row r="7" spans="2:8" x14ac:dyDescent="0.3">
      <c r="B7" s="492">
        <v>2</v>
      </c>
      <c r="C7" s="992" t="s">
        <v>552</v>
      </c>
      <c r="D7" s="992"/>
      <c r="E7" s="490" t="s">
        <v>553</v>
      </c>
      <c r="F7" s="490">
        <v>1</v>
      </c>
      <c r="G7" s="106"/>
      <c r="H7" s="107"/>
    </row>
    <row r="8" spans="2:8" x14ac:dyDescent="0.3">
      <c r="B8" s="492">
        <v>3</v>
      </c>
      <c r="C8" s="992" t="s">
        <v>578</v>
      </c>
      <c r="D8" s="992"/>
      <c r="E8" s="490" t="s">
        <v>554</v>
      </c>
      <c r="F8" s="490">
        <v>1</v>
      </c>
      <c r="G8" s="106"/>
      <c r="H8" s="107"/>
    </row>
    <row r="9" spans="2:8" x14ac:dyDescent="0.3">
      <c r="B9" s="492">
        <v>4</v>
      </c>
      <c r="C9" s="992" t="s">
        <v>555</v>
      </c>
      <c r="D9" s="992"/>
      <c r="E9" s="490" t="s">
        <v>556</v>
      </c>
      <c r="F9" s="490">
        <v>1</v>
      </c>
      <c r="G9" s="106"/>
      <c r="H9" s="107"/>
    </row>
    <row r="10" spans="2:8" x14ac:dyDescent="0.3">
      <c r="B10" s="960">
        <v>5</v>
      </c>
      <c r="C10" s="992" t="s">
        <v>598</v>
      </c>
      <c r="D10" s="106" t="s">
        <v>557</v>
      </c>
      <c r="E10" s="967" t="s">
        <v>560</v>
      </c>
      <c r="F10" s="1074">
        <v>1</v>
      </c>
      <c r="G10" s="1070"/>
      <c r="H10" s="1072"/>
    </row>
    <row r="11" spans="2:8" x14ac:dyDescent="0.3">
      <c r="B11" s="960"/>
      <c r="C11" s="992"/>
      <c r="D11" s="106" t="s">
        <v>558</v>
      </c>
      <c r="E11" s="967"/>
      <c r="F11" s="1071"/>
      <c r="G11" s="1071"/>
      <c r="H11" s="1073"/>
    </row>
    <row r="12" spans="2:8" x14ac:dyDescent="0.3">
      <c r="B12" s="960"/>
      <c r="C12" s="992"/>
      <c r="D12" s="106" t="s">
        <v>559</v>
      </c>
      <c r="E12" s="967"/>
      <c r="F12" s="1006"/>
      <c r="G12" s="1006"/>
      <c r="H12" s="1007"/>
    </row>
    <row r="13" spans="2:8" x14ac:dyDescent="0.3">
      <c r="B13" s="492">
        <v>6</v>
      </c>
      <c r="C13" s="992" t="s">
        <v>561</v>
      </c>
      <c r="D13" s="992"/>
      <c r="E13" s="490" t="s">
        <v>562</v>
      </c>
      <c r="F13" s="490">
        <v>1</v>
      </c>
      <c r="G13" s="106"/>
      <c r="H13" s="107"/>
    </row>
    <row r="14" spans="2:8" ht="17.25" thickBot="1" x14ac:dyDescent="0.35">
      <c r="B14" s="487">
        <v>7</v>
      </c>
      <c r="C14" s="1011" t="s">
        <v>563</v>
      </c>
      <c r="D14" s="1011"/>
      <c r="E14" s="488" t="s">
        <v>564</v>
      </c>
      <c r="F14" s="488">
        <v>1</v>
      </c>
      <c r="G14" s="109"/>
      <c r="H14" s="110"/>
    </row>
    <row r="15" spans="2:8" x14ac:dyDescent="0.3">
      <c r="B15" s="415"/>
    </row>
    <row r="16" spans="2:8" ht="17.25" thickBot="1" x14ac:dyDescent="0.35">
      <c r="B16" s="415"/>
    </row>
    <row r="17" spans="2:8" s="415" customFormat="1" ht="21" customHeight="1" thickBot="1" x14ac:dyDescent="0.35">
      <c r="B17" s="508" t="s">
        <v>546</v>
      </c>
      <c r="C17" s="1075" t="s">
        <v>567</v>
      </c>
      <c r="D17" s="1075"/>
      <c r="E17" s="509" t="s">
        <v>566</v>
      </c>
      <c r="F17" s="509" t="s">
        <v>549</v>
      </c>
      <c r="G17" s="509" t="s">
        <v>550</v>
      </c>
      <c r="H17" s="510" t="s">
        <v>551</v>
      </c>
    </row>
    <row r="18" spans="2:8" x14ac:dyDescent="0.3">
      <c r="B18" s="972">
        <v>1</v>
      </c>
      <c r="C18" s="1006" t="s">
        <v>568</v>
      </c>
      <c r="D18" s="116" t="s">
        <v>557</v>
      </c>
      <c r="E18" s="116" t="s">
        <v>573</v>
      </c>
      <c r="F18" s="489">
        <v>1</v>
      </c>
      <c r="G18" s="116"/>
      <c r="H18" s="117"/>
    </row>
    <row r="19" spans="2:8" x14ac:dyDescent="0.3">
      <c r="B19" s="960"/>
      <c r="C19" s="992"/>
      <c r="D19" s="106" t="s">
        <v>578</v>
      </c>
      <c r="E19" s="106" t="s">
        <v>573</v>
      </c>
      <c r="F19" s="490">
        <v>1</v>
      </c>
      <c r="G19" s="106"/>
      <c r="H19" s="107"/>
    </row>
    <row r="20" spans="2:8" x14ac:dyDescent="0.3">
      <c r="B20" s="960"/>
      <c r="C20" s="992"/>
      <c r="D20" s="106" t="s">
        <v>579</v>
      </c>
      <c r="E20" s="106" t="s">
        <v>573</v>
      </c>
      <c r="F20" s="490">
        <v>1</v>
      </c>
      <c r="G20" s="106"/>
      <c r="H20" s="107"/>
    </row>
    <row r="21" spans="2:8" x14ac:dyDescent="0.3">
      <c r="B21" s="960"/>
      <c r="C21" s="992"/>
      <c r="D21" s="106" t="s">
        <v>559</v>
      </c>
      <c r="E21" s="106" t="s">
        <v>574</v>
      </c>
      <c r="F21" s="490">
        <v>1</v>
      </c>
      <c r="G21" s="106"/>
      <c r="H21" s="107"/>
    </row>
    <row r="22" spans="2:8" x14ac:dyDescent="0.3">
      <c r="B22" s="960">
        <v>2</v>
      </c>
      <c r="C22" s="1076" t="s">
        <v>577</v>
      </c>
      <c r="D22" s="106" t="s">
        <v>571</v>
      </c>
      <c r="E22" s="106" t="s">
        <v>573</v>
      </c>
      <c r="F22" s="490">
        <v>1</v>
      </c>
      <c r="G22" s="106"/>
      <c r="H22" s="107"/>
    </row>
    <row r="23" spans="2:8" x14ac:dyDescent="0.3">
      <c r="B23" s="960"/>
      <c r="C23" s="992"/>
      <c r="D23" s="106" t="s">
        <v>572</v>
      </c>
      <c r="E23" s="106" t="s">
        <v>573</v>
      </c>
      <c r="F23" s="490">
        <v>1</v>
      </c>
      <c r="G23" s="106"/>
      <c r="H23" s="107"/>
    </row>
    <row r="24" spans="2:8" x14ac:dyDescent="0.3">
      <c r="B24" s="492">
        <v>3</v>
      </c>
      <c r="C24" s="992" t="s">
        <v>569</v>
      </c>
      <c r="D24" s="992"/>
      <c r="E24" s="106" t="s">
        <v>570</v>
      </c>
      <c r="F24" s="490">
        <v>1</v>
      </c>
      <c r="G24" s="106"/>
      <c r="H24" s="107"/>
    </row>
    <row r="25" spans="2:8" ht="17.25" thickBot="1" x14ac:dyDescent="0.35">
      <c r="B25" s="487">
        <v>4</v>
      </c>
      <c r="C25" s="1011" t="s">
        <v>575</v>
      </c>
      <c r="D25" s="1011"/>
      <c r="E25" s="109" t="s">
        <v>576</v>
      </c>
      <c r="F25" s="488">
        <v>1</v>
      </c>
      <c r="G25" s="109"/>
      <c r="H25" s="110"/>
    </row>
  </sheetData>
  <mergeCells count="20">
    <mergeCell ref="C5:D5"/>
    <mergeCell ref="C6:D6"/>
    <mergeCell ref="C7:D7"/>
    <mergeCell ref="C8:D8"/>
    <mergeCell ref="C9:D9"/>
    <mergeCell ref="G10:G12"/>
    <mergeCell ref="H10:H12"/>
    <mergeCell ref="C25:D25"/>
    <mergeCell ref="B18:B21"/>
    <mergeCell ref="B22:B23"/>
    <mergeCell ref="F10:F12"/>
    <mergeCell ref="C13:D13"/>
    <mergeCell ref="C14:D14"/>
    <mergeCell ref="C17:D17"/>
    <mergeCell ref="C18:C21"/>
    <mergeCell ref="C22:C23"/>
    <mergeCell ref="C24:D24"/>
    <mergeCell ref="C10:C12"/>
    <mergeCell ref="E10:E12"/>
    <mergeCell ref="B10:B12"/>
  </mergeCells>
  <phoneticPr fontId="2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6"/>
  <sheetViews>
    <sheetView topLeftCell="A28" workbookViewId="0">
      <selection activeCell="T55" sqref="T55"/>
    </sheetView>
  </sheetViews>
  <sheetFormatPr defaultRowHeight="16.5" x14ac:dyDescent="0.3"/>
  <cols>
    <col min="9" max="9" width="11.25" customWidth="1"/>
  </cols>
  <sheetData>
    <row r="2" spans="2:22" ht="17.25" thickBot="1" x14ac:dyDescent="0.35">
      <c r="B2" s="103" t="s">
        <v>1078</v>
      </c>
      <c r="R2" s="103" t="s">
        <v>716</v>
      </c>
    </row>
    <row r="3" spans="2:22" x14ac:dyDescent="0.3">
      <c r="C3" s="1079"/>
      <c r="D3" s="1010"/>
      <c r="E3" s="1010"/>
      <c r="F3" s="707" t="s">
        <v>1072</v>
      </c>
      <c r="G3" s="707" t="s">
        <v>1073</v>
      </c>
      <c r="H3" s="707" t="s">
        <v>1076</v>
      </c>
      <c r="I3" s="706" t="s">
        <v>1077</v>
      </c>
      <c r="R3" s="524"/>
      <c r="S3" s="529" t="s">
        <v>717</v>
      </c>
      <c r="T3" s="529" t="s">
        <v>718</v>
      </c>
      <c r="U3" s="119"/>
    </row>
    <row r="4" spans="2:22" x14ac:dyDescent="0.3">
      <c r="C4" s="1077" t="s">
        <v>1071</v>
      </c>
      <c r="D4" s="992"/>
      <c r="E4" s="992"/>
      <c r="F4" s="106">
        <v>5</v>
      </c>
      <c r="G4" s="106">
        <v>30</v>
      </c>
      <c r="H4" s="106">
        <v>150</v>
      </c>
      <c r="I4" s="218">
        <f>H4/F4</f>
        <v>30</v>
      </c>
      <c r="R4" s="528" t="s">
        <v>705</v>
      </c>
      <c r="S4" s="106">
        <v>220</v>
      </c>
      <c r="T4" s="106">
        <v>220</v>
      </c>
      <c r="U4" s="107" t="s">
        <v>712</v>
      </c>
    </row>
    <row r="5" spans="2:22" x14ac:dyDescent="0.3">
      <c r="C5" s="1077" t="s">
        <v>1074</v>
      </c>
      <c r="D5" s="992"/>
      <c r="E5" s="992"/>
      <c r="F5" s="106">
        <v>28</v>
      </c>
      <c r="G5" s="106">
        <v>5</v>
      </c>
      <c r="H5" s="106">
        <v>150</v>
      </c>
      <c r="I5" s="218">
        <f>H5/F5</f>
        <v>5.3571428571428568</v>
      </c>
      <c r="R5" s="528" t="s">
        <v>715</v>
      </c>
      <c r="S5" s="106">
        <v>4.3</v>
      </c>
      <c r="T5" s="106">
        <v>20</v>
      </c>
      <c r="U5" s="107" t="s">
        <v>713</v>
      </c>
    </row>
    <row r="6" spans="2:22" ht="17.25" thickBot="1" x14ac:dyDescent="0.35">
      <c r="C6" s="1078" t="s">
        <v>1075</v>
      </c>
      <c r="D6" s="1011"/>
      <c r="E6" s="1011"/>
      <c r="F6" s="109">
        <v>28</v>
      </c>
      <c r="G6" s="109">
        <v>21.4</v>
      </c>
      <c r="H6" s="109">
        <v>600</v>
      </c>
      <c r="I6" s="478">
        <f>H6/F6</f>
        <v>21.428571428571427</v>
      </c>
      <c r="R6" s="527" t="s">
        <v>714</v>
      </c>
      <c r="S6" s="113">
        <f>S4/S5</f>
        <v>51.162790697674424</v>
      </c>
      <c r="T6" s="113">
        <f>T4/T5</f>
        <v>11</v>
      </c>
      <c r="U6" s="110" t="s">
        <v>701</v>
      </c>
    </row>
    <row r="7" spans="2:22" x14ac:dyDescent="0.3">
      <c r="R7" s="525" t="s">
        <v>719</v>
      </c>
      <c r="S7" s="530">
        <f>S4*S6/1000</f>
        <v>11.255813953488374</v>
      </c>
      <c r="T7" s="530">
        <f>T4*T6/1000</f>
        <v>2.42</v>
      </c>
      <c r="U7" s="536" t="s">
        <v>720</v>
      </c>
    </row>
    <row r="8" spans="2:22" x14ac:dyDescent="0.3">
      <c r="C8" t="s">
        <v>580</v>
      </c>
      <c r="E8" t="s">
        <v>581</v>
      </c>
      <c r="F8" t="s">
        <v>582</v>
      </c>
      <c r="G8" t="s">
        <v>583</v>
      </c>
      <c r="H8" t="s">
        <v>154</v>
      </c>
    </row>
    <row r="9" spans="2:22" x14ac:dyDescent="0.3">
      <c r="C9">
        <v>180</v>
      </c>
      <c r="D9">
        <v>425</v>
      </c>
      <c r="E9">
        <v>475</v>
      </c>
      <c r="F9">
        <v>28</v>
      </c>
      <c r="G9">
        <v>150</v>
      </c>
      <c r="H9">
        <f>G9/F9</f>
        <v>5.3571428571428568</v>
      </c>
      <c r="I9" t="s">
        <v>584</v>
      </c>
    </row>
    <row r="10" spans="2:22" x14ac:dyDescent="0.3">
      <c r="C10">
        <v>180</v>
      </c>
      <c r="D10">
        <v>425</v>
      </c>
      <c r="E10">
        <v>475</v>
      </c>
      <c r="F10">
        <v>28</v>
      </c>
      <c r="G10">
        <v>600</v>
      </c>
      <c r="H10">
        <f>G10/F10</f>
        <v>21.428571428571427</v>
      </c>
      <c r="I10" t="s">
        <v>585</v>
      </c>
    </row>
    <row r="11" spans="2:22" ht="17.25" thickBot="1" x14ac:dyDescent="0.35">
      <c r="L11" t="s">
        <v>599</v>
      </c>
      <c r="M11" s="514">
        <v>0.6</v>
      </c>
      <c r="N11" s="514" t="s">
        <v>601</v>
      </c>
      <c r="O11">
        <f>M11*220</f>
        <v>132</v>
      </c>
    </row>
    <row r="12" spans="2:22" x14ac:dyDescent="0.3">
      <c r="L12" t="s">
        <v>600</v>
      </c>
      <c r="M12" s="514">
        <v>2</v>
      </c>
      <c r="N12" s="514" t="s">
        <v>601</v>
      </c>
      <c r="R12" s="524"/>
      <c r="S12" s="538" t="s">
        <v>730</v>
      </c>
      <c r="T12" s="538" t="s">
        <v>731</v>
      </c>
      <c r="U12" s="538" t="s">
        <v>732</v>
      </c>
      <c r="V12" s="119"/>
    </row>
    <row r="13" spans="2:22" x14ac:dyDescent="0.3">
      <c r="M13" s="514">
        <f>M12-M11</f>
        <v>1.4</v>
      </c>
      <c r="N13" s="514" t="s">
        <v>603</v>
      </c>
      <c r="R13" s="537" t="s">
        <v>705</v>
      </c>
      <c r="S13" s="106">
        <v>220</v>
      </c>
      <c r="T13" s="106">
        <v>220</v>
      </c>
      <c r="U13" s="106">
        <v>220</v>
      </c>
      <c r="V13" s="107" t="s">
        <v>712</v>
      </c>
    </row>
    <row r="14" spans="2:22" x14ac:dyDescent="0.3">
      <c r="M14" s="514">
        <v>220</v>
      </c>
      <c r="N14" s="514" t="s">
        <v>602</v>
      </c>
      <c r="R14" s="537" t="s">
        <v>724</v>
      </c>
      <c r="S14" s="106">
        <v>20</v>
      </c>
      <c r="T14" s="106">
        <v>20</v>
      </c>
      <c r="U14" s="106">
        <v>13</v>
      </c>
      <c r="V14" s="107" t="s">
        <v>713</v>
      </c>
    </row>
    <row r="15" spans="2:22" x14ac:dyDescent="0.3">
      <c r="M15" s="514">
        <f>M13*M14</f>
        <v>308</v>
      </c>
      <c r="N15" s="514" t="s">
        <v>604</v>
      </c>
      <c r="R15" s="537" t="s">
        <v>725</v>
      </c>
      <c r="S15" s="106">
        <v>0.68</v>
      </c>
      <c r="T15" s="106">
        <v>2</v>
      </c>
      <c r="U15" s="106">
        <v>2</v>
      </c>
      <c r="V15" s="107" t="s">
        <v>713</v>
      </c>
    </row>
    <row r="16" spans="2:22" x14ac:dyDescent="0.3">
      <c r="D16">
        <v>0.48799999999999999</v>
      </c>
      <c r="M16" s="514">
        <v>28</v>
      </c>
      <c r="N16" s="514" t="s">
        <v>605</v>
      </c>
      <c r="R16" s="537" t="s">
        <v>726</v>
      </c>
      <c r="S16" s="112">
        <f>S13*S15/(S14+S15)</f>
        <v>7.2340425531914905</v>
      </c>
      <c r="T16" s="112">
        <f>T13*T15/(T14+T15)</f>
        <v>20</v>
      </c>
      <c r="U16" s="112">
        <f>U13*U15/(U14+U15)</f>
        <v>29.333333333333332</v>
      </c>
      <c r="V16" s="542" t="s">
        <v>727</v>
      </c>
    </row>
    <row r="17" spans="3:22" x14ac:dyDescent="0.3">
      <c r="D17">
        <v>0.57199999999999995</v>
      </c>
      <c r="E17" t="s">
        <v>586</v>
      </c>
      <c r="F17" t="s">
        <v>587</v>
      </c>
      <c r="G17" t="s">
        <v>588</v>
      </c>
      <c r="H17" t="s">
        <v>589</v>
      </c>
      <c r="M17" s="514">
        <f>M15/M16</f>
        <v>11</v>
      </c>
      <c r="N17" s="514">
        <f>M17/4</f>
        <v>2.75</v>
      </c>
      <c r="O17" t="s">
        <v>606</v>
      </c>
      <c r="R17" s="537" t="s">
        <v>714</v>
      </c>
      <c r="S17" s="112">
        <f>S16/S15</f>
        <v>10.638297872340427</v>
      </c>
      <c r="T17" s="112">
        <f>T16/T15</f>
        <v>10</v>
      </c>
      <c r="U17" s="112">
        <f>U16/U15</f>
        <v>14.666666666666666</v>
      </c>
      <c r="V17" s="107" t="s">
        <v>701</v>
      </c>
    </row>
    <row r="18" spans="3:22" x14ac:dyDescent="0.3">
      <c r="D18">
        <f>D17-D16</f>
        <v>8.3999999999999964E-2</v>
      </c>
      <c r="E18">
        <v>220</v>
      </c>
      <c r="F18">
        <f>D18*E18</f>
        <v>18.479999999999993</v>
      </c>
      <c r="G18">
        <v>12</v>
      </c>
      <c r="H18">
        <f>F18*G18</f>
        <v>221.75999999999993</v>
      </c>
      <c r="R18" s="543" t="s">
        <v>728</v>
      </c>
      <c r="S18" s="112">
        <f>(S13-S16)*S17/1000</f>
        <v>2.2634676324128566</v>
      </c>
      <c r="T18" s="112">
        <f>(T13-T16)*T17/1000</f>
        <v>2</v>
      </c>
      <c r="U18" s="112">
        <f>(U13-U16)*U17/1000</f>
        <v>2.7964444444444445</v>
      </c>
      <c r="V18" s="542" t="s">
        <v>720</v>
      </c>
    </row>
    <row r="19" spans="3:22" ht="17.25" thickBot="1" x14ac:dyDescent="0.35">
      <c r="R19" s="544" t="s">
        <v>729</v>
      </c>
      <c r="S19" s="136">
        <f>S16*S17/1000</f>
        <v>7.6957899502037144E-2</v>
      </c>
      <c r="T19" s="136">
        <f>T16*T17/1000</f>
        <v>0.2</v>
      </c>
      <c r="U19" s="136">
        <f>U16*U17/1000</f>
        <v>0.43022222222222217</v>
      </c>
      <c r="V19" s="362" t="s">
        <v>720</v>
      </c>
    </row>
    <row r="25" spans="3:22" x14ac:dyDescent="0.3">
      <c r="C25" t="s">
        <v>607</v>
      </c>
      <c r="P25">
        <v>3</v>
      </c>
    </row>
    <row r="26" spans="3:22" x14ac:dyDescent="0.3">
      <c r="D26" t="s">
        <v>608</v>
      </c>
      <c r="E26">
        <v>5</v>
      </c>
      <c r="H26" t="s">
        <v>432</v>
      </c>
      <c r="I26">
        <v>200</v>
      </c>
      <c r="J26">
        <v>300</v>
      </c>
      <c r="K26">
        <v>400</v>
      </c>
      <c r="L26" t="s">
        <v>86</v>
      </c>
      <c r="P26">
        <v>7</v>
      </c>
    </row>
    <row r="27" spans="3:22" x14ac:dyDescent="0.3">
      <c r="C27" t="s">
        <v>609</v>
      </c>
      <c r="D27" t="s">
        <v>611</v>
      </c>
      <c r="E27">
        <f>E26*0.7</f>
        <v>3.5</v>
      </c>
      <c r="H27" t="s">
        <v>618</v>
      </c>
      <c r="I27">
        <v>22</v>
      </c>
      <c r="J27">
        <v>22</v>
      </c>
      <c r="K27">
        <v>22</v>
      </c>
      <c r="L27" t="s">
        <v>380</v>
      </c>
    </row>
    <row r="28" spans="3:22" x14ac:dyDescent="0.3">
      <c r="C28" t="s">
        <v>610</v>
      </c>
      <c r="D28" t="s">
        <v>612</v>
      </c>
      <c r="E28">
        <f>E26*0.3</f>
        <v>1.5</v>
      </c>
      <c r="H28" t="s">
        <v>381</v>
      </c>
      <c r="I28">
        <f>I26*I27/1000</f>
        <v>4.4000000000000004</v>
      </c>
      <c r="J28">
        <f>J26*J27/1000</f>
        <v>6.6</v>
      </c>
      <c r="K28">
        <f>K26*K27/1000</f>
        <v>8.8000000000000007</v>
      </c>
      <c r="L28" t="s">
        <v>382</v>
      </c>
    </row>
    <row r="29" spans="3:22" x14ac:dyDescent="0.3">
      <c r="H29" t="s">
        <v>619</v>
      </c>
      <c r="I29">
        <v>2.38</v>
      </c>
      <c r="J29">
        <v>3.47</v>
      </c>
      <c r="K29">
        <v>3.47</v>
      </c>
    </row>
    <row r="30" spans="3:22" x14ac:dyDescent="0.3">
      <c r="I30" s="174">
        <f>I29/I28</f>
        <v>0.54090909090909089</v>
      </c>
      <c r="J30" s="174">
        <f>J29/J28</f>
        <v>0.52575757575757587</v>
      </c>
      <c r="K30">
        <f>K28*0.53</f>
        <v>4.6640000000000006</v>
      </c>
    </row>
    <row r="32" spans="3:22" x14ac:dyDescent="0.3">
      <c r="D32" t="s">
        <v>613</v>
      </c>
      <c r="E32" t="s">
        <v>608</v>
      </c>
      <c r="F32" t="s">
        <v>608</v>
      </c>
      <c r="G32" t="s">
        <v>620</v>
      </c>
    </row>
    <row r="33" spans="4:9" x14ac:dyDescent="0.3">
      <c r="D33" t="s">
        <v>614</v>
      </c>
      <c r="E33" t="s">
        <v>616</v>
      </c>
      <c r="F33" t="s">
        <v>614</v>
      </c>
      <c r="G33">
        <v>3.47</v>
      </c>
      <c r="H33" t="s">
        <v>622</v>
      </c>
      <c r="I33" t="s">
        <v>623</v>
      </c>
    </row>
    <row r="34" spans="4:9" x14ac:dyDescent="0.3">
      <c r="D34" t="s">
        <v>615</v>
      </c>
      <c r="E34" t="s">
        <v>617</v>
      </c>
      <c r="F34" t="s">
        <v>615</v>
      </c>
      <c r="G34">
        <v>3.75</v>
      </c>
      <c r="H34" t="s">
        <v>621</v>
      </c>
      <c r="I34" t="s">
        <v>624</v>
      </c>
    </row>
    <row r="36" spans="4:9" x14ac:dyDescent="0.3">
      <c r="D36" t="s">
        <v>625</v>
      </c>
    </row>
  </sheetData>
  <mergeCells count="4">
    <mergeCell ref="C4:E4"/>
    <mergeCell ref="C5:E5"/>
    <mergeCell ref="C6:E6"/>
    <mergeCell ref="C3:E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7"/>
  <sheetViews>
    <sheetView topLeftCell="A43" workbookViewId="0">
      <selection activeCell="I52" sqref="I52"/>
    </sheetView>
  </sheetViews>
  <sheetFormatPr defaultRowHeight="16.5" x14ac:dyDescent="0.3"/>
  <cols>
    <col min="1" max="1" width="4.625" customWidth="1"/>
    <col min="3" max="11" width="9.875" customWidth="1"/>
  </cols>
  <sheetData>
    <row r="2" spans="2:7" x14ac:dyDescent="0.3">
      <c r="B2" s="103" t="s">
        <v>736</v>
      </c>
    </row>
    <row r="3" spans="2:7" x14ac:dyDescent="0.3">
      <c r="C3" t="s">
        <v>1101</v>
      </c>
    </row>
    <row r="4" spans="2:7" x14ac:dyDescent="0.3">
      <c r="C4" t="s">
        <v>1100</v>
      </c>
    </row>
    <row r="5" spans="2:7" x14ac:dyDescent="0.3">
      <c r="C5" t="s">
        <v>1102</v>
      </c>
    </row>
    <row r="7" spans="2:7" ht="17.25" thickBot="1" x14ac:dyDescent="0.35">
      <c r="C7" s="103" t="s">
        <v>1103</v>
      </c>
    </row>
    <row r="8" spans="2:7" x14ac:dyDescent="0.3">
      <c r="D8" s="745" t="s">
        <v>747</v>
      </c>
      <c r="E8" s="183">
        <v>20</v>
      </c>
      <c r="F8" s="119" t="s">
        <v>746</v>
      </c>
    </row>
    <row r="9" spans="2:7" x14ac:dyDescent="0.3">
      <c r="D9" s="739" t="s">
        <v>745</v>
      </c>
      <c r="E9" s="106">
        <v>300</v>
      </c>
      <c r="F9" s="107" t="s">
        <v>746</v>
      </c>
    </row>
    <row r="10" spans="2:7" ht="17.25" thickBot="1" x14ac:dyDescent="0.35">
      <c r="D10" s="736">
        <v>680</v>
      </c>
      <c r="E10" s="136">
        <f>D10/175+(0.5*10^(-3))</f>
        <v>3.8862142857142858</v>
      </c>
      <c r="F10" s="110" t="s">
        <v>749</v>
      </c>
      <c r="G10" t="s">
        <v>1104</v>
      </c>
    </row>
    <row r="12" spans="2:7" ht="17.25" thickBot="1" x14ac:dyDescent="0.35">
      <c r="C12" t="s">
        <v>1108</v>
      </c>
    </row>
    <row r="13" spans="2:7" x14ac:dyDescent="0.3">
      <c r="D13" s="524" t="s">
        <v>1105</v>
      </c>
      <c r="E13" s="183">
        <v>5</v>
      </c>
      <c r="F13" s="119" t="s">
        <v>1106</v>
      </c>
    </row>
    <row r="14" spans="2:7" ht="17.25" thickBot="1" x14ac:dyDescent="0.35">
      <c r="D14" s="118" t="s">
        <v>1107</v>
      </c>
      <c r="E14" s="109">
        <v>4.6500000000000004</v>
      </c>
      <c r="F14" s="110" t="s">
        <v>1106</v>
      </c>
    </row>
    <row r="19" spans="2:9" x14ac:dyDescent="0.3">
      <c r="B19" s="103" t="s">
        <v>1114</v>
      </c>
    </row>
    <row r="20" spans="2:9" ht="17.25" thickBot="1" x14ac:dyDescent="0.35">
      <c r="C20" t="s">
        <v>1123</v>
      </c>
    </row>
    <row r="21" spans="2:9" x14ac:dyDescent="0.3">
      <c r="D21" s="745" t="s">
        <v>1119</v>
      </c>
      <c r="E21" s="747" t="s">
        <v>1120</v>
      </c>
      <c r="F21" s="747" t="s">
        <v>1121</v>
      </c>
      <c r="G21" s="747" t="s">
        <v>1122</v>
      </c>
      <c r="H21" s="183"/>
      <c r="I21" s="652" t="s">
        <v>1124</v>
      </c>
    </row>
    <row r="22" spans="2:9" x14ac:dyDescent="0.3">
      <c r="D22" s="739" t="s">
        <v>1115</v>
      </c>
      <c r="E22" s="740">
        <v>2.4</v>
      </c>
      <c r="F22" s="759" t="s">
        <v>1116</v>
      </c>
      <c r="G22" s="740">
        <v>18</v>
      </c>
      <c r="H22" s="740" t="s">
        <v>1117</v>
      </c>
      <c r="I22" s="744" t="s">
        <v>1111</v>
      </c>
    </row>
    <row r="23" spans="2:9" ht="17.25" thickBot="1" x14ac:dyDescent="0.35">
      <c r="D23" s="736" t="s">
        <v>1118</v>
      </c>
      <c r="E23" s="738">
        <v>-1</v>
      </c>
      <c r="F23" s="532" t="s">
        <v>1116</v>
      </c>
      <c r="G23" s="738">
        <v>0.8</v>
      </c>
      <c r="H23" s="738" t="s">
        <v>1117</v>
      </c>
      <c r="I23" s="748" t="s">
        <v>1125</v>
      </c>
    </row>
    <row r="30" spans="2:9" x14ac:dyDescent="0.3">
      <c r="B30" s="103" t="s">
        <v>1126</v>
      </c>
    </row>
    <row r="44" spans="3:12" ht="17.25" thickBot="1" x14ac:dyDescent="0.35">
      <c r="C44" s="103" t="s">
        <v>1132</v>
      </c>
    </row>
    <row r="45" spans="3:12" x14ac:dyDescent="0.3">
      <c r="C45" s="440"/>
      <c r="D45" s="747" t="s">
        <v>1109</v>
      </c>
      <c r="E45" s="747" t="s">
        <v>737</v>
      </c>
      <c r="F45" s="551" t="s">
        <v>738</v>
      </c>
      <c r="G45" s="551" t="s">
        <v>739</v>
      </c>
      <c r="H45" s="551" t="s">
        <v>751</v>
      </c>
      <c r="I45" s="1063" t="s">
        <v>741</v>
      </c>
      <c r="J45" s="1063"/>
      <c r="K45" s="747" t="s">
        <v>742</v>
      </c>
      <c r="L45" s="746" t="s">
        <v>1128</v>
      </c>
    </row>
    <row r="46" spans="3:12" x14ac:dyDescent="0.3">
      <c r="C46" s="739" t="s">
        <v>1110</v>
      </c>
      <c r="D46" s="740" t="s">
        <v>1111</v>
      </c>
      <c r="E46" s="759" t="s">
        <v>31</v>
      </c>
      <c r="F46" s="740" t="s">
        <v>740</v>
      </c>
      <c r="G46" s="740" t="s">
        <v>31</v>
      </c>
      <c r="H46" s="740" t="s">
        <v>752</v>
      </c>
      <c r="I46" s="967" t="s">
        <v>31</v>
      </c>
      <c r="J46" s="967"/>
      <c r="K46" s="740" t="s">
        <v>743</v>
      </c>
      <c r="L46" s="760" t="s">
        <v>1129</v>
      </c>
    </row>
    <row r="47" spans="3:12" ht="17.25" thickBot="1" x14ac:dyDescent="0.35">
      <c r="C47" s="736" t="s">
        <v>1112</v>
      </c>
      <c r="D47" s="738" t="s">
        <v>1113</v>
      </c>
      <c r="E47" s="532" t="s">
        <v>1127</v>
      </c>
      <c r="F47" s="738" t="s">
        <v>48</v>
      </c>
      <c r="G47" s="738" t="s">
        <v>48</v>
      </c>
      <c r="H47" s="738" t="s">
        <v>743</v>
      </c>
      <c r="I47" s="969" t="s">
        <v>743</v>
      </c>
      <c r="J47" s="969"/>
      <c r="K47" s="738" t="s">
        <v>744</v>
      </c>
      <c r="L47" s="758" t="s">
        <v>1130</v>
      </c>
    </row>
    <row r="48" spans="3:12" x14ac:dyDescent="0.3">
      <c r="C48" t="s">
        <v>1131</v>
      </c>
    </row>
    <row r="50" spans="3:12" x14ac:dyDescent="0.3">
      <c r="C50" s="103" t="s">
        <v>1133</v>
      </c>
    </row>
    <row r="52" spans="3:12" ht="17.25" thickBot="1" x14ac:dyDescent="0.35"/>
    <row r="53" spans="3:12" ht="17.25" thickBot="1" x14ac:dyDescent="0.35">
      <c r="C53" s="734"/>
      <c r="D53" s="732" t="s">
        <v>1135</v>
      </c>
      <c r="E53" s="732" t="s">
        <v>1136</v>
      </c>
      <c r="F53" s="732" t="s">
        <v>1000</v>
      </c>
      <c r="G53" s="805" t="s">
        <v>1099</v>
      </c>
      <c r="H53" s="732"/>
      <c r="I53" s="787"/>
      <c r="J53" s="787"/>
      <c r="K53" s="787"/>
      <c r="L53" s="741"/>
    </row>
    <row r="54" spans="3:12" x14ac:dyDescent="0.3">
      <c r="C54" s="735" t="s">
        <v>748</v>
      </c>
      <c r="D54" s="116">
        <v>6</v>
      </c>
      <c r="E54" s="761">
        <f>E56/175+(0.5*10^(-3))</f>
        <v>3.8862142857142858</v>
      </c>
      <c r="F54" s="140">
        <v>3.6440000000000001</v>
      </c>
      <c r="G54" s="761">
        <f>G56/175+(0.5*10^(-3))</f>
        <v>5.7147857142857141</v>
      </c>
      <c r="H54" s="140">
        <f>H56/175+(0.5*10^(-3))</f>
        <v>6.8576428571428565</v>
      </c>
      <c r="I54" s="140">
        <f>I56/175+(0.5*10^(-3))</f>
        <v>6.5719285714285709</v>
      </c>
      <c r="J54" s="140">
        <f>J56/175+(0.5*10^(-3))</f>
        <v>6.1033571428571429</v>
      </c>
      <c r="K54" s="140">
        <f>K56/175+(0.5*10^(-3))</f>
        <v>6.1033571428571429</v>
      </c>
      <c r="L54" s="117" t="s">
        <v>749</v>
      </c>
    </row>
    <row r="55" spans="3:12" x14ac:dyDescent="0.3">
      <c r="C55" s="739" t="s">
        <v>1098</v>
      </c>
      <c r="D55" s="106">
        <f>D54*0.7</f>
        <v>4.1999999999999993</v>
      </c>
      <c r="E55" s="112">
        <f>E54*0.95</f>
        <v>3.6919035714285715</v>
      </c>
      <c r="F55" s="112"/>
      <c r="G55" s="806">
        <f>G54*0.95</f>
        <v>5.4290464285714286</v>
      </c>
      <c r="H55" s="112">
        <f>H54*0.95</f>
        <v>6.5147607142857131</v>
      </c>
      <c r="I55" s="112">
        <f>I54*0.95</f>
        <v>6.2433321428571418</v>
      </c>
      <c r="J55" s="112">
        <f>J54*0.95</f>
        <v>5.7981892857142858</v>
      </c>
      <c r="K55" s="112">
        <f>K54*0.95</f>
        <v>5.7981892857142858</v>
      </c>
      <c r="L55" s="107"/>
    </row>
    <row r="56" spans="3:12" ht="17.25" thickBot="1" x14ac:dyDescent="0.35">
      <c r="C56" s="736" t="s">
        <v>1134</v>
      </c>
      <c r="D56" s="212">
        <f>(D54-0.5*10^(-3))*175</f>
        <v>1049.9125000000001</v>
      </c>
      <c r="E56" s="109">
        <v>680</v>
      </c>
      <c r="F56" s="109">
        <v>680</v>
      </c>
      <c r="G56" s="188">
        <v>1000</v>
      </c>
      <c r="H56" s="109">
        <v>1200</v>
      </c>
      <c r="I56" s="109">
        <v>1150</v>
      </c>
      <c r="J56" s="109">
        <v>1068</v>
      </c>
      <c r="K56" s="109">
        <v>1068</v>
      </c>
      <c r="L56" s="110" t="s">
        <v>750</v>
      </c>
    </row>
    <row r="57" spans="3:12" ht="17.25" thickBot="1" x14ac:dyDescent="0.35">
      <c r="C57" s="791" t="s">
        <v>1357</v>
      </c>
      <c r="D57" s="418"/>
      <c r="E57" s="418">
        <v>3.86</v>
      </c>
      <c r="F57" s="418"/>
      <c r="G57" s="807">
        <v>5.54</v>
      </c>
      <c r="H57" s="418"/>
      <c r="I57" s="418">
        <v>7.17</v>
      </c>
      <c r="J57" s="418">
        <v>6.8</v>
      </c>
      <c r="K57" s="418"/>
      <c r="L57" s="117" t="s">
        <v>749</v>
      </c>
    </row>
  </sheetData>
  <mergeCells count="3">
    <mergeCell ref="I47:J47"/>
    <mergeCell ref="I46:J46"/>
    <mergeCell ref="I45:J4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2295" r:id="rId4">
          <objectPr defaultSize="0" r:id="rId5">
            <anchor moveWithCells="1">
              <from>
                <xdr:col>1</xdr:col>
                <xdr:colOff>666750</xdr:colOff>
                <xdr:row>58</xdr:row>
                <xdr:rowOff>161925</xdr:rowOff>
              </from>
              <to>
                <xdr:col>15</xdr:col>
                <xdr:colOff>28575</xdr:colOff>
                <xdr:row>74</xdr:row>
                <xdr:rowOff>19050</xdr:rowOff>
              </to>
            </anchor>
          </objectPr>
        </oleObject>
      </mc:Choice>
      <mc:Fallback>
        <oleObject progId="Visio.Drawing.11" shapeId="12295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0"/>
  <sheetViews>
    <sheetView zoomScaleNormal="100" workbookViewId="0">
      <selection activeCell="N10" sqref="N10"/>
    </sheetView>
  </sheetViews>
  <sheetFormatPr defaultRowHeight="16.5" x14ac:dyDescent="0.3"/>
  <cols>
    <col min="1" max="1" width="3.75" customWidth="1"/>
    <col min="2" max="2" width="5.875" customWidth="1"/>
  </cols>
  <sheetData>
    <row r="2" spans="2:23" x14ac:dyDescent="0.3">
      <c r="B2" s="103" t="s">
        <v>1288</v>
      </c>
    </row>
    <row r="3" spans="2:23" ht="17.25" thickBot="1" x14ac:dyDescent="0.35">
      <c r="C3" s="103" t="s">
        <v>1262</v>
      </c>
      <c r="L3" s="103" t="s">
        <v>1275</v>
      </c>
      <c r="Q3" s="103" t="s">
        <v>1278</v>
      </c>
      <c r="U3" s="103" t="s">
        <v>1287</v>
      </c>
    </row>
    <row r="4" spans="2:23" ht="17.25" thickBot="1" x14ac:dyDescent="0.35">
      <c r="C4" s="731"/>
      <c r="D4" s="1083" t="s">
        <v>1246</v>
      </c>
      <c r="E4" s="1050"/>
      <c r="F4" s="732" t="s">
        <v>1261</v>
      </c>
      <c r="G4" s="732" t="s">
        <v>1242</v>
      </c>
      <c r="H4" s="741" t="s">
        <v>1243</v>
      </c>
      <c r="I4" s="1083" t="s">
        <v>1286</v>
      </c>
      <c r="J4" s="1050"/>
      <c r="L4" s="778"/>
      <c r="M4" s="774" t="s">
        <v>1276</v>
      </c>
      <c r="N4" s="732" t="s">
        <v>1277</v>
      </c>
      <c r="O4" s="762"/>
      <c r="Q4" s="745" t="s">
        <v>1279</v>
      </c>
      <c r="R4" s="183">
        <v>1</v>
      </c>
      <c r="S4" s="119"/>
      <c r="U4" s="745" t="s">
        <v>1273</v>
      </c>
      <c r="V4" s="183">
        <v>3.3</v>
      </c>
      <c r="W4" s="225" t="s">
        <v>1273</v>
      </c>
    </row>
    <row r="5" spans="2:23" x14ac:dyDescent="0.3">
      <c r="C5" s="1065" t="s">
        <v>1239</v>
      </c>
      <c r="D5" s="1081" t="s">
        <v>1291</v>
      </c>
      <c r="E5" s="1052"/>
      <c r="F5" s="733" t="s">
        <v>1240</v>
      </c>
      <c r="G5" s="742" t="s">
        <v>1244</v>
      </c>
      <c r="H5" s="775" t="s">
        <v>1245</v>
      </c>
      <c r="I5" s="967"/>
      <c r="J5" s="1056"/>
      <c r="L5" s="779" t="s">
        <v>686</v>
      </c>
      <c r="M5" s="777">
        <v>3.3</v>
      </c>
      <c r="N5" s="183">
        <v>3.3</v>
      </c>
      <c r="O5" s="225" t="s">
        <v>76</v>
      </c>
      <c r="Q5" s="739" t="s">
        <v>1280</v>
      </c>
      <c r="R5" s="106">
        <v>1</v>
      </c>
      <c r="S5" s="107"/>
      <c r="U5" s="739" t="s">
        <v>1269</v>
      </c>
      <c r="V5" s="106">
        <v>130</v>
      </c>
      <c r="W5" s="744" t="s">
        <v>1271</v>
      </c>
    </row>
    <row r="6" spans="2:23" x14ac:dyDescent="0.3">
      <c r="C6" s="1080"/>
      <c r="D6" s="1082"/>
      <c r="E6" s="967"/>
      <c r="F6" s="740" t="s">
        <v>1241</v>
      </c>
      <c r="G6" s="759" t="s">
        <v>1245</v>
      </c>
      <c r="H6" s="776" t="s">
        <v>1244</v>
      </c>
      <c r="I6" s="967"/>
      <c r="J6" s="1056"/>
      <c r="L6" s="780" t="s">
        <v>687</v>
      </c>
      <c r="M6" s="233">
        <v>1</v>
      </c>
      <c r="N6" s="106">
        <v>1</v>
      </c>
      <c r="O6" s="744" t="s">
        <v>689</v>
      </c>
      <c r="Q6" s="739" t="s">
        <v>1281</v>
      </c>
      <c r="R6" s="106">
        <v>1</v>
      </c>
      <c r="S6" s="107"/>
      <c r="U6" s="739" t="s">
        <v>1270</v>
      </c>
      <c r="V6" s="106">
        <v>80</v>
      </c>
      <c r="W6" s="744" t="s">
        <v>1271</v>
      </c>
    </row>
    <row r="7" spans="2:23" ht="17.25" thickBot="1" x14ac:dyDescent="0.35">
      <c r="C7" s="1080" t="s">
        <v>1247</v>
      </c>
      <c r="D7" s="1084" t="s">
        <v>1291</v>
      </c>
      <c r="E7" s="967"/>
      <c r="F7" s="740" t="s">
        <v>1240</v>
      </c>
      <c r="G7" s="967" t="s">
        <v>1248</v>
      </c>
      <c r="H7" s="1056"/>
      <c r="I7" s="967"/>
      <c r="J7" s="1056"/>
      <c r="L7" s="780" t="s">
        <v>688</v>
      </c>
      <c r="M7" s="233">
        <v>3.3</v>
      </c>
      <c r="N7" s="106">
        <v>3.3</v>
      </c>
      <c r="O7" s="744" t="s">
        <v>689</v>
      </c>
      <c r="Q7" s="739" t="s">
        <v>1282</v>
      </c>
      <c r="R7" s="106">
        <v>1</v>
      </c>
      <c r="S7" s="107"/>
      <c r="U7" s="736" t="s">
        <v>1272</v>
      </c>
      <c r="V7" s="136">
        <f>V4*V6/(V5+V6)</f>
        <v>1.2571428571428571</v>
      </c>
      <c r="W7" s="748" t="s">
        <v>1273</v>
      </c>
    </row>
    <row r="8" spans="2:23" ht="17.25" thickBot="1" x14ac:dyDescent="0.35">
      <c r="C8" s="1044"/>
      <c r="D8" s="1085"/>
      <c r="E8" s="1074"/>
      <c r="F8" s="750" t="s">
        <v>1241</v>
      </c>
      <c r="G8" s="1074" t="s">
        <v>1249</v>
      </c>
      <c r="H8" s="1086"/>
      <c r="I8" s="1074"/>
      <c r="J8" s="1086"/>
      <c r="L8" s="780" t="s">
        <v>25</v>
      </c>
      <c r="M8" s="314">
        <f>M5*M7/(M6+M7)</f>
        <v>2.5325581395348835</v>
      </c>
      <c r="N8" s="112">
        <f>N5*N7/(N6+N7)</f>
        <v>2.5325581395348835</v>
      </c>
      <c r="O8" s="744" t="s">
        <v>76</v>
      </c>
      <c r="Q8" s="782" t="s">
        <v>1283</v>
      </c>
      <c r="R8" s="545">
        <v>1</v>
      </c>
      <c r="S8" s="664"/>
      <c r="U8" s="783" t="s">
        <v>1290</v>
      </c>
    </row>
    <row r="9" spans="2:23" ht="17.25" thickBot="1" x14ac:dyDescent="0.35">
      <c r="C9" s="1097" t="s">
        <v>1250</v>
      </c>
      <c r="D9" s="1098" t="s">
        <v>1251</v>
      </c>
      <c r="E9" s="1099"/>
      <c r="F9" s="752" t="s">
        <v>1240</v>
      </c>
      <c r="G9" s="1093" t="s">
        <v>1274</v>
      </c>
      <c r="H9" s="1094"/>
      <c r="I9" s="1093" t="s">
        <v>1252</v>
      </c>
      <c r="J9" s="1094"/>
      <c r="L9" s="780" t="s">
        <v>690</v>
      </c>
      <c r="M9" s="233">
        <v>0.2</v>
      </c>
      <c r="N9" s="106">
        <v>0.1</v>
      </c>
      <c r="O9" s="744" t="s">
        <v>691</v>
      </c>
      <c r="Q9" s="734" t="s">
        <v>1284</v>
      </c>
      <c r="R9" s="418">
        <v>100</v>
      </c>
      <c r="S9" s="762" t="s">
        <v>1285</v>
      </c>
    </row>
    <row r="10" spans="2:23" ht="17.25" thickBot="1" x14ac:dyDescent="0.35">
      <c r="C10" s="1080"/>
      <c r="D10" s="1084"/>
      <c r="E10" s="1100"/>
      <c r="F10" s="740" t="s">
        <v>1241</v>
      </c>
      <c r="G10" s="967" t="s">
        <v>1241</v>
      </c>
      <c r="H10" s="1056"/>
      <c r="I10" s="967" t="s">
        <v>1253</v>
      </c>
      <c r="J10" s="1056"/>
      <c r="L10" s="781" t="s">
        <v>692</v>
      </c>
      <c r="M10" s="234">
        <f>M8/(5*M9)</f>
        <v>2.5325581395348835</v>
      </c>
      <c r="N10" s="136">
        <f>N8/(5*N9)</f>
        <v>5.065116279069767</v>
      </c>
      <c r="O10" s="748" t="s">
        <v>693</v>
      </c>
    </row>
    <row r="11" spans="2:23" ht="17.25" thickBot="1" x14ac:dyDescent="0.35">
      <c r="C11" s="1089"/>
      <c r="D11" s="1101"/>
      <c r="E11" s="1102"/>
      <c r="F11" s="754" t="s">
        <v>1254</v>
      </c>
      <c r="G11" s="1095" t="s">
        <v>1257</v>
      </c>
      <c r="H11" s="1096"/>
      <c r="I11" s="1106" t="s">
        <v>1348</v>
      </c>
      <c r="J11" s="1096"/>
    </row>
    <row r="12" spans="2:23" ht="17.25" thickBot="1" x14ac:dyDescent="0.35">
      <c r="C12" s="1065" t="s">
        <v>1255</v>
      </c>
      <c r="D12" s="1081" t="s">
        <v>1291</v>
      </c>
      <c r="E12" s="1052"/>
      <c r="F12" s="733" t="s">
        <v>1240</v>
      </c>
      <c r="G12" s="1054" t="s">
        <v>1245</v>
      </c>
      <c r="H12" s="1055"/>
      <c r="I12" s="1105"/>
      <c r="J12" s="1094"/>
      <c r="T12" s="103" t="s">
        <v>1263</v>
      </c>
    </row>
    <row r="13" spans="2:23" ht="17.25" thickBot="1" x14ac:dyDescent="0.35">
      <c r="C13" s="1080"/>
      <c r="D13" s="1082"/>
      <c r="E13" s="967"/>
      <c r="F13" s="740" t="s">
        <v>1241</v>
      </c>
      <c r="G13" s="967" t="s">
        <v>1249</v>
      </c>
      <c r="H13" s="1056"/>
      <c r="I13" s="1103"/>
      <c r="J13" s="1056"/>
      <c r="T13" s="417"/>
      <c r="U13" s="732" t="s">
        <v>1266</v>
      </c>
      <c r="V13" s="732" t="s">
        <v>1267</v>
      </c>
      <c r="W13" s="741" t="s">
        <v>1268</v>
      </c>
    </row>
    <row r="14" spans="2:23" x14ac:dyDescent="0.3">
      <c r="C14" s="1080" t="s">
        <v>1256</v>
      </c>
      <c r="D14" s="1084" t="s">
        <v>1291</v>
      </c>
      <c r="E14" s="967"/>
      <c r="F14" s="763" t="s">
        <v>1240</v>
      </c>
      <c r="G14" s="1087" t="s">
        <v>1248</v>
      </c>
      <c r="H14" s="1088"/>
      <c r="I14" s="1107" t="s">
        <v>1292</v>
      </c>
      <c r="J14" s="1088"/>
      <c r="T14" s="735" t="s">
        <v>1264</v>
      </c>
      <c r="U14" s="116"/>
      <c r="V14" s="116">
        <v>0.6</v>
      </c>
      <c r="W14" s="117">
        <v>0.7</v>
      </c>
    </row>
    <row r="15" spans="2:23" ht="17.25" thickBot="1" x14ac:dyDescent="0.35">
      <c r="C15" s="1080"/>
      <c r="D15" s="1082"/>
      <c r="E15" s="967"/>
      <c r="F15" s="740" t="s">
        <v>1241</v>
      </c>
      <c r="G15" s="967" t="s">
        <v>1249</v>
      </c>
      <c r="H15" s="1056"/>
      <c r="I15" s="1103" t="s">
        <v>1293</v>
      </c>
      <c r="J15" s="1056"/>
      <c r="T15" s="736" t="s">
        <v>1265</v>
      </c>
      <c r="U15" s="109">
        <v>2.2000000000000002</v>
      </c>
      <c r="V15" s="109"/>
      <c r="W15" s="110">
        <v>5.25</v>
      </c>
    </row>
    <row r="16" spans="2:23" x14ac:dyDescent="0.3">
      <c r="C16" s="1080" t="s">
        <v>1258</v>
      </c>
      <c r="D16" s="1082" t="s">
        <v>1295</v>
      </c>
      <c r="E16" s="967"/>
      <c r="F16" s="740" t="s">
        <v>1241</v>
      </c>
      <c r="G16" s="1091" t="s">
        <v>1294</v>
      </c>
      <c r="H16" s="1056"/>
      <c r="I16" s="1103" t="s">
        <v>1259</v>
      </c>
      <c r="J16" s="1056"/>
      <c r="K16" t="s">
        <v>1296</v>
      </c>
    </row>
    <row r="17" spans="3:10" ht="17.25" thickBot="1" x14ac:dyDescent="0.35">
      <c r="C17" s="1089"/>
      <c r="D17" s="1090"/>
      <c r="E17" s="969"/>
      <c r="F17" s="738" t="s">
        <v>1254</v>
      </c>
      <c r="G17" s="1092" t="s">
        <v>1257</v>
      </c>
      <c r="H17" s="1068"/>
      <c r="I17" s="1104" t="s">
        <v>1260</v>
      </c>
      <c r="J17" s="1068"/>
    </row>
    <row r="18" spans="3:10" ht="16.5" customHeight="1" x14ac:dyDescent="0.3"/>
    <row r="43" spans="2:2" x14ac:dyDescent="0.3">
      <c r="B43" s="103" t="s">
        <v>1289</v>
      </c>
    </row>
    <row r="59" spans="3:3" x14ac:dyDescent="0.3">
      <c r="C59" t="s">
        <v>1297</v>
      </c>
    </row>
    <row r="60" spans="3:3" x14ac:dyDescent="0.3">
      <c r="C60" t="s">
        <v>1298</v>
      </c>
    </row>
  </sheetData>
  <mergeCells count="38">
    <mergeCell ref="I16:J16"/>
    <mergeCell ref="I17:J17"/>
    <mergeCell ref="I4:J4"/>
    <mergeCell ref="I5:J5"/>
    <mergeCell ref="I6:J6"/>
    <mergeCell ref="I7:J7"/>
    <mergeCell ref="I8:J8"/>
    <mergeCell ref="I12:J12"/>
    <mergeCell ref="I10:J10"/>
    <mergeCell ref="I9:J9"/>
    <mergeCell ref="I11:J11"/>
    <mergeCell ref="I13:J13"/>
    <mergeCell ref="I14:J14"/>
    <mergeCell ref="I15:J15"/>
    <mergeCell ref="C16:C17"/>
    <mergeCell ref="D16:E17"/>
    <mergeCell ref="G16:H16"/>
    <mergeCell ref="G17:H17"/>
    <mergeCell ref="G9:H9"/>
    <mergeCell ref="G10:H10"/>
    <mergeCell ref="G11:H11"/>
    <mergeCell ref="C12:C13"/>
    <mergeCell ref="D12:E13"/>
    <mergeCell ref="C14:C15"/>
    <mergeCell ref="D14:E15"/>
    <mergeCell ref="C9:C11"/>
    <mergeCell ref="D9:E11"/>
    <mergeCell ref="G8:H8"/>
    <mergeCell ref="G7:H7"/>
    <mergeCell ref="G15:H15"/>
    <mergeCell ref="G14:H14"/>
    <mergeCell ref="G13:H13"/>
    <mergeCell ref="G12:H12"/>
    <mergeCell ref="C5:C6"/>
    <mergeCell ref="D5:E6"/>
    <mergeCell ref="D4:E4"/>
    <mergeCell ref="C7:C8"/>
    <mergeCell ref="D7:E8"/>
  </mergeCells>
  <phoneticPr fontId="2" type="noConversion"/>
  <pageMargins left="0.7" right="0.7" top="0.75" bottom="0.75" header="0.3" footer="0.3"/>
  <pageSetup paperSize="8" scale="8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C20" sqref="C20"/>
    </sheetView>
  </sheetViews>
  <sheetFormatPr defaultRowHeight="16.5" x14ac:dyDescent="0.3"/>
  <cols>
    <col min="2" max="2" width="5.75" customWidth="1"/>
    <col min="3" max="3" width="11" bestFit="1" customWidth="1"/>
  </cols>
  <sheetData>
    <row r="3" spans="2:7" x14ac:dyDescent="0.3">
      <c r="B3" s="103" t="s">
        <v>1356</v>
      </c>
    </row>
    <row r="6" spans="2:7" x14ac:dyDescent="0.3">
      <c r="C6" t="s">
        <v>1354</v>
      </c>
      <c r="D6">
        <v>12</v>
      </c>
      <c r="E6">
        <v>12</v>
      </c>
      <c r="F6">
        <v>12</v>
      </c>
    </row>
    <row r="7" spans="2:7" x14ac:dyDescent="0.3">
      <c r="C7" t="s">
        <v>1352</v>
      </c>
      <c r="D7">
        <v>1.23</v>
      </c>
      <c r="E7">
        <v>1.23</v>
      </c>
      <c r="F7">
        <v>1.23</v>
      </c>
      <c r="G7" t="s">
        <v>1353</v>
      </c>
    </row>
    <row r="8" spans="2:7" x14ac:dyDescent="0.3">
      <c r="C8" t="s">
        <v>351</v>
      </c>
      <c r="D8">
        <v>88.7</v>
      </c>
      <c r="E8">
        <v>91</v>
      </c>
      <c r="F8">
        <v>87</v>
      </c>
      <c r="G8" t="s">
        <v>1351</v>
      </c>
    </row>
    <row r="9" spans="2:7" x14ac:dyDescent="0.3">
      <c r="C9" t="s">
        <v>1349</v>
      </c>
      <c r="D9">
        <v>10</v>
      </c>
      <c r="E9">
        <v>10</v>
      </c>
      <c r="F9">
        <v>10</v>
      </c>
      <c r="G9" t="s">
        <v>1350</v>
      </c>
    </row>
    <row r="11" spans="2:7" x14ac:dyDescent="0.3">
      <c r="C11" t="s">
        <v>1355</v>
      </c>
      <c r="D11">
        <f>D6*D9/(D8+D9)</f>
        <v>1.21580547112462</v>
      </c>
      <c r="E11">
        <f>E6*E9/(E8+E9)</f>
        <v>1.1881188118811881</v>
      </c>
      <c r="F11">
        <f>F6*F9/(F8+F9)</f>
        <v>1.2371134020618557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144"/>
  <sheetViews>
    <sheetView tabSelected="1" topLeftCell="A82" workbookViewId="0">
      <selection activeCell="K137" sqref="K137"/>
    </sheetView>
  </sheetViews>
  <sheetFormatPr defaultRowHeight="16.5" x14ac:dyDescent="0.3"/>
  <cols>
    <col min="1" max="1" width="3.5" customWidth="1"/>
    <col min="2" max="2" width="20.125" customWidth="1"/>
    <col min="3" max="3" width="15.25" bestFit="1" customWidth="1"/>
    <col min="4" max="4" width="18.125" bestFit="1" customWidth="1"/>
    <col min="5" max="5" width="10.5" bestFit="1" customWidth="1"/>
    <col min="7" max="7" width="11.75" bestFit="1" customWidth="1"/>
    <col min="8" max="8" width="13.125" bestFit="1" customWidth="1"/>
    <col min="9" max="9" width="9.375" customWidth="1"/>
    <col min="10" max="10" width="9.25" bestFit="1" customWidth="1"/>
    <col min="11" max="11" width="9.75" bestFit="1" customWidth="1"/>
    <col min="12" max="12" width="9.25" bestFit="1" customWidth="1"/>
  </cols>
  <sheetData>
    <row r="2" spans="2:10" x14ac:dyDescent="0.3">
      <c r="B2" t="s">
        <v>629</v>
      </c>
    </row>
    <row r="4" spans="2:10" x14ac:dyDescent="0.3">
      <c r="B4" t="s">
        <v>630</v>
      </c>
    </row>
    <row r="5" spans="2:10" x14ac:dyDescent="0.3">
      <c r="B5" t="s">
        <v>631</v>
      </c>
    </row>
    <row r="6" spans="2:10" x14ac:dyDescent="0.3">
      <c r="B6" t="s">
        <v>632</v>
      </c>
    </row>
    <row r="7" spans="2:10" x14ac:dyDescent="0.3">
      <c r="B7" t="s">
        <v>633</v>
      </c>
    </row>
    <row r="9" spans="2:10" ht="17.25" thickBot="1" x14ac:dyDescent="0.35">
      <c r="B9" s="103" t="s">
        <v>674</v>
      </c>
      <c r="H9" s="103" t="s">
        <v>699</v>
      </c>
    </row>
    <row r="10" spans="2:10" x14ac:dyDescent="0.3">
      <c r="B10" s="524"/>
      <c r="C10" s="183" t="s">
        <v>658</v>
      </c>
      <c r="D10" s="183" t="s">
        <v>673</v>
      </c>
      <c r="E10" s="183"/>
      <c r="F10" s="119"/>
      <c r="H10" s="220" t="s">
        <v>700</v>
      </c>
      <c r="I10" s="183">
        <v>600</v>
      </c>
      <c r="J10" s="119" t="s">
        <v>701</v>
      </c>
    </row>
    <row r="11" spans="2:10" x14ac:dyDescent="0.3">
      <c r="B11" s="104"/>
      <c r="C11" s="518" t="s">
        <v>659</v>
      </c>
      <c r="D11" s="518" t="s">
        <v>671</v>
      </c>
      <c r="E11" s="106"/>
      <c r="F11" s="107"/>
      <c r="H11" s="105" t="s">
        <v>702</v>
      </c>
      <c r="I11" s="106">
        <v>40</v>
      </c>
      <c r="J11" s="107" t="s">
        <v>703</v>
      </c>
    </row>
    <row r="12" spans="2:10" ht="17.25" thickBot="1" x14ac:dyDescent="0.35">
      <c r="B12" s="104" t="s">
        <v>660</v>
      </c>
      <c r="C12" s="106" t="s">
        <v>661</v>
      </c>
      <c r="D12" s="106" t="s">
        <v>672</v>
      </c>
      <c r="E12" s="106"/>
      <c r="F12" s="107"/>
      <c r="H12" s="108" t="s">
        <v>704</v>
      </c>
      <c r="I12" s="109">
        <v>6</v>
      </c>
      <c r="J12" s="110" t="s">
        <v>705</v>
      </c>
    </row>
    <row r="13" spans="2:10" x14ac:dyDescent="0.3">
      <c r="B13" s="104" t="s">
        <v>664</v>
      </c>
      <c r="C13" s="106">
        <v>100</v>
      </c>
      <c r="D13" s="106"/>
      <c r="E13" s="106"/>
      <c r="F13" s="107" t="s">
        <v>665</v>
      </c>
    </row>
    <row r="14" spans="2:10" ht="17.25" thickBot="1" x14ac:dyDescent="0.35">
      <c r="B14" s="104" t="s">
        <v>662</v>
      </c>
      <c r="C14" s="106">
        <v>20</v>
      </c>
      <c r="D14" s="106">
        <v>15</v>
      </c>
      <c r="E14" s="106"/>
      <c r="F14" s="107" t="s">
        <v>663</v>
      </c>
      <c r="H14" s="539" t="s">
        <v>721</v>
      </c>
    </row>
    <row r="15" spans="2:10" x14ac:dyDescent="0.3">
      <c r="B15" s="104" t="s">
        <v>666</v>
      </c>
      <c r="C15" s="106">
        <v>5</v>
      </c>
      <c r="D15" s="106"/>
      <c r="E15" s="106"/>
      <c r="F15" s="107" t="s">
        <v>667</v>
      </c>
      <c r="H15" s="220" t="s">
        <v>700</v>
      </c>
      <c r="I15" s="183">
        <v>50</v>
      </c>
      <c r="J15" s="119" t="s">
        <v>426</v>
      </c>
    </row>
    <row r="16" spans="2:10" x14ac:dyDescent="0.3">
      <c r="B16" s="104" t="s">
        <v>668</v>
      </c>
      <c r="C16" s="106">
        <v>3.15</v>
      </c>
      <c r="D16" s="106">
        <v>28</v>
      </c>
      <c r="E16" s="106"/>
      <c r="F16" s="107" t="s">
        <v>667</v>
      </c>
      <c r="H16" s="105" t="s">
        <v>702</v>
      </c>
      <c r="I16" s="106">
        <v>80</v>
      </c>
      <c r="J16" s="107" t="s">
        <v>76</v>
      </c>
    </row>
    <row r="17" spans="2:16" ht="17.25" thickBot="1" x14ac:dyDescent="0.35">
      <c r="B17" s="118" t="s">
        <v>669</v>
      </c>
      <c r="C17" s="109">
        <v>650</v>
      </c>
      <c r="D17" s="109">
        <v>85</v>
      </c>
      <c r="E17" s="109"/>
      <c r="F17" s="110" t="s">
        <v>670</v>
      </c>
      <c r="H17" s="108" t="s">
        <v>722</v>
      </c>
      <c r="I17" s="109">
        <v>50</v>
      </c>
      <c r="J17" s="110" t="s">
        <v>723</v>
      </c>
    </row>
    <row r="20" spans="2:16" ht="17.25" thickBot="1" x14ac:dyDescent="0.35">
      <c r="I20" s="557" t="s">
        <v>659</v>
      </c>
      <c r="J20" s="556"/>
    </row>
    <row r="21" spans="2:16" x14ac:dyDescent="0.3">
      <c r="H21" s="553"/>
      <c r="I21" s="555" t="s">
        <v>676</v>
      </c>
      <c r="J21" s="555" t="s">
        <v>675</v>
      </c>
      <c r="K21" s="555" t="s">
        <v>676</v>
      </c>
      <c r="L21" s="555" t="s">
        <v>675</v>
      </c>
      <c r="M21" s="554"/>
    </row>
    <row r="22" spans="2:16" ht="17.25" thickBot="1" x14ac:dyDescent="0.35">
      <c r="B22" s="103" t="s">
        <v>657</v>
      </c>
      <c r="H22" s="104" t="s">
        <v>643</v>
      </c>
      <c r="I22" s="106">
        <v>5</v>
      </c>
      <c r="J22" s="106">
        <v>5</v>
      </c>
      <c r="K22" s="106">
        <v>28</v>
      </c>
      <c r="L22" s="106"/>
      <c r="M22" s="107" t="s">
        <v>76</v>
      </c>
    </row>
    <row r="23" spans="2:16" x14ac:dyDescent="0.3">
      <c r="B23" s="515" t="s">
        <v>634</v>
      </c>
      <c r="C23" s="517" t="s">
        <v>635</v>
      </c>
      <c r="D23" s="517" t="s">
        <v>636</v>
      </c>
      <c r="E23" s="517" t="s">
        <v>642</v>
      </c>
      <c r="F23" s="516" t="s">
        <v>641</v>
      </c>
      <c r="H23" s="104" t="s">
        <v>267</v>
      </c>
      <c r="I23" s="106">
        <v>680</v>
      </c>
      <c r="J23" s="112">
        <f>J22/J24*1000</f>
        <v>1981.132075471698</v>
      </c>
      <c r="K23" s="106">
        <v>2800</v>
      </c>
      <c r="L23" s="106"/>
      <c r="M23" s="107" t="s">
        <v>646</v>
      </c>
    </row>
    <row r="24" spans="2:16" x14ac:dyDescent="0.3">
      <c r="B24" s="520">
        <v>4.4800000000000004</v>
      </c>
      <c r="C24" s="180">
        <v>0.73599999999999999</v>
      </c>
      <c r="D24" s="180">
        <v>0.254</v>
      </c>
      <c r="E24" s="106">
        <v>53</v>
      </c>
      <c r="F24" s="107" t="s">
        <v>639</v>
      </c>
      <c r="H24" s="104" t="s">
        <v>644</v>
      </c>
      <c r="I24" s="112">
        <f>I22/I23*1000</f>
        <v>7.3529411764705879</v>
      </c>
      <c r="J24" s="112">
        <f>J26/J25</f>
        <v>2.5238095238095237</v>
      </c>
      <c r="K24" s="112">
        <f>K22/K23*1000</f>
        <v>10</v>
      </c>
      <c r="L24" s="106"/>
      <c r="M24" s="107" t="s">
        <v>645</v>
      </c>
    </row>
    <row r="25" spans="2:16" x14ac:dyDescent="0.3">
      <c r="B25" s="520">
        <v>1.1839999999999999</v>
      </c>
      <c r="C25" s="180">
        <v>0.18099999999999999</v>
      </c>
      <c r="D25" s="180">
        <v>2.2210000000000001</v>
      </c>
      <c r="E25" s="106"/>
      <c r="F25" s="107"/>
      <c r="H25" s="104" t="s">
        <v>647</v>
      </c>
      <c r="I25" s="106">
        <v>21</v>
      </c>
      <c r="J25" s="106">
        <v>21</v>
      </c>
      <c r="K25" s="106">
        <v>1</v>
      </c>
      <c r="L25" s="106"/>
      <c r="M25" s="107" t="s">
        <v>648</v>
      </c>
    </row>
    <row r="26" spans="2:16" ht="17.25" thickBot="1" x14ac:dyDescent="0.35">
      <c r="B26" s="521">
        <v>3.0000000000000001E-3</v>
      </c>
      <c r="C26" s="361">
        <v>0</v>
      </c>
      <c r="D26" s="361">
        <v>2.86</v>
      </c>
      <c r="E26" s="109">
        <v>0.03</v>
      </c>
      <c r="F26" s="110" t="s">
        <v>640</v>
      </c>
      <c r="H26" s="118" t="s">
        <v>649</v>
      </c>
      <c r="I26" s="136">
        <f>I24*I25</f>
        <v>154.41176470588235</v>
      </c>
      <c r="J26" s="109">
        <v>53</v>
      </c>
      <c r="K26" s="136">
        <f>K24*K25</f>
        <v>10</v>
      </c>
      <c r="L26" s="109"/>
      <c r="M26" s="110" t="s">
        <v>645</v>
      </c>
    </row>
    <row r="27" spans="2:16" x14ac:dyDescent="0.3">
      <c r="H27" s="558" t="s">
        <v>753</v>
      </c>
      <c r="I27">
        <f>I22*I24/1000</f>
        <v>3.6764705882352942E-2</v>
      </c>
      <c r="J27">
        <f>J22*J24/1000</f>
        <v>1.2619047619047618E-2</v>
      </c>
      <c r="K27">
        <f>K22*K24/1000</f>
        <v>0.28000000000000003</v>
      </c>
    </row>
    <row r="28" spans="2:16" x14ac:dyDescent="0.3">
      <c r="J28">
        <v>1000</v>
      </c>
      <c r="K28">
        <v>1000</v>
      </c>
    </row>
    <row r="29" spans="2:16" x14ac:dyDescent="0.3">
      <c r="J29">
        <f>J22/J28</f>
        <v>5.0000000000000001E-3</v>
      </c>
      <c r="K29">
        <f>K22/K28</f>
        <v>2.8000000000000001E-2</v>
      </c>
    </row>
    <row r="30" spans="2:16" ht="17.25" thickBot="1" x14ac:dyDescent="0.35">
      <c r="B30" s="103" t="s">
        <v>681</v>
      </c>
      <c r="J30" s="172">
        <f>J22*J29</f>
        <v>2.5000000000000001E-2</v>
      </c>
      <c r="K30" s="172">
        <f>K22*K29</f>
        <v>0.78400000000000003</v>
      </c>
    </row>
    <row r="31" spans="2:16" s="172" customFormat="1" ht="17.25" thickBot="1" x14ac:dyDescent="0.35">
      <c r="B31" s="535"/>
      <c r="C31" s="526" t="s">
        <v>706</v>
      </c>
      <c r="D31" s="540" t="s">
        <v>549</v>
      </c>
      <c r="E31" s="540" t="s">
        <v>707</v>
      </c>
      <c r="F31" s="540" t="s">
        <v>708</v>
      </c>
      <c r="G31" s="540" t="s">
        <v>206</v>
      </c>
      <c r="H31" s="541" t="s">
        <v>709</v>
      </c>
      <c r="I31" s="172" t="s">
        <v>756</v>
      </c>
      <c r="J31" s="552" t="s">
        <v>709</v>
      </c>
    </row>
    <row r="32" spans="2:16" x14ac:dyDescent="0.3">
      <c r="B32" s="1109" t="s">
        <v>682</v>
      </c>
      <c r="C32" s="1070">
        <v>21</v>
      </c>
      <c r="D32" s="106">
        <v>11</v>
      </c>
      <c r="E32" s="106">
        <v>5</v>
      </c>
      <c r="F32" s="106">
        <v>680</v>
      </c>
      <c r="G32" s="228">
        <f t="shared" ref="G32:G39" si="0">E32/F32*1000</f>
        <v>7.3529411764705879</v>
      </c>
      <c r="H32" s="531">
        <f t="shared" ref="H32:H39" si="1">D32*G32</f>
        <v>80.882352941176464</v>
      </c>
      <c r="O32" s="106">
        <v>5</v>
      </c>
      <c r="P32" s="106">
        <v>5</v>
      </c>
    </row>
    <row r="33" spans="2:16" x14ac:dyDescent="0.3">
      <c r="B33" s="1110"/>
      <c r="C33" s="1006"/>
      <c r="D33" s="106">
        <v>10</v>
      </c>
      <c r="E33" s="106">
        <v>5</v>
      </c>
      <c r="F33" s="106">
        <v>680</v>
      </c>
      <c r="G33" s="228">
        <f t="shared" si="0"/>
        <v>7.3529411764705879</v>
      </c>
      <c r="H33" s="531">
        <f t="shared" si="1"/>
        <v>73.529411764705884</v>
      </c>
      <c r="O33" s="106">
        <v>680</v>
      </c>
      <c r="P33" s="106">
        <v>1680</v>
      </c>
    </row>
    <row r="34" spans="2:16" x14ac:dyDescent="0.3">
      <c r="B34" s="1109" t="s">
        <v>685</v>
      </c>
      <c r="C34" s="1070">
        <v>22</v>
      </c>
      <c r="D34" s="106">
        <v>11</v>
      </c>
      <c r="E34" s="106">
        <v>5</v>
      </c>
      <c r="F34" s="106">
        <v>680</v>
      </c>
      <c r="G34" s="228">
        <f t="shared" si="0"/>
        <v>7.3529411764705879</v>
      </c>
      <c r="H34" s="531">
        <f t="shared" si="1"/>
        <v>80.882352941176464</v>
      </c>
      <c r="O34" s="112">
        <f>O32/O33*1000</f>
        <v>7.3529411764705879</v>
      </c>
      <c r="P34" s="112">
        <f>P32/P33*1000</f>
        <v>2.9761904761904758</v>
      </c>
    </row>
    <row r="35" spans="2:16" ht="17.25" thickBot="1" x14ac:dyDescent="0.35">
      <c r="B35" s="1116"/>
      <c r="C35" s="1071"/>
      <c r="D35" s="545">
        <v>11</v>
      </c>
      <c r="E35" s="545">
        <v>5</v>
      </c>
      <c r="F35" s="545">
        <v>680</v>
      </c>
      <c r="G35" s="546">
        <f t="shared" si="0"/>
        <v>7.3529411764705879</v>
      </c>
      <c r="H35" s="547">
        <f t="shared" si="1"/>
        <v>80.882352941176464</v>
      </c>
    </row>
    <row r="36" spans="2:16" x14ac:dyDescent="0.3">
      <c r="B36" s="1112" t="s">
        <v>683</v>
      </c>
      <c r="C36" s="1113">
        <v>26</v>
      </c>
      <c r="D36" s="183">
        <v>13</v>
      </c>
      <c r="E36" s="183">
        <v>5</v>
      </c>
      <c r="F36" s="183">
        <v>680</v>
      </c>
      <c r="G36" s="548">
        <f t="shared" si="0"/>
        <v>7.3529411764705879</v>
      </c>
      <c r="H36" s="534">
        <f t="shared" si="1"/>
        <v>95.588235294117638</v>
      </c>
    </row>
    <row r="37" spans="2:16" x14ac:dyDescent="0.3">
      <c r="B37" s="1110"/>
      <c r="C37" s="1006"/>
      <c r="D37" s="106">
        <v>13</v>
      </c>
      <c r="E37" s="106">
        <v>5</v>
      </c>
      <c r="F37" s="106">
        <v>680</v>
      </c>
      <c r="G37" s="228">
        <f t="shared" si="0"/>
        <v>7.3529411764705879</v>
      </c>
      <c r="H37" s="531">
        <f t="shared" si="1"/>
        <v>95.588235294117638</v>
      </c>
    </row>
    <row r="38" spans="2:16" x14ac:dyDescent="0.3">
      <c r="B38" s="1109" t="s">
        <v>684</v>
      </c>
      <c r="C38" s="1070">
        <v>42</v>
      </c>
      <c r="D38" s="106">
        <v>21</v>
      </c>
      <c r="E38" s="106">
        <v>5</v>
      </c>
      <c r="F38" s="106">
        <v>680</v>
      </c>
      <c r="G38" s="228">
        <f t="shared" si="0"/>
        <v>7.3529411764705879</v>
      </c>
      <c r="H38" s="531">
        <f t="shared" si="1"/>
        <v>154.41176470588235</v>
      </c>
    </row>
    <row r="39" spans="2:16" x14ac:dyDescent="0.3">
      <c r="B39" s="1110"/>
      <c r="C39" s="1006"/>
      <c r="D39" s="106">
        <v>21</v>
      </c>
      <c r="E39" s="106">
        <v>5</v>
      </c>
      <c r="F39" s="106">
        <v>680</v>
      </c>
      <c r="G39" s="228">
        <f t="shared" si="0"/>
        <v>7.3529411764705879</v>
      </c>
      <c r="H39" s="531">
        <f t="shared" si="1"/>
        <v>154.41176470588235</v>
      </c>
    </row>
    <row r="40" spans="2:16" ht="17.25" thickBot="1" x14ac:dyDescent="0.35">
      <c r="B40" s="1109" t="s">
        <v>754</v>
      </c>
      <c r="C40" s="1070">
        <v>24</v>
      </c>
      <c r="D40" s="106">
        <v>12</v>
      </c>
      <c r="E40" s="106">
        <v>28</v>
      </c>
      <c r="F40" s="106"/>
      <c r="G40" s="228"/>
      <c r="H40" s="531"/>
    </row>
    <row r="41" spans="2:16" x14ac:dyDescent="0.3">
      <c r="B41" s="1110"/>
      <c r="C41" s="1006"/>
      <c r="D41" s="106">
        <v>12</v>
      </c>
      <c r="E41" s="106">
        <v>28</v>
      </c>
      <c r="F41" s="106"/>
      <c r="G41" s="228"/>
      <c r="H41" s="531"/>
      <c r="O41" s="553"/>
      <c r="P41" s="555" t="s">
        <v>676</v>
      </c>
    </row>
    <row r="42" spans="2:16" x14ac:dyDescent="0.3">
      <c r="B42" s="1109" t="s">
        <v>694</v>
      </c>
      <c r="C42" s="1070">
        <v>46</v>
      </c>
      <c r="D42" s="106">
        <v>23</v>
      </c>
      <c r="E42" s="106">
        <v>5</v>
      </c>
      <c r="F42" s="106">
        <v>680</v>
      </c>
      <c r="G42" s="228">
        <f t="shared" ref="G42:G51" si="2">E42/F42*1000</f>
        <v>7.3529411764705879</v>
      </c>
      <c r="H42" s="531">
        <f t="shared" ref="H42:H53" si="3">D42*G42</f>
        <v>169.11764705882351</v>
      </c>
      <c r="O42" s="104" t="s">
        <v>643</v>
      </c>
      <c r="P42" s="106">
        <v>5</v>
      </c>
    </row>
    <row r="43" spans="2:16" ht="17.25" thickBot="1" x14ac:dyDescent="0.35">
      <c r="B43" s="1114"/>
      <c r="C43" s="1115"/>
      <c r="D43" s="109">
        <v>23</v>
      </c>
      <c r="E43" s="109">
        <v>5</v>
      </c>
      <c r="F43" s="109">
        <v>680</v>
      </c>
      <c r="G43" s="113">
        <f t="shared" si="2"/>
        <v>7.3529411764705879</v>
      </c>
      <c r="H43" s="229">
        <f t="shared" si="3"/>
        <v>169.11764705882351</v>
      </c>
      <c r="O43" s="104" t="s">
        <v>644</v>
      </c>
      <c r="P43" s="112">
        <f>P42/P44*1000</f>
        <v>5</v>
      </c>
    </row>
    <row r="44" spans="2:16" x14ac:dyDescent="0.3">
      <c r="B44" s="1112" t="s">
        <v>679</v>
      </c>
      <c r="C44" s="1113">
        <v>34</v>
      </c>
      <c r="D44" s="183">
        <v>18</v>
      </c>
      <c r="E44" s="183">
        <v>5</v>
      </c>
      <c r="F44" s="183">
        <v>680</v>
      </c>
      <c r="G44" s="548">
        <f t="shared" si="2"/>
        <v>7.3529411764705879</v>
      </c>
      <c r="H44" s="534">
        <f t="shared" si="3"/>
        <v>132.35294117647058</v>
      </c>
      <c r="O44" s="104" t="s">
        <v>267</v>
      </c>
      <c r="P44" s="106">
        <v>1000</v>
      </c>
    </row>
    <row r="45" spans="2:16" x14ac:dyDescent="0.3">
      <c r="B45" s="1110"/>
      <c r="C45" s="1006"/>
      <c r="D45" s="106">
        <v>16</v>
      </c>
      <c r="E45" s="106">
        <v>5</v>
      </c>
      <c r="F45" s="106">
        <v>680</v>
      </c>
      <c r="G45" s="228">
        <f t="shared" si="2"/>
        <v>7.3529411764705879</v>
      </c>
      <c r="H45" s="531">
        <f t="shared" si="3"/>
        <v>117.64705882352941</v>
      </c>
      <c r="O45" s="104" t="s">
        <v>647</v>
      </c>
      <c r="P45" s="106">
        <v>36</v>
      </c>
    </row>
    <row r="46" spans="2:16" ht="17.25" thickBot="1" x14ac:dyDescent="0.35">
      <c r="B46" s="1109" t="s">
        <v>680</v>
      </c>
      <c r="C46" s="1070">
        <v>34</v>
      </c>
      <c r="D46" s="106">
        <v>18</v>
      </c>
      <c r="E46" s="106">
        <v>5</v>
      </c>
      <c r="F46" s="106">
        <v>680</v>
      </c>
      <c r="G46" s="228">
        <f t="shared" si="2"/>
        <v>7.3529411764705879</v>
      </c>
      <c r="H46" s="531">
        <f t="shared" si="3"/>
        <v>132.35294117647058</v>
      </c>
      <c r="O46" s="118" t="s">
        <v>649</v>
      </c>
      <c r="P46" s="136">
        <f>P43*P45</f>
        <v>180</v>
      </c>
    </row>
    <row r="47" spans="2:16" x14ac:dyDescent="0.3">
      <c r="B47" s="1110"/>
      <c r="C47" s="1006"/>
      <c r="D47" s="106">
        <v>16</v>
      </c>
      <c r="E47" s="106">
        <v>5</v>
      </c>
      <c r="F47" s="106">
        <v>680</v>
      </c>
      <c r="G47" s="228">
        <f t="shared" si="2"/>
        <v>7.3529411764705879</v>
      </c>
      <c r="H47" s="531">
        <f t="shared" si="3"/>
        <v>117.64705882352941</v>
      </c>
      <c r="O47" s="558" t="s">
        <v>753</v>
      </c>
      <c r="P47">
        <f>P42*P43/1000</f>
        <v>2.5000000000000001E-2</v>
      </c>
    </row>
    <row r="48" spans="2:16" x14ac:dyDescent="0.3">
      <c r="B48" s="104" t="s">
        <v>695</v>
      </c>
      <c r="C48" s="106">
        <v>18</v>
      </c>
      <c r="D48" s="106">
        <v>18</v>
      </c>
      <c r="E48" s="106">
        <v>5</v>
      </c>
      <c r="F48" s="106">
        <v>560</v>
      </c>
      <c r="G48" s="228">
        <f t="shared" si="2"/>
        <v>8.9285714285714288</v>
      </c>
      <c r="H48" s="531">
        <f t="shared" si="3"/>
        <v>160.71428571428572</v>
      </c>
      <c r="I48" s="1111">
        <v>1000</v>
      </c>
      <c r="J48" s="1108">
        <f>H48+H49</f>
        <v>321.42857142857144</v>
      </c>
      <c r="K48" s="1108"/>
      <c r="O48" s="558" t="s">
        <v>755</v>
      </c>
      <c r="P48">
        <f>P42*P46/1000</f>
        <v>0.9</v>
      </c>
    </row>
    <row r="49" spans="2:21" x14ac:dyDescent="0.3">
      <c r="B49" s="104" t="s">
        <v>697</v>
      </c>
      <c r="C49" s="106">
        <v>18</v>
      </c>
      <c r="D49" s="106">
        <v>18</v>
      </c>
      <c r="E49" s="106">
        <v>5</v>
      </c>
      <c r="F49" s="106">
        <v>560</v>
      </c>
      <c r="G49" s="228">
        <f t="shared" si="2"/>
        <v>8.9285714285714288</v>
      </c>
      <c r="H49" s="531">
        <f t="shared" si="3"/>
        <v>160.71428571428572</v>
      </c>
      <c r="I49" s="1111"/>
      <c r="J49" s="1108"/>
      <c r="K49" s="1108"/>
    </row>
    <row r="50" spans="2:21" x14ac:dyDescent="0.3">
      <c r="B50" s="104" t="s">
        <v>696</v>
      </c>
      <c r="C50" s="106">
        <v>18</v>
      </c>
      <c r="D50" s="106">
        <v>18</v>
      </c>
      <c r="E50" s="106">
        <v>5</v>
      </c>
      <c r="F50" s="106">
        <v>560</v>
      </c>
      <c r="G50" s="228">
        <f t="shared" si="2"/>
        <v>8.9285714285714288</v>
      </c>
      <c r="H50" s="531">
        <f t="shared" si="3"/>
        <v>160.71428571428572</v>
      </c>
      <c r="I50" s="1111">
        <v>1000</v>
      </c>
      <c r="J50" s="1108">
        <f>H50+H51</f>
        <v>321.42857142857144</v>
      </c>
      <c r="K50" s="1108"/>
    </row>
    <row r="51" spans="2:21" ht="17.25" thickBot="1" x14ac:dyDescent="0.35">
      <c r="B51" s="118" t="s">
        <v>698</v>
      </c>
      <c r="C51" s="109">
        <v>18</v>
      </c>
      <c r="D51" s="109">
        <v>18</v>
      </c>
      <c r="E51" s="109">
        <v>5</v>
      </c>
      <c r="F51" s="109">
        <v>560</v>
      </c>
      <c r="G51" s="113">
        <f t="shared" si="2"/>
        <v>8.9285714285714288</v>
      </c>
      <c r="H51" s="229">
        <f t="shared" si="3"/>
        <v>160.71428571428572</v>
      </c>
      <c r="I51" s="1111"/>
      <c r="J51" s="1108"/>
      <c r="K51" s="1108"/>
    </row>
    <row r="52" spans="2:21" x14ac:dyDescent="0.3">
      <c r="B52" s="524" t="s">
        <v>710</v>
      </c>
      <c r="C52" s="183">
        <v>1</v>
      </c>
      <c r="D52" s="183">
        <v>1</v>
      </c>
      <c r="E52" s="183">
        <v>28</v>
      </c>
      <c r="F52" s="533" t="s">
        <v>411</v>
      </c>
      <c r="G52" s="183">
        <v>15</v>
      </c>
      <c r="H52" s="534">
        <f t="shared" si="3"/>
        <v>15</v>
      </c>
    </row>
    <row r="53" spans="2:21" ht="17.25" thickBot="1" x14ac:dyDescent="0.35">
      <c r="B53" s="118" t="s">
        <v>711</v>
      </c>
      <c r="C53" s="109">
        <v>1</v>
      </c>
      <c r="D53" s="109">
        <v>1</v>
      </c>
      <c r="E53" s="109">
        <v>28</v>
      </c>
      <c r="F53" s="532" t="s">
        <v>411</v>
      </c>
      <c r="G53" s="109">
        <v>15</v>
      </c>
      <c r="H53" s="229">
        <f t="shared" si="3"/>
        <v>15</v>
      </c>
    </row>
    <row r="55" spans="2:21" ht="17.25" thickBot="1" x14ac:dyDescent="0.35">
      <c r="B55" s="557" t="s">
        <v>659</v>
      </c>
      <c r="C55">
        <f>SUM(C32:C39,C42:C47)</f>
        <v>225</v>
      </c>
    </row>
    <row r="56" spans="2:21" x14ac:dyDescent="0.3">
      <c r="B56" s="565" t="s">
        <v>767</v>
      </c>
      <c r="C56">
        <f>SUM(C48,C50)</f>
        <v>36</v>
      </c>
    </row>
    <row r="59" spans="2:21" x14ac:dyDescent="0.3">
      <c r="B59" t="s">
        <v>637</v>
      </c>
      <c r="C59">
        <v>10</v>
      </c>
      <c r="S59" s="520">
        <v>4.4800000000000004</v>
      </c>
      <c r="T59" s="180">
        <v>0.73599999999999999</v>
      </c>
      <c r="U59">
        <f>S59/T59-1</f>
        <v>5.0869565217391308</v>
      </c>
    </row>
    <row r="60" spans="2:21" x14ac:dyDescent="0.3">
      <c r="B60" t="s">
        <v>638</v>
      </c>
      <c r="C60">
        <v>47</v>
      </c>
      <c r="S60" s="520">
        <v>1.1839999999999999</v>
      </c>
      <c r="T60" s="180">
        <v>0.18099999999999999</v>
      </c>
      <c r="U60">
        <f>S60/T60-1</f>
        <v>5.541436464088398</v>
      </c>
    </row>
    <row r="61" spans="2:21" x14ac:dyDescent="0.3">
      <c r="B61">
        <v>5</v>
      </c>
      <c r="C61" s="173">
        <f t="shared" ref="C61:C71" si="4">B61*$C$60/($C$59+$C$60)</f>
        <v>4.1228070175438596</v>
      </c>
    </row>
    <row r="62" spans="2:21" x14ac:dyDescent="0.3">
      <c r="B62">
        <v>4.5</v>
      </c>
      <c r="C62" s="173">
        <f t="shared" si="4"/>
        <v>3.7105263157894739</v>
      </c>
    </row>
    <row r="63" spans="2:21" x14ac:dyDescent="0.3">
      <c r="B63">
        <v>4</v>
      </c>
      <c r="C63" s="173">
        <f t="shared" si="4"/>
        <v>3.2982456140350878</v>
      </c>
    </row>
    <row r="64" spans="2:21" x14ac:dyDescent="0.3">
      <c r="B64">
        <v>3.5</v>
      </c>
      <c r="C64" s="173">
        <f t="shared" si="4"/>
        <v>2.8859649122807016</v>
      </c>
    </row>
    <row r="65" spans="2:3" x14ac:dyDescent="0.3">
      <c r="B65">
        <v>3</v>
      </c>
      <c r="C65" s="173">
        <f t="shared" si="4"/>
        <v>2.4736842105263159</v>
      </c>
    </row>
    <row r="66" spans="2:3" x14ac:dyDescent="0.3">
      <c r="B66">
        <v>2.5</v>
      </c>
      <c r="C66" s="173">
        <f t="shared" si="4"/>
        <v>2.0614035087719298</v>
      </c>
    </row>
    <row r="67" spans="2:3" x14ac:dyDescent="0.3">
      <c r="B67">
        <v>2</v>
      </c>
      <c r="C67" s="173">
        <f t="shared" si="4"/>
        <v>1.6491228070175439</v>
      </c>
    </row>
    <row r="68" spans="2:3" x14ac:dyDescent="0.3">
      <c r="B68">
        <v>1.5</v>
      </c>
      <c r="C68" s="173">
        <f t="shared" si="4"/>
        <v>1.236842105263158</v>
      </c>
    </row>
    <row r="69" spans="2:3" x14ac:dyDescent="0.3">
      <c r="B69">
        <v>1</v>
      </c>
      <c r="C69" s="173">
        <f t="shared" si="4"/>
        <v>0.82456140350877194</v>
      </c>
    </row>
    <row r="70" spans="2:3" x14ac:dyDescent="0.3">
      <c r="B70">
        <v>0.5</v>
      </c>
      <c r="C70" s="173">
        <f t="shared" si="4"/>
        <v>0.41228070175438597</v>
      </c>
    </row>
    <row r="71" spans="2:3" x14ac:dyDescent="0.3">
      <c r="B71">
        <v>0</v>
      </c>
      <c r="C71" s="173">
        <f t="shared" si="4"/>
        <v>0</v>
      </c>
    </row>
    <row r="82" spans="2:11" x14ac:dyDescent="0.3">
      <c r="B82" t="s">
        <v>988</v>
      </c>
      <c r="C82">
        <v>100</v>
      </c>
      <c r="D82" t="s">
        <v>986</v>
      </c>
    </row>
    <row r="83" spans="2:11" x14ac:dyDescent="0.3">
      <c r="B83" t="s">
        <v>989</v>
      </c>
      <c r="C83">
        <f>1/C82</f>
        <v>0.01</v>
      </c>
      <c r="D83" t="s">
        <v>987</v>
      </c>
    </row>
    <row r="85" spans="2:11" ht="17.25" thickBot="1" x14ac:dyDescent="0.35"/>
    <row r="86" spans="2:11" ht="33.75" thickBot="1" x14ac:dyDescent="0.35">
      <c r="B86" s="674" t="s">
        <v>985</v>
      </c>
      <c r="C86" s="675" t="s">
        <v>990</v>
      </c>
      <c r="D86" s="676" t="s">
        <v>991</v>
      </c>
      <c r="E86" s="677" t="s">
        <v>992</v>
      </c>
      <c r="F86" s="678" t="s">
        <v>993</v>
      </c>
      <c r="G86" s="679" t="s">
        <v>994</v>
      </c>
      <c r="H86" s="680" t="s">
        <v>995</v>
      </c>
    </row>
    <row r="87" spans="2:11" x14ac:dyDescent="0.3">
      <c r="B87" s="681">
        <v>0</v>
      </c>
      <c r="C87" s="440">
        <v>8.6199999999999999E-2</v>
      </c>
      <c r="D87" s="665"/>
      <c r="E87" s="682">
        <f>0.0862/10</f>
        <v>8.6199999999999992E-3</v>
      </c>
      <c r="F87" s="683" t="s">
        <v>978</v>
      </c>
      <c r="G87" s="665" t="s">
        <v>978</v>
      </c>
      <c r="H87" s="225" t="s">
        <v>978</v>
      </c>
      <c r="I87">
        <v>1</v>
      </c>
      <c r="J87">
        <v>71</v>
      </c>
      <c r="K87">
        <f>J87-I87</f>
        <v>70</v>
      </c>
    </row>
    <row r="88" spans="2:11" x14ac:dyDescent="0.3">
      <c r="B88" s="672">
        <v>1</v>
      </c>
      <c r="C88" s="635">
        <v>0.88700000000000001</v>
      </c>
      <c r="D88" s="671">
        <f>C88-C87</f>
        <v>0.80079999999999996</v>
      </c>
      <c r="E88" s="673">
        <f>0.887/10</f>
        <v>8.8700000000000001E-2</v>
      </c>
      <c r="F88" s="395" t="s">
        <v>979</v>
      </c>
      <c r="G88" s="631" t="s">
        <v>979</v>
      </c>
      <c r="H88" s="632" t="s">
        <v>980</v>
      </c>
      <c r="I88">
        <v>11</v>
      </c>
      <c r="J88">
        <v>61</v>
      </c>
      <c r="K88">
        <f t="shared" ref="K88:K94" si="5">J88-I88</f>
        <v>50</v>
      </c>
    </row>
    <row r="89" spans="2:11" x14ac:dyDescent="0.3">
      <c r="B89" s="672">
        <v>2</v>
      </c>
      <c r="C89" s="635">
        <v>1.68</v>
      </c>
      <c r="D89" s="671">
        <f t="shared" ref="D89:D94" si="6">C89-C88</f>
        <v>0.79299999999999993</v>
      </c>
      <c r="E89" s="673">
        <f>1.68/10</f>
        <v>0.16799999999999998</v>
      </c>
      <c r="F89" s="395" t="s">
        <v>979</v>
      </c>
      <c r="G89" s="631" t="s">
        <v>980</v>
      </c>
      <c r="H89" s="632" t="s">
        <v>979</v>
      </c>
      <c r="I89">
        <v>21</v>
      </c>
      <c r="J89">
        <v>51</v>
      </c>
      <c r="K89">
        <f t="shared" si="5"/>
        <v>30</v>
      </c>
    </row>
    <row r="90" spans="2:11" x14ac:dyDescent="0.3">
      <c r="B90" s="672">
        <v>3</v>
      </c>
      <c r="C90" s="635">
        <v>2.456</v>
      </c>
      <c r="D90" s="671">
        <f t="shared" si="6"/>
        <v>0.77600000000000002</v>
      </c>
      <c r="E90" s="673">
        <f>2.456/10</f>
        <v>0.24559999999999998</v>
      </c>
      <c r="F90" s="395" t="s">
        <v>979</v>
      </c>
      <c r="G90" s="631" t="s">
        <v>980</v>
      </c>
      <c r="H90" s="632" t="s">
        <v>980</v>
      </c>
      <c r="I90">
        <v>31</v>
      </c>
      <c r="J90">
        <v>41</v>
      </c>
      <c r="K90">
        <f t="shared" si="5"/>
        <v>10</v>
      </c>
    </row>
    <row r="91" spans="2:11" x14ac:dyDescent="0.3">
      <c r="B91" s="672">
        <v>4</v>
      </c>
      <c r="C91" s="635">
        <v>3.2240000000000002</v>
      </c>
      <c r="D91" s="671">
        <f t="shared" si="6"/>
        <v>0.76800000000000024</v>
      </c>
      <c r="E91" s="673">
        <f>3.224/10</f>
        <v>0.32240000000000002</v>
      </c>
      <c r="F91" s="395" t="s">
        <v>981</v>
      </c>
      <c r="G91" s="631" t="s">
        <v>982</v>
      </c>
      <c r="H91" s="632" t="s">
        <v>982</v>
      </c>
      <c r="I91">
        <v>41</v>
      </c>
      <c r="J91">
        <v>31</v>
      </c>
      <c r="K91">
        <f t="shared" si="5"/>
        <v>-10</v>
      </c>
    </row>
    <row r="92" spans="2:11" x14ac:dyDescent="0.3">
      <c r="B92" s="672">
        <v>5</v>
      </c>
      <c r="C92" s="635">
        <v>4.008</v>
      </c>
      <c r="D92" s="671">
        <f t="shared" si="6"/>
        <v>0.78399999999999981</v>
      </c>
      <c r="E92" s="673">
        <f>4.008/10</f>
        <v>0.40079999999999999</v>
      </c>
      <c r="F92" s="395" t="s">
        <v>980</v>
      </c>
      <c r="G92" s="631" t="s">
        <v>979</v>
      </c>
      <c r="H92" s="632" t="s">
        <v>980</v>
      </c>
      <c r="I92">
        <v>51</v>
      </c>
      <c r="J92">
        <v>21</v>
      </c>
      <c r="K92">
        <f t="shared" si="5"/>
        <v>-30</v>
      </c>
    </row>
    <row r="93" spans="2:11" x14ac:dyDescent="0.3">
      <c r="B93" s="672">
        <v>6</v>
      </c>
      <c r="C93" s="635">
        <v>4.7480000000000002</v>
      </c>
      <c r="D93" s="671">
        <f t="shared" si="6"/>
        <v>0.74000000000000021</v>
      </c>
      <c r="E93" s="673">
        <f>4.748/10</f>
        <v>0.4748</v>
      </c>
      <c r="F93" s="395" t="s">
        <v>983</v>
      </c>
      <c r="G93" s="631" t="s">
        <v>983</v>
      </c>
      <c r="H93" s="632" t="s">
        <v>984</v>
      </c>
      <c r="I93">
        <v>61</v>
      </c>
      <c r="J93">
        <v>11</v>
      </c>
      <c r="K93">
        <f t="shared" si="5"/>
        <v>-50</v>
      </c>
    </row>
    <row r="94" spans="2:11" ht="17.25" thickBot="1" x14ac:dyDescent="0.35">
      <c r="B94" s="684">
        <v>7</v>
      </c>
      <c r="C94" s="636">
        <v>5.4080000000000004</v>
      </c>
      <c r="D94" s="685">
        <f t="shared" si="6"/>
        <v>0.66000000000000014</v>
      </c>
      <c r="E94" s="686">
        <f>5.408/10</f>
        <v>0.54080000000000006</v>
      </c>
      <c r="F94" s="396" t="s">
        <v>980</v>
      </c>
      <c r="G94" s="628" t="s">
        <v>980</v>
      </c>
      <c r="H94" s="634" t="s">
        <v>980</v>
      </c>
      <c r="I94">
        <v>71</v>
      </c>
      <c r="J94">
        <v>1</v>
      </c>
      <c r="K94">
        <f t="shared" si="5"/>
        <v>-70</v>
      </c>
    </row>
    <row r="134" spans="2:12" x14ac:dyDescent="0.3">
      <c r="B134" t="s">
        <v>1001</v>
      </c>
    </row>
    <row r="135" spans="2:12" x14ac:dyDescent="0.3">
      <c r="F135">
        <v>5</v>
      </c>
    </row>
    <row r="136" spans="2:12" x14ac:dyDescent="0.3">
      <c r="C136">
        <v>1</v>
      </c>
      <c r="D136">
        <v>1.278</v>
      </c>
      <c r="F136" s="598">
        <f>D136/150</f>
        <v>8.5199999999999998E-3</v>
      </c>
      <c r="H136" s="598">
        <f>F136/C136</f>
        <v>8.5199999999999998E-3</v>
      </c>
      <c r="I136">
        <v>1</v>
      </c>
    </row>
    <row r="137" spans="2:12" x14ac:dyDescent="0.3">
      <c r="C137">
        <v>2</v>
      </c>
      <c r="D137">
        <v>1.65</v>
      </c>
      <c r="F137" s="598">
        <f>D137/150</f>
        <v>1.0999999999999999E-2</v>
      </c>
      <c r="G137" s="689">
        <f>F137-F136</f>
        <v>2.4799999999999996E-3</v>
      </c>
      <c r="H137" s="598">
        <f>F137/C137</f>
        <v>5.4999999999999997E-3</v>
      </c>
    </row>
    <row r="138" spans="2:12" x14ac:dyDescent="0.3">
      <c r="C138">
        <v>3</v>
      </c>
      <c r="D138">
        <v>1.85</v>
      </c>
      <c r="F138" s="598">
        <f>D138/150</f>
        <v>1.2333333333333333E-2</v>
      </c>
      <c r="G138" s="689">
        <f>F138-F137</f>
        <v>1.3333333333333339E-3</v>
      </c>
      <c r="H138" s="598">
        <f>F138/C138</f>
        <v>4.1111111111111114E-3</v>
      </c>
    </row>
    <row r="139" spans="2:12" x14ac:dyDescent="0.3">
      <c r="C139">
        <v>4</v>
      </c>
      <c r="D139">
        <v>1.97</v>
      </c>
      <c r="F139" s="598">
        <f>D139/150</f>
        <v>1.3133333333333334E-2</v>
      </c>
      <c r="G139" s="689">
        <f>F139-F138</f>
        <v>8.0000000000000036E-4</v>
      </c>
      <c r="H139" s="598">
        <f>F139/C139</f>
        <v>3.2833333333333334E-3</v>
      </c>
      <c r="I139">
        <v>18</v>
      </c>
      <c r="J139">
        <f>H139*I139</f>
        <v>5.91E-2</v>
      </c>
      <c r="K139">
        <v>1.9</v>
      </c>
      <c r="L139">
        <f>K139/J139</f>
        <v>32.148900169204737</v>
      </c>
    </row>
    <row r="140" spans="2:12" x14ac:dyDescent="0.3">
      <c r="C140">
        <v>5</v>
      </c>
      <c r="D140">
        <v>2.1800000000000002</v>
      </c>
      <c r="E140" t="s">
        <v>1002</v>
      </c>
      <c r="F140" s="598">
        <f>D140/150</f>
        <v>1.4533333333333334E-2</v>
      </c>
      <c r="G140" s="689">
        <f>F140-F139</f>
        <v>1.4000000000000002E-3</v>
      </c>
      <c r="H140" s="598">
        <f>F140/C140</f>
        <v>2.9066666666666668E-3</v>
      </c>
    </row>
    <row r="141" spans="2:12" x14ac:dyDescent="0.3">
      <c r="G141" t="s">
        <v>1004</v>
      </c>
      <c r="H141" t="s">
        <v>1003</v>
      </c>
      <c r="I141" t="s">
        <v>1005</v>
      </c>
    </row>
    <row r="142" spans="2:12" x14ac:dyDescent="0.3">
      <c r="H142">
        <v>5</v>
      </c>
    </row>
    <row r="143" spans="2:12" x14ac:dyDescent="0.3">
      <c r="G143" s="530">
        <f>H143/I143</f>
        <v>385.71428571428578</v>
      </c>
      <c r="H143">
        <v>3.6</v>
      </c>
      <c r="I143">
        <f>I144</f>
        <v>9.3333333333333324E-3</v>
      </c>
    </row>
    <row r="144" spans="2:12" x14ac:dyDescent="0.3">
      <c r="G144">
        <v>150</v>
      </c>
      <c r="H144">
        <f>H142-H143</f>
        <v>1.4</v>
      </c>
      <c r="I144">
        <f>H144/G144</f>
        <v>9.3333333333333324E-3</v>
      </c>
    </row>
  </sheetData>
  <mergeCells count="22">
    <mergeCell ref="B32:B33"/>
    <mergeCell ref="C32:C33"/>
    <mergeCell ref="B42:B43"/>
    <mergeCell ref="C42:C43"/>
    <mergeCell ref="B36:B37"/>
    <mergeCell ref="C36:C37"/>
    <mergeCell ref="B38:B39"/>
    <mergeCell ref="C38:C39"/>
    <mergeCell ref="B34:B35"/>
    <mergeCell ref="C34:C35"/>
    <mergeCell ref="K50:K51"/>
    <mergeCell ref="B40:B41"/>
    <mergeCell ref="J48:J49"/>
    <mergeCell ref="J50:J51"/>
    <mergeCell ref="I48:I49"/>
    <mergeCell ref="I50:I51"/>
    <mergeCell ref="C40:C41"/>
    <mergeCell ref="B46:B47"/>
    <mergeCell ref="C46:C47"/>
    <mergeCell ref="B44:B45"/>
    <mergeCell ref="C44:C45"/>
    <mergeCell ref="K48:K49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45" r:id="rId4">
          <objectPr defaultSize="0" autoPict="0" r:id="rId5">
            <anchor moveWithCells="1">
              <from>
                <xdr:col>10</xdr:col>
                <xdr:colOff>66675</xdr:colOff>
                <xdr:row>2</xdr:row>
                <xdr:rowOff>180975</xdr:rowOff>
              </from>
              <to>
                <xdr:col>14</xdr:col>
                <xdr:colOff>676275</xdr:colOff>
                <xdr:row>17</xdr:row>
                <xdr:rowOff>161925</xdr:rowOff>
              </to>
            </anchor>
          </objectPr>
        </oleObject>
      </mc:Choice>
      <mc:Fallback>
        <oleObject progId="Visio.Drawing.11" shapeId="10245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>
      <selection activeCell="G41" sqref="G41"/>
    </sheetView>
  </sheetViews>
  <sheetFormatPr defaultRowHeight="16.5" x14ac:dyDescent="0.3"/>
  <cols>
    <col min="6" max="6" width="9.5" bestFit="1" customWidth="1"/>
  </cols>
  <sheetData>
    <row r="2" spans="2:12" x14ac:dyDescent="0.3">
      <c r="H2" t="s">
        <v>1060</v>
      </c>
    </row>
    <row r="3" spans="2:12" ht="17.25" thickBot="1" x14ac:dyDescent="0.35">
      <c r="B3" s="103" t="s">
        <v>768</v>
      </c>
      <c r="H3" t="s">
        <v>1061</v>
      </c>
      <c r="J3" t="s">
        <v>1065</v>
      </c>
      <c r="K3" t="s">
        <v>1066</v>
      </c>
    </row>
    <row r="4" spans="2:12" x14ac:dyDescent="0.3">
      <c r="B4" s="440" t="s">
        <v>76</v>
      </c>
      <c r="C4" s="183">
        <v>5</v>
      </c>
      <c r="D4" s="225" t="s">
        <v>76</v>
      </c>
      <c r="H4" t="s">
        <v>1062</v>
      </c>
      <c r="I4" t="s">
        <v>1063</v>
      </c>
      <c r="J4">
        <v>3.5</v>
      </c>
      <c r="K4">
        <v>32</v>
      </c>
      <c r="L4" t="s">
        <v>1064</v>
      </c>
    </row>
    <row r="5" spans="2:12" x14ac:dyDescent="0.3">
      <c r="B5" s="416" t="s">
        <v>432</v>
      </c>
      <c r="C5" s="106">
        <v>4.7</v>
      </c>
      <c r="D5" s="563" t="s">
        <v>769</v>
      </c>
      <c r="I5" t="s">
        <v>1067</v>
      </c>
      <c r="K5">
        <v>3.5</v>
      </c>
      <c r="L5" t="s">
        <v>1064</v>
      </c>
    </row>
    <row r="6" spans="2:12" x14ac:dyDescent="0.3">
      <c r="B6" s="416" t="s">
        <v>166</v>
      </c>
      <c r="C6" s="106">
        <f>C4/C5</f>
        <v>1.0638297872340425</v>
      </c>
      <c r="D6" s="563" t="s">
        <v>770</v>
      </c>
      <c r="I6" t="s">
        <v>1068</v>
      </c>
      <c r="J6">
        <v>1</v>
      </c>
      <c r="L6" t="s">
        <v>1064</v>
      </c>
    </row>
    <row r="7" spans="2:12" ht="17.25" thickBot="1" x14ac:dyDescent="0.35">
      <c r="B7" s="562" t="s">
        <v>771</v>
      </c>
      <c r="C7" s="573">
        <f>C4*C6/1000</f>
        <v>5.3191489361702126E-3</v>
      </c>
      <c r="D7" s="561" t="s">
        <v>772</v>
      </c>
      <c r="I7" t="s">
        <v>1069</v>
      </c>
      <c r="J7">
        <v>10</v>
      </c>
      <c r="K7">
        <v>15</v>
      </c>
      <c r="L7" t="s">
        <v>1070</v>
      </c>
    </row>
    <row r="8" spans="2:12" x14ac:dyDescent="0.3">
      <c r="B8" s="172"/>
      <c r="D8" s="172"/>
    </row>
    <row r="9" spans="2:12" ht="17.25" thickBot="1" x14ac:dyDescent="0.35">
      <c r="B9" s="172"/>
      <c r="D9" s="172"/>
    </row>
    <row r="10" spans="2:12" x14ac:dyDescent="0.3">
      <c r="B10" s="440" t="s">
        <v>76</v>
      </c>
      <c r="C10" s="183">
        <v>220</v>
      </c>
      <c r="D10" s="225" t="s">
        <v>76</v>
      </c>
      <c r="I10" t="s">
        <v>1050</v>
      </c>
      <c r="J10">
        <v>5</v>
      </c>
      <c r="K10">
        <v>5</v>
      </c>
      <c r="L10">
        <v>28</v>
      </c>
    </row>
    <row r="11" spans="2:12" x14ac:dyDescent="0.3">
      <c r="B11" s="416" t="s">
        <v>773</v>
      </c>
      <c r="C11" s="106">
        <v>10</v>
      </c>
      <c r="D11" s="563" t="s">
        <v>769</v>
      </c>
      <c r="I11" t="s">
        <v>1051</v>
      </c>
      <c r="J11">
        <v>2.2000000000000002</v>
      </c>
      <c r="K11">
        <v>2.2000000000000002</v>
      </c>
      <c r="L11">
        <v>3.3</v>
      </c>
    </row>
    <row r="12" spans="2:12" x14ac:dyDescent="0.3">
      <c r="B12" s="416" t="s">
        <v>774</v>
      </c>
      <c r="C12" s="106">
        <v>10</v>
      </c>
      <c r="D12" s="563" t="s">
        <v>769</v>
      </c>
      <c r="I12" t="s">
        <v>1052</v>
      </c>
      <c r="J12">
        <v>2.7</v>
      </c>
      <c r="K12">
        <v>2.7</v>
      </c>
      <c r="L12">
        <v>0.33</v>
      </c>
    </row>
    <row r="13" spans="2:12" x14ac:dyDescent="0.3">
      <c r="B13" s="416" t="s">
        <v>775</v>
      </c>
      <c r="C13" s="106">
        <v>2</v>
      </c>
      <c r="D13" s="563" t="s">
        <v>769</v>
      </c>
      <c r="I13" t="s">
        <v>1053</v>
      </c>
      <c r="J13" s="138">
        <v>0.22</v>
      </c>
      <c r="K13">
        <v>0.22</v>
      </c>
      <c r="L13" s="138">
        <v>0.24</v>
      </c>
    </row>
    <row r="14" spans="2:12" x14ac:dyDescent="0.3">
      <c r="B14" s="416" t="s">
        <v>776</v>
      </c>
      <c r="C14" s="106">
        <f>C10*C11/(C11+C12+C13)</f>
        <v>100</v>
      </c>
      <c r="D14" s="563" t="s">
        <v>76</v>
      </c>
      <c r="I14" t="s">
        <v>1054</v>
      </c>
      <c r="J14" s="708" t="s">
        <v>1056</v>
      </c>
      <c r="K14" s="174">
        <f>K12*K13/(K12+K13)</f>
        <v>0.20342465753424657</v>
      </c>
      <c r="L14" s="708" t="s">
        <v>1056</v>
      </c>
    </row>
    <row r="15" spans="2:12" x14ac:dyDescent="0.3">
      <c r="B15" s="416" t="s">
        <v>777</v>
      </c>
      <c r="C15" s="106">
        <f>C10*C12/(C11+C12+C13)</f>
        <v>100</v>
      </c>
      <c r="D15" s="563" t="s">
        <v>76</v>
      </c>
      <c r="I15" t="s">
        <v>1055</v>
      </c>
      <c r="J15" s="174">
        <f>J10*J12/(J11+J12)</f>
        <v>2.7551020408163263</v>
      </c>
      <c r="K15" s="174">
        <f>K10*K14/(K11+K14)</f>
        <v>0.42319749216300934</v>
      </c>
      <c r="L15" s="174">
        <f>L10*L12/(L11+L12)</f>
        <v>2.5454545454545454</v>
      </c>
    </row>
    <row r="16" spans="2:12" x14ac:dyDescent="0.3">
      <c r="B16" s="416" t="s">
        <v>778</v>
      </c>
      <c r="C16" s="106">
        <f>C10*C13/(C11+C12+C13)</f>
        <v>20</v>
      </c>
      <c r="D16" s="563" t="s">
        <v>76</v>
      </c>
      <c r="I16" t="s">
        <v>1057</v>
      </c>
      <c r="J16" s="174">
        <f>J15/J13</f>
        <v>12.523191094619666</v>
      </c>
      <c r="L16" s="174">
        <f>L15/L13</f>
        <v>10.606060606060606</v>
      </c>
    </row>
    <row r="17" spans="2:14" x14ac:dyDescent="0.3">
      <c r="B17" s="416" t="s">
        <v>166</v>
      </c>
      <c r="C17" s="106">
        <f>C10/(C11+C12+C13)</f>
        <v>10</v>
      </c>
      <c r="D17" s="563" t="s">
        <v>770</v>
      </c>
    </row>
    <row r="18" spans="2:14" x14ac:dyDescent="0.3">
      <c r="B18" s="564" t="s">
        <v>779</v>
      </c>
      <c r="C18" s="227">
        <f>C14*$C$17/1000</f>
        <v>1</v>
      </c>
      <c r="D18" s="560" t="s">
        <v>772</v>
      </c>
      <c r="E18" t="s">
        <v>1049</v>
      </c>
    </row>
    <row r="19" spans="2:14" x14ac:dyDescent="0.3">
      <c r="B19" s="564" t="s">
        <v>780</v>
      </c>
      <c r="C19" s="227">
        <f>C15*$C$17/1000</f>
        <v>1</v>
      </c>
      <c r="D19" s="560" t="s">
        <v>772</v>
      </c>
      <c r="H19">
        <v>100</v>
      </c>
    </row>
    <row r="20" spans="2:14" ht="17.25" thickBot="1" x14ac:dyDescent="0.35">
      <c r="B20" s="562" t="s">
        <v>781</v>
      </c>
      <c r="C20" s="572">
        <f>C16*$C$17/1000</f>
        <v>0.2</v>
      </c>
      <c r="D20" s="561" t="s">
        <v>772</v>
      </c>
      <c r="H20">
        <v>180</v>
      </c>
    </row>
    <row r="21" spans="2:14" x14ac:dyDescent="0.3">
      <c r="H21">
        <f>H19*H20/(H19+H20)</f>
        <v>64.285714285714292</v>
      </c>
    </row>
    <row r="22" spans="2:14" ht="17.25" thickBot="1" x14ac:dyDescent="0.35">
      <c r="B22" s="525" t="s">
        <v>1450</v>
      </c>
    </row>
    <row r="23" spans="2:14" ht="17.25" thickBot="1" x14ac:dyDescent="0.35">
      <c r="B23" s="838"/>
      <c r="C23" s="1093" t="s">
        <v>1454</v>
      </c>
      <c r="D23" s="1093"/>
      <c r="E23" s="1093" t="s">
        <v>1454</v>
      </c>
      <c r="F23" s="1093"/>
      <c r="G23" s="1093" t="s">
        <v>1455</v>
      </c>
      <c r="H23" s="1093"/>
      <c r="I23" s="1093" t="s">
        <v>1455</v>
      </c>
      <c r="J23" s="1093"/>
      <c r="K23" s="836"/>
    </row>
    <row r="24" spans="2:14" x14ac:dyDescent="0.3">
      <c r="B24" s="837" t="s">
        <v>76</v>
      </c>
      <c r="C24" s="967">
        <v>220</v>
      </c>
      <c r="D24" s="967"/>
      <c r="E24" s="967">
        <v>220</v>
      </c>
      <c r="F24" s="967"/>
      <c r="G24" s="967">
        <v>220</v>
      </c>
      <c r="H24" s="967"/>
      <c r="I24" s="967">
        <v>220</v>
      </c>
      <c r="J24" s="967"/>
      <c r="K24" s="835" t="s">
        <v>76</v>
      </c>
      <c r="M24" s="183">
        <v>220</v>
      </c>
      <c r="N24" s="836" t="s">
        <v>76</v>
      </c>
    </row>
    <row r="25" spans="2:14" x14ac:dyDescent="0.3">
      <c r="B25" s="837" t="s">
        <v>351</v>
      </c>
      <c r="C25" s="967">
        <v>10</v>
      </c>
      <c r="D25" s="967"/>
      <c r="E25" s="967">
        <v>10</v>
      </c>
      <c r="F25" s="967"/>
      <c r="G25" s="967">
        <v>10</v>
      </c>
      <c r="H25" s="967"/>
      <c r="I25" s="967">
        <v>10</v>
      </c>
      <c r="J25" s="967"/>
      <c r="K25" s="835" t="s">
        <v>86</v>
      </c>
      <c r="M25" s="106">
        <v>10</v>
      </c>
      <c r="N25" s="835" t="s">
        <v>86</v>
      </c>
    </row>
    <row r="26" spans="2:14" x14ac:dyDescent="0.3">
      <c r="B26" s="837" t="s">
        <v>353</v>
      </c>
      <c r="C26" s="967">
        <v>10</v>
      </c>
      <c r="D26" s="967"/>
      <c r="E26" s="967">
        <v>10</v>
      </c>
      <c r="F26" s="967"/>
      <c r="G26" s="967">
        <v>10</v>
      </c>
      <c r="H26" s="967"/>
      <c r="I26" s="967">
        <v>10</v>
      </c>
      <c r="J26" s="967"/>
      <c r="K26" s="835" t="s">
        <v>86</v>
      </c>
      <c r="M26" s="106">
        <v>10</v>
      </c>
      <c r="N26" s="835" t="s">
        <v>86</v>
      </c>
    </row>
    <row r="27" spans="2:14" x14ac:dyDescent="0.3">
      <c r="B27" s="767" t="s">
        <v>1451</v>
      </c>
      <c r="C27" s="967">
        <f>D28*D29/(D28+D29)</f>
        <v>6.4285714285714279E-2</v>
      </c>
      <c r="D27" s="967"/>
      <c r="E27" s="967">
        <f>F28*F29/(F28+F29)</f>
        <v>0.17999999676000006</v>
      </c>
      <c r="F27" s="967"/>
      <c r="G27" s="967">
        <f>H28*H29/(H28+H29)</f>
        <v>6.9696969696969702E-2</v>
      </c>
      <c r="H27" s="967"/>
      <c r="I27" s="967">
        <f>J28*J29/(J28+J29)</f>
        <v>0.2299999947100001</v>
      </c>
      <c r="J27" s="967"/>
      <c r="K27" s="835" t="s">
        <v>86</v>
      </c>
      <c r="M27" s="106">
        <v>0.18</v>
      </c>
      <c r="N27" s="835" t="s">
        <v>86</v>
      </c>
    </row>
    <row r="28" spans="2:14" x14ac:dyDescent="0.3">
      <c r="B28" s="1117"/>
      <c r="C28" s="831" t="s">
        <v>1452</v>
      </c>
      <c r="D28" s="106">
        <v>0.18</v>
      </c>
      <c r="E28" s="831" t="s">
        <v>1452</v>
      </c>
      <c r="F28" s="106">
        <v>0.18</v>
      </c>
      <c r="G28" s="831" t="s">
        <v>1452</v>
      </c>
      <c r="H28" s="106">
        <v>0.23</v>
      </c>
      <c r="I28" s="831" t="s">
        <v>1452</v>
      </c>
      <c r="J28" s="106">
        <v>0.23</v>
      </c>
      <c r="K28" s="835" t="s">
        <v>86</v>
      </c>
      <c r="M28" s="106">
        <f>M24*M25/(M25+M26+M27)</f>
        <v>109.01883052527255</v>
      </c>
      <c r="N28" s="835" t="s">
        <v>76</v>
      </c>
    </row>
    <row r="29" spans="2:14" x14ac:dyDescent="0.3">
      <c r="B29" s="1118"/>
      <c r="C29" s="831" t="s">
        <v>1453</v>
      </c>
      <c r="D29" s="106">
        <v>0.1</v>
      </c>
      <c r="E29" s="831" t="s">
        <v>1453</v>
      </c>
      <c r="F29" s="106">
        <v>10000000</v>
      </c>
      <c r="G29" s="831" t="s">
        <v>1453</v>
      </c>
      <c r="H29" s="106">
        <v>0.1</v>
      </c>
      <c r="I29" s="831" t="s">
        <v>1453</v>
      </c>
      <c r="J29" s="106">
        <v>10000000</v>
      </c>
      <c r="K29" s="835" t="s">
        <v>86</v>
      </c>
      <c r="M29" s="106">
        <f>M24*M26/(M25+M26+M27)</f>
        <v>109.01883052527255</v>
      </c>
      <c r="N29" s="835" t="s">
        <v>76</v>
      </c>
    </row>
    <row r="30" spans="2:14" x14ac:dyDescent="0.3">
      <c r="B30" s="837" t="s">
        <v>776</v>
      </c>
      <c r="C30" s="1121">
        <f>C24*C25/(C25+C26+C27)</f>
        <v>109.64756140975437</v>
      </c>
      <c r="D30" s="1121"/>
      <c r="E30" s="1121">
        <f>E24*E25/(E25+E26+E27)</f>
        <v>109.01883054277607</v>
      </c>
      <c r="F30" s="1121"/>
      <c r="G30" s="1121">
        <f>G24*G25/(G25+G26+G27)</f>
        <v>109.61799788615431</v>
      </c>
      <c r="H30" s="1121"/>
      <c r="I30" s="1121">
        <f>I24*I25/(I25+I26+I27)</f>
        <v>108.74938213422068</v>
      </c>
      <c r="J30" s="1121"/>
      <c r="K30" s="835" t="s">
        <v>76</v>
      </c>
      <c r="M30" s="106">
        <f>M24*M27/(M25+M26+M27)</f>
        <v>1.9623389494549059</v>
      </c>
      <c r="N30" s="835" t="s">
        <v>76</v>
      </c>
    </row>
    <row r="31" spans="2:14" x14ac:dyDescent="0.3">
      <c r="B31" s="837" t="s">
        <v>777</v>
      </c>
      <c r="C31" s="1121">
        <f>C24*C26/(C25+C26+C27)</f>
        <v>109.64756140975437</v>
      </c>
      <c r="D31" s="1121"/>
      <c r="E31" s="1121">
        <f>E24*E26/(E25+E26+E27)</f>
        <v>109.01883054277607</v>
      </c>
      <c r="F31" s="1121"/>
      <c r="G31" s="1121">
        <f>G24*G26/(G25+G26+G27)</f>
        <v>109.61799788615431</v>
      </c>
      <c r="H31" s="1121"/>
      <c r="I31" s="1121">
        <f>I24*I26/(I25+I26+I27)</f>
        <v>108.74938213422068</v>
      </c>
      <c r="J31" s="1121"/>
      <c r="K31" s="835" t="s">
        <v>76</v>
      </c>
      <c r="M31" s="106">
        <f>M24/(M25+M26+M27)</f>
        <v>10.901883052527255</v>
      </c>
      <c r="N31" s="835" t="s">
        <v>167</v>
      </c>
    </row>
    <row r="32" spans="2:14" x14ac:dyDescent="0.3">
      <c r="B32" s="837" t="s">
        <v>778</v>
      </c>
      <c r="C32" s="1122">
        <f>C24*C27/(C25+C26+C27)</f>
        <v>0.70487718049127801</v>
      </c>
      <c r="D32" s="1122"/>
      <c r="E32" s="1122">
        <f>E24*E27/(E25+E26+E27)</f>
        <v>1.9623389144478689</v>
      </c>
      <c r="F32" s="1122"/>
      <c r="G32" s="1122">
        <f>G24*G27/(G25+G26+G27)</f>
        <v>0.76400422769137855</v>
      </c>
      <c r="H32" s="1122"/>
      <c r="I32" s="1122">
        <f>I24*I27/(I25+I26+I27)</f>
        <v>2.5012357315586535</v>
      </c>
      <c r="J32" s="1122"/>
      <c r="K32" s="835" t="s">
        <v>76</v>
      </c>
    </row>
    <row r="33" spans="2:11" x14ac:dyDescent="0.3">
      <c r="B33" s="837" t="s">
        <v>166</v>
      </c>
      <c r="C33" s="1121">
        <f>C24/(C25+C26+C27)</f>
        <v>10.964756140975437</v>
      </c>
      <c r="D33" s="1121"/>
      <c r="E33" s="1121">
        <f>E24/(E25+E26+E27)</f>
        <v>10.901883054277606</v>
      </c>
      <c r="F33" s="1121"/>
      <c r="G33" s="1121">
        <f>G24/(G25+G26+G27)</f>
        <v>10.96179978861543</v>
      </c>
      <c r="H33" s="1121"/>
      <c r="I33" s="1121">
        <f>I24/(I25+I26+I27)</f>
        <v>10.874938213422068</v>
      </c>
      <c r="J33" s="1121"/>
      <c r="K33" s="835" t="s">
        <v>167</v>
      </c>
    </row>
    <row r="34" spans="2:11" x14ac:dyDescent="0.3">
      <c r="B34" s="830" t="s">
        <v>759</v>
      </c>
      <c r="C34" s="1119">
        <f>C30*C$33/1000</f>
        <v>1.2022587723105855</v>
      </c>
      <c r="D34" s="1119"/>
      <c r="E34" s="1119">
        <f>E30*E$33/1000</f>
        <v>1.1885105412914525</v>
      </c>
      <c r="F34" s="1119"/>
      <c r="G34" s="1119">
        <f>G30*G$33/1000</f>
        <v>1.2016105460568931</v>
      </c>
      <c r="H34" s="1119"/>
      <c r="I34" s="1119">
        <f>I30*I$33/1000</f>
        <v>1.1826428114574756</v>
      </c>
      <c r="J34" s="1119"/>
      <c r="K34" s="833" t="s">
        <v>502</v>
      </c>
    </row>
    <row r="35" spans="2:11" x14ac:dyDescent="0.3">
      <c r="B35" s="830" t="s">
        <v>780</v>
      </c>
      <c r="C35" s="1119">
        <f>C31*C$33/1000</f>
        <v>1.2022587723105855</v>
      </c>
      <c r="D35" s="1119"/>
      <c r="E35" s="1119">
        <f>E31*E$33/1000</f>
        <v>1.1885105412914525</v>
      </c>
      <c r="F35" s="1119"/>
      <c r="G35" s="1119">
        <f>G31*G$33/1000</f>
        <v>1.2016105460568931</v>
      </c>
      <c r="H35" s="1119"/>
      <c r="I35" s="1119">
        <f>I31*I$33/1000</f>
        <v>1.1826428114574756</v>
      </c>
      <c r="J35" s="1119"/>
      <c r="K35" s="833" t="s">
        <v>502</v>
      </c>
    </row>
    <row r="36" spans="2:11" ht="17.25" thickBot="1" x14ac:dyDescent="0.35">
      <c r="B36" s="832" t="s">
        <v>781</v>
      </c>
      <c r="C36" s="1120">
        <f>C32*C$33/1000</f>
        <v>7.7288063934251921E-3</v>
      </c>
      <c r="D36" s="1120"/>
      <c r="E36" s="1120">
        <f>E32*E$33/1000</f>
        <v>2.1393189358168734E-2</v>
      </c>
      <c r="F36" s="1120"/>
      <c r="G36" s="1120">
        <f>G32*G$33/1000</f>
        <v>8.3748613816086483E-3</v>
      </c>
      <c r="H36" s="1120"/>
      <c r="I36" s="1120">
        <f>I32*I$33/1000</f>
        <v>2.7200784037903901E-2</v>
      </c>
      <c r="J36" s="1120"/>
      <c r="K36" s="834" t="s">
        <v>502</v>
      </c>
    </row>
  </sheetData>
  <mergeCells count="49">
    <mergeCell ref="C32:D32"/>
    <mergeCell ref="C31:D31"/>
    <mergeCell ref="C30:D30"/>
    <mergeCell ref="E32:F32"/>
    <mergeCell ref="C33:D33"/>
    <mergeCell ref="E33:F33"/>
    <mergeCell ref="E30:F30"/>
    <mergeCell ref="E31:F31"/>
    <mergeCell ref="I33:J33"/>
    <mergeCell ref="G24:H24"/>
    <mergeCell ref="G25:H25"/>
    <mergeCell ref="G26:H26"/>
    <mergeCell ref="G27:H27"/>
    <mergeCell ref="G30:H30"/>
    <mergeCell ref="G31:H31"/>
    <mergeCell ref="G32:H32"/>
    <mergeCell ref="G33:H33"/>
    <mergeCell ref="I31:J31"/>
    <mergeCell ref="I32:J32"/>
    <mergeCell ref="I24:J24"/>
    <mergeCell ref="I25:J25"/>
    <mergeCell ref="I26:J26"/>
    <mergeCell ref="I27:J27"/>
    <mergeCell ref="I30:J30"/>
    <mergeCell ref="C34:D34"/>
    <mergeCell ref="C36:D36"/>
    <mergeCell ref="C35:D35"/>
    <mergeCell ref="E34:F34"/>
    <mergeCell ref="E35:F35"/>
    <mergeCell ref="E36:F36"/>
    <mergeCell ref="G34:H34"/>
    <mergeCell ref="G35:H35"/>
    <mergeCell ref="G36:H36"/>
    <mergeCell ref="I34:J34"/>
    <mergeCell ref="I35:J35"/>
    <mergeCell ref="I36:J36"/>
    <mergeCell ref="C23:D23"/>
    <mergeCell ref="E23:F23"/>
    <mergeCell ref="G23:H23"/>
    <mergeCell ref="I23:J23"/>
    <mergeCell ref="B28:B29"/>
    <mergeCell ref="C27:D27"/>
    <mergeCell ref="C26:D26"/>
    <mergeCell ref="C25:D25"/>
    <mergeCell ref="C24:D24"/>
    <mergeCell ref="E24:F24"/>
    <mergeCell ref="E25:F25"/>
    <mergeCell ref="E26:F26"/>
    <mergeCell ref="E27:F27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A78"/>
  <sheetViews>
    <sheetView workbookViewId="0">
      <selection activeCell="C52" sqref="C52"/>
    </sheetView>
  </sheetViews>
  <sheetFormatPr defaultRowHeight="16.5" x14ac:dyDescent="0.3"/>
  <cols>
    <col min="1" max="1" width="2.5" customWidth="1"/>
    <col min="4" max="4" width="9.875" bestFit="1" customWidth="1"/>
    <col min="13" max="13" width="4.5" style="172" bestFit="1" customWidth="1"/>
    <col min="14" max="25" width="5.625" customWidth="1"/>
  </cols>
  <sheetData>
    <row r="3" spans="2:26" x14ac:dyDescent="0.3">
      <c r="M3" s="518"/>
      <c r="N3" s="518">
        <v>1</v>
      </c>
      <c r="O3" s="518">
        <v>2</v>
      </c>
      <c r="P3" s="518">
        <v>3</v>
      </c>
      <c r="Q3" s="518">
        <v>4</v>
      </c>
      <c r="R3" s="518">
        <v>5</v>
      </c>
      <c r="S3" s="518">
        <v>6</v>
      </c>
      <c r="T3" s="518">
        <v>7</v>
      </c>
      <c r="U3" s="518">
        <v>8</v>
      </c>
      <c r="V3" s="518">
        <v>9</v>
      </c>
      <c r="W3" s="518">
        <v>10</v>
      </c>
      <c r="X3" s="518">
        <v>11</v>
      </c>
      <c r="Y3" s="518">
        <v>12</v>
      </c>
      <c r="Z3" s="518" t="s">
        <v>650</v>
      </c>
    </row>
    <row r="4" spans="2:26" x14ac:dyDescent="0.3">
      <c r="B4" s="518" t="s">
        <v>76</v>
      </c>
      <c r="C4" s="106">
        <v>28</v>
      </c>
      <c r="D4" s="106">
        <v>28</v>
      </c>
      <c r="E4" s="106">
        <v>5</v>
      </c>
      <c r="M4" s="519">
        <v>0</v>
      </c>
      <c r="N4" s="106">
        <v>2.83</v>
      </c>
      <c r="O4" s="106">
        <v>2.83</v>
      </c>
      <c r="P4" s="106">
        <v>2.83</v>
      </c>
      <c r="Q4" s="106"/>
      <c r="R4" s="106"/>
      <c r="S4" s="106"/>
      <c r="T4" s="106"/>
      <c r="U4" s="106"/>
      <c r="V4" s="106"/>
      <c r="W4" s="106"/>
      <c r="X4" s="106"/>
      <c r="Y4" s="106"/>
      <c r="Z4" s="106">
        <f t="shared" ref="Z4:Z22" si="0">SUM(N4:Y4)</f>
        <v>8.49</v>
      </c>
    </row>
    <row r="5" spans="2:26" x14ac:dyDescent="0.3">
      <c r="B5" s="518" t="s">
        <v>653</v>
      </c>
      <c r="C5" s="106">
        <v>2.83</v>
      </c>
      <c r="D5" s="106">
        <v>0.01</v>
      </c>
      <c r="E5" s="106">
        <v>0.01</v>
      </c>
      <c r="M5" s="519">
        <v>0.2</v>
      </c>
      <c r="N5" s="106">
        <v>2.83</v>
      </c>
      <c r="O5" s="106">
        <v>2.83</v>
      </c>
      <c r="P5" s="106">
        <v>2.83</v>
      </c>
      <c r="Q5" s="106"/>
      <c r="R5" s="106"/>
      <c r="S5" s="106"/>
      <c r="T5" s="106"/>
      <c r="U5" s="106"/>
      <c r="V5" s="106"/>
      <c r="W5" s="106"/>
      <c r="X5" s="106"/>
      <c r="Y5" s="106"/>
      <c r="Z5" s="106">
        <f t="shared" si="0"/>
        <v>8.49</v>
      </c>
    </row>
    <row r="6" spans="2:26" x14ac:dyDescent="0.3">
      <c r="B6" s="518" t="s">
        <v>654</v>
      </c>
      <c r="C6" s="106">
        <f>C4/C5</f>
        <v>9.8939929328621901</v>
      </c>
      <c r="D6" s="106">
        <f>D4/D5</f>
        <v>2800</v>
      </c>
      <c r="E6" s="106">
        <f>E4/E5</f>
        <v>500</v>
      </c>
      <c r="M6" s="519">
        <v>0.4</v>
      </c>
      <c r="N6" s="106">
        <v>0.5</v>
      </c>
      <c r="O6" s="106">
        <v>0.5</v>
      </c>
      <c r="P6" s="106">
        <v>0.5</v>
      </c>
      <c r="Q6" s="106"/>
      <c r="R6" s="106"/>
      <c r="S6" s="106"/>
      <c r="T6" s="106"/>
      <c r="U6" s="106"/>
      <c r="V6" s="106"/>
      <c r="W6" s="106"/>
      <c r="X6" s="106"/>
      <c r="Y6" s="106"/>
      <c r="Z6" s="106">
        <f t="shared" si="0"/>
        <v>1.5</v>
      </c>
    </row>
    <row r="7" spans="2:26" x14ac:dyDescent="0.3">
      <c r="B7" s="518" t="s">
        <v>655</v>
      </c>
      <c r="C7" s="106">
        <f>C4*C5</f>
        <v>79.240000000000009</v>
      </c>
      <c r="D7" s="106">
        <f>D4*D5</f>
        <v>0.28000000000000003</v>
      </c>
      <c r="E7" s="106"/>
      <c r="M7" s="519">
        <v>0.6</v>
      </c>
      <c r="N7" s="106">
        <v>0.5</v>
      </c>
      <c r="O7" s="106">
        <v>0.5</v>
      </c>
      <c r="P7" s="106">
        <v>0.5</v>
      </c>
      <c r="Q7" s="106"/>
      <c r="R7" s="106"/>
      <c r="S7" s="106"/>
      <c r="T7" s="106"/>
      <c r="U7" s="106"/>
      <c r="V7" s="106"/>
      <c r="W7" s="106"/>
      <c r="X7" s="106"/>
      <c r="Y7" s="106"/>
      <c r="Z7" s="106">
        <f t="shared" si="0"/>
        <v>1.5</v>
      </c>
    </row>
    <row r="8" spans="2:26" x14ac:dyDescent="0.3">
      <c r="B8" s="518"/>
      <c r="C8" s="106"/>
      <c r="D8" s="106"/>
      <c r="E8" s="106"/>
      <c r="M8" s="519">
        <v>0.8</v>
      </c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>
        <f t="shared" si="0"/>
        <v>0</v>
      </c>
    </row>
    <row r="9" spans="2:26" x14ac:dyDescent="0.3">
      <c r="B9" s="518" t="s">
        <v>267</v>
      </c>
      <c r="C9" s="227">
        <v>10</v>
      </c>
      <c r="D9" s="227">
        <v>2800</v>
      </c>
      <c r="E9" s="106">
        <v>560</v>
      </c>
      <c r="M9" s="519">
        <v>1</v>
      </c>
      <c r="N9" s="106"/>
      <c r="O9" s="106"/>
      <c r="P9" s="106"/>
      <c r="Q9" s="106">
        <v>2.83</v>
      </c>
      <c r="R9" s="106">
        <v>2.83</v>
      </c>
      <c r="S9" s="106">
        <v>2.83</v>
      </c>
      <c r="T9" s="106"/>
      <c r="U9" s="106"/>
      <c r="V9" s="106"/>
      <c r="W9" s="106"/>
      <c r="X9" s="106"/>
      <c r="Y9" s="106"/>
      <c r="Z9" s="106">
        <f t="shared" si="0"/>
        <v>8.49</v>
      </c>
    </row>
    <row r="10" spans="2:26" x14ac:dyDescent="0.3">
      <c r="B10" s="518" t="s">
        <v>656</v>
      </c>
      <c r="C10" s="106">
        <f>C4/C9</f>
        <v>2.8</v>
      </c>
      <c r="D10" s="106">
        <f>D4/D9</f>
        <v>0.01</v>
      </c>
      <c r="E10" s="106">
        <f>E4/E9</f>
        <v>8.9285714285714281E-3</v>
      </c>
      <c r="M10" s="519">
        <v>1.2</v>
      </c>
      <c r="N10" s="106"/>
      <c r="O10" s="106"/>
      <c r="P10" s="106"/>
      <c r="Q10" s="106">
        <v>2.83</v>
      </c>
      <c r="R10" s="106">
        <v>2.83</v>
      </c>
      <c r="S10" s="106">
        <v>2.83</v>
      </c>
      <c r="T10" s="106"/>
      <c r="U10" s="106"/>
      <c r="V10" s="106"/>
      <c r="W10" s="106"/>
      <c r="X10" s="106"/>
      <c r="Y10" s="106"/>
      <c r="Z10" s="106">
        <f t="shared" si="0"/>
        <v>8.49</v>
      </c>
    </row>
    <row r="11" spans="2:26" x14ac:dyDescent="0.3">
      <c r="B11" s="518" t="s">
        <v>655</v>
      </c>
      <c r="C11" s="106">
        <f>C4*C10</f>
        <v>78.399999999999991</v>
      </c>
      <c r="D11" s="106">
        <f>D4*D10</f>
        <v>0.28000000000000003</v>
      </c>
      <c r="E11" s="106">
        <f>E4*E10</f>
        <v>4.4642857142857137E-2</v>
      </c>
      <c r="M11" s="519">
        <v>1.4</v>
      </c>
      <c r="N11" s="106"/>
      <c r="O11" s="106"/>
      <c r="P11" s="106"/>
      <c r="Q11" s="106">
        <v>0.5</v>
      </c>
      <c r="R11" s="106">
        <v>0.5</v>
      </c>
      <c r="S11" s="106">
        <v>0.5</v>
      </c>
      <c r="T11" s="106"/>
      <c r="U11" s="106"/>
      <c r="V11" s="106"/>
      <c r="W11" s="106"/>
      <c r="X11" s="106"/>
      <c r="Y11" s="106"/>
      <c r="Z11" s="106">
        <f t="shared" si="0"/>
        <v>1.5</v>
      </c>
    </row>
    <row r="12" spans="2:26" x14ac:dyDescent="0.3">
      <c r="M12" s="519">
        <v>1.6</v>
      </c>
      <c r="N12" s="106"/>
      <c r="O12" s="106"/>
      <c r="P12" s="106"/>
      <c r="Q12" s="106">
        <v>0.5</v>
      </c>
      <c r="R12" s="106">
        <v>0.5</v>
      </c>
      <c r="S12" s="106">
        <v>0.5</v>
      </c>
      <c r="T12" s="106"/>
      <c r="U12" s="106"/>
      <c r="V12" s="106"/>
      <c r="W12" s="106"/>
      <c r="X12" s="106"/>
      <c r="Y12" s="106"/>
      <c r="Z12" s="106">
        <f t="shared" si="0"/>
        <v>1.5</v>
      </c>
    </row>
    <row r="13" spans="2:26" x14ac:dyDescent="0.3">
      <c r="B13" s="525" t="s">
        <v>677</v>
      </c>
      <c r="C13">
        <v>1</v>
      </c>
      <c r="M13" s="519">
        <v>1.8</v>
      </c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>
        <f t="shared" si="0"/>
        <v>0</v>
      </c>
    </row>
    <row r="14" spans="2:26" x14ac:dyDescent="0.3">
      <c r="B14" s="525" t="s">
        <v>678</v>
      </c>
      <c r="C14">
        <f>C7/C13</f>
        <v>79.240000000000009</v>
      </c>
      <c r="M14" s="519">
        <v>2</v>
      </c>
      <c r="N14" s="106"/>
      <c r="O14" s="106"/>
      <c r="P14" s="106"/>
      <c r="Q14" s="106"/>
      <c r="R14" s="106"/>
      <c r="S14" s="106"/>
      <c r="T14" s="106">
        <v>2.83</v>
      </c>
      <c r="U14" s="106">
        <v>2.83</v>
      </c>
      <c r="V14" s="106">
        <v>2.83</v>
      </c>
      <c r="W14" s="106"/>
      <c r="X14" s="106"/>
      <c r="Y14" s="106"/>
      <c r="Z14" s="106">
        <f t="shared" si="0"/>
        <v>8.49</v>
      </c>
    </row>
    <row r="15" spans="2:26" x14ac:dyDescent="0.3">
      <c r="B15" s="525" t="s">
        <v>267</v>
      </c>
      <c r="C15">
        <f>C6/C14</f>
        <v>0.12486109203511092</v>
      </c>
      <c r="M15" s="519">
        <v>2.2000000000000002</v>
      </c>
      <c r="N15" s="106"/>
      <c r="O15" s="106"/>
      <c r="P15" s="106"/>
      <c r="Q15" s="106"/>
      <c r="R15" s="106"/>
      <c r="S15" s="106"/>
      <c r="T15" s="106">
        <v>2.83</v>
      </c>
      <c r="U15" s="106">
        <v>2.83</v>
      </c>
      <c r="V15" s="106">
        <v>2.83</v>
      </c>
      <c r="W15" s="106"/>
      <c r="X15" s="106"/>
      <c r="Y15" s="106"/>
      <c r="Z15" s="106">
        <f t="shared" si="0"/>
        <v>8.49</v>
      </c>
    </row>
    <row r="16" spans="2:26" x14ac:dyDescent="0.3">
      <c r="B16" s="525" t="s">
        <v>267</v>
      </c>
      <c r="C16">
        <f>C6*C14</f>
        <v>784</v>
      </c>
      <c r="M16" s="519">
        <v>2.4</v>
      </c>
      <c r="N16" s="106"/>
      <c r="O16" s="106"/>
      <c r="P16" s="106"/>
      <c r="Q16" s="106"/>
      <c r="R16" s="106"/>
      <c r="S16" s="106"/>
      <c r="T16" s="106">
        <v>0.5</v>
      </c>
      <c r="U16" s="106">
        <v>0.5</v>
      </c>
      <c r="V16" s="106">
        <v>0.5</v>
      </c>
      <c r="W16" s="106"/>
      <c r="X16" s="106"/>
      <c r="Y16" s="106"/>
      <c r="Z16" s="106">
        <f t="shared" si="0"/>
        <v>1.5</v>
      </c>
    </row>
    <row r="17" spans="2:27" x14ac:dyDescent="0.3">
      <c r="M17" s="519">
        <v>2.6</v>
      </c>
      <c r="N17" s="106"/>
      <c r="O17" s="106"/>
      <c r="P17" s="106"/>
      <c r="Q17" s="106"/>
      <c r="R17" s="106"/>
      <c r="S17" s="106"/>
      <c r="T17" s="106">
        <v>0.5</v>
      </c>
      <c r="U17" s="106">
        <v>0.5</v>
      </c>
      <c r="V17" s="106">
        <v>0.5</v>
      </c>
      <c r="W17" s="106"/>
      <c r="X17" s="106"/>
      <c r="Y17" s="106"/>
      <c r="Z17" s="106">
        <f t="shared" si="0"/>
        <v>1.5</v>
      </c>
    </row>
    <row r="18" spans="2:27" x14ac:dyDescent="0.3">
      <c r="M18" s="519">
        <v>2.8</v>
      </c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>
        <f t="shared" si="0"/>
        <v>0</v>
      </c>
    </row>
    <row r="19" spans="2:27" x14ac:dyDescent="0.3">
      <c r="M19" s="519">
        <v>3</v>
      </c>
      <c r="N19" s="106"/>
      <c r="O19" s="106"/>
      <c r="P19" s="106"/>
      <c r="Q19" s="106"/>
      <c r="R19" s="106"/>
      <c r="S19" s="106"/>
      <c r="T19" s="106"/>
      <c r="U19" s="106"/>
      <c r="V19" s="106"/>
      <c r="W19" s="106">
        <v>2.83</v>
      </c>
      <c r="X19" s="106">
        <v>2.83</v>
      </c>
      <c r="Y19" s="106">
        <v>2.83</v>
      </c>
      <c r="Z19" s="106">
        <f t="shared" si="0"/>
        <v>8.49</v>
      </c>
    </row>
    <row r="20" spans="2:27" x14ac:dyDescent="0.3">
      <c r="B20" s="559" t="s">
        <v>76</v>
      </c>
      <c r="C20">
        <v>28</v>
      </c>
      <c r="D20">
        <v>28</v>
      </c>
      <c r="E20">
        <v>28</v>
      </c>
      <c r="M20" s="519">
        <v>3.2</v>
      </c>
      <c r="N20" s="106"/>
      <c r="O20" s="106"/>
      <c r="P20" s="106"/>
      <c r="Q20" s="106"/>
      <c r="R20" s="106"/>
      <c r="S20" s="106"/>
      <c r="T20" s="106"/>
      <c r="U20" s="106"/>
      <c r="V20" s="106"/>
      <c r="W20" s="106">
        <v>2.83</v>
      </c>
      <c r="X20" s="106">
        <v>2.83</v>
      </c>
      <c r="Y20" s="106">
        <v>2.83</v>
      </c>
      <c r="Z20" s="106">
        <f t="shared" si="0"/>
        <v>8.49</v>
      </c>
    </row>
    <row r="21" spans="2:27" x14ac:dyDescent="0.3">
      <c r="B21" s="559" t="s">
        <v>758</v>
      </c>
      <c r="C21">
        <v>9</v>
      </c>
      <c r="D21">
        <v>9</v>
      </c>
      <c r="E21">
        <v>3.3</v>
      </c>
      <c r="M21" s="519">
        <v>3.4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>
        <v>0.5</v>
      </c>
      <c r="X21" s="106">
        <v>0.5</v>
      </c>
      <c r="Y21" s="106">
        <v>0.5</v>
      </c>
      <c r="Z21" s="106">
        <f t="shared" si="0"/>
        <v>1.5</v>
      </c>
    </row>
    <row r="22" spans="2:27" x14ac:dyDescent="0.3">
      <c r="B22" s="559" t="s">
        <v>353</v>
      </c>
      <c r="C22">
        <v>1</v>
      </c>
      <c r="D22">
        <v>9</v>
      </c>
      <c r="E22">
        <v>1</v>
      </c>
      <c r="M22" s="519">
        <v>3.6</v>
      </c>
      <c r="N22" s="106"/>
      <c r="O22" s="106"/>
      <c r="P22" s="106"/>
      <c r="Q22" s="106"/>
      <c r="R22" s="106"/>
      <c r="S22" s="106"/>
      <c r="T22" s="106"/>
      <c r="U22" s="106"/>
      <c r="V22" s="106"/>
      <c r="W22" s="106">
        <v>0.5</v>
      </c>
      <c r="X22" s="106">
        <v>0.5</v>
      </c>
      <c r="Y22" s="106">
        <v>0.5</v>
      </c>
      <c r="Z22" s="106">
        <f t="shared" si="0"/>
        <v>1.5</v>
      </c>
    </row>
    <row r="23" spans="2:27" x14ac:dyDescent="0.3">
      <c r="B23" s="559" t="s">
        <v>166</v>
      </c>
      <c r="C23" s="530">
        <f>C20/(C21+C22)</f>
        <v>2.8</v>
      </c>
      <c r="D23" s="530">
        <f>D20/(D21+D22)</f>
        <v>1.5555555555555556</v>
      </c>
      <c r="E23" s="530">
        <f>E20/(E21+E22)</f>
        <v>6.5116279069767442</v>
      </c>
    </row>
    <row r="24" spans="2:27" x14ac:dyDescent="0.3">
      <c r="B24" s="559" t="s">
        <v>759</v>
      </c>
      <c r="C24" s="530">
        <f t="shared" ref="C24:E25" si="1">C$23^2*C21</f>
        <v>70.559999999999988</v>
      </c>
      <c r="D24" s="530">
        <f t="shared" si="1"/>
        <v>21.777777777777779</v>
      </c>
      <c r="E24" s="530">
        <f t="shared" si="1"/>
        <v>139.9242833964305</v>
      </c>
      <c r="M24" s="523" t="s">
        <v>652</v>
      </c>
    </row>
    <row r="25" spans="2:27" x14ac:dyDescent="0.3">
      <c r="B25" s="559" t="s">
        <v>760</v>
      </c>
      <c r="C25" s="530">
        <f t="shared" si="1"/>
        <v>7.839999999999999</v>
      </c>
      <c r="D25" s="530">
        <f t="shared" si="1"/>
        <v>21.777777777777779</v>
      </c>
      <c r="E25" s="530">
        <f t="shared" si="1"/>
        <v>42.401297998918338</v>
      </c>
      <c r="M25" s="518"/>
      <c r="N25" s="518">
        <v>1</v>
      </c>
      <c r="O25" s="518">
        <v>2</v>
      </c>
      <c r="P25" s="518">
        <v>3</v>
      </c>
      <c r="Q25" s="518">
        <v>4</v>
      </c>
      <c r="R25" s="518">
        <v>5</v>
      </c>
      <c r="S25" s="518">
        <v>6</v>
      </c>
      <c r="T25" s="518">
        <v>7</v>
      </c>
      <c r="U25" s="518">
        <v>8</v>
      </c>
      <c r="V25" s="518">
        <v>9</v>
      </c>
      <c r="W25" s="518">
        <v>10</v>
      </c>
      <c r="X25" s="518">
        <v>11</v>
      </c>
      <c r="Y25" s="518">
        <v>12</v>
      </c>
      <c r="Z25" s="518" t="s">
        <v>650</v>
      </c>
      <c r="AA25" s="522">
        <v>21.4</v>
      </c>
    </row>
    <row r="26" spans="2:27" x14ac:dyDescent="0.3">
      <c r="B26" s="559" t="s">
        <v>655</v>
      </c>
      <c r="C26" s="530">
        <f>C23*C20</f>
        <v>78.399999999999991</v>
      </c>
      <c r="D26" s="530">
        <f>D23*D20</f>
        <v>43.555555555555557</v>
      </c>
      <c r="E26" s="530">
        <f>E23*E20</f>
        <v>182.32558139534885</v>
      </c>
      <c r="M26" s="519">
        <v>0</v>
      </c>
      <c r="N26" s="106">
        <v>2.83</v>
      </c>
      <c r="O26" s="106">
        <v>2.83</v>
      </c>
      <c r="P26" s="106">
        <v>2.83</v>
      </c>
      <c r="Q26" s="106"/>
      <c r="R26" s="106"/>
      <c r="S26" s="106"/>
      <c r="T26" s="106"/>
      <c r="U26" s="106"/>
      <c r="V26" s="106"/>
      <c r="W26" s="106"/>
      <c r="X26" s="106"/>
      <c r="Y26" s="106"/>
      <c r="Z26" s="106">
        <f t="shared" ref="Z26:Z50" si="2">SUM(N26:Y26)</f>
        <v>8.49</v>
      </c>
      <c r="AA26">
        <f t="shared" ref="AA26:AA50" si="3">$AA$25-Z26</f>
        <v>12.909999999999998</v>
      </c>
    </row>
    <row r="27" spans="2:27" x14ac:dyDescent="0.3">
      <c r="H27">
        <v>28</v>
      </c>
      <c r="M27" s="519">
        <v>0.2</v>
      </c>
      <c r="N27" s="106">
        <v>2.83</v>
      </c>
      <c r="O27" s="106">
        <v>2.83</v>
      </c>
      <c r="P27" s="106">
        <v>2.83</v>
      </c>
      <c r="Q27" s="106"/>
      <c r="R27" s="106"/>
      <c r="S27" s="106"/>
      <c r="T27" s="106"/>
      <c r="U27" s="106"/>
      <c r="V27" s="106"/>
      <c r="W27" s="106"/>
      <c r="X27" s="106"/>
      <c r="Y27" s="106"/>
      <c r="Z27" s="106">
        <f t="shared" si="2"/>
        <v>8.49</v>
      </c>
      <c r="AA27">
        <f t="shared" si="3"/>
        <v>12.909999999999998</v>
      </c>
    </row>
    <row r="28" spans="2:27" x14ac:dyDescent="0.3">
      <c r="H28">
        <v>3.3</v>
      </c>
      <c r="M28" s="519">
        <v>0.4</v>
      </c>
      <c r="N28" s="106">
        <v>2.83</v>
      </c>
      <c r="O28" s="106">
        <v>2.83</v>
      </c>
      <c r="P28" s="106">
        <v>2.83</v>
      </c>
      <c r="Q28" s="106"/>
      <c r="R28" s="106"/>
      <c r="S28" s="106"/>
      <c r="T28" s="106"/>
      <c r="U28" s="106"/>
      <c r="V28" s="106"/>
      <c r="W28" s="106"/>
      <c r="X28" s="106"/>
      <c r="Y28" s="106"/>
      <c r="Z28" s="106">
        <f t="shared" si="2"/>
        <v>8.49</v>
      </c>
      <c r="AA28">
        <f t="shared" si="3"/>
        <v>12.909999999999998</v>
      </c>
    </row>
    <row r="29" spans="2:27" x14ac:dyDescent="0.3">
      <c r="B29" s="559" t="s">
        <v>76</v>
      </c>
      <c r="C29">
        <v>28</v>
      </c>
      <c r="D29">
        <v>28</v>
      </c>
      <c r="H29">
        <v>0.33</v>
      </c>
      <c r="M29" s="519">
        <v>0.6</v>
      </c>
      <c r="N29" s="106">
        <v>2.83</v>
      </c>
      <c r="O29" s="106">
        <v>2.83</v>
      </c>
      <c r="P29" s="106">
        <v>2.83</v>
      </c>
      <c r="Q29" s="106"/>
      <c r="R29" s="106"/>
      <c r="S29" s="106"/>
      <c r="T29" s="106"/>
      <c r="U29" s="106"/>
      <c r="V29" s="106"/>
      <c r="W29" s="106"/>
      <c r="X29" s="106"/>
      <c r="Y29" s="106"/>
      <c r="Z29" s="106">
        <f t="shared" si="2"/>
        <v>8.49</v>
      </c>
      <c r="AA29">
        <f t="shared" si="3"/>
        <v>12.909999999999998</v>
      </c>
    </row>
    <row r="30" spans="2:27" x14ac:dyDescent="0.3">
      <c r="B30" s="559" t="s">
        <v>758</v>
      </c>
      <c r="C30">
        <v>9</v>
      </c>
      <c r="D30">
        <v>9</v>
      </c>
      <c r="H30">
        <f>H27*H29/(H28+H29)</f>
        <v>2.5454545454545454</v>
      </c>
      <c r="M30" s="519">
        <v>0.8</v>
      </c>
      <c r="N30" s="106">
        <v>2.83</v>
      </c>
      <c r="O30" s="106">
        <v>2.83</v>
      </c>
      <c r="P30" s="106">
        <v>2.83</v>
      </c>
      <c r="Q30" s="106"/>
      <c r="R30" s="106"/>
      <c r="S30" s="106"/>
      <c r="T30" s="106"/>
      <c r="U30" s="106"/>
      <c r="V30" s="106"/>
      <c r="W30" s="106"/>
      <c r="X30" s="106"/>
      <c r="Y30" s="106"/>
      <c r="Z30" s="106">
        <f t="shared" si="2"/>
        <v>8.49</v>
      </c>
      <c r="AA30">
        <f t="shared" si="3"/>
        <v>12.909999999999998</v>
      </c>
    </row>
    <row r="31" spans="2:27" x14ac:dyDescent="0.3">
      <c r="B31" s="559" t="s">
        <v>353</v>
      </c>
      <c r="C31">
        <v>9</v>
      </c>
      <c r="D31">
        <v>9</v>
      </c>
      <c r="M31" s="519">
        <v>1</v>
      </c>
      <c r="N31" s="106">
        <v>2.83</v>
      </c>
      <c r="O31" s="106">
        <v>2.83</v>
      </c>
      <c r="P31" s="106">
        <v>2.83</v>
      </c>
      <c r="Q31" s="106">
        <v>2.83</v>
      </c>
      <c r="R31" s="106">
        <v>2.83</v>
      </c>
      <c r="S31" s="106">
        <v>2.83</v>
      </c>
      <c r="T31" s="106"/>
      <c r="U31" s="106"/>
      <c r="V31" s="106"/>
      <c r="W31" s="106"/>
      <c r="X31" s="106"/>
      <c r="Y31" s="106"/>
      <c r="Z31" s="106">
        <f t="shared" si="2"/>
        <v>16.98</v>
      </c>
      <c r="AA31">
        <f t="shared" si="3"/>
        <v>4.4199999999999982</v>
      </c>
    </row>
    <row r="32" spans="2:27" x14ac:dyDescent="0.3">
      <c r="B32" s="559" t="s">
        <v>761</v>
      </c>
      <c r="C32">
        <v>9</v>
      </c>
      <c r="D32">
        <v>9</v>
      </c>
      <c r="M32" s="519">
        <v>1.2</v>
      </c>
      <c r="N32" s="106">
        <v>2.83</v>
      </c>
      <c r="O32" s="106">
        <v>2.83</v>
      </c>
      <c r="P32" s="106">
        <v>2.83</v>
      </c>
      <c r="Q32" s="106">
        <v>2.83</v>
      </c>
      <c r="R32" s="106">
        <v>2.83</v>
      </c>
      <c r="S32" s="106">
        <v>2.83</v>
      </c>
      <c r="T32" s="106"/>
      <c r="U32" s="106"/>
      <c r="V32" s="106"/>
      <c r="W32" s="106"/>
      <c r="X32" s="106"/>
      <c r="Y32" s="106"/>
      <c r="Z32" s="106">
        <f t="shared" si="2"/>
        <v>16.98</v>
      </c>
      <c r="AA32">
        <f t="shared" si="3"/>
        <v>4.4199999999999982</v>
      </c>
    </row>
    <row r="33" spans="2:27" x14ac:dyDescent="0.3">
      <c r="B33" s="559" t="s">
        <v>762</v>
      </c>
      <c r="C33">
        <v>9</v>
      </c>
      <c r="D33">
        <v>9</v>
      </c>
      <c r="M33" s="519">
        <v>1.4</v>
      </c>
      <c r="N33" s="106">
        <v>2.83</v>
      </c>
      <c r="O33" s="106">
        <v>2.83</v>
      </c>
      <c r="P33" s="106">
        <v>2.83</v>
      </c>
      <c r="Q33" s="106">
        <v>2.83</v>
      </c>
      <c r="R33" s="106">
        <v>2.83</v>
      </c>
      <c r="S33" s="106">
        <v>2.83</v>
      </c>
      <c r="T33" s="106"/>
      <c r="U33" s="106"/>
      <c r="V33" s="106"/>
      <c r="W33" s="106"/>
      <c r="X33" s="106"/>
      <c r="Y33" s="106"/>
      <c r="Z33" s="106">
        <f t="shared" si="2"/>
        <v>16.98</v>
      </c>
      <c r="AA33">
        <f t="shared" si="3"/>
        <v>4.4199999999999982</v>
      </c>
    </row>
    <row r="34" spans="2:27" x14ac:dyDescent="0.3">
      <c r="B34" s="559" t="s">
        <v>765</v>
      </c>
      <c r="C34">
        <v>1</v>
      </c>
      <c r="D34">
        <v>0</v>
      </c>
      <c r="M34" s="519">
        <v>1.6</v>
      </c>
      <c r="N34" s="106"/>
      <c r="O34" s="106"/>
      <c r="P34" s="106"/>
      <c r="Q34" s="106">
        <v>2.83</v>
      </c>
      <c r="R34" s="106">
        <v>2.83</v>
      </c>
      <c r="S34" s="106">
        <v>2.83</v>
      </c>
      <c r="T34" s="106"/>
      <c r="U34" s="106"/>
      <c r="V34" s="106"/>
      <c r="W34" s="106"/>
      <c r="X34" s="106"/>
      <c r="Y34" s="106"/>
      <c r="Z34" s="106">
        <f t="shared" si="2"/>
        <v>8.49</v>
      </c>
      <c r="AA34">
        <f t="shared" si="3"/>
        <v>12.909999999999998</v>
      </c>
    </row>
    <row r="35" spans="2:27" x14ac:dyDescent="0.3">
      <c r="B35" s="559" t="s">
        <v>166</v>
      </c>
      <c r="C35">
        <f>C29/((C30*C31/(C30+C31))+(C32*C33/(C32+C33))+C34)</f>
        <v>2.8</v>
      </c>
      <c r="D35" s="530">
        <f>D29/((D30*D31/(D30+D31))+(D32*D33/(D32+D33))+D34)</f>
        <v>3.1111111111111112</v>
      </c>
      <c r="M35" s="519">
        <v>1.8</v>
      </c>
      <c r="N35" s="106"/>
      <c r="O35" s="106"/>
      <c r="P35" s="106"/>
      <c r="Q35" s="106">
        <v>2.83</v>
      </c>
      <c r="R35" s="106">
        <v>2.83</v>
      </c>
      <c r="S35" s="106">
        <v>2.83</v>
      </c>
      <c r="T35" s="106"/>
      <c r="U35" s="106"/>
      <c r="V35" s="106"/>
      <c r="W35" s="106"/>
      <c r="X35" s="106"/>
      <c r="Y35" s="106"/>
      <c r="Z35" s="106">
        <f t="shared" si="2"/>
        <v>8.49</v>
      </c>
      <c r="AA35">
        <f t="shared" si="3"/>
        <v>12.909999999999998</v>
      </c>
    </row>
    <row r="36" spans="2:27" x14ac:dyDescent="0.3">
      <c r="B36" s="559" t="s">
        <v>759</v>
      </c>
      <c r="C36">
        <f t="shared" ref="C36:D39" si="4">(C$35/2)^2*C30</f>
        <v>17.639999999999997</v>
      </c>
      <c r="D36" s="530">
        <f t="shared" si="4"/>
        <v>21.777777777777779</v>
      </c>
      <c r="M36" s="519">
        <v>2</v>
      </c>
      <c r="N36" s="106"/>
      <c r="O36" s="106"/>
      <c r="P36" s="106"/>
      <c r="Q36" s="106">
        <v>2.83</v>
      </c>
      <c r="R36" s="106">
        <v>2.83</v>
      </c>
      <c r="S36" s="106">
        <v>2.83</v>
      </c>
      <c r="T36" s="106">
        <v>2.83</v>
      </c>
      <c r="U36" s="106">
        <v>2.83</v>
      </c>
      <c r="V36" s="106">
        <v>2.83</v>
      </c>
      <c r="W36" s="106"/>
      <c r="X36" s="106"/>
      <c r="Y36" s="106"/>
      <c r="Z36" s="106">
        <f t="shared" si="2"/>
        <v>16.98</v>
      </c>
      <c r="AA36">
        <f t="shared" si="3"/>
        <v>4.4199999999999982</v>
      </c>
    </row>
    <row r="37" spans="2:27" x14ac:dyDescent="0.3">
      <c r="B37" s="559" t="s">
        <v>760</v>
      </c>
      <c r="C37">
        <f t="shared" si="4"/>
        <v>17.639999999999997</v>
      </c>
      <c r="D37" s="530">
        <f t="shared" si="4"/>
        <v>21.777777777777779</v>
      </c>
      <c r="M37" s="519">
        <v>2.2000000000000002</v>
      </c>
      <c r="N37" s="106"/>
      <c r="O37" s="106"/>
      <c r="P37" s="106"/>
      <c r="Q37" s="106">
        <v>2.83</v>
      </c>
      <c r="R37" s="106">
        <v>2.83</v>
      </c>
      <c r="S37" s="106">
        <v>2.83</v>
      </c>
      <c r="T37" s="106">
        <v>2.83</v>
      </c>
      <c r="U37" s="106">
        <v>2.83</v>
      </c>
      <c r="V37" s="106">
        <v>2.83</v>
      </c>
      <c r="W37" s="106"/>
      <c r="X37" s="106"/>
      <c r="Y37" s="106"/>
      <c r="Z37" s="106">
        <f t="shared" si="2"/>
        <v>16.98</v>
      </c>
      <c r="AA37">
        <f t="shared" si="3"/>
        <v>4.4199999999999982</v>
      </c>
    </row>
    <row r="38" spans="2:27" x14ac:dyDescent="0.3">
      <c r="B38" s="559" t="s">
        <v>763</v>
      </c>
      <c r="C38">
        <f t="shared" si="4"/>
        <v>17.639999999999997</v>
      </c>
      <c r="D38" s="530">
        <f t="shared" si="4"/>
        <v>21.777777777777779</v>
      </c>
      <c r="M38" s="519">
        <v>2.4</v>
      </c>
      <c r="N38" s="106"/>
      <c r="O38" s="106"/>
      <c r="P38" s="106"/>
      <c r="Q38" s="106">
        <v>2.83</v>
      </c>
      <c r="R38" s="106">
        <v>2.83</v>
      </c>
      <c r="S38" s="106">
        <v>2.83</v>
      </c>
      <c r="T38" s="106">
        <v>2.83</v>
      </c>
      <c r="U38" s="106">
        <v>2.83</v>
      </c>
      <c r="V38" s="106">
        <v>2.83</v>
      </c>
      <c r="W38" s="106"/>
      <c r="X38" s="106"/>
      <c r="Y38" s="106"/>
      <c r="Z38" s="106">
        <f t="shared" si="2"/>
        <v>16.98</v>
      </c>
      <c r="AA38">
        <f t="shared" si="3"/>
        <v>4.4199999999999982</v>
      </c>
    </row>
    <row r="39" spans="2:27" x14ac:dyDescent="0.3">
      <c r="B39" s="559" t="s">
        <v>764</v>
      </c>
      <c r="C39">
        <f t="shared" si="4"/>
        <v>17.639999999999997</v>
      </c>
      <c r="D39" s="530">
        <f t="shared" si="4"/>
        <v>21.777777777777779</v>
      </c>
      <c r="M39" s="519">
        <v>2.6</v>
      </c>
      <c r="N39" s="106"/>
      <c r="O39" s="106"/>
      <c r="P39" s="106"/>
      <c r="Q39" s="106"/>
      <c r="R39" s="106"/>
      <c r="S39" s="106"/>
      <c r="T39" s="106">
        <v>2.83</v>
      </c>
      <c r="U39" s="106">
        <v>2.83</v>
      </c>
      <c r="V39" s="106">
        <v>2.83</v>
      </c>
      <c r="W39" s="106"/>
      <c r="X39" s="106"/>
      <c r="Y39" s="106"/>
      <c r="Z39" s="106">
        <f t="shared" si="2"/>
        <v>8.49</v>
      </c>
      <c r="AA39">
        <f t="shared" si="3"/>
        <v>12.909999999999998</v>
      </c>
    </row>
    <row r="40" spans="2:27" x14ac:dyDescent="0.3">
      <c r="B40" s="559" t="s">
        <v>766</v>
      </c>
      <c r="C40">
        <f>(C$35)^2*C34</f>
        <v>7.839999999999999</v>
      </c>
      <c r="D40" s="530">
        <f>(D$35)^2*D34</f>
        <v>0</v>
      </c>
      <c r="M40" s="519">
        <v>2.8</v>
      </c>
      <c r="N40" s="106"/>
      <c r="O40" s="106"/>
      <c r="P40" s="106"/>
      <c r="Q40" s="106"/>
      <c r="R40" s="106"/>
      <c r="S40" s="106"/>
      <c r="T40" s="106">
        <v>2.83</v>
      </c>
      <c r="U40" s="106">
        <v>2.83</v>
      </c>
      <c r="V40" s="106">
        <v>2.83</v>
      </c>
      <c r="W40" s="106"/>
      <c r="X40" s="106"/>
      <c r="Y40" s="106"/>
      <c r="Z40" s="106">
        <f t="shared" si="2"/>
        <v>8.49</v>
      </c>
      <c r="AA40">
        <f t="shared" si="3"/>
        <v>12.909999999999998</v>
      </c>
    </row>
    <row r="41" spans="2:27" x14ac:dyDescent="0.3">
      <c r="B41" s="559" t="s">
        <v>655</v>
      </c>
      <c r="C41">
        <f>C29*C35</f>
        <v>78.399999999999991</v>
      </c>
      <c r="D41" s="530">
        <f>D29*D35</f>
        <v>87.111111111111114</v>
      </c>
      <c r="M41" s="519">
        <v>3</v>
      </c>
      <c r="N41" s="106"/>
      <c r="O41" s="106"/>
      <c r="P41" s="106"/>
      <c r="Q41" s="106"/>
      <c r="R41" s="106"/>
      <c r="S41" s="106"/>
      <c r="T41" s="106">
        <v>2.83</v>
      </c>
      <c r="U41" s="106">
        <v>2.83</v>
      </c>
      <c r="V41" s="106">
        <v>2.83</v>
      </c>
      <c r="W41" s="106">
        <v>2.83</v>
      </c>
      <c r="X41" s="106">
        <v>2.83</v>
      </c>
      <c r="Y41" s="106">
        <v>2.83</v>
      </c>
      <c r="Z41" s="106">
        <f t="shared" si="2"/>
        <v>16.98</v>
      </c>
      <c r="AA41">
        <f t="shared" si="3"/>
        <v>4.4199999999999982</v>
      </c>
    </row>
    <row r="42" spans="2:27" x14ac:dyDescent="0.3">
      <c r="M42" s="519">
        <v>3.2</v>
      </c>
      <c r="N42" s="106"/>
      <c r="O42" s="106"/>
      <c r="P42" s="106"/>
      <c r="Q42" s="106"/>
      <c r="R42" s="106"/>
      <c r="S42" s="106"/>
      <c r="T42" s="106">
        <v>2.83</v>
      </c>
      <c r="U42" s="106">
        <v>2.83</v>
      </c>
      <c r="V42" s="106">
        <v>2.83</v>
      </c>
      <c r="W42" s="106">
        <v>2.83</v>
      </c>
      <c r="X42" s="106">
        <v>2.83</v>
      </c>
      <c r="Y42" s="106">
        <v>2.83</v>
      </c>
      <c r="Z42" s="106">
        <f t="shared" si="2"/>
        <v>16.98</v>
      </c>
      <c r="AA42">
        <f t="shared" si="3"/>
        <v>4.4199999999999982</v>
      </c>
    </row>
    <row r="43" spans="2:27" x14ac:dyDescent="0.3">
      <c r="M43" s="519">
        <v>3.4</v>
      </c>
      <c r="N43" s="106"/>
      <c r="O43" s="106"/>
      <c r="P43" s="106"/>
      <c r="Q43" s="106"/>
      <c r="R43" s="106"/>
      <c r="S43" s="106"/>
      <c r="T43" s="106">
        <v>2.83</v>
      </c>
      <c r="U43" s="106">
        <v>2.83</v>
      </c>
      <c r="V43" s="106">
        <v>2.83</v>
      </c>
      <c r="W43" s="106">
        <v>2.83</v>
      </c>
      <c r="X43" s="106">
        <v>2.83</v>
      </c>
      <c r="Y43" s="106">
        <v>2.83</v>
      </c>
      <c r="Z43" s="106">
        <f t="shared" si="2"/>
        <v>16.98</v>
      </c>
      <c r="AA43">
        <f t="shared" si="3"/>
        <v>4.4199999999999982</v>
      </c>
    </row>
    <row r="44" spans="2:27" x14ac:dyDescent="0.3">
      <c r="M44" s="519">
        <v>3.6</v>
      </c>
      <c r="N44" s="106"/>
      <c r="O44" s="106"/>
      <c r="P44" s="106"/>
      <c r="Q44" s="106"/>
      <c r="R44" s="106"/>
      <c r="S44" s="106"/>
      <c r="T44" s="106"/>
      <c r="U44" s="106"/>
      <c r="V44" s="106"/>
      <c r="W44" s="106">
        <v>2.83</v>
      </c>
      <c r="X44" s="106">
        <v>2.83</v>
      </c>
      <c r="Y44" s="106">
        <v>2.83</v>
      </c>
      <c r="Z44" s="106">
        <f t="shared" si="2"/>
        <v>8.49</v>
      </c>
      <c r="AA44">
        <f t="shared" si="3"/>
        <v>12.909999999999998</v>
      </c>
    </row>
    <row r="45" spans="2:27" x14ac:dyDescent="0.3">
      <c r="M45" s="519">
        <v>3.8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>
        <v>2.83</v>
      </c>
      <c r="X45" s="106">
        <v>2.83</v>
      </c>
      <c r="Y45" s="106">
        <v>2.83</v>
      </c>
      <c r="Z45" s="106">
        <f t="shared" si="2"/>
        <v>8.49</v>
      </c>
      <c r="AA45">
        <f t="shared" si="3"/>
        <v>12.909999999999998</v>
      </c>
    </row>
    <row r="46" spans="2:27" x14ac:dyDescent="0.3">
      <c r="M46" s="519">
        <v>4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>
        <v>2.83</v>
      </c>
      <c r="X46" s="106">
        <v>2.83</v>
      </c>
      <c r="Y46" s="106">
        <v>2.83</v>
      </c>
      <c r="Z46" s="106">
        <f t="shared" si="2"/>
        <v>8.49</v>
      </c>
      <c r="AA46">
        <f t="shared" si="3"/>
        <v>12.909999999999998</v>
      </c>
    </row>
    <row r="47" spans="2:27" x14ac:dyDescent="0.3">
      <c r="M47" s="519">
        <v>4.2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>
        <v>2.83</v>
      </c>
      <c r="X47" s="106">
        <v>2.83</v>
      </c>
      <c r="Y47" s="106">
        <v>2.83</v>
      </c>
      <c r="Z47" s="106">
        <f t="shared" si="2"/>
        <v>8.49</v>
      </c>
      <c r="AA47">
        <f t="shared" si="3"/>
        <v>12.909999999999998</v>
      </c>
    </row>
    <row r="48" spans="2:27" x14ac:dyDescent="0.3">
      <c r="C48">
        <v>28</v>
      </c>
      <c r="D48" t="s">
        <v>1048</v>
      </c>
      <c r="E48">
        <v>28</v>
      </c>
      <c r="G48">
        <v>28</v>
      </c>
      <c r="M48" s="519">
        <v>4.4000000000000004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>
        <v>2.83</v>
      </c>
      <c r="X48" s="106">
        <v>2.83</v>
      </c>
      <c r="Y48" s="106">
        <v>2.83</v>
      </c>
      <c r="Z48" s="106">
        <f t="shared" si="2"/>
        <v>8.49</v>
      </c>
      <c r="AA48">
        <f t="shared" si="3"/>
        <v>12.909999999999998</v>
      </c>
    </row>
    <row r="49" spans="2:27" x14ac:dyDescent="0.3">
      <c r="B49" t="s">
        <v>1042</v>
      </c>
      <c r="C49">
        <v>3.3</v>
      </c>
      <c r="D49" s="174">
        <f>(C48-C53)/C49</f>
        <v>6.5117793285631569</v>
      </c>
      <c r="E49">
        <v>3.3</v>
      </c>
      <c r="F49" s="174">
        <f>(E48-E53)/E49</f>
        <v>7.7597796143250699</v>
      </c>
      <c r="G49">
        <v>3.3</v>
      </c>
      <c r="H49" s="174">
        <f>(G48-G53)/G49</f>
        <v>7.9461279461279464</v>
      </c>
      <c r="M49" s="519">
        <v>4.5999999999999996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>
        <f t="shared" si="2"/>
        <v>0</v>
      </c>
      <c r="AA49">
        <f t="shared" si="3"/>
        <v>21.4</v>
      </c>
    </row>
    <row r="50" spans="2:27" x14ac:dyDescent="0.3">
      <c r="B50" t="s">
        <v>1043</v>
      </c>
      <c r="C50">
        <v>1</v>
      </c>
      <c r="D50" s="174">
        <f>C53/C50</f>
        <v>6.5111282157415831</v>
      </c>
      <c r="E50">
        <v>4.7</v>
      </c>
      <c r="F50" s="174">
        <f>E53/E50</f>
        <v>0.50909090909090904</v>
      </c>
      <c r="G50">
        <v>3.3</v>
      </c>
      <c r="H50" s="174">
        <f>G53/G50</f>
        <v>0.5387205387205386</v>
      </c>
      <c r="M50" s="519">
        <v>4.8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>
        <f t="shared" si="2"/>
        <v>0</v>
      </c>
      <c r="AA50">
        <f t="shared" si="3"/>
        <v>21.4</v>
      </c>
    </row>
    <row r="51" spans="2:27" x14ac:dyDescent="0.3">
      <c r="B51" t="s">
        <v>1044</v>
      </c>
      <c r="C51">
        <v>10000</v>
      </c>
      <c r="D51" s="174">
        <f>C53/C51</f>
        <v>6.5111282157415834E-4</v>
      </c>
      <c r="E51">
        <v>0.33</v>
      </c>
      <c r="F51" s="174">
        <f>E53/E51</f>
        <v>7.2506887052341593</v>
      </c>
      <c r="G51">
        <v>0.24</v>
      </c>
      <c r="H51" s="174">
        <f>G53/G51</f>
        <v>7.4074074074074066</v>
      </c>
      <c r="M51"/>
    </row>
    <row r="52" spans="2:27" x14ac:dyDescent="0.3">
      <c r="B52" t="s">
        <v>1045</v>
      </c>
      <c r="C52" s="174">
        <f>C50*C51/(C50+C51)</f>
        <v>0.99990000999900008</v>
      </c>
      <c r="D52" s="174">
        <f>C53/C52</f>
        <v>6.5117793285631578</v>
      </c>
      <c r="E52" s="174">
        <f>E50*E51/(E50+E51)</f>
        <v>0.30834990059642148</v>
      </c>
      <c r="F52" s="174">
        <f>E53/E52</f>
        <v>7.7597796143250681</v>
      </c>
      <c r="G52" s="174">
        <f>G50*G51/(G50+G51)</f>
        <v>0.223728813559322</v>
      </c>
      <c r="H52" s="174">
        <f>G53/G52</f>
        <v>7.9461279461279455</v>
      </c>
      <c r="M52" s="523" t="s">
        <v>651</v>
      </c>
    </row>
    <row r="53" spans="2:27" x14ac:dyDescent="0.3">
      <c r="B53" t="s">
        <v>1046</v>
      </c>
      <c r="C53" s="174">
        <f>C48*C52/(C49+C52)</f>
        <v>6.5111282157415831</v>
      </c>
      <c r="E53" s="174">
        <f>E48*E52/(E49+E52)</f>
        <v>2.3927272727272726</v>
      </c>
      <c r="G53" s="174">
        <f>G48*G52/(G49+G52)</f>
        <v>1.7777777777777775</v>
      </c>
      <c r="M53" s="518"/>
      <c r="N53" s="518">
        <v>1</v>
      </c>
      <c r="O53" s="518">
        <v>2</v>
      </c>
      <c r="P53" s="518">
        <v>3</v>
      </c>
      <c r="Q53" s="518">
        <v>4</v>
      </c>
      <c r="R53" s="518">
        <v>5</v>
      </c>
      <c r="S53" s="518">
        <v>6</v>
      </c>
      <c r="T53" s="518">
        <v>7</v>
      </c>
      <c r="U53" s="518">
        <v>8</v>
      </c>
      <c r="V53" s="518">
        <v>9</v>
      </c>
      <c r="W53" s="518">
        <v>10</v>
      </c>
      <c r="X53" s="518">
        <v>11</v>
      </c>
      <c r="Y53" s="518">
        <v>12</v>
      </c>
      <c r="Z53" s="518" t="s">
        <v>650</v>
      </c>
      <c r="AA53" s="522">
        <v>21.4</v>
      </c>
    </row>
    <row r="54" spans="2:27" x14ac:dyDescent="0.3">
      <c r="B54" t="s">
        <v>1047</v>
      </c>
      <c r="C54" s="174">
        <f>C53/C51</f>
        <v>6.5111282157415834E-4</v>
      </c>
      <c r="E54" s="174">
        <f>E53/E51</f>
        <v>7.2506887052341593</v>
      </c>
      <c r="G54" s="174">
        <f>G53/G51</f>
        <v>7.4074074074074066</v>
      </c>
      <c r="M54" s="519">
        <v>0</v>
      </c>
      <c r="N54" s="106">
        <v>2.83</v>
      </c>
      <c r="O54" s="106">
        <v>2.83</v>
      </c>
      <c r="P54" s="106">
        <v>2.83</v>
      </c>
      <c r="Q54" s="106"/>
      <c r="R54" s="106"/>
      <c r="S54" s="106"/>
      <c r="T54" s="106"/>
      <c r="U54" s="106"/>
      <c r="V54" s="106"/>
      <c r="W54" s="106"/>
      <c r="X54" s="106"/>
      <c r="Y54" s="106"/>
      <c r="Z54" s="106">
        <f t="shared" ref="Z54:Z78" si="5">SUM(N54:Y54)</f>
        <v>8.49</v>
      </c>
      <c r="AA54">
        <f t="shared" ref="AA54:AA78" si="6">$AA$25-Z54</f>
        <v>12.909999999999998</v>
      </c>
    </row>
    <row r="55" spans="2:27" x14ac:dyDescent="0.3">
      <c r="M55" s="519">
        <v>0.2</v>
      </c>
      <c r="N55" s="106">
        <v>2.83</v>
      </c>
      <c r="O55" s="106">
        <v>2.83</v>
      </c>
      <c r="P55" s="106">
        <v>2.83</v>
      </c>
      <c r="Q55" s="106"/>
      <c r="R55" s="106"/>
      <c r="S55" s="106"/>
      <c r="T55" s="106"/>
      <c r="U55" s="106"/>
      <c r="V55" s="106"/>
      <c r="W55" s="106"/>
      <c r="X55" s="106"/>
      <c r="Y55" s="106"/>
      <c r="Z55" s="106">
        <f t="shared" si="5"/>
        <v>8.49</v>
      </c>
      <c r="AA55">
        <f t="shared" si="6"/>
        <v>12.909999999999998</v>
      </c>
    </row>
    <row r="56" spans="2:27" x14ac:dyDescent="0.3">
      <c r="M56" s="519">
        <v>0.4</v>
      </c>
      <c r="N56" s="106">
        <v>2.83</v>
      </c>
      <c r="O56" s="106">
        <v>2.83</v>
      </c>
      <c r="P56" s="106">
        <v>2.83</v>
      </c>
      <c r="Q56" s="106"/>
      <c r="R56" s="106"/>
      <c r="S56" s="106"/>
      <c r="T56" s="106"/>
      <c r="U56" s="106"/>
      <c r="V56" s="106"/>
      <c r="W56" s="106"/>
      <c r="X56" s="106"/>
      <c r="Y56" s="106"/>
      <c r="Z56" s="106">
        <f t="shared" si="5"/>
        <v>8.49</v>
      </c>
      <c r="AA56">
        <f t="shared" si="6"/>
        <v>12.909999999999998</v>
      </c>
    </row>
    <row r="57" spans="2:27" x14ac:dyDescent="0.3">
      <c r="M57" s="519">
        <v>0.6</v>
      </c>
      <c r="N57" s="106">
        <v>2.83</v>
      </c>
      <c r="O57" s="106">
        <v>2.83</v>
      </c>
      <c r="P57" s="106">
        <v>2.83</v>
      </c>
      <c r="Q57" s="106"/>
      <c r="R57" s="106"/>
      <c r="S57" s="106"/>
      <c r="T57" s="106"/>
      <c r="U57" s="106"/>
      <c r="V57" s="106"/>
      <c r="W57" s="106"/>
      <c r="X57" s="106"/>
      <c r="Y57" s="106"/>
      <c r="Z57" s="106">
        <f t="shared" si="5"/>
        <v>8.49</v>
      </c>
      <c r="AA57">
        <f t="shared" si="6"/>
        <v>12.909999999999998</v>
      </c>
    </row>
    <row r="58" spans="2:27" x14ac:dyDescent="0.3">
      <c r="M58" s="519">
        <v>0.8</v>
      </c>
      <c r="N58" s="106">
        <v>2.83</v>
      </c>
      <c r="O58" s="106">
        <v>2.83</v>
      </c>
      <c r="P58" s="106">
        <v>2.83</v>
      </c>
      <c r="Q58" s="106">
        <v>2.83</v>
      </c>
      <c r="R58" s="106">
        <v>2.83</v>
      </c>
      <c r="S58" s="106">
        <v>2.83</v>
      </c>
      <c r="T58" s="106"/>
      <c r="U58" s="106"/>
      <c r="V58" s="106"/>
      <c r="W58" s="106"/>
      <c r="X58" s="106"/>
      <c r="Y58" s="106"/>
      <c r="Z58" s="106">
        <f t="shared" si="5"/>
        <v>16.98</v>
      </c>
      <c r="AA58">
        <f t="shared" si="6"/>
        <v>4.4199999999999982</v>
      </c>
    </row>
    <row r="59" spans="2:27" x14ac:dyDescent="0.3">
      <c r="M59" s="519">
        <v>1</v>
      </c>
      <c r="N59" s="106">
        <v>2.83</v>
      </c>
      <c r="O59" s="106">
        <v>2.83</v>
      </c>
      <c r="P59" s="106">
        <v>2.83</v>
      </c>
      <c r="Q59" s="106">
        <v>2.83</v>
      </c>
      <c r="R59" s="106">
        <v>2.83</v>
      </c>
      <c r="S59" s="106">
        <v>2.83</v>
      </c>
      <c r="T59" s="106"/>
      <c r="U59" s="106"/>
      <c r="V59" s="106"/>
      <c r="W59" s="106"/>
      <c r="X59" s="106"/>
      <c r="Y59" s="106"/>
      <c r="Z59" s="106">
        <f t="shared" si="5"/>
        <v>16.98</v>
      </c>
      <c r="AA59">
        <f t="shared" si="6"/>
        <v>4.4199999999999982</v>
      </c>
    </row>
    <row r="60" spans="2:27" x14ac:dyDescent="0.3">
      <c r="M60" s="519">
        <v>1.2</v>
      </c>
      <c r="N60" s="106">
        <v>2.83</v>
      </c>
      <c r="O60" s="106">
        <v>2.83</v>
      </c>
      <c r="P60" s="106">
        <v>2.83</v>
      </c>
      <c r="Q60" s="106">
        <v>2.83</v>
      </c>
      <c r="R60" s="106">
        <v>2.83</v>
      </c>
      <c r="S60" s="106">
        <v>2.83</v>
      </c>
      <c r="T60" s="106"/>
      <c r="U60" s="106"/>
      <c r="V60" s="106"/>
      <c r="W60" s="106"/>
      <c r="X60" s="106"/>
      <c r="Y60" s="106"/>
      <c r="Z60" s="106">
        <f t="shared" si="5"/>
        <v>16.98</v>
      </c>
      <c r="AA60">
        <f t="shared" si="6"/>
        <v>4.4199999999999982</v>
      </c>
    </row>
    <row r="61" spans="2:27" x14ac:dyDescent="0.3">
      <c r="M61" s="519">
        <v>1.4</v>
      </c>
      <c r="N61" s="106">
        <v>2.83</v>
      </c>
      <c r="O61" s="106">
        <v>2.83</v>
      </c>
      <c r="P61" s="106">
        <v>2.83</v>
      </c>
      <c r="Q61" s="106">
        <v>2.83</v>
      </c>
      <c r="R61" s="106">
        <v>2.83</v>
      </c>
      <c r="S61" s="106">
        <v>2.83</v>
      </c>
      <c r="T61" s="106"/>
      <c r="U61" s="106"/>
      <c r="V61" s="106"/>
      <c r="W61" s="106"/>
      <c r="X61" s="106"/>
      <c r="Y61" s="106"/>
      <c r="Z61" s="106">
        <f t="shared" si="5"/>
        <v>16.98</v>
      </c>
      <c r="AA61">
        <f t="shared" si="6"/>
        <v>4.4199999999999982</v>
      </c>
    </row>
    <row r="62" spans="2:27" x14ac:dyDescent="0.3">
      <c r="M62" s="519">
        <v>1.6</v>
      </c>
      <c r="N62" s="106"/>
      <c r="O62" s="106"/>
      <c r="P62" s="106"/>
      <c r="Q62" s="106">
        <v>2.83</v>
      </c>
      <c r="R62" s="106">
        <v>2.83</v>
      </c>
      <c r="S62" s="106">
        <v>2.83</v>
      </c>
      <c r="T62" s="106">
        <v>2.83</v>
      </c>
      <c r="U62" s="106">
        <v>2.83</v>
      </c>
      <c r="V62" s="106">
        <v>2.83</v>
      </c>
      <c r="W62" s="106"/>
      <c r="X62" s="106"/>
      <c r="Y62" s="106"/>
      <c r="Z62" s="106">
        <f t="shared" si="5"/>
        <v>16.98</v>
      </c>
      <c r="AA62">
        <f t="shared" si="6"/>
        <v>4.4199999999999982</v>
      </c>
    </row>
    <row r="63" spans="2:27" x14ac:dyDescent="0.3">
      <c r="M63" s="519">
        <v>1.8</v>
      </c>
      <c r="N63" s="106"/>
      <c r="O63" s="106"/>
      <c r="P63" s="106"/>
      <c r="Q63" s="106">
        <v>2.83</v>
      </c>
      <c r="R63" s="106">
        <v>2.83</v>
      </c>
      <c r="S63" s="106">
        <v>2.83</v>
      </c>
      <c r="T63" s="106">
        <v>2.83</v>
      </c>
      <c r="U63" s="106">
        <v>2.83</v>
      </c>
      <c r="V63" s="106">
        <v>2.83</v>
      </c>
      <c r="W63" s="106"/>
      <c r="X63" s="106"/>
      <c r="Y63" s="106"/>
      <c r="Z63" s="106">
        <f t="shared" si="5"/>
        <v>16.98</v>
      </c>
      <c r="AA63">
        <f t="shared" si="6"/>
        <v>4.4199999999999982</v>
      </c>
    </row>
    <row r="64" spans="2:27" x14ac:dyDescent="0.3">
      <c r="M64" s="519">
        <v>2</v>
      </c>
      <c r="N64" s="106"/>
      <c r="O64" s="106"/>
      <c r="P64" s="106"/>
      <c r="Q64" s="106">
        <v>2.83</v>
      </c>
      <c r="R64" s="106">
        <v>2.83</v>
      </c>
      <c r="S64" s="106">
        <v>2.83</v>
      </c>
      <c r="T64" s="106">
        <v>2.83</v>
      </c>
      <c r="U64" s="106">
        <v>2.83</v>
      </c>
      <c r="V64" s="106">
        <v>2.83</v>
      </c>
      <c r="W64" s="106"/>
      <c r="X64" s="106"/>
      <c r="Y64" s="106"/>
      <c r="Z64" s="106">
        <f t="shared" si="5"/>
        <v>16.98</v>
      </c>
      <c r="AA64">
        <f t="shared" si="6"/>
        <v>4.4199999999999982</v>
      </c>
    </row>
    <row r="65" spans="13:27" x14ac:dyDescent="0.3">
      <c r="M65" s="519">
        <v>2.2000000000000002</v>
      </c>
      <c r="N65" s="106"/>
      <c r="O65" s="106"/>
      <c r="P65" s="106"/>
      <c r="Q65" s="106">
        <v>2.83</v>
      </c>
      <c r="R65" s="106">
        <v>2.83</v>
      </c>
      <c r="S65" s="106">
        <v>2.83</v>
      </c>
      <c r="T65" s="106">
        <v>2.83</v>
      </c>
      <c r="U65" s="106">
        <v>2.83</v>
      </c>
      <c r="V65" s="106">
        <v>2.83</v>
      </c>
      <c r="W65" s="106"/>
      <c r="X65" s="106"/>
      <c r="Y65" s="106"/>
      <c r="Z65" s="106">
        <f t="shared" si="5"/>
        <v>16.98</v>
      </c>
      <c r="AA65">
        <f t="shared" si="6"/>
        <v>4.4199999999999982</v>
      </c>
    </row>
    <row r="66" spans="13:27" x14ac:dyDescent="0.3">
      <c r="M66" s="519">
        <v>2.4</v>
      </c>
      <c r="N66" s="106"/>
      <c r="O66" s="106"/>
      <c r="P66" s="106"/>
      <c r="Q66" s="106"/>
      <c r="R66" s="106"/>
      <c r="S66" s="106"/>
      <c r="T66" s="106">
        <v>2.83</v>
      </c>
      <c r="U66" s="106">
        <v>2.83</v>
      </c>
      <c r="V66" s="106">
        <v>2.83</v>
      </c>
      <c r="W66" s="106">
        <v>2.83</v>
      </c>
      <c r="X66" s="106">
        <v>2.83</v>
      </c>
      <c r="Y66" s="106">
        <v>2.83</v>
      </c>
      <c r="Z66" s="106">
        <f t="shared" si="5"/>
        <v>16.98</v>
      </c>
      <c r="AA66">
        <f t="shared" si="6"/>
        <v>4.4199999999999982</v>
      </c>
    </row>
    <row r="67" spans="13:27" x14ac:dyDescent="0.3">
      <c r="M67" s="519">
        <v>2.6</v>
      </c>
      <c r="N67" s="106"/>
      <c r="O67" s="106"/>
      <c r="P67" s="106"/>
      <c r="Q67" s="106"/>
      <c r="R67" s="106"/>
      <c r="S67" s="106"/>
      <c r="T67" s="106">
        <v>2.83</v>
      </c>
      <c r="U67" s="106">
        <v>2.83</v>
      </c>
      <c r="V67" s="106">
        <v>2.83</v>
      </c>
      <c r="W67" s="106">
        <v>2.83</v>
      </c>
      <c r="X67" s="106">
        <v>2.83</v>
      </c>
      <c r="Y67" s="106">
        <v>2.83</v>
      </c>
      <c r="Z67" s="106">
        <f t="shared" si="5"/>
        <v>16.98</v>
      </c>
      <c r="AA67">
        <f t="shared" si="6"/>
        <v>4.4199999999999982</v>
      </c>
    </row>
    <row r="68" spans="13:27" x14ac:dyDescent="0.3">
      <c r="M68" s="519">
        <v>2.8</v>
      </c>
      <c r="N68" s="106"/>
      <c r="O68" s="106"/>
      <c r="P68" s="106"/>
      <c r="Q68" s="106"/>
      <c r="R68" s="106"/>
      <c r="S68" s="106"/>
      <c r="T68" s="106">
        <v>2.83</v>
      </c>
      <c r="U68" s="106">
        <v>2.83</v>
      </c>
      <c r="V68" s="106">
        <v>2.83</v>
      </c>
      <c r="W68" s="106">
        <v>2.83</v>
      </c>
      <c r="X68" s="106">
        <v>2.83</v>
      </c>
      <c r="Y68" s="106">
        <v>2.83</v>
      </c>
      <c r="Z68" s="106">
        <f t="shared" si="5"/>
        <v>16.98</v>
      </c>
      <c r="AA68">
        <f t="shared" si="6"/>
        <v>4.4199999999999982</v>
      </c>
    </row>
    <row r="69" spans="13:27" x14ac:dyDescent="0.3">
      <c r="M69" s="519">
        <v>3</v>
      </c>
      <c r="N69" s="106"/>
      <c r="O69" s="106"/>
      <c r="P69" s="106"/>
      <c r="Q69" s="106"/>
      <c r="R69" s="106"/>
      <c r="S69" s="106"/>
      <c r="T69" s="106">
        <v>2.83</v>
      </c>
      <c r="U69" s="106">
        <v>2.83</v>
      </c>
      <c r="V69" s="106">
        <v>2.83</v>
      </c>
      <c r="W69" s="106">
        <v>2.83</v>
      </c>
      <c r="X69" s="106">
        <v>2.83</v>
      </c>
      <c r="Y69" s="106">
        <v>2.83</v>
      </c>
      <c r="Z69" s="106">
        <f t="shared" si="5"/>
        <v>16.98</v>
      </c>
      <c r="AA69">
        <f t="shared" si="6"/>
        <v>4.4199999999999982</v>
      </c>
    </row>
    <row r="70" spans="13:27" x14ac:dyDescent="0.3">
      <c r="M70" s="519">
        <v>3.2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>
        <v>2.83</v>
      </c>
      <c r="X70" s="106">
        <v>2.83</v>
      </c>
      <c r="Y70" s="106">
        <v>2.83</v>
      </c>
      <c r="Z70" s="106">
        <f t="shared" si="5"/>
        <v>8.49</v>
      </c>
      <c r="AA70">
        <f t="shared" si="6"/>
        <v>12.909999999999998</v>
      </c>
    </row>
    <row r="71" spans="13:27" x14ac:dyDescent="0.3">
      <c r="M71" s="519">
        <v>3.4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>
        <v>2.83</v>
      </c>
      <c r="X71" s="106">
        <v>2.83</v>
      </c>
      <c r="Y71" s="106">
        <v>2.83</v>
      </c>
      <c r="Z71" s="106">
        <f t="shared" si="5"/>
        <v>8.49</v>
      </c>
      <c r="AA71">
        <f t="shared" si="6"/>
        <v>12.909999999999998</v>
      </c>
    </row>
    <row r="72" spans="13:27" x14ac:dyDescent="0.3">
      <c r="M72" s="519">
        <v>3.6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>
        <v>2.83</v>
      </c>
      <c r="X72" s="106">
        <v>2.83</v>
      </c>
      <c r="Y72" s="106">
        <v>2.83</v>
      </c>
      <c r="Z72" s="106">
        <f t="shared" si="5"/>
        <v>8.49</v>
      </c>
      <c r="AA72">
        <f t="shared" si="6"/>
        <v>12.909999999999998</v>
      </c>
    </row>
    <row r="73" spans="13:27" x14ac:dyDescent="0.3">
      <c r="M73" s="519">
        <v>3.8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>
        <v>2.83</v>
      </c>
      <c r="X73" s="106">
        <v>2.83</v>
      </c>
      <c r="Y73" s="106">
        <v>2.83</v>
      </c>
      <c r="Z73" s="106">
        <f t="shared" si="5"/>
        <v>8.49</v>
      </c>
      <c r="AA73">
        <f t="shared" si="6"/>
        <v>12.909999999999998</v>
      </c>
    </row>
    <row r="74" spans="13:27" x14ac:dyDescent="0.3">
      <c r="M74" s="519">
        <v>4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>
        <f t="shared" si="5"/>
        <v>0</v>
      </c>
      <c r="AA74">
        <f t="shared" si="6"/>
        <v>21.4</v>
      </c>
    </row>
    <row r="75" spans="13:27" x14ac:dyDescent="0.3">
      <c r="M75" s="519">
        <v>4.2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>
        <f t="shared" si="5"/>
        <v>0</v>
      </c>
      <c r="AA75">
        <f t="shared" si="6"/>
        <v>21.4</v>
      </c>
    </row>
    <row r="76" spans="13:27" x14ac:dyDescent="0.3">
      <c r="M76" s="519">
        <v>4.4000000000000004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>
        <f t="shared" si="5"/>
        <v>0</v>
      </c>
      <c r="AA76">
        <f t="shared" si="6"/>
        <v>21.4</v>
      </c>
    </row>
    <row r="77" spans="13:27" x14ac:dyDescent="0.3">
      <c r="M77" s="519">
        <v>4.5999999999999996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>
        <f t="shared" si="5"/>
        <v>0</v>
      </c>
      <c r="AA77">
        <f t="shared" si="6"/>
        <v>21.4</v>
      </c>
    </row>
    <row r="78" spans="13:27" x14ac:dyDescent="0.3">
      <c r="M78" s="519">
        <v>4.8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>
        <f t="shared" si="5"/>
        <v>0</v>
      </c>
      <c r="AA78">
        <f t="shared" si="6"/>
        <v>21.4</v>
      </c>
    </row>
  </sheetData>
  <phoneticPr fontId="2" type="noConversion"/>
  <pageMargins left="0.7" right="0.7" top="0.75" bottom="0.7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Visio.Drawing.11" shapeId="15362" r:id="rId4">
          <objectPr defaultSize="0" autoPict="0" r:id="rId5">
            <anchor moveWithCells="1">
              <from>
                <xdr:col>5</xdr:col>
                <xdr:colOff>476250</xdr:colOff>
                <xdr:row>2</xdr:row>
                <xdr:rowOff>142875</xdr:rowOff>
              </from>
              <to>
                <xdr:col>11</xdr:col>
                <xdr:colOff>447675</xdr:colOff>
                <xdr:row>16</xdr:row>
                <xdr:rowOff>76200</xdr:rowOff>
              </to>
            </anchor>
          </objectPr>
        </oleObject>
      </mc:Choice>
      <mc:Fallback>
        <oleObject progId="Visio.Drawing.11" shapeId="1536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172"/>
  <sheetViews>
    <sheetView topLeftCell="A16" zoomScale="85" zoomScaleNormal="85" zoomScaleSheetLayoutView="100" workbookViewId="0">
      <selection activeCell="Q32" sqref="Q32"/>
    </sheetView>
  </sheetViews>
  <sheetFormatPr defaultRowHeight="16.5" x14ac:dyDescent="0.3"/>
  <cols>
    <col min="1" max="1" width="2.75" customWidth="1"/>
    <col min="2" max="2" width="3.5" customWidth="1"/>
    <col min="3" max="4" width="7.625" customWidth="1"/>
    <col min="5" max="5" width="8.125" customWidth="1"/>
    <col min="6" max="8" width="7.625" customWidth="1"/>
    <col min="9" max="9" width="9.25" customWidth="1"/>
    <col min="10" max="28" width="7.625" customWidth="1"/>
  </cols>
  <sheetData>
    <row r="2" spans="2:26" x14ac:dyDescent="0.3">
      <c r="B2" s="103" t="s">
        <v>195</v>
      </c>
    </row>
    <row r="3" spans="2:26" x14ac:dyDescent="0.3">
      <c r="C3" s="103" t="s">
        <v>78</v>
      </c>
    </row>
    <row r="4" spans="2:26" x14ac:dyDescent="0.3">
      <c r="B4" s="124"/>
      <c r="D4" t="s">
        <v>79</v>
      </c>
    </row>
    <row r="5" spans="2:26" x14ac:dyDescent="0.3">
      <c r="B5" s="124"/>
      <c r="O5">
        <v>5.1100000000000003</v>
      </c>
      <c r="P5">
        <v>5.09</v>
      </c>
      <c r="Q5" s="174">
        <f>O5-P5</f>
        <v>2.0000000000000462E-2</v>
      </c>
      <c r="R5">
        <v>8.17</v>
      </c>
    </row>
    <row r="6" spans="2:26" x14ac:dyDescent="0.3">
      <c r="B6" s="125"/>
      <c r="C6" s="103" t="s">
        <v>80</v>
      </c>
      <c r="O6">
        <v>28.13</v>
      </c>
      <c r="P6">
        <v>28.06</v>
      </c>
      <c r="Q6" s="174">
        <f>O6-P6</f>
        <v>7.0000000000000284E-2</v>
      </c>
      <c r="R6">
        <v>0</v>
      </c>
    </row>
    <row r="7" spans="2:26" x14ac:dyDescent="0.3">
      <c r="L7" t="s">
        <v>194</v>
      </c>
      <c r="O7">
        <v>27.97</v>
      </c>
      <c r="P7">
        <v>27.95</v>
      </c>
      <c r="Q7" s="174">
        <f>O7-P7</f>
        <v>1.9999999999999574E-2</v>
      </c>
      <c r="R7">
        <v>30</v>
      </c>
    </row>
    <row r="9" spans="2:26" x14ac:dyDescent="0.3">
      <c r="O9">
        <v>5.1100000000000003</v>
      </c>
      <c r="P9">
        <v>5.09</v>
      </c>
      <c r="R9">
        <v>8.08</v>
      </c>
    </row>
    <row r="10" spans="2:26" ht="17.25" thickBot="1" x14ac:dyDescent="0.35">
      <c r="O10">
        <v>28.17</v>
      </c>
      <c r="P10">
        <v>28.06</v>
      </c>
      <c r="R10">
        <v>0</v>
      </c>
    </row>
    <row r="11" spans="2:26" ht="17.25" thickBot="1" x14ac:dyDescent="0.35">
      <c r="O11">
        <v>27.97</v>
      </c>
      <c r="P11">
        <v>27.98</v>
      </c>
      <c r="R11">
        <v>27.97</v>
      </c>
      <c r="U11" s="126"/>
      <c r="V11" s="127" t="s">
        <v>87</v>
      </c>
      <c r="W11" s="127" t="s">
        <v>87</v>
      </c>
      <c r="X11" s="127" t="s">
        <v>87</v>
      </c>
      <c r="Y11" s="127" t="s">
        <v>87</v>
      </c>
      <c r="Z11" s="128" t="s">
        <v>88</v>
      </c>
    </row>
    <row r="12" spans="2:26" x14ac:dyDescent="0.3">
      <c r="U12" s="114" t="s">
        <v>81</v>
      </c>
      <c r="V12" s="116">
        <v>4.84</v>
      </c>
      <c r="W12" s="116">
        <v>5</v>
      </c>
      <c r="X12" s="116">
        <v>5</v>
      </c>
      <c r="Y12" s="116">
        <v>4.96</v>
      </c>
      <c r="Z12" s="117" t="s">
        <v>76</v>
      </c>
    </row>
    <row r="13" spans="2:26" x14ac:dyDescent="0.3">
      <c r="U13" s="105" t="s">
        <v>82</v>
      </c>
      <c r="V13" s="106">
        <v>5</v>
      </c>
      <c r="W13" s="106">
        <v>5.16</v>
      </c>
      <c r="X13" s="106">
        <v>5.14</v>
      </c>
      <c r="Y13" s="106">
        <v>5.05</v>
      </c>
      <c r="Z13" s="107" t="s">
        <v>76</v>
      </c>
    </row>
    <row r="14" spans="2:26" x14ac:dyDescent="0.3">
      <c r="U14" s="105" t="s">
        <v>135</v>
      </c>
      <c r="V14" s="106">
        <f>V13-V12</f>
        <v>0.16000000000000014</v>
      </c>
      <c r="W14" s="106">
        <f>W13-W12</f>
        <v>0.16000000000000014</v>
      </c>
      <c r="X14" s="106">
        <f>X13-X12</f>
        <v>0.13999999999999968</v>
      </c>
      <c r="Y14" s="106">
        <v>5.05</v>
      </c>
      <c r="Z14" s="107" t="s">
        <v>76</v>
      </c>
    </row>
    <row r="15" spans="2:26" x14ac:dyDescent="0.3">
      <c r="U15" s="111" t="s">
        <v>83</v>
      </c>
      <c r="V15" s="112">
        <f>ABS((V12-V13)/V12)*100</f>
        <v>3.3057851239669449</v>
      </c>
      <c r="W15" s="112">
        <f>ABS((W12-W13)/W12)*100</f>
        <v>3.2000000000000028</v>
      </c>
      <c r="X15" s="112">
        <f>ABS((X12-X13)/X12)*100</f>
        <v>2.7999999999999936</v>
      </c>
      <c r="Y15" s="112">
        <f>ABS((Y12-Y13)/Y12)*100</f>
        <v>1.8145161290322551</v>
      </c>
      <c r="Z15" s="107" t="s">
        <v>84</v>
      </c>
    </row>
    <row r="16" spans="2:26" ht="17.25" thickBot="1" x14ac:dyDescent="0.35">
      <c r="O16">
        <v>27.98</v>
      </c>
      <c r="P16">
        <v>28.03</v>
      </c>
      <c r="U16" s="184" t="s">
        <v>85</v>
      </c>
      <c r="V16" s="185">
        <f>((100+V15)/V15)*(V12/1.225-0.909)</f>
        <v>95.063137755101948</v>
      </c>
      <c r="W16" s="185">
        <f>((100+W15)/W15)*(W12/1.225-0.909)</f>
        <v>102.31740306122441</v>
      </c>
      <c r="X16" s="185">
        <f>((100+X15)/X15)*(X12/1.225-0.909)</f>
        <v>116.48094169096238</v>
      </c>
      <c r="Y16" s="185">
        <f>((100+Y15)/Y15)*(Y12/1.225-0.909)</f>
        <v>176.18774376417261</v>
      </c>
      <c r="Z16" s="186" t="s">
        <v>86</v>
      </c>
    </row>
    <row r="17" spans="2:26" ht="17.25" thickBot="1" x14ac:dyDescent="0.35">
      <c r="C17" s="103" t="s">
        <v>197</v>
      </c>
      <c r="O17">
        <v>27.95</v>
      </c>
      <c r="P17">
        <v>28.01</v>
      </c>
      <c r="U17" s="182" t="s">
        <v>85</v>
      </c>
      <c r="V17" s="183">
        <v>220</v>
      </c>
      <c r="W17" s="183">
        <v>200</v>
      </c>
      <c r="X17" s="183">
        <v>120</v>
      </c>
      <c r="Y17" s="183">
        <v>180</v>
      </c>
      <c r="Z17" s="119" t="s">
        <v>86</v>
      </c>
    </row>
    <row r="18" spans="2:26" ht="17.25" thickBot="1" x14ac:dyDescent="0.35">
      <c r="D18" s="970"/>
      <c r="E18" s="971"/>
      <c r="F18" s="259" t="s">
        <v>87</v>
      </c>
      <c r="G18" s="127" t="s">
        <v>87</v>
      </c>
      <c r="H18" s="127" t="s">
        <v>87</v>
      </c>
      <c r="I18" s="128" t="s">
        <v>87</v>
      </c>
      <c r="J18" s="128" t="s">
        <v>88</v>
      </c>
      <c r="O18">
        <v>27.95</v>
      </c>
      <c r="P18">
        <v>28.01</v>
      </c>
      <c r="U18" s="111" t="s">
        <v>83</v>
      </c>
      <c r="V18" s="180">
        <f>(V12/1.225-0.909)/(V17-(V12/1.225-0.909))*100</f>
        <v>1.4021242334051143</v>
      </c>
      <c r="W18" s="180">
        <f>(W12/1.225-0.909)/(W17-(W12/1.225-0.909))*100</f>
        <v>1.6118859363032416</v>
      </c>
      <c r="X18" s="180">
        <f>(X12/1.225-0.909)/(X17-(X12/1.225-0.909))*100</f>
        <v>2.7156587750878196</v>
      </c>
      <c r="Y18" s="180">
        <f>(Y12/1.225-0.909)/(Y17-(Y12/1.225-0.909))*100</f>
        <v>1.7754038389174602</v>
      </c>
      <c r="Z18" s="107" t="s">
        <v>84</v>
      </c>
    </row>
    <row r="19" spans="2:26" ht="17.25" thickBot="1" x14ac:dyDescent="0.35">
      <c r="D19" s="972" t="s">
        <v>81</v>
      </c>
      <c r="E19" s="973"/>
      <c r="F19" s="139">
        <v>4.92</v>
      </c>
      <c r="G19" s="116">
        <v>27.97</v>
      </c>
      <c r="H19" s="116">
        <v>27.97</v>
      </c>
      <c r="I19" s="117">
        <v>27.97</v>
      </c>
      <c r="J19" s="260" t="s">
        <v>77</v>
      </c>
      <c r="U19" s="187" t="s">
        <v>82</v>
      </c>
      <c r="V19" s="201">
        <f>V12*(100+V18)/100</f>
        <v>4.9078628128968074</v>
      </c>
      <c r="W19" s="201">
        <f>W12*(100+W18)/100</f>
        <v>5.0805942968151614</v>
      </c>
      <c r="X19" s="201">
        <f>X12*(100+X18)/100</f>
        <v>5.1357829387543905</v>
      </c>
      <c r="Y19" s="201">
        <f>Y12*(100+Y18)/100</f>
        <v>5.0480600304103058</v>
      </c>
      <c r="Z19" s="186" t="s">
        <v>76</v>
      </c>
    </row>
    <row r="20" spans="2:26" x14ac:dyDescent="0.3">
      <c r="D20" s="960" t="s">
        <v>82</v>
      </c>
      <c r="E20" s="961"/>
      <c r="F20" s="104">
        <v>5</v>
      </c>
      <c r="G20" s="106">
        <v>28.04</v>
      </c>
      <c r="H20" s="106">
        <v>28.02</v>
      </c>
      <c r="I20" s="107">
        <v>28.01</v>
      </c>
      <c r="J20" s="261" t="s">
        <v>77</v>
      </c>
      <c r="U20" s="172"/>
      <c r="V20">
        <f>V19-V12</f>
        <v>6.7862812896807512E-2</v>
      </c>
      <c r="W20" s="173">
        <f>W19-W12</f>
        <v>8.0594296815161393E-2</v>
      </c>
      <c r="X20" s="173">
        <f>X19-X12</f>
        <v>0.13578293875439051</v>
      </c>
      <c r="Y20" s="173">
        <f>Y19-Y12</f>
        <v>8.8060030410305856E-2</v>
      </c>
    </row>
    <row r="21" spans="2:26" x14ac:dyDescent="0.3">
      <c r="D21" s="962" t="s">
        <v>83</v>
      </c>
      <c r="E21" s="961"/>
      <c r="F21" s="122">
        <f>ABS((F19-F20)/F19)*100</f>
        <v>1.6260162601626031</v>
      </c>
      <c r="G21" s="112">
        <f>ABS((G19-G20)/G19)*100</f>
        <v>0.25026814444047296</v>
      </c>
      <c r="H21" s="112">
        <f>ABS((H19-H20)/H19)*100</f>
        <v>0.17876296031462535</v>
      </c>
      <c r="I21" s="218">
        <f>ABS((I19-I20)/I19)*100</f>
        <v>0.1430103682517079</v>
      </c>
      <c r="J21" s="261" t="s">
        <v>84</v>
      </c>
    </row>
    <row r="22" spans="2:26" x14ac:dyDescent="0.3">
      <c r="D22" s="963" t="s">
        <v>85</v>
      </c>
      <c r="E22" s="964"/>
      <c r="F22" s="202">
        <f>((100+F21)/F21)*(F19/1.225-0.909)</f>
        <v>194.2079081632651</v>
      </c>
      <c r="G22" s="258">
        <f>((100+G21)/G21)*(G19/1.225-0.909)</f>
        <v>8781.9890262390309</v>
      </c>
      <c r="H22" s="258">
        <f>((100+H21)/H21)*(H19/1.225-0.909)</f>
        <v>12286.015175510029</v>
      </c>
      <c r="I22" s="263">
        <f>((100+I21)/I21)*(I19/1.225-0.909)</f>
        <v>15352.038056121413</v>
      </c>
      <c r="J22" s="264" t="s">
        <v>86</v>
      </c>
    </row>
    <row r="23" spans="2:26" ht="17.25" thickBot="1" x14ac:dyDescent="0.35">
      <c r="D23" s="965" t="s">
        <v>196</v>
      </c>
      <c r="E23" s="966"/>
      <c r="F23" s="118">
        <f>F20-F19</f>
        <v>8.0000000000000071E-2</v>
      </c>
      <c r="G23" s="109">
        <f>G20-G19</f>
        <v>7.0000000000000284E-2</v>
      </c>
      <c r="H23" s="109">
        <f>H20-H19</f>
        <v>5.0000000000000711E-2</v>
      </c>
      <c r="I23" s="110">
        <f>I20-I19</f>
        <v>4.00000000000027E-2</v>
      </c>
      <c r="J23" s="262" t="s">
        <v>198</v>
      </c>
    </row>
    <row r="26" spans="2:26" ht="17.25" thickBot="1" x14ac:dyDescent="0.35">
      <c r="B26" s="103" t="s">
        <v>199</v>
      </c>
      <c r="T26" t="s">
        <v>319</v>
      </c>
    </row>
    <row r="27" spans="2:26" x14ac:dyDescent="0.3">
      <c r="C27" s="270"/>
      <c r="D27" s="984" t="s">
        <v>123</v>
      </c>
      <c r="E27" s="985"/>
      <c r="F27" s="985"/>
      <c r="G27" s="991"/>
      <c r="H27" s="982" t="s">
        <v>122</v>
      </c>
      <c r="I27" s="985"/>
      <c r="J27" s="985"/>
      <c r="K27" s="991"/>
      <c r="L27" s="982" t="s">
        <v>200</v>
      </c>
      <c r="M27" s="985"/>
      <c r="N27" s="985"/>
      <c r="O27" s="991"/>
      <c r="T27" s="388"/>
      <c r="U27" s="985" t="s">
        <v>302</v>
      </c>
      <c r="V27" s="985"/>
      <c r="W27" s="985" t="s">
        <v>325</v>
      </c>
      <c r="X27" s="985"/>
      <c r="Y27" s="985" t="s">
        <v>326</v>
      </c>
      <c r="Z27" s="991"/>
    </row>
    <row r="28" spans="2:26" ht="17.25" thickBot="1" x14ac:dyDescent="0.35">
      <c r="C28" s="271" t="s">
        <v>116</v>
      </c>
      <c r="D28" s="166" t="s">
        <v>118</v>
      </c>
      <c r="E28" s="159" t="s">
        <v>119</v>
      </c>
      <c r="F28" s="159" t="s">
        <v>120</v>
      </c>
      <c r="G28" s="160" t="s">
        <v>84</v>
      </c>
      <c r="H28" s="163" t="s">
        <v>118</v>
      </c>
      <c r="I28" s="159" t="s">
        <v>119</v>
      </c>
      <c r="J28" s="159" t="s">
        <v>120</v>
      </c>
      <c r="K28" s="160" t="s">
        <v>84</v>
      </c>
      <c r="L28" s="163" t="s">
        <v>118</v>
      </c>
      <c r="M28" s="159" t="s">
        <v>119</v>
      </c>
      <c r="N28" s="159" t="s">
        <v>120</v>
      </c>
      <c r="O28" s="160" t="s">
        <v>84</v>
      </c>
      <c r="T28" s="423"/>
      <c r="U28" s="129" t="s">
        <v>323</v>
      </c>
      <c r="V28" s="129" t="s">
        <v>324</v>
      </c>
      <c r="W28" s="129" t="s">
        <v>306</v>
      </c>
      <c r="X28" s="129" t="s">
        <v>327</v>
      </c>
      <c r="Y28" s="129" t="s">
        <v>306</v>
      </c>
      <c r="Z28" s="129" t="s">
        <v>327</v>
      </c>
    </row>
    <row r="29" spans="2:26" ht="17.25" thickTop="1" x14ac:dyDescent="0.3">
      <c r="C29" s="161" t="s">
        <v>117</v>
      </c>
      <c r="D29" s="139">
        <v>4.75</v>
      </c>
      <c r="E29" s="116">
        <v>5</v>
      </c>
      <c r="F29" s="116">
        <v>5.25</v>
      </c>
      <c r="G29" s="158">
        <f>(F29-E29)/E29*100</f>
        <v>5</v>
      </c>
      <c r="H29" s="164">
        <v>4.875</v>
      </c>
      <c r="I29" s="116">
        <v>5</v>
      </c>
      <c r="J29" s="116">
        <v>5.125</v>
      </c>
      <c r="K29" s="158">
        <f>(J29-I29)/I29*100</f>
        <v>2.5</v>
      </c>
      <c r="L29" s="265">
        <f>M29-M29*0.01</f>
        <v>4.95</v>
      </c>
      <c r="M29" s="266">
        <v>5</v>
      </c>
      <c r="N29" s="266">
        <f>M29+M29*0.01</f>
        <v>5.05</v>
      </c>
      <c r="O29" s="267">
        <f>(N29-M29)/M29*100</f>
        <v>0.99999999999999634</v>
      </c>
      <c r="T29" s="327" t="s">
        <v>320</v>
      </c>
      <c r="U29" s="116">
        <v>4.875</v>
      </c>
      <c r="V29" s="116">
        <v>5.125</v>
      </c>
      <c r="W29" s="116">
        <v>4.95</v>
      </c>
      <c r="X29" s="424">
        <f>(5-W29)/5*100</f>
        <v>0.99999999999999634</v>
      </c>
      <c r="Y29" s="116"/>
      <c r="Z29" s="424">
        <f>(5-Y29)/5*100</f>
        <v>100</v>
      </c>
    </row>
    <row r="30" spans="2:26" ht="17.25" thickBot="1" x14ac:dyDescent="0.35">
      <c r="C30" s="162" t="s">
        <v>121</v>
      </c>
      <c r="D30" s="118">
        <v>26.6</v>
      </c>
      <c r="E30" s="109">
        <v>28</v>
      </c>
      <c r="F30" s="109">
        <v>29.4</v>
      </c>
      <c r="G30" s="157">
        <f>(F30-E30)/E30*100</f>
        <v>4.9999999999999947</v>
      </c>
      <c r="H30" s="165">
        <v>27.3</v>
      </c>
      <c r="I30" s="109">
        <v>28</v>
      </c>
      <c r="J30" s="109">
        <v>28.7</v>
      </c>
      <c r="K30" s="157">
        <f>(J30-I30)/I30*100</f>
        <v>2.4999999999999973</v>
      </c>
      <c r="L30" s="118">
        <f>M30-M30*0.01</f>
        <v>27.72</v>
      </c>
      <c r="M30" s="109">
        <v>28</v>
      </c>
      <c r="N30" s="109">
        <f>M30+M30*0.01</f>
        <v>28.28</v>
      </c>
      <c r="O30" s="157">
        <f>(N30-M30)/M30*100</f>
        <v>1.000000000000004</v>
      </c>
      <c r="T30" s="328" t="s">
        <v>321</v>
      </c>
      <c r="U30" s="106">
        <v>27.3</v>
      </c>
      <c r="V30" s="106">
        <v>28.7</v>
      </c>
      <c r="W30" s="106">
        <v>27.57</v>
      </c>
      <c r="X30" s="425">
        <f>(28-W30)/28*100</f>
        <v>1.5357142857142847</v>
      </c>
      <c r="Y30" s="106"/>
      <c r="Z30" s="425">
        <f>(28-Y30)/28*100</f>
        <v>100</v>
      </c>
    </row>
    <row r="31" spans="2:26" ht="17.25" thickBot="1" x14ac:dyDescent="0.35">
      <c r="T31" s="359" t="s">
        <v>322</v>
      </c>
      <c r="U31" s="109">
        <v>27.3</v>
      </c>
      <c r="V31" s="109">
        <v>28.7</v>
      </c>
      <c r="W31" s="109">
        <v>27.9</v>
      </c>
      <c r="X31" s="426">
        <f>(28-W31)/28*100</f>
        <v>0.3571428571428622</v>
      </c>
      <c r="Y31" s="109"/>
      <c r="Z31" s="426">
        <f>(28-Y31)/28*100</f>
        <v>100</v>
      </c>
    </row>
    <row r="32" spans="2:26" ht="17.25" thickBot="1" x14ac:dyDescent="0.35">
      <c r="B32" s="103" t="s">
        <v>97</v>
      </c>
    </row>
    <row r="33" spans="2:13" x14ac:dyDescent="0.3">
      <c r="B33" s="103"/>
      <c r="C33" s="168" t="s">
        <v>207</v>
      </c>
      <c r="D33" s="996" t="s">
        <v>205</v>
      </c>
      <c r="E33" s="1019"/>
      <c r="F33" s="985" t="s">
        <v>203</v>
      </c>
      <c r="G33" s="985"/>
      <c r="H33" s="985"/>
      <c r="I33" s="985" t="s">
        <v>208</v>
      </c>
      <c r="J33" s="985"/>
      <c r="K33" s="1013" t="s">
        <v>96</v>
      </c>
      <c r="L33" s="1014"/>
      <c r="M33" s="1015"/>
    </row>
    <row r="34" spans="2:13" ht="17.25" customHeight="1" thickBot="1" x14ac:dyDescent="0.35">
      <c r="C34" s="268" t="s">
        <v>176</v>
      </c>
      <c r="D34" s="269" t="s">
        <v>206</v>
      </c>
      <c r="E34" s="269" t="s">
        <v>115</v>
      </c>
      <c r="F34" s="269" t="s">
        <v>201</v>
      </c>
      <c r="G34" s="269" t="s">
        <v>202</v>
      </c>
      <c r="H34" s="269" t="s">
        <v>204</v>
      </c>
      <c r="I34" s="269" t="s">
        <v>210</v>
      </c>
      <c r="J34" s="269" t="s">
        <v>209</v>
      </c>
      <c r="K34" s="1016"/>
      <c r="L34" s="1017"/>
      <c r="M34" s="1018"/>
    </row>
    <row r="35" spans="2:13" x14ac:dyDescent="0.3">
      <c r="C35" s="139">
        <v>4</v>
      </c>
      <c r="D35" s="154">
        <v>190</v>
      </c>
      <c r="E35" s="115">
        <f t="shared" ref="E35:E44" si="0">D35*220/1000</f>
        <v>41.8</v>
      </c>
      <c r="F35" s="140">
        <v>5</v>
      </c>
      <c r="G35" s="140">
        <v>4.97</v>
      </c>
      <c r="H35" s="141">
        <f>F35-G35</f>
        <v>3.0000000000000249E-2</v>
      </c>
      <c r="I35" s="140">
        <v>4.9000000000000004</v>
      </c>
      <c r="J35" s="141">
        <f t="shared" ref="J35:J44" si="1">G35-I35</f>
        <v>6.9999999999999396E-2</v>
      </c>
      <c r="K35" s="1006"/>
      <c r="L35" s="1006"/>
      <c r="M35" s="1007"/>
    </row>
    <row r="36" spans="2:13" x14ac:dyDescent="0.3">
      <c r="C36" s="104">
        <v>6</v>
      </c>
      <c r="D36" s="155">
        <v>237</v>
      </c>
      <c r="E36" s="228">
        <f t="shared" si="0"/>
        <v>52.14</v>
      </c>
      <c r="F36" s="112">
        <v>4.99</v>
      </c>
      <c r="G36" s="112">
        <v>4.96</v>
      </c>
      <c r="H36" s="135">
        <f t="shared" ref="H36:H44" si="2">F36-G36</f>
        <v>3.0000000000000249E-2</v>
      </c>
      <c r="I36" s="112">
        <v>4.88</v>
      </c>
      <c r="J36" s="135">
        <f t="shared" si="1"/>
        <v>8.0000000000000071E-2</v>
      </c>
      <c r="K36" s="992"/>
      <c r="L36" s="992"/>
      <c r="M36" s="993"/>
    </row>
    <row r="37" spans="2:13" x14ac:dyDescent="0.3">
      <c r="C37" s="104">
        <v>7</v>
      </c>
      <c r="D37" s="155">
        <v>261</v>
      </c>
      <c r="E37" s="228">
        <f t="shared" si="0"/>
        <v>57.42</v>
      </c>
      <c r="F37" s="112">
        <v>4.99</v>
      </c>
      <c r="G37" s="112">
        <v>4.96</v>
      </c>
      <c r="H37" s="135">
        <f t="shared" si="2"/>
        <v>3.0000000000000249E-2</v>
      </c>
      <c r="I37" s="112">
        <v>4.8499999999999996</v>
      </c>
      <c r="J37" s="135">
        <f t="shared" si="1"/>
        <v>0.11000000000000032</v>
      </c>
      <c r="K37" s="992" t="s">
        <v>94</v>
      </c>
      <c r="L37" s="992"/>
      <c r="M37" s="993"/>
    </row>
    <row r="38" spans="2:13" x14ac:dyDescent="0.3">
      <c r="C38" s="104">
        <v>8</v>
      </c>
      <c r="D38" s="155">
        <v>286</v>
      </c>
      <c r="E38" s="228">
        <f t="shared" si="0"/>
        <v>62.92</v>
      </c>
      <c r="F38" s="112">
        <v>4.99</v>
      </c>
      <c r="G38" s="112">
        <v>4.96</v>
      </c>
      <c r="H38" s="135">
        <f t="shared" si="2"/>
        <v>3.0000000000000249E-2</v>
      </c>
      <c r="I38" s="112">
        <v>4.83</v>
      </c>
      <c r="J38" s="135">
        <f t="shared" si="1"/>
        <v>0.12999999999999989</v>
      </c>
      <c r="K38" s="992"/>
      <c r="L38" s="992"/>
      <c r="M38" s="993"/>
    </row>
    <row r="39" spans="2:13" x14ac:dyDescent="0.3">
      <c r="C39" s="104">
        <v>9</v>
      </c>
      <c r="D39" s="155">
        <v>310</v>
      </c>
      <c r="E39" s="228">
        <f t="shared" si="0"/>
        <v>68.2</v>
      </c>
      <c r="F39" s="112">
        <v>4.99</v>
      </c>
      <c r="G39" s="112">
        <v>4.95</v>
      </c>
      <c r="H39" s="135">
        <f t="shared" si="2"/>
        <v>4.0000000000000036E-2</v>
      </c>
      <c r="I39" s="112">
        <v>4.8099999999999996</v>
      </c>
      <c r="J39" s="135">
        <f t="shared" si="1"/>
        <v>0.14000000000000057</v>
      </c>
      <c r="K39" s="992"/>
      <c r="L39" s="992"/>
      <c r="M39" s="993"/>
    </row>
    <row r="40" spans="2:13" x14ac:dyDescent="0.3">
      <c r="C40" s="104">
        <v>10</v>
      </c>
      <c r="D40" s="155">
        <v>335</v>
      </c>
      <c r="E40" s="228">
        <f t="shared" si="0"/>
        <v>73.7</v>
      </c>
      <c r="F40" s="112">
        <v>4.9800000000000004</v>
      </c>
      <c r="G40" s="112">
        <v>4.95</v>
      </c>
      <c r="H40" s="135">
        <f t="shared" si="2"/>
        <v>3.0000000000000249E-2</v>
      </c>
      <c r="I40" s="112">
        <v>4.8</v>
      </c>
      <c r="J40" s="135">
        <f t="shared" si="1"/>
        <v>0.15000000000000036</v>
      </c>
      <c r="K40" s="992"/>
      <c r="L40" s="992"/>
      <c r="M40" s="993"/>
    </row>
    <row r="41" spans="2:13" x14ac:dyDescent="0.3">
      <c r="C41" s="104">
        <v>11</v>
      </c>
      <c r="D41" s="155">
        <v>361</v>
      </c>
      <c r="E41" s="228">
        <f t="shared" si="0"/>
        <v>79.42</v>
      </c>
      <c r="F41" s="112">
        <v>4.9800000000000004</v>
      </c>
      <c r="G41" s="112">
        <v>4.95</v>
      </c>
      <c r="H41" s="135">
        <f t="shared" si="2"/>
        <v>3.0000000000000249E-2</v>
      </c>
      <c r="I41" s="112">
        <v>4.7699999999999996</v>
      </c>
      <c r="J41" s="135">
        <f t="shared" si="1"/>
        <v>0.1800000000000006</v>
      </c>
      <c r="K41" s="992"/>
      <c r="L41" s="992"/>
      <c r="M41" s="993"/>
    </row>
    <row r="42" spans="2:13" x14ac:dyDescent="0.3">
      <c r="C42" s="104">
        <v>12</v>
      </c>
      <c r="D42" s="155">
        <v>386</v>
      </c>
      <c r="E42" s="228">
        <f t="shared" si="0"/>
        <v>84.92</v>
      </c>
      <c r="F42" s="112">
        <v>4.9800000000000004</v>
      </c>
      <c r="G42" s="112">
        <v>4.9400000000000004</v>
      </c>
      <c r="H42" s="135">
        <f t="shared" si="2"/>
        <v>4.0000000000000036E-2</v>
      </c>
      <c r="I42" s="112">
        <v>4.75</v>
      </c>
      <c r="J42" s="135">
        <f t="shared" si="1"/>
        <v>0.19000000000000039</v>
      </c>
      <c r="K42" s="992"/>
      <c r="L42" s="992"/>
      <c r="M42" s="993"/>
    </row>
    <row r="43" spans="2:13" x14ac:dyDescent="0.3">
      <c r="C43" s="104">
        <v>13</v>
      </c>
      <c r="D43" s="155">
        <v>410</v>
      </c>
      <c r="E43" s="228">
        <f t="shared" si="0"/>
        <v>90.2</v>
      </c>
      <c r="F43" s="112">
        <v>4.9800000000000004</v>
      </c>
      <c r="G43" s="112">
        <v>4.9400000000000004</v>
      </c>
      <c r="H43" s="135">
        <f t="shared" si="2"/>
        <v>4.0000000000000036E-2</v>
      </c>
      <c r="I43" s="112">
        <v>4.74</v>
      </c>
      <c r="J43" s="135">
        <f t="shared" si="1"/>
        <v>0.20000000000000018</v>
      </c>
      <c r="K43" s="992"/>
      <c r="L43" s="992"/>
      <c r="M43" s="993"/>
    </row>
    <row r="44" spans="2:13" ht="17.25" thickBot="1" x14ac:dyDescent="0.35">
      <c r="C44" s="118">
        <v>14</v>
      </c>
      <c r="D44" s="156">
        <v>440</v>
      </c>
      <c r="E44" s="113">
        <f t="shared" si="0"/>
        <v>96.8</v>
      </c>
      <c r="F44" s="136">
        <v>4.9800000000000004</v>
      </c>
      <c r="G44" s="136">
        <v>4.93</v>
      </c>
      <c r="H44" s="137">
        <f t="shared" si="2"/>
        <v>5.0000000000000711E-2</v>
      </c>
      <c r="I44" s="136">
        <v>4.7</v>
      </c>
      <c r="J44" s="137">
        <f t="shared" si="1"/>
        <v>0.22999999999999954</v>
      </c>
      <c r="K44" s="1011" t="s">
        <v>95</v>
      </c>
      <c r="L44" s="1011"/>
      <c r="M44" s="1012"/>
    </row>
    <row r="45" spans="2:13" x14ac:dyDescent="0.3">
      <c r="C45" s="138" t="s">
        <v>98</v>
      </c>
    </row>
    <row r="46" spans="2:13" x14ac:dyDescent="0.3">
      <c r="C46" s="138" t="s">
        <v>99</v>
      </c>
    </row>
    <row r="48" spans="2:13" ht="17.25" thickBot="1" x14ac:dyDescent="0.35">
      <c r="B48" s="103" t="s">
        <v>220</v>
      </c>
    </row>
    <row r="49" spans="3:14" s="172" customFormat="1" x14ac:dyDescent="0.3">
      <c r="C49" s="1003" t="s">
        <v>211</v>
      </c>
      <c r="D49" s="1008" t="s">
        <v>212</v>
      </c>
      <c r="E49" s="167" t="s">
        <v>126</v>
      </c>
      <c r="F49" s="985" t="s">
        <v>127</v>
      </c>
      <c r="G49" s="1005"/>
      <c r="H49" s="1005"/>
      <c r="I49" s="1010"/>
      <c r="J49" s="985" t="s">
        <v>131</v>
      </c>
      <c r="K49" s="985"/>
      <c r="L49" s="985"/>
      <c r="M49" s="1010"/>
      <c r="N49" s="189" t="s">
        <v>128</v>
      </c>
    </row>
    <row r="50" spans="3:14" s="172" customFormat="1" ht="17.25" thickBot="1" x14ac:dyDescent="0.35">
      <c r="C50" s="1004"/>
      <c r="D50" s="1009"/>
      <c r="E50" s="179" t="s">
        <v>125</v>
      </c>
      <c r="F50" s="179" t="s">
        <v>76</v>
      </c>
      <c r="G50" s="179" t="s">
        <v>130</v>
      </c>
      <c r="H50" s="195">
        <v>2.5</v>
      </c>
      <c r="I50" s="195">
        <v>1</v>
      </c>
      <c r="J50" s="179" t="s">
        <v>76</v>
      </c>
      <c r="K50" s="179" t="s">
        <v>130</v>
      </c>
      <c r="L50" s="195">
        <v>2.5</v>
      </c>
      <c r="M50" s="195">
        <v>1</v>
      </c>
      <c r="N50" s="190" t="s">
        <v>129</v>
      </c>
    </row>
    <row r="51" spans="3:14" ht="17.25" thickTop="1" x14ac:dyDescent="0.3">
      <c r="C51" s="175">
        <v>3</v>
      </c>
      <c r="D51" s="116">
        <v>204</v>
      </c>
      <c r="E51" s="140">
        <v>5</v>
      </c>
      <c r="F51" s="116">
        <v>4.9800000000000004</v>
      </c>
      <c r="G51" s="116">
        <f>E51-F51</f>
        <v>1.9999999999999574E-2</v>
      </c>
      <c r="H51" s="198">
        <f t="shared" ref="H51:H57" si="3">IF(F51&gt;5, (5+5*H$50/100)-F51,F51-(5-5*H$50/100))</f>
        <v>0.10500000000000043</v>
      </c>
      <c r="I51" s="178">
        <f>IF(F51&gt;5, (5+5*I$50/100)-F51,F51-(5-5*I$50/100))</f>
        <v>3.0000000000000249E-2</v>
      </c>
      <c r="J51" s="140">
        <v>4.96</v>
      </c>
      <c r="K51" s="116">
        <f t="shared" ref="K51:K57" si="4">E51-J51</f>
        <v>4.0000000000000036E-2</v>
      </c>
      <c r="L51" s="198">
        <f t="shared" ref="L51:L57" si="5">IF(J51&gt;5, (5+5*L$50/100)-J51,J51-(5-5*L$50/100))</f>
        <v>8.4999999999999964E-2</v>
      </c>
      <c r="M51" s="178">
        <f>IF(J51&gt;5, (5+5*M$50/100)-J51,J51-(5-5*M$50/100))</f>
        <v>9.9999999999997868E-3</v>
      </c>
      <c r="N51" s="191"/>
    </row>
    <row r="52" spans="3:14" x14ac:dyDescent="0.3">
      <c r="C52" s="176">
        <v>5.7</v>
      </c>
      <c r="D52" s="106">
        <v>260</v>
      </c>
      <c r="E52" s="112">
        <v>5</v>
      </c>
      <c r="F52" s="106">
        <v>4.97</v>
      </c>
      <c r="G52" s="106">
        <f t="shared" ref="G52:G57" si="6">E52-F52</f>
        <v>3.0000000000000249E-2</v>
      </c>
      <c r="H52" s="198">
        <f t="shared" si="3"/>
        <v>9.4999999999999751E-2</v>
      </c>
      <c r="I52" s="178">
        <f t="shared" ref="I52:I57" si="7">IF(F52&gt;5, (5+5*I$50/100)-F52,F52-(5-5*I$50/100))</f>
        <v>1.9999999999999574E-2</v>
      </c>
      <c r="J52" s="112">
        <v>4.9400000000000004</v>
      </c>
      <c r="K52" s="106">
        <f t="shared" si="4"/>
        <v>5.9999999999999609E-2</v>
      </c>
      <c r="L52" s="198">
        <f t="shared" si="5"/>
        <v>6.5000000000000391E-2</v>
      </c>
      <c r="M52" s="178">
        <f t="shared" ref="M52:M57" si="8">IF(J52&gt;5, (5+5*M$50/100)-J52,J52-(5-5*M$50/100))</f>
        <v>-9.9999999999997868E-3</v>
      </c>
      <c r="N52" s="192"/>
    </row>
    <row r="53" spans="3:14" x14ac:dyDescent="0.3">
      <c r="C53" s="202">
        <v>8</v>
      </c>
      <c r="D53" s="203">
        <v>314</v>
      </c>
      <c r="E53" s="204">
        <v>5.01</v>
      </c>
      <c r="F53" s="203">
        <v>4.96</v>
      </c>
      <c r="G53" s="203">
        <f t="shared" si="6"/>
        <v>4.9999999999999822E-2</v>
      </c>
      <c r="H53" s="273">
        <f t="shared" si="3"/>
        <v>8.4999999999999964E-2</v>
      </c>
      <c r="I53" s="273">
        <f t="shared" si="7"/>
        <v>9.9999999999997868E-3</v>
      </c>
      <c r="J53" s="204">
        <v>4.92</v>
      </c>
      <c r="K53" s="203">
        <f t="shared" si="4"/>
        <v>8.9999999999999858E-2</v>
      </c>
      <c r="L53" s="273">
        <f t="shared" si="5"/>
        <v>4.4999999999999929E-2</v>
      </c>
      <c r="M53" s="273">
        <f t="shared" si="8"/>
        <v>-3.0000000000000249E-2</v>
      </c>
      <c r="N53" s="274"/>
    </row>
    <row r="54" spans="3:14" x14ac:dyDescent="0.3">
      <c r="C54" s="176">
        <v>10</v>
      </c>
      <c r="D54" s="106">
        <v>360</v>
      </c>
      <c r="E54" s="112">
        <v>5.01</v>
      </c>
      <c r="F54" s="106">
        <v>4.95</v>
      </c>
      <c r="G54" s="106">
        <f t="shared" si="6"/>
        <v>5.9999999999999609E-2</v>
      </c>
      <c r="H54" s="198">
        <f t="shared" si="3"/>
        <v>7.5000000000000178E-2</v>
      </c>
      <c r="I54" s="178">
        <f t="shared" si="7"/>
        <v>0</v>
      </c>
      <c r="J54" s="112">
        <v>4.9000000000000004</v>
      </c>
      <c r="K54" s="106">
        <f t="shared" si="4"/>
        <v>0.10999999999999943</v>
      </c>
      <c r="L54" s="198">
        <f t="shared" si="5"/>
        <v>2.5000000000000355E-2</v>
      </c>
      <c r="M54" s="178">
        <f t="shared" si="8"/>
        <v>-4.9999999999999822E-2</v>
      </c>
      <c r="N54" s="192"/>
    </row>
    <row r="55" spans="3:14" x14ac:dyDescent="0.3">
      <c r="C55" s="205">
        <v>12</v>
      </c>
      <c r="D55" s="206">
        <v>406</v>
      </c>
      <c r="E55" s="207">
        <v>5.01</v>
      </c>
      <c r="F55" s="206">
        <v>4.9400000000000004</v>
      </c>
      <c r="G55" s="206">
        <f t="shared" si="6"/>
        <v>6.9999999999999396E-2</v>
      </c>
      <c r="H55" s="198">
        <f t="shared" si="3"/>
        <v>6.5000000000000391E-2</v>
      </c>
      <c r="I55" s="178">
        <f t="shared" si="7"/>
        <v>-9.9999999999997868E-3</v>
      </c>
      <c r="J55" s="207">
        <v>4.88</v>
      </c>
      <c r="K55" s="206">
        <f t="shared" si="4"/>
        <v>0.12999999999999989</v>
      </c>
      <c r="L55" s="198">
        <f t="shared" si="5"/>
        <v>4.9999999999998934E-3</v>
      </c>
      <c r="M55" s="178">
        <f t="shared" si="8"/>
        <v>-7.0000000000000284E-2</v>
      </c>
      <c r="N55" s="192"/>
    </row>
    <row r="56" spans="3:14" x14ac:dyDescent="0.3">
      <c r="C56" s="176">
        <v>14</v>
      </c>
      <c r="D56" s="106">
        <v>453</v>
      </c>
      <c r="E56" s="112">
        <v>5.01</v>
      </c>
      <c r="F56" s="106">
        <v>4.93</v>
      </c>
      <c r="G56" s="106">
        <f t="shared" si="6"/>
        <v>8.0000000000000071E-2</v>
      </c>
      <c r="H56" s="198">
        <f t="shared" si="3"/>
        <v>5.4999999999999716E-2</v>
      </c>
      <c r="I56" s="178">
        <f t="shared" si="7"/>
        <v>-2.0000000000000462E-2</v>
      </c>
      <c r="J56" s="112">
        <v>4.8600000000000003</v>
      </c>
      <c r="K56" s="106">
        <f t="shared" si="4"/>
        <v>0.14999999999999947</v>
      </c>
      <c r="L56" s="198">
        <f t="shared" si="5"/>
        <v>-1.499999999999968E-2</v>
      </c>
      <c r="M56" s="178">
        <f t="shared" si="8"/>
        <v>-8.9999999999999858E-2</v>
      </c>
      <c r="N56" s="192"/>
    </row>
    <row r="57" spans="3:14" ht="17.25" thickBot="1" x14ac:dyDescent="0.35">
      <c r="C57" s="211">
        <v>16</v>
      </c>
      <c r="D57" s="188">
        <v>501</v>
      </c>
      <c r="E57" s="212">
        <v>5.01</v>
      </c>
      <c r="F57" s="188">
        <v>4.92</v>
      </c>
      <c r="G57" s="188">
        <f t="shared" si="6"/>
        <v>8.9999999999999858E-2</v>
      </c>
      <c r="H57" s="275">
        <f t="shared" si="3"/>
        <v>4.4999999999999929E-2</v>
      </c>
      <c r="I57" s="275">
        <f t="shared" si="7"/>
        <v>-3.0000000000000249E-2</v>
      </c>
      <c r="J57" s="215">
        <v>4.84</v>
      </c>
      <c r="K57" s="188">
        <f t="shared" si="4"/>
        <v>0.16999999999999993</v>
      </c>
      <c r="L57" s="275">
        <f t="shared" si="5"/>
        <v>-3.5000000000000142E-2</v>
      </c>
      <c r="M57" s="275">
        <f t="shared" si="8"/>
        <v>-0.11000000000000032</v>
      </c>
      <c r="N57" s="214">
        <v>4.68</v>
      </c>
    </row>
    <row r="59" spans="3:14" ht="16.5" customHeight="1" thickBot="1" x14ac:dyDescent="0.35">
      <c r="C59" s="103" t="s">
        <v>216</v>
      </c>
    </row>
    <row r="60" spans="3:14" x14ac:dyDescent="0.3">
      <c r="D60" s="171" t="s">
        <v>207</v>
      </c>
      <c r="E60" s="169" t="s">
        <v>201</v>
      </c>
      <c r="F60" s="169" t="s">
        <v>213</v>
      </c>
      <c r="G60" s="169" t="s">
        <v>204</v>
      </c>
      <c r="H60" s="170" t="s">
        <v>214</v>
      </c>
    </row>
    <row r="61" spans="3:14" ht="17.25" thickBot="1" x14ac:dyDescent="0.35">
      <c r="D61" s="118">
        <v>16</v>
      </c>
      <c r="E61" s="109">
        <v>5.01</v>
      </c>
      <c r="F61" s="109">
        <v>4.92</v>
      </c>
      <c r="G61" s="109">
        <f>E61-F61</f>
        <v>8.9999999999999858E-2</v>
      </c>
      <c r="H61" s="110">
        <f>G61/D61</f>
        <v>5.6249999999999911E-3</v>
      </c>
    </row>
    <row r="62" spans="3:14" x14ac:dyDescent="0.3">
      <c r="D62" t="s">
        <v>217</v>
      </c>
    </row>
    <row r="63" spans="3:14" x14ac:dyDescent="0.3">
      <c r="D63" s="272" t="s">
        <v>218</v>
      </c>
    </row>
    <row r="64" spans="3:14" ht="17.25" thickBot="1" x14ac:dyDescent="0.35"/>
    <row r="65" spans="2:24" x14ac:dyDescent="0.3">
      <c r="D65" s="171" t="s">
        <v>207</v>
      </c>
      <c r="E65" s="169" t="s">
        <v>213</v>
      </c>
      <c r="F65" s="169" t="s">
        <v>215</v>
      </c>
      <c r="G65" s="169" t="s">
        <v>204</v>
      </c>
      <c r="H65" s="170" t="s">
        <v>214</v>
      </c>
    </row>
    <row r="66" spans="2:24" ht="17.25" thickBot="1" x14ac:dyDescent="0.35">
      <c r="D66" s="118">
        <v>16</v>
      </c>
      <c r="E66" s="109">
        <v>4.92</v>
      </c>
      <c r="F66" s="109">
        <v>4.84</v>
      </c>
      <c r="G66" s="109">
        <f>E66-F66</f>
        <v>8.0000000000000071E-2</v>
      </c>
      <c r="H66" s="110">
        <f>G66/D66</f>
        <v>5.0000000000000044E-3</v>
      </c>
    </row>
    <row r="67" spans="2:24" x14ac:dyDescent="0.3">
      <c r="D67" s="272" t="s">
        <v>219</v>
      </c>
    </row>
    <row r="69" spans="2:24" ht="17.25" thickBot="1" x14ac:dyDescent="0.35">
      <c r="B69" s="103" t="s">
        <v>124</v>
      </c>
    </row>
    <row r="70" spans="2:24" ht="17.25" thickBot="1" x14ac:dyDescent="0.35">
      <c r="B70" s="103"/>
      <c r="C70" s="300" t="s">
        <v>221</v>
      </c>
      <c r="D70" s="301"/>
      <c r="E70" s="302">
        <v>0.11</v>
      </c>
      <c r="F70" s="303" t="s">
        <v>222</v>
      </c>
    </row>
    <row r="71" spans="2:24" x14ac:dyDescent="0.3">
      <c r="B71" s="172"/>
      <c r="C71" s="1003" t="s">
        <v>211</v>
      </c>
      <c r="D71" s="994" t="s">
        <v>212</v>
      </c>
      <c r="E71" s="1000" t="s">
        <v>126</v>
      </c>
      <c r="F71" s="1001"/>
      <c r="G71" s="1002"/>
      <c r="H71" s="997" t="s">
        <v>132</v>
      </c>
      <c r="I71" s="998"/>
      <c r="J71" s="999"/>
      <c r="K71" s="985" t="s">
        <v>127</v>
      </c>
      <c r="L71" s="1005"/>
      <c r="M71" s="1005"/>
      <c r="N71" s="990"/>
      <c r="O71" s="997" t="s">
        <v>132</v>
      </c>
      <c r="P71" s="998"/>
      <c r="Q71" s="999"/>
      <c r="R71" s="985" t="s">
        <v>131</v>
      </c>
      <c r="S71" s="985"/>
      <c r="T71" s="985"/>
      <c r="U71" s="990"/>
      <c r="V71" s="997" t="s">
        <v>132</v>
      </c>
      <c r="W71" s="998"/>
      <c r="X71" s="999"/>
    </row>
    <row r="72" spans="2:24" ht="17.25" thickBot="1" x14ac:dyDescent="0.35">
      <c r="B72" s="172"/>
      <c r="C72" s="1004"/>
      <c r="D72" s="995"/>
      <c r="E72" s="193" t="s">
        <v>125</v>
      </c>
      <c r="F72" s="195">
        <v>2.5</v>
      </c>
      <c r="G72" s="200">
        <v>1</v>
      </c>
      <c r="H72" s="286" t="s">
        <v>76</v>
      </c>
      <c r="I72" s="287">
        <v>2.5</v>
      </c>
      <c r="J72" s="288">
        <v>1</v>
      </c>
      <c r="K72" s="179" t="s">
        <v>76</v>
      </c>
      <c r="L72" s="179" t="s">
        <v>130</v>
      </c>
      <c r="M72" s="195">
        <v>2.5</v>
      </c>
      <c r="N72" s="276">
        <v>1</v>
      </c>
      <c r="O72" s="286" t="s">
        <v>76</v>
      </c>
      <c r="P72" s="287">
        <v>2.5</v>
      </c>
      <c r="Q72" s="288">
        <v>1</v>
      </c>
      <c r="R72" s="179" t="s">
        <v>76</v>
      </c>
      <c r="S72" s="179" t="s">
        <v>130</v>
      </c>
      <c r="T72" s="195">
        <v>2.5</v>
      </c>
      <c r="U72" s="276">
        <v>1</v>
      </c>
      <c r="V72" s="286" t="s">
        <v>76</v>
      </c>
      <c r="W72" s="287">
        <v>2.5</v>
      </c>
      <c r="X72" s="288">
        <v>1</v>
      </c>
    </row>
    <row r="73" spans="2:24" ht="17.25" thickTop="1" x14ac:dyDescent="0.3">
      <c r="C73" s="175">
        <v>3</v>
      </c>
      <c r="D73" s="306">
        <v>204</v>
      </c>
      <c r="E73" s="282">
        <v>5</v>
      </c>
      <c r="F73" s="198">
        <f>IF(E73&gt;5, (5+5*F$72/100)-E73,E73-(5-5*F$72/100))</f>
        <v>0.125</v>
      </c>
      <c r="G73" s="199">
        <f>IF(E73&gt;5, (5+5*G$72/100)-E73,E73-(5-5*G$72/100))</f>
        <v>4.9999999999999822E-2</v>
      </c>
      <c r="H73" s="289">
        <f>E73+$E$70</f>
        <v>5.1100000000000003</v>
      </c>
      <c r="I73" s="290">
        <f t="shared" ref="I73:I79" si="9">IF(H73&gt;5, (5+5*I$72/100)-H73,H73-(5-5*I$72/100))</f>
        <v>1.499999999999968E-2</v>
      </c>
      <c r="J73" s="291">
        <f t="shared" ref="J73:J79" si="10">IF(H73&gt;5, (5+5*J$72/100)-H73,H73-(5-5*J$72/100))</f>
        <v>-6.0000000000000497E-2</v>
      </c>
      <c r="K73" s="116">
        <v>4.9800000000000004</v>
      </c>
      <c r="L73" s="116">
        <f t="shared" ref="L73:L79" si="11">E73-K73</f>
        <v>1.9999999999999574E-2</v>
      </c>
      <c r="M73" s="198">
        <f t="shared" ref="M73:M79" si="12">IF(K73&gt;5, (5+5*M$72/100)-K73,K73-(5-5*M$72/100))</f>
        <v>0.10500000000000043</v>
      </c>
      <c r="N73" s="277">
        <f t="shared" ref="N73:N79" si="13">IF(K73&gt;5, (5+5*N$72/100)-K73,K73-(5-5*N$72/100))</f>
        <v>3.0000000000000249E-2</v>
      </c>
      <c r="O73" s="289">
        <f t="shared" ref="O73:O79" si="14">K73+$E$70</f>
        <v>5.0900000000000007</v>
      </c>
      <c r="P73" s="290">
        <f t="shared" ref="P73:P79" si="15">IF(O73&gt;5, (5+5*P$72/100)-O73,O73-(5-5*P$72/100))</f>
        <v>3.4999999999999254E-2</v>
      </c>
      <c r="Q73" s="291">
        <f t="shared" ref="Q73:Q79" si="16">IF(O73&gt;5, (5+5*Q$72/100)-O73,O73-(5-5*Q$72/100))</f>
        <v>-4.0000000000000924E-2</v>
      </c>
      <c r="R73" s="140">
        <v>4.96</v>
      </c>
      <c r="S73" s="116">
        <f t="shared" ref="S73:S79" si="17">E73-R73</f>
        <v>4.0000000000000036E-2</v>
      </c>
      <c r="T73" s="198">
        <f t="shared" ref="T73:T79" si="18">IF(R73&gt;5, (5+5*T$72/100)-R73,R73-(5-5*T$72/100))</f>
        <v>8.4999999999999964E-2</v>
      </c>
      <c r="U73" s="277">
        <f t="shared" ref="U73:U79" si="19">IF(R73&gt;5, (5+5*U$72/100)-R73,R73-(5-5*U$72/100))</f>
        <v>9.9999999999997868E-3</v>
      </c>
      <c r="V73" s="298">
        <f t="shared" ref="V73:V79" si="20">R73+$E$70</f>
        <v>5.07</v>
      </c>
      <c r="W73" s="290">
        <f t="shared" ref="W73:W79" si="21">IF(V73&gt;5, (5+5*N$72/100)-V73,V73-(5-5*N$72/100))</f>
        <v>-2.0000000000000462E-2</v>
      </c>
      <c r="X73" s="291">
        <f t="shared" ref="X73:X79" si="22">IF(V73&gt;5, (5+5*N$72/100)-V73,V73-(5-5*N$72/100))</f>
        <v>-2.0000000000000462E-2</v>
      </c>
    </row>
    <row r="74" spans="2:24" x14ac:dyDescent="0.3">
      <c r="C74" s="176">
        <v>5.7</v>
      </c>
      <c r="D74" s="120">
        <v>260</v>
      </c>
      <c r="E74" s="122">
        <v>5</v>
      </c>
      <c r="F74" s="198">
        <f t="shared" ref="F74:F79" si="23">IF(E74&gt;5, (5+5*F$72/100)-E74,E74-(5-5*F$72/100))</f>
        <v>0.125</v>
      </c>
      <c r="G74" s="199">
        <f t="shared" ref="G74:G79" si="24">IF(E74&gt;5, (5+5*G$72/100)-E74,E74-(5-5*G$72/100))</f>
        <v>4.9999999999999822E-2</v>
      </c>
      <c r="H74" s="289">
        <f t="shared" ref="H74:H79" si="25">E74+$E$70</f>
        <v>5.1100000000000003</v>
      </c>
      <c r="I74" s="293">
        <f t="shared" si="9"/>
        <v>1.499999999999968E-2</v>
      </c>
      <c r="J74" s="294">
        <f t="shared" si="10"/>
        <v>-6.0000000000000497E-2</v>
      </c>
      <c r="K74" s="106">
        <v>4.97</v>
      </c>
      <c r="L74" s="106">
        <f t="shared" si="11"/>
        <v>3.0000000000000249E-2</v>
      </c>
      <c r="M74" s="196">
        <f t="shared" si="12"/>
        <v>9.4999999999999751E-2</v>
      </c>
      <c r="N74" s="278">
        <f t="shared" si="13"/>
        <v>1.9999999999999574E-2</v>
      </c>
      <c r="O74" s="292">
        <f t="shared" si="14"/>
        <v>5.08</v>
      </c>
      <c r="P74" s="293">
        <f t="shared" si="15"/>
        <v>4.4999999999999929E-2</v>
      </c>
      <c r="Q74" s="294">
        <f t="shared" si="16"/>
        <v>-3.0000000000000249E-2</v>
      </c>
      <c r="R74" s="112">
        <v>4.9400000000000004</v>
      </c>
      <c r="S74" s="106">
        <f t="shared" si="17"/>
        <v>5.9999999999999609E-2</v>
      </c>
      <c r="T74" s="196">
        <f t="shared" si="18"/>
        <v>6.5000000000000391E-2</v>
      </c>
      <c r="U74" s="278">
        <f t="shared" si="19"/>
        <v>-9.9999999999997868E-3</v>
      </c>
      <c r="V74" s="298">
        <f t="shared" si="20"/>
        <v>5.0500000000000007</v>
      </c>
      <c r="W74" s="293">
        <f t="shared" si="21"/>
        <v>-8.8817841970012523E-16</v>
      </c>
      <c r="X74" s="294">
        <f t="shared" si="22"/>
        <v>-8.8817841970012523E-16</v>
      </c>
    </row>
    <row r="75" spans="2:24" x14ac:dyDescent="0.3">
      <c r="C75" s="202">
        <v>8</v>
      </c>
      <c r="D75" s="307">
        <v>314</v>
      </c>
      <c r="E75" s="283">
        <v>5.01</v>
      </c>
      <c r="F75" s="198">
        <f t="shared" si="23"/>
        <v>0.11500000000000021</v>
      </c>
      <c r="G75" s="199">
        <f t="shared" si="24"/>
        <v>4.0000000000000036E-2</v>
      </c>
      <c r="H75" s="289">
        <f t="shared" si="25"/>
        <v>5.12</v>
      </c>
      <c r="I75" s="293">
        <f t="shared" si="9"/>
        <v>4.9999999999998934E-3</v>
      </c>
      <c r="J75" s="294">
        <f t="shared" si="10"/>
        <v>-7.0000000000000284E-2</v>
      </c>
      <c r="K75" s="203">
        <v>4.96</v>
      </c>
      <c r="L75" s="203">
        <f t="shared" si="11"/>
        <v>4.9999999999999822E-2</v>
      </c>
      <c r="M75" s="181">
        <f t="shared" si="12"/>
        <v>8.4999999999999964E-2</v>
      </c>
      <c r="N75" s="279">
        <f t="shared" si="13"/>
        <v>9.9999999999997868E-3</v>
      </c>
      <c r="O75" s="292">
        <f t="shared" si="14"/>
        <v>5.07</v>
      </c>
      <c r="P75" s="293">
        <f t="shared" si="15"/>
        <v>5.4999999999999716E-2</v>
      </c>
      <c r="Q75" s="294">
        <f t="shared" si="16"/>
        <v>-2.0000000000000462E-2</v>
      </c>
      <c r="R75" s="204">
        <v>4.92</v>
      </c>
      <c r="S75" s="203">
        <f t="shared" si="17"/>
        <v>8.9999999999999858E-2</v>
      </c>
      <c r="T75" s="181">
        <f t="shared" si="18"/>
        <v>4.4999999999999929E-2</v>
      </c>
      <c r="U75" s="279">
        <f t="shared" si="19"/>
        <v>-3.0000000000000249E-2</v>
      </c>
      <c r="V75" s="298">
        <f t="shared" si="20"/>
        <v>5.03</v>
      </c>
      <c r="W75" s="293">
        <f t="shared" si="21"/>
        <v>1.9999999999999574E-2</v>
      </c>
      <c r="X75" s="294">
        <f t="shared" si="22"/>
        <v>1.9999999999999574E-2</v>
      </c>
    </row>
    <row r="76" spans="2:24" x14ac:dyDescent="0.3">
      <c r="C76" s="176">
        <v>10</v>
      </c>
      <c r="D76" s="120">
        <v>360</v>
      </c>
      <c r="E76" s="122">
        <v>5.01</v>
      </c>
      <c r="F76" s="198">
        <f t="shared" si="23"/>
        <v>0.11500000000000021</v>
      </c>
      <c r="G76" s="199">
        <f t="shared" si="24"/>
        <v>4.0000000000000036E-2</v>
      </c>
      <c r="H76" s="289">
        <f t="shared" si="25"/>
        <v>5.12</v>
      </c>
      <c r="I76" s="293">
        <f t="shared" si="9"/>
        <v>4.9999999999998934E-3</v>
      </c>
      <c r="J76" s="294">
        <f t="shared" si="10"/>
        <v>-7.0000000000000284E-2</v>
      </c>
      <c r="K76" s="106">
        <v>4.95</v>
      </c>
      <c r="L76" s="106">
        <f t="shared" si="11"/>
        <v>5.9999999999999609E-2</v>
      </c>
      <c r="M76" s="196">
        <f t="shared" si="12"/>
        <v>7.5000000000000178E-2</v>
      </c>
      <c r="N76" s="278">
        <f t="shared" si="13"/>
        <v>0</v>
      </c>
      <c r="O76" s="292">
        <f t="shared" si="14"/>
        <v>5.0600000000000005</v>
      </c>
      <c r="P76" s="293">
        <f t="shared" si="15"/>
        <v>6.4999999999999503E-2</v>
      </c>
      <c r="Q76" s="294">
        <f t="shared" si="16"/>
        <v>-1.0000000000000675E-2</v>
      </c>
      <c r="R76" s="112">
        <v>4.9000000000000004</v>
      </c>
      <c r="S76" s="106">
        <f t="shared" si="17"/>
        <v>0.10999999999999943</v>
      </c>
      <c r="T76" s="196">
        <f t="shared" si="18"/>
        <v>2.5000000000000355E-2</v>
      </c>
      <c r="U76" s="278">
        <f t="shared" si="19"/>
        <v>-4.9999999999999822E-2</v>
      </c>
      <c r="V76" s="298">
        <f t="shared" si="20"/>
        <v>5.0100000000000007</v>
      </c>
      <c r="W76" s="293">
        <f t="shared" si="21"/>
        <v>3.9999999999999147E-2</v>
      </c>
      <c r="X76" s="294">
        <f t="shared" si="22"/>
        <v>3.9999999999999147E-2</v>
      </c>
    </row>
    <row r="77" spans="2:24" x14ac:dyDescent="0.3">
      <c r="C77" s="205">
        <v>12</v>
      </c>
      <c r="D77" s="308">
        <v>406</v>
      </c>
      <c r="E77" s="284">
        <v>5.01</v>
      </c>
      <c r="F77" s="198">
        <f t="shared" si="23"/>
        <v>0.11500000000000021</v>
      </c>
      <c r="G77" s="199">
        <f t="shared" si="24"/>
        <v>4.0000000000000036E-2</v>
      </c>
      <c r="H77" s="289">
        <f t="shared" si="25"/>
        <v>5.12</v>
      </c>
      <c r="I77" s="293">
        <f t="shared" si="9"/>
        <v>4.9999999999998934E-3</v>
      </c>
      <c r="J77" s="294">
        <f t="shared" si="10"/>
        <v>-7.0000000000000284E-2</v>
      </c>
      <c r="K77" s="206">
        <v>4.9400000000000004</v>
      </c>
      <c r="L77" s="206">
        <f t="shared" si="11"/>
        <v>6.9999999999999396E-2</v>
      </c>
      <c r="M77" s="196">
        <f t="shared" si="12"/>
        <v>6.5000000000000391E-2</v>
      </c>
      <c r="N77" s="280">
        <f t="shared" si="13"/>
        <v>-9.9999999999997868E-3</v>
      </c>
      <c r="O77" s="292">
        <f t="shared" si="14"/>
        <v>5.0500000000000007</v>
      </c>
      <c r="P77" s="293">
        <f t="shared" si="15"/>
        <v>7.4999999999999289E-2</v>
      </c>
      <c r="Q77" s="294">
        <f t="shared" si="16"/>
        <v>-8.8817841970012523E-16</v>
      </c>
      <c r="R77" s="207">
        <v>4.88</v>
      </c>
      <c r="S77" s="206">
        <f t="shared" si="17"/>
        <v>0.12999999999999989</v>
      </c>
      <c r="T77" s="196">
        <f t="shared" si="18"/>
        <v>4.9999999999998934E-3</v>
      </c>
      <c r="U77" s="280">
        <f t="shared" si="19"/>
        <v>-7.0000000000000284E-2</v>
      </c>
      <c r="V77" s="298">
        <f t="shared" si="20"/>
        <v>4.99</v>
      </c>
      <c r="W77" s="293">
        <f t="shared" si="21"/>
        <v>4.0000000000000036E-2</v>
      </c>
      <c r="X77" s="294">
        <f t="shared" si="22"/>
        <v>4.0000000000000036E-2</v>
      </c>
    </row>
    <row r="78" spans="2:24" x14ac:dyDescent="0.3">
      <c r="C78" s="176">
        <v>14</v>
      </c>
      <c r="D78" s="120">
        <v>453</v>
      </c>
      <c r="E78" s="122">
        <v>5.01</v>
      </c>
      <c r="F78" s="198">
        <f t="shared" si="23"/>
        <v>0.11500000000000021</v>
      </c>
      <c r="G78" s="199">
        <f t="shared" si="24"/>
        <v>4.0000000000000036E-2</v>
      </c>
      <c r="H78" s="289">
        <f t="shared" si="25"/>
        <v>5.12</v>
      </c>
      <c r="I78" s="293">
        <f t="shared" si="9"/>
        <v>4.9999999999998934E-3</v>
      </c>
      <c r="J78" s="294">
        <f t="shared" si="10"/>
        <v>-7.0000000000000284E-2</v>
      </c>
      <c r="K78" s="106">
        <v>4.93</v>
      </c>
      <c r="L78" s="106">
        <f t="shared" si="11"/>
        <v>8.0000000000000071E-2</v>
      </c>
      <c r="M78" s="196">
        <f t="shared" si="12"/>
        <v>5.4999999999999716E-2</v>
      </c>
      <c r="N78" s="278">
        <f t="shared" si="13"/>
        <v>-2.0000000000000462E-2</v>
      </c>
      <c r="O78" s="292">
        <f t="shared" si="14"/>
        <v>5.04</v>
      </c>
      <c r="P78" s="293">
        <f t="shared" si="15"/>
        <v>8.4999999999999964E-2</v>
      </c>
      <c r="Q78" s="294">
        <f t="shared" si="16"/>
        <v>9.9999999999997868E-3</v>
      </c>
      <c r="R78" s="112">
        <v>4.8600000000000003</v>
      </c>
      <c r="S78" s="106">
        <f t="shared" si="17"/>
        <v>0.14999999999999947</v>
      </c>
      <c r="T78" s="196">
        <f t="shared" si="18"/>
        <v>-1.499999999999968E-2</v>
      </c>
      <c r="U78" s="278">
        <f t="shared" si="19"/>
        <v>-8.9999999999999858E-2</v>
      </c>
      <c r="V78" s="298">
        <f t="shared" si="20"/>
        <v>4.9700000000000006</v>
      </c>
      <c r="W78" s="293">
        <f t="shared" si="21"/>
        <v>2.0000000000000462E-2</v>
      </c>
      <c r="X78" s="294">
        <f t="shared" si="22"/>
        <v>2.0000000000000462E-2</v>
      </c>
    </row>
    <row r="79" spans="2:24" ht="17.25" thickBot="1" x14ac:dyDescent="0.35">
      <c r="C79" s="211">
        <v>16</v>
      </c>
      <c r="D79" s="309">
        <v>501</v>
      </c>
      <c r="E79" s="285">
        <v>5.01</v>
      </c>
      <c r="F79" s="275">
        <f t="shared" si="23"/>
        <v>0.11500000000000021</v>
      </c>
      <c r="G79" s="313">
        <f t="shared" si="24"/>
        <v>4.0000000000000036E-2</v>
      </c>
      <c r="H79" s="305">
        <f t="shared" si="25"/>
        <v>5.12</v>
      </c>
      <c r="I79" s="296">
        <f t="shared" si="9"/>
        <v>4.9999999999998934E-3</v>
      </c>
      <c r="J79" s="297">
        <f t="shared" si="10"/>
        <v>-7.0000000000000284E-2</v>
      </c>
      <c r="K79" s="188">
        <v>4.92</v>
      </c>
      <c r="L79" s="188">
        <f t="shared" si="11"/>
        <v>8.9999999999999858E-2</v>
      </c>
      <c r="M79" s="213">
        <f t="shared" si="12"/>
        <v>4.4999999999999929E-2</v>
      </c>
      <c r="N79" s="281">
        <f t="shared" si="13"/>
        <v>-3.0000000000000249E-2</v>
      </c>
      <c r="O79" s="295">
        <f t="shared" si="14"/>
        <v>5.03</v>
      </c>
      <c r="P79" s="296">
        <f t="shared" si="15"/>
        <v>9.4999999999999751E-2</v>
      </c>
      <c r="Q79" s="297">
        <f t="shared" si="16"/>
        <v>1.9999999999999574E-2</v>
      </c>
      <c r="R79" s="215">
        <v>4.84</v>
      </c>
      <c r="S79" s="188">
        <f t="shared" si="17"/>
        <v>0.16999999999999993</v>
      </c>
      <c r="T79" s="213">
        <f t="shared" si="18"/>
        <v>-3.5000000000000142E-2</v>
      </c>
      <c r="U79" s="281">
        <f t="shared" si="19"/>
        <v>-0.11000000000000032</v>
      </c>
      <c r="V79" s="299">
        <f t="shared" si="20"/>
        <v>4.95</v>
      </c>
      <c r="W79" s="296">
        <f t="shared" si="21"/>
        <v>0</v>
      </c>
      <c r="X79" s="297">
        <f t="shared" si="22"/>
        <v>0</v>
      </c>
    </row>
    <row r="81" spans="2:28" ht="16.5" customHeight="1" x14ac:dyDescent="0.3">
      <c r="B81" s="103" t="s">
        <v>229</v>
      </c>
    </row>
    <row r="82" spans="2:28" ht="17.25" thickBot="1" x14ac:dyDescent="0.35">
      <c r="C82" s="103" t="s">
        <v>223</v>
      </c>
    </row>
    <row r="83" spans="2:28" ht="17.25" thickBot="1" x14ac:dyDescent="0.35">
      <c r="C83" s="300" t="s">
        <v>221</v>
      </c>
      <c r="D83" s="301"/>
      <c r="E83" s="224">
        <v>0.11</v>
      </c>
      <c r="F83" s="303" t="s">
        <v>222</v>
      </c>
    </row>
    <row r="84" spans="2:28" ht="17.25" thickBot="1" x14ac:dyDescent="0.35">
      <c r="C84" s="1003" t="s">
        <v>211</v>
      </c>
      <c r="D84" s="994" t="s">
        <v>212</v>
      </c>
      <c r="E84" s="984" t="s">
        <v>201</v>
      </c>
      <c r="F84" s="985"/>
      <c r="G84" s="991"/>
      <c r="H84" s="982" t="s">
        <v>144</v>
      </c>
      <c r="I84" s="985"/>
      <c r="J84" s="996"/>
      <c r="K84" s="984" t="s">
        <v>145</v>
      </c>
      <c r="L84" s="985"/>
      <c r="M84" s="991"/>
      <c r="N84" s="984" t="s">
        <v>230</v>
      </c>
      <c r="O84" s="985"/>
      <c r="P84" s="991"/>
      <c r="T84" s="965"/>
      <c r="U84" s="966"/>
      <c r="V84" s="127" t="s">
        <v>117</v>
      </c>
      <c r="W84" s="127" t="s">
        <v>134</v>
      </c>
      <c r="X84" s="127" t="s">
        <v>134</v>
      </c>
      <c r="Y84" s="127" t="s">
        <v>136</v>
      </c>
      <c r="Z84" s="127" t="s">
        <v>136</v>
      </c>
      <c r="AA84" s="128" t="s">
        <v>136</v>
      </c>
      <c r="AB84" s="128" t="s">
        <v>88</v>
      </c>
    </row>
    <row r="85" spans="2:28" ht="17.25" thickBot="1" x14ac:dyDescent="0.35">
      <c r="C85" s="1004"/>
      <c r="D85" s="995"/>
      <c r="E85" s="193" t="s">
        <v>125</v>
      </c>
      <c r="F85" s="195">
        <v>2.5</v>
      </c>
      <c r="G85" s="200">
        <v>1</v>
      </c>
      <c r="H85" s="311" t="s">
        <v>76</v>
      </c>
      <c r="I85" s="195">
        <v>2.5</v>
      </c>
      <c r="J85" s="276">
        <v>1</v>
      </c>
      <c r="K85" s="193" t="s">
        <v>76</v>
      </c>
      <c r="L85" s="195">
        <v>2.5</v>
      </c>
      <c r="M85" s="200">
        <v>1</v>
      </c>
      <c r="N85" s="193" t="s">
        <v>76</v>
      </c>
      <c r="O85" s="195">
        <v>2.5</v>
      </c>
      <c r="P85" s="200">
        <v>1</v>
      </c>
      <c r="T85" s="962" t="s">
        <v>227</v>
      </c>
      <c r="U85" s="961"/>
      <c r="V85" s="116">
        <v>5.01</v>
      </c>
      <c r="W85" s="116">
        <v>28.2</v>
      </c>
      <c r="X85" s="116">
        <v>28.2</v>
      </c>
      <c r="Y85" s="116">
        <v>27.94</v>
      </c>
      <c r="Z85" s="116">
        <v>27.8</v>
      </c>
      <c r="AA85" s="117">
        <v>27.8</v>
      </c>
      <c r="AB85" s="117" t="s">
        <v>76</v>
      </c>
    </row>
    <row r="86" spans="2:28" ht="17.25" customHeight="1" thickTop="1" x14ac:dyDescent="0.3">
      <c r="C86" s="175">
        <v>3</v>
      </c>
      <c r="D86" s="306">
        <v>204</v>
      </c>
      <c r="E86" s="139">
        <v>5.1100000000000003</v>
      </c>
      <c r="F86" s="198">
        <f>IF(E86&gt;5, (5+5*F$85/100)-E86,E86-(5-5*F$85/100))</f>
        <v>1.499999999999968E-2</v>
      </c>
      <c r="G86" s="194">
        <f>IF(E86&gt;5, (5+5*G$85/100)-E86,E86-(5-5*G$85/100))</f>
        <v>-6.0000000000000497E-2</v>
      </c>
      <c r="H86" s="164">
        <v>5.09</v>
      </c>
      <c r="I86" s="198">
        <f>IF(H86&gt;5, (5+5*I$85/100)-H86,H86-(5-5*I$85/100))</f>
        <v>3.5000000000000142E-2</v>
      </c>
      <c r="J86" s="310">
        <f>IF(H86&gt;5, (5+5*J$85/100)-H86,H86-(5-5*J$85/100))</f>
        <v>-4.0000000000000036E-2</v>
      </c>
      <c r="K86" s="139">
        <v>5.07</v>
      </c>
      <c r="L86" s="198">
        <f>IF(K86&gt;5, (5+5*L$85/100)-K86,K86-(5-5*L$85/100))</f>
        <v>5.4999999999999716E-2</v>
      </c>
      <c r="M86" s="194">
        <f>IF(K86&gt;5, (5+5*M$85/100)-K86,K86-(5-5*M$85/100))</f>
        <v>-2.0000000000000462E-2</v>
      </c>
      <c r="N86" s="139"/>
      <c r="O86" s="198">
        <f>IF(N86&gt;5, (5+5*O$85/100)-N86,N86-(5-5*O$85/100))</f>
        <v>-4.875</v>
      </c>
      <c r="P86" s="194">
        <f>IF(N86&gt;5, (5+5*P$85/100)-N86,N86-(5-5*P$85/100))</f>
        <v>-4.95</v>
      </c>
      <c r="T86" s="962" t="s">
        <v>228</v>
      </c>
      <c r="U86" s="961"/>
      <c r="V86" s="116">
        <v>4.84</v>
      </c>
      <c r="W86" s="116">
        <v>27.6</v>
      </c>
      <c r="X86" s="116">
        <v>27.6</v>
      </c>
      <c r="Y86" s="116">
        <v>27.91</v>
      </c>
      <c r="Z86" s="116">
        <v>27.91</v>
      </c>
      <c r="AA86" s="117">
        <v>27.91</v>
      </c>
      <c r="AB86" s="107" t="s">
        <v>76</v>
      </c>
    </row>
    <row r="87" spans="2:28" x14ac:dyDescent="0.3">
      <c r="C87" s="176">
        <v>5.7</v>
      </c>
      <c r="D87" s="120">
        <v>260</v>
      </c>
      <c r="E87" s="104">
        <v>5.12</v>
      </c>
      <c r="F87" s="196">
        <f>IF(E87&gt;5, (5+5*F$85/100)-E87,E87-(5-5*F$85/100))</f>
        <v>4.9999999999998934E-3</v>
      </c>
      <c r="G87" s="208">
        <f>IF(E87&gt;5, (5+5*G$85/100)-E87,E87-(5-5*G$85/100))</f>
        <v>-7.0000000000000284E-2</v>
      </c>
      <c r="H87" s="233">
        <v>5.08</v>
      </c>
      <c r="I87" s="198">
        <f t="shared" ref="I87:I92" si="26">IF(H87&gt;5, (5+5*I$85/100)-H87,H87-(5-5*I$85/100))</f>
        <v>4.4999999999999929E-2</v>
      </c>
      <c r="J87" s="310">
        <f t="shared" ref="J87:J92" si="27">IF(H87&gt;5, (5+5*J$85/100)-H87,H87-(5-5*J$85/100))</f>
        <v>-3.0000000000000249E-2</v>
      </c>
      <c r="K87" s="104">
        <v>5.05</v>
      </c>
      <c r="L87" s="196">
        <f t="shared" ref="L87:L92" si="28">IF(K87&gt;5, (5+5*L$85/100)-K87,K87-(5-5*L$85/100))</f>
        <v>7.5000000000000178E-2</v>
      </c>
      <c r="M87" s="208">
        <f t="shared" ref="M87:M92" si="29">IF(K87&gt;5, (5+5*M$85/100)-K87,K87-(5-5*M$85/100))</f>
        <v>0</v>
      </c>
      <c r="N87" s="104"/>
      <c r="O87" s="196">
        <f t="shared" ref="O87:O92" si="30">IF(N87&gt;5, (5+5*O$85/100)-N87,N87-(5-5*O$85/100))</f>
        <v>-4.875</v>
      </c>
      <c r="P87" s="208">
        <f t="shared" ref="P87:P92" si="31">IF(N87&gt;5, (5+5*P$85/100)-N87,N87-(5-5*P$85/100))</f>
        <v>-4.95</v>
      </c>
      <c r="T87" s="962" t="s">
        <v>235</v>
      </c>
      <c r="U87" s="961"/>
      <c r="V87" s="210">
        <f>(5-V86)/5*100</f>
        <v>3.2000000000000028</v>
      </c>
      <c r="W87" s="210">
        <f>(28-W86)/28*100</f>
        <v>1.4285714285714235</v>
      </c>
      <c r="X87" s="210">
        <f>(28-X86)/28*100</f>
        <v>1.4285714285714235</v>
      </c>
      <c r="Y87" s="210">
        <f>(28-Y86)/28*100</f>
        <v>0.3214285714285709</v>
      </c>
      <c r="Z87" s="210">
        <f>(28-Z86)/28*100</f>
        <v>0.3214285714285709</v>
      </c>
      <c r="AA87" s="158">
        <f>(28-AA86)/28*100</f>
        <v>0.3214285714285709</v>
      </c>
      <c r="AB87" s="107" t="s">
        <v>84</v>
      </c>
    </row>
    <row r="88" spans="2:28" x14ac:dyDescent="0.3">
      <c r="C88" s="202">
        <v>8</v>
      </c>
      <c r="D88" s="307">
        <v>314</v>
      </c>
      <c r="E88" s="122"/>
      <c r="F88" s="196"/>
      <c r="G88" s="208"/>
      <c r="H88" s="233">
        <v>5.07</v>
      </c>
      <c r="I88" s="198">
        <f t="shared" si="26"/>
        <v>5.4999999999999716E-2</v>
      </c>
      <c r="J88" s="310">
        <f t="shared" si="27"/>
        <v>-2.0000000000000462E-2</v>
      </c>
      <c r="K88" s="104">
        <v>5.03</v>
      </c>
      <c r="L88" s="196">
        <f t="shared" si="28"/>
        <v>9.4999999999999751E-2</v>
      </c>
      <c r="M88" s="208">
        <f t="shared" si="29"/>
        <v>1.9999999999999574E-2</v>
      </c>
      <c r="N88" s="104"/>
      <c r="O88" s="196">
        <f t="shared" si="30"/>
        <v>-4.875</v>
      </c>
      <c r="P88" s="208">
        <f t="shared" si="31"/>
        <v>-4.95</v>
      </c>
      <c r="T88" s="962" t="s">
        <v>226</v>
      </c>
      <c r="U88" s="961"/>
      <c r="V88" s="209">
        <f>5-V86</f>
        <v>0.16000000000000014</v>
      </c>
      <c r="W88" s="209">
        <f>28-W86</f>
        <v>0.39999999999999858</v>
      </c>
      <c r="X88" s="209">
        <f>28-X86</f>
        <v>0.39999999999999858</v>
      </c>
      <c r="Y88" s="209">
        <f>28-Y86</f>
        <v>8.9999999999999858E-2</v>
      </c>
      <c r="Z88" s="209">
        <f>28-Z86</f>
        <v>8.9999999999999858E-2</v>
      </c>
      <c r="AA88" s="217">
        <f>28-AA86</f>
        <v>8.9999999999999858E-2</v>
      </c>
      <c r="AB88" s="107" t="s">
        <v>76</v>
      </c>
    </row>
    <row r="89" spans="2:28" x14ac:dyDescent="0.3">
      <c r="C89" s="176">
        <v>10</v>
      </c>
      <c r="D89" s="120">
        <v>360</v>
      </c>
      <c r="E89" s="122"/>
      <c r="F89" s="196"/>
      <c r="G89" s="208"/>
      <c r="H89" s="233">
        <v>5.0599999999999996</v>
      </c>
      <c r="I89" s="198">
        <f t="shared" si="26"/>
        <v>6.5000000000000391E-2</v>
      </c>
      <c r="J89" s="310">
        <f t="shared" si="27"/>
        <v>-9.9999999999997868E-3</v>
      </c>
      <c r="K89" s="104">
        <v>5.01</v>
      </c>
      <c r="L89" s="196">
        <f t="shared" si="28"/>
        <v>0.11500000000000021</v>
      </c>
      <c r="M89" s="208">
        <f t="shared" si="29"/>
        <v>4.0000000000000036E-2</v>
      </c>
      <c r="N89" s="104"/>
      <c r="O89" s="196">
        <f t="shared" si="30"/>
        <v>-4.875</v>
      </c>
      <c r="P89" s="208">
        <f t="shared" si="31"/>
        <v>-4.95</v>
      </c>
      <c r="T89" s="972" t="s">
        <v>81</v>
      </c>
      <c r="U89" s="973"/>
      <c r="V89" s="116">
        <f t="shared" ref="V89:AA89" si="32">V85</f>
        <v>5.01</v>
      </c>
      <c r="W89" s="116">
        <f t="shared" si="32"/>
        <v>28.2</v>
      </c>
      <c r="X89" s="116">
        <f t="shared" si="32"/>
        <v>28.2</v>
      </c>
      <c r="Y89" s="116">
        <f t="shared" si="32"/>
        <v>27.94</v>
      </c>
      <c r="Z89" s="116">
        <f t="shared" si="32"/>
        <v>27.8</v>
      </c>
      <c r="AA89" s="117">
        <f t="shared" si="32"/>
        <v>27.8</v>
      </c>
      <c r="AB89" s="107" t="s">
        <v>76</v>
      </c>
    </row>
    <row r="90" spans="2:28" x14ac:dyDescent="0.3">
      <c r="C90" s="205">
        <v>12</v>
      </c>
      <c r="D90" s="308">
        <v>406</v>
      </c>
      <c r="E90" s="122"/>
      <c r="F90" s="196"/>
      <c r="G90" s="208"/>
      <c r="H90" s="233">
        <v>5.05</v>
      </c>
      <c r="I90" s="198">
        <f t="shared" si="26"/>
        <v>7.5000000000000178E-2</v>
      </c>
      <c r="J90" s="310">
        <f t="shared" si="27"/>
        <v>0</v>
      </c>
      <c r="K90" s="104">
        <v>4.99</v>
      </c>
      <c r="L90" s="196">
        <f t="shared" si="28"/>
        <v>0.11500000000000021</v>
      </c>
      <c r="M90" s="208">
        <f t="shared" si="29"/>
        <v>4.0000000000000036E-2</v>
      </c>
      <c r="N90" s="104"/>
      <c r="O90" s="196">
        <f t="shared" si="30"/>
        <v>-4.875</v>
      </c>
      <c r="P90" s="208">
        <f t="shared" si="31"/>
        <v>-4.95</v>
      </c>
      <c r="T90" s="960" t="s">
        <v>82</v>
      </c>
      <c r="U90" s="961"/>
      <c r="V90" s="106">
        <v>5.1100000000000003</v>
      </c>
      <c r="W90" s="106">
        <f>W89+W88</f>
        <v>28.599999999999998</v>
      </c>
      <c r="X90" s="106">
        <v>28.28</v>
      </c>
      <c r="Y90" s="106">
        <v>28.03</v>
      </c>
      <c r="Z90" s="106">
        <f>Z89+Z88</f>
        <v>27.89</v>
      </c>
      <c r="AA90" s="107">
        <f>AA89+AA88</f>
        <v>27.89</v>
      </c>
      <c r="AB90" s="107" t="s">
        <v>76</v>
      </c>
    </row>
    <row r="91" spans="2:28" x14ac:dyDescent="0.3">
      <c r="C91" s="176">
        <v>14</v>
      </c>
      <c r="D91" s="120">
        <v>453</v>
      </c>
      <c r="E91" s="122"/>
      <c r="F91" s="196"/>
      <c r="G91" s="208"/>
      <c r="H91" s="233">
        <v>5.04</v>
      </c>
      <c r="I91" s="198">
        <f t="shared" si="26"/>
        <v>8.4999999999999964E-2</v>
      </c>
      <c r="J91" s="310">
        <f t="shared" si="27"/>
        <v>9.9999999999997868E-3</v>
      </c>
      <c r="K91" s="104">
        <v>4.97</v>
      </c>
      <c r="L91" s="196">
        <f t="shared" si="28"/>
        <v>9.4999999999999751E-2</v>
      </c>
      <c r="M91" s="208">
        <f t="shared" si="29"/>
        <v>1.9999999999999574E-2</v>
      </c>
      <c r="N91" s="105">
        <v>4.96</v>
      </c>
      <c r="O91" s="196">
        <f t="shared" si="30"/>
        <v>8.4999999999999964E-2</v>
      </c>
      <c r="P91" s="208">
        <f t="shared" si="31"/>
        <v>9.9999999999997868E-3</v>
      </c>
      <c r="T91" s="962" t="s">
        <v>83</v>
      </c>
      <c r="U91" s="961"/>
      <c r="V91" s="112">
        <f t="shared" ref="V91:AA91" si="33">ABS((V89-V90)/V89)*100</f>
        <v>1.9960079840319469</v>
      </c>
      <c r="W91" s="112">
        <f t="shared" si="33"/>
        <v>1.4184397163120517</v>
      </c>
      <c r="X91" s="112">
        <f t="shared" si="33"/>
        <v>0.28368794326241792</v>
      </c>
      <c r="Y91" s="112">
        <f t="shared" si="33"/>
        <v>0.32211882605583336</v>
      </c>
      <c r="Z91" s="112">
        <f t="shared" si="33"/>
        <v>0.32374100719424409</v>
      </c>
      <c r="AA91" s="218">
        <f t="shared" si="33"/>
        <v>0.32374100719424409</v>
      </c>
      <c r="AB91" s="107" t="s">
        <v>84</v>
      </c>
    </row>
    <row r="92" spans="2:28" ht="17.25" thickBot="1" x14ac:dyDescent="0.35">
      <c r="C92" s="211">
        <v>16</v>
      </c>
      <c r="D92" s="309">
        <v>501</v>
      </c>
      <c r="E92" s="123"/>
      <c r="F92" s="197"/>
      <c r="G92" s="216"/>
      <c r="H92" s="165">
        <v>5.03</v>
      </c>
      <c r="I92" s="304">
        <f t="shared" si="26"/>
        <v>9.4999999999999751E-2</v>
      </c>
      <c r="J92" s="312">
        <f t="shared" si="27"/>
        <v>1.9999999999999574E-2</v>
      </c>
      <c r="K92" s="118">
        <v>4.95</v>
      </c>
      <c r="L92" s="197">
        <f t="shared" si="28"/>
        <v>7.5000000000000178E-2</v>
      </c>
      <c r="M92" s="216">
        <f t="shared" si="29"/>
        <v>0</v>
      </c>
      <c r="N92" s="118"/>
      <c r="O92" s="197">
        <f t="shared" si="30"/>
        <v>-4.875</v>
      </c>
      <c r="P92" s="216">
        <f t="shared" si="31"/>
        <v>-4.95</v>
      </c>
      <c r="T92" s="974" t="s">
        <v>85</v>
      </c>
      <c r="U92" s="975"/>
      <c r="V92" s="354">
        <f t="shared" ref="V92:AA92" si="34">((100+V91)/V91)*(V89/1.225-0.909)</f>
        <v>162.53867142857055</v>
      </c>
      <c r="W92" s="354">
        <f t="shared" si="34"/>
        <v>1580.965683673475</v>
      </c>
      <c r="X92" s="354">
        <f t="shared" si="34"/>
        <v>7816.3827857141059</v>
      </c>
      <c r="Y92" s="354">
        <f t="shared" si="34"/>
        <v>6820.3727369614626</v>
      </c>
      <c r="Z92" s="354">
        <f t="shared" si="34"/>
        <v>6750.8914988662236</v>
      </c>
      <c r="AA92" s="355">
        <f t="shared" si="34"/>
        <v>6750.8914988662236</v>
      </c>
      <c r="AB92" s="356" t="s">
        <v>86</v>
      </c>
    </row>
    <row r="93" spans="2:28" x14ac:dyDescent="0.3">
      <c r="T93" s="976" t="s">
        <v>85</v>
      </c>
      <c r="U93" s="977"/>
      <c r="V93" s="183">
        <v>150</v>
      </c>
      <c r="W93" s="183">
        <v>1499</v>
      </c>
      <c r="X93" s="183">
        <v>7800</v>
      </c>
      <c r="Y93" s="183">
        <v>6800</v>
      </c>
      <c r="Z93" s="183">
        <v>6800</v>
      </c>
      <c r="AA93" s="183">
        <v>6800</v>
      </c>
      <c r="AB93" s="119" t="s">
        <v>86</v>
      </c>
    </row>
    <row r="94" spans="2:28" ht="17.25" thickBot="1" x14ac:dyDescent="0.35">
      <c r="C94" s="103" t="s">
        <v>224</v>
      </c>
      <c r="T94" s="962" t="s">
        <v>83</v>
      </c>
      <c r="U94" s="967"/>
      <c r="V94" s="180">
        <f t="shared" ref="V94:AA94" si="35">(V89/1.225-0.909)/(V93-(V89/1.225-0.909))*100</f>
        <v>2.1664712993531818</v>
      </c>
      <c r="W94" s="180">
        <f t="shared" si="35"/>
        <v>1.4971615520278627</v>
      </c>
      <c r="X94" s="180">
        <f t="shared" si="35"/>
        <v>0.28428548316405927</v>
      </c>
      <c r="Y94" s="180">
        <f t="shared" si="35"/>
        <v>0.32308700907223303</v>
      </c>
      <c r="Z94" s="180">
        <f t="shared" si="35"/>
        <v>0.32139548771284049</v>
      </c>
      <c r="AA94" s="180">
        <f t="shared" si="35"/>
        <v>0.32139548771284049</v>
      </c>
      <c r="AB94" s="107" t="s">
        <v>84</v>
      </c>
    </row>
    <row r="95" spans="2:28" ht="17.25" thickBot="1" x14ac:dyDescent="0.35">
      <c r="C95" s="300" t="s">
        <v>221</v>
      </c>
      <c r="D95" s="301"/>
      <c r="E95" s="302">
        <v>0.08</v>
      </c>
      <c r="F95" s="303" t="s">
        <v>222</v>
      </c>
      <c r="T95" s="960" t="s">
        <v>82</v>
      </c>
      <c r="U95" s="967"/>
      <c r="V95" s="357">
        <f t="shared" ref="V95:AA95" si="36">V89*(100+V94)/100</f>
        <v>5.118540212097594</v>
      </c>
      <c r="W95" s="357">
        <f t="shared" si="36"/>
        <v>28.622199557671856</v>
      </c>
      <c r="X95" s="357">
        <f t="shared" si="36"/>
        <v>28.280168506252263</v>
      </c>
      <c r="Y95" s="357">
        <f t="shared" si="36"/>
        <v>28.030270510334784</v>
      </c>
      <c r="Z95" s="357">
        <f t="shared" si="36"/>
        <v>27.889347945584166</v>
      </c>
      <c r="AA95" s="357">
        <f t="shared" si="36"/>
        <v>27.889347945584166</v>
      </c>
      <c r="AB95" s="358" t="s">
        <v>76</v>
      </c>
    </row>
    <row r="96" spans="2:28" ht="17.25" thickBot="1" x14ac:dyDescent="0.35">
      <c r="C96" s="987" t="s">
        <v>134</v>
      </c>
      <c r="D96" s="984" t="s">
        <v>126</v>
      </c>
      <c r="E96" s="983"/>
      <c r="F96" s="989"/>
      <c r="G96" s="982" t="s">
        <v>144</v>
      </c>
      <c r="H96" s="985"/>
      <c r="I96" s="985"/>
      <c r="J96" s="990"/>
      <c r="K96" s="984" t="s">
        <v>145</v>
      </c>
      <c r="L96" s="985"/>
      <c r="M96" s="985"/>
      <c r="N96" s="986"/>
      <c r="O96" s="984" t="s">
        <v>231</v>
      </c>
      <c r="P96" s="985"/>
      <c r="Q96" s="985"/>
      <c r="R96" s="986"/>
      <c r="T96" s="968" t="s">
        <v>236</v>
      </c>
      <c r="U96" s="969"/>
      <c r="V96" s="361">
        <f t="shared" ref="V96:AA96" si="37">V95-V89</f>
        <v>0.10854021209759424</v>
      </c>
      <c r="W96" s="361">
        <f t="shared" si="37"/>
        <v>0.42219955767185624</v>
      </c>
      <c r="X96" s="361">
        <f t="shared" si="37"/>
        <v>8.0168506252263683E-2</v>
      </c>
      <c r="Y96" s="361">
        <f>Y95-Y89</f>
        <v>9.0270510334782728E-2</v>
      </c>
      <c r="Z96" s="361">
        <f t="shared" si="37"/>
        <v>8.93479455841657E-2</v>
      </c>
      <c r="AA96" s="361">
        <f t="shared" si="37"/>
        <v>8.93479455841657E-2</v>
      </c>
      <c r="AB96" s="362" t="s">
        <v>234</v>
      </c>
    </row>
    <row r="97" spans="2:25" ht="17.25" thickBot="1" x14ac:dyDescent="0.35">
      <c r="C97" s="988"/>
      <c r="D97" s="132" t="s">
        <v>125</v>
      </c>
      <c r="E97" s="320">
        <v>2.5</v>
      </c>
      <c r="F97" s="321">
        <v>1</v>
      </c>
      <c r="G97" s="322" t="s">
        <v>76</v>
      </c>
      <c r="H97" s="320">
        <v>2.5</v>
      </c>
      <c r="I97" s="320">
        <v>1</v>
      </c>
      <c r="J97" s="131" t="s">
        <v>130</v>
      </c>
      <c r="K97" s="132" t="s">
        <v>76</v>
      </c>
      <c r="L97" s="320">
        <v>2.5</v>
      </c>
      <c r="M97" s="320">
        <v>1</v>
      </c>
      <c r="N97" s="130" t="s">
        <v>130</v>
      </c>
      <c r="O97" s="132" t="s">
        <v>76</v>
      </c>
      <c r="P97" s="320">
        <v>2.5</v>
      </c>
      <c r="Q97" s="320">
        <v>1</v>
      </c>
      <c r="R97" s="130" t="s">
        <v>130</v>
      </c>
      <c r="T97" t="s">
        <v>138</v>
      </c>
      <c r="V97" s="177">
        <f>V86+V96</f>
        <v>4.9485402120975941</v>
      </c>
      <c r="W97" s="177">
        <f>W86+W96</f>
        <v>28.022199557671858</v>
      </c>
      <c r="X97" s="177"/>
    </row>
    <row r="98" spans="2:25" x14ac:dyDescent="0.3">
      <c r="C98" s="161" t="s">
        <v>67</v>
      </c>
      <c r="D98" s="282">
        <v>28.2</v>
      </c>
      <c r="E98" s="198">
        <f>IF(D98&gt;28, (28+28*E$97/100)-D98,D98-(28-28*E$97/100))</f>
        <v>0.5</v>
      </c>
      <c r="F98" s="194">
        <f>IF(D98&gt;28, (28+28*F$97/100)-D98,D98-(28-28*F$97/100))</f>
        <v>8.0000000000001847E-2</v>
      </c>
      <c r="G98" s="318">
        <v>28.2</v>
      </c>
      <c r="H98" s="198">
        <f>IF(G98&gt;28, (28+28*H$97/100)-G98,G98-(28-28*H$97/100))</f>
        <v>0.5</v>
      </c>
      <c r="I98" s="198">
        <f>IF(G98&gt;28, (28+28*I$97/100)-G98,G98-(28-28*I$97/100))</f>
        <v>8.0000000000001847E-2</v>
      </c>
      <c r="J98" s="306">
        <f>D98-G98</f>
        <v>0</v>
      </c>
      <c r="K98" s="282">
        <v>27.8</v>
      </c>
      <c r="L98" s="198">
        <f>IF(K98&gt;28, (28+28*L$97/100)-K98,K98-(28-28*L$97/100))</f>
        <v>0.5</v>
      </c>
      <c r="M98" s="198">
        <f>IF(K98&gt;28, (28+28*M$97/100)-K98,K98-(28-28*M$97/100))</f>
        <v>8.0000000000001847E-2</v>
      </c>
      <c r="N98" s="117">
        <f>D98-K98</f>
        <v>0.39999999999999858</v>
      </c>
      <c r="O98" s="282">
        <v>27.58</v>
      </c>
      <c r="P98" s="198">
        <f>IF(O98&gt;28, (28+28*P$97/100)-O98,O98-(28-28*P$97/100))</f>
        <v>0.27999999999999758</v>
      </c>
      <c r="Q98" s="198">
        <f>IF(O98&gt;28, (28+28*Q$97/100)-O98,O98-(28-28*Q$97/100))</f>
        <v>-0.14000000000000057</v>
      </c>
      <c r="R98" s="332">
        <f>D98-O98</f>
        <v>0.62000000000000099</v>
      </c>
      <c r="T98" t="s">
        <v>137</v>
      </c>
      <c r="V98">
        <v>4.99</v>
      </c>
      <c r="W98">
        <v>28.01</v>
      </c>
    </row>
    <row r="99" spans="2:25" x14ac:dyDescent="0.3">
      <c r="C99" s="315" t="s">
        <v>73</v>
      </c>
      <c r="D99" s="122">
        <f>D98+$E$95</f>
        <v>28.279999999999998</v>
      </c>
      <c r="E99" s="196">
        <f>IF(D99&gt;28, (28+28*E$97/100)-D99,D99-(28-28*E$97/100))</f>
        <v>0.42000000000000171</v>
      </c>
      <c r="F99" s="208">
        <f>IF(D99&gt;28, (28+28*F$97/100)-D99,D99-(28-28*F$97/100))</f>
        <v>3.5527136788005009E-15</v>
      </c>
      <c r="G99" s="314">
        <f>G98+$E$95</f>
        <v>28.279999999999998</v>
      </c>
      <c r="H99" s="196">
        <f>IF(G99&gt;28, (28+28*H$97/100)-G99,G99-(28-28*H$97/100))</f>
        <v>0.42000000000000171</v>
      </c>
      <c r="I99" s="196">
        <f>IF(G99&gt;28, (28+28*I$97/100)-G99,G99-(28-28*I$97/100))</f>
        <v>3.5527136788005009E-15</v>
      </c>
      <c r="J99" s="120">
        <f>D99-G99</f>
        <v>0</v>
      </c>
      <c r="K99" s="122">
        <f>K98+$E$95</f>
        <v>27.88</v>
      </c>
      <c r="L99" s="196">
        <f>IF(K99&gt;28, (28+28*L$97/100)-K99,K99-(28-28*L$97/100))</f>
        <v>0.57999999999999829</v>
      </c>
      <c r="M99" s="196">
        <f>IF(K99&gt;28, (28+28*M$97/100)-K99,K99-(28-28*M$97/100))</f>
        <v>0.16000000000000014</v>
      </c>
      <c r="N99" s="107">
        <f>D99-K99</f>
        <v>0.39999999999999858</v>
      </c>
      <c r="O99" s="122"/>
      <c r="P99" s="196">
        <f>IF(O99&gt;28, (28+28*P$97/100)-O99,O99-(28-28*P$97/100))</f>
        <v>-27.3</v>
      </c>
      <c r="Q99" s="196">
        <f>IF(O99&gt;28, (28+28*Q$97/100)-O99,O99-(28-28*Q$97/100))</f>
        <v>-27.72</v>
      </c>
      <c r="R99" s="333">
        <f>H99-O99</f>
        <v>0.42000000000000171</v>
      </c>
      <c r="T99" t="s">
        <v>139</v>
      </c>
      <c r="V99">
        <f>(5*5)/(V93*1000)</f>
        <v>1.6666666666666666E-4</v>
      </c>
      <c r="W99">
        <f>(28*28)/(W93*1000)</f>
        <v>5.2301534356237489E-4</v>
      </c>
      <c r="Y99">
        <f>(28*28)/(Y93*1000)</f>
        <v>1.1529411764705883E-4</v>
      </c>
    </row>
    <row r="100" spans="2:25" ht="17.25" thickBot="1" x14ac:dyDescent="0.35">
      <c r="C100" s="162" t="s">
        <v>228</v>
      </c>
      <c r="D100" s="123">
        <v>28.61</v>
      </c>
      <c r="E100" s="197">
        <f>IF(D100&gt;28, (28+28*E$97/100)-D100,D100-(28-28*E$97/100))</f>
        <v>8.9999999999999858E-2</v>
      </c>
      <c r="F100" s="216">
        <f>IF(D100&gt;28, (28+28*F$97/100)-D100,D100-(28-28*F$97/100))</f>
        <v>-0.32999999999999829</v>
      </c>
      <c r="G100" s="234">
        <v>28.61</v>
      </c>
      <c r="H100" s="197">
        <f>IF(G100&gt;28, (28+28*H$97/100)-G100,G100-(28-28*H$97/100))</f>
        <v>8.9999999999999858E-2</v>
      </c>
      <c r="I100" s="197">
        <f>IF(G100&gt;28, (28+28*I$97/100)-G100,G100-(28-28*I$97/100))</f>
        <v>-0.32999999999999829</v>
      </c>
      <c r="J100" s="121">
        <f>D100-G100</f>
        <v>0</v>
      </c>
      <c r="K100" s="123">
        <v>28.24</v>
      </c>
      <c r="L100" s="197">
        <f>IF(K100&gt;28, (28+28*L$97/100)-K100,K100-(28-28*L$97/100))</f>
        <v>0.46000000000000085</v>
      </c>
      <c r="M100" s="197">
        <f>IF(K100&gt;28, (28+28*M$97/100)-K100,K100-(28-28*M$97/100))</f>
        <v>4.00000000000027E-2</v>
      </c>
      <c r="N100" s="110">
        <f>D100-K100</f>
        <v>0.37000000000000099</v>
      </c>
      <c r="O100" s="123"/>
      <c r="P100" s="197">
        <f>IF(O100&gt;28, (28+28*P$97/100)-O100,O100-(28-28*P$97/100))</f>
        <v>-27.3</v>
      </c>
      <c r="Q100" s="197">
        <f>IF(O100&gt;28, (28+28*Q$97/100)-O100,O100-(28-28*Q$97/100))</f>
        <v>-27.72</v>
      </c>
      <c r="R100" s="334">
        <f>H100-O100</f>
        <v>8.9999999999999858E-2</v>
      </c>
    </row>
    <row r="102" spans="2:25" ht="17.25" thickBot="1" x14ac:dyDescent="0.35">
      <c r="C102" s="103" t="s">
        <v>225</v>
      </c>
    </row>
    <row r="103" spans="2:25" ht="17.25" thickBot="1" x14ac:dyDescent="0.35">
      <c r="C103" s="300" t="s">
        <v>221</v>
      </c>
      <c r="D103" s="301"/>
      <c r="E103" s="302">
        <v>0.09</v>
      </c>
      <c r="F103" s="303" t="s">
        <v>222</v>
      </c>
      <c r="X103" t="s">
        <v>141</v>
      </c>
    </row>
    <row r="104" spans="2:25" x14ac:dyDescent="0.3">
      <c r="C104" s="980" t="s">
        <v>146</v>
      </c>
      <c r="D104" s="982" t="s">
        <v>126</v>
      </c>
      <c r="E104" s="983"/>
      <c r="F104" s="983"/>
      <c r="G104" s="984" t="s">
        <v>144</v>
      </c>
      <c r="H104" s="985"/>
      <c r="I104" s="985"/>
      <c r="J104" s="986"/>
      <c r="K104" s="985" t="s">
        <v>145</v>
      </c>
      <c r="L104" s="985"/>
      <c r="M104" s="985"/>
      <c r="N104" s="986"/>
      <c r="O104" s="984" t="s">
        <v>231</v>
      </c>
      <c r="P104" s="985"/>
      <c r="Q104" s="985"/>
      <c r="R104" s="986"/>
      <c r="Y104" t="s">
        <v>140</v>
      </c>
    </row>
    <row r="105" spans="2:25" ht="17.25" thickBot="1" x14ac:dyDescent="0.35">
      <c r="C105" s="981"/>
      <c r="D105" s="322" t="s">
        <v>125</v>
      </c>
      <c r="E105" s="320">
        <v>2.5</v>
      </c>
      <c r="F105" s="320">
        <v>1</v>
      </c>
      <c r="G105" s="132" t="s">
        <v>76</v>
      </c>
      <c r="H105" s="320">
        <v>2.5</v>
      </c>
      <c r="I105" s="320">
        <v>1</v>
      </c>
      <c r="J105" s="130" t="s">
        <v>130</v>
      </c>
      <c r="K105" s="129" t="s">
        <v>76</v>
      </c>
      <c r="L105" s="320">
        <v>2.5</v>
      </c>
      <c r="M105" s="320">
        <v>1</v>
      </c>
      <c r="N105" s="130" t="s">
        <v>130</v>
      </c>
      <c r="O105" s="129" t="s">
        <v>76</v>
      </c>
      <c r="P105" s="320">
        <v>2.5</v>
      </c>
      <c r="Q105" s="320">
        <v>1</v>
      </c>
      <c r="R105" s="130" t="s">
        <v>130</v>
      </c>
      <c r="X105" t="s">
        <v>143</v>
      </c>
    </row>
    <row r="106" spans="2:25" x14ac:dyDescent="0.3">
      <c r="C106" s="319" t="s">
        <v>67</v>
      </c>
      <c r="D106" s="164">
        <v>27.94</v>
      </c>
      <c r="E106" s="198">
        <f>IF(D106&gt;28, (28+28*E$97/100)-D106,D106-(28-28*E$97/100))</f>
        <v>0.64000000000000057</v>
      </c>
      <c r="F106" s="198">
        <f>IF(D106&gt;28, (28+28*F$97/100)-D106,D106-(28-28*F$97/100))</f>
        <v>0.22000000000000242</v>
      </c>
      <c r="G106" s="139">
        <v>27.94</v>
      </c>
      <c r="H106" s="198">
        <f>IF(G106&gt;28, (28+28*H$97/100)-G106,G106-(28-28*H$97/100))</f>
        <v>0.64000000000000057</v>
      </c>
      <c r="I106" s="198">
        <f>IF(G106&gt;28, (28+28*I$97/100)-G106,G106-(28-28*I$97/100))</f>
        <v>0.22000000000000242</v>
      </c>
      <c r="J106" s="117">
        <f>D106-G106</f>
        <v>0</v>
      </c>
      <c r="K106" s="116">
        <v>27.92</v>
      </c>
      <c r="L106" s="198">
        <f>IF(K106&gt;28, (28+28*L$97/100)-K106,K106-(28-28*L$97/100))</f>
        <v>0.62000000000000099</v>
      </c>
      <c r="M106" s="198">
        <f>IF(K106&gt;28, (28+28*M$97/100)-K106,K106-(28-28*M$97/100))</f>
        <v>0.20000000000000284</v>
      </c>
      <c r="N106" s="117">
        <f>D106-K106</f>
        <v>1.9999999999999574E-2</v>
      </c>
      <c r="O106" s="116">
        <v>27.91</v>
      </c>
      <c r="P106" s="198">
        <f>IF(O106&gt;28, (28+28*P$97/100)-O106,O106-(28-28*P$97/100))</f>
        <v>0.60999999999999943</v>
      </c>
      <c r="Q106" s="198">
        <f>IF(O106&gt;28, (28+28*Q$97/100)-O106,O106-(28-28*Q$97/100))</f>
        <v>0.19000000000000128</v>
      </c>
      <c r="R106" s="117">
        <f>H106-O106</f>
        <v>-27.27</v>
      </c>
      <c r="Y106" t="s">
        <v>142</v>
      </c>
    </row>
    <row r="107" spans="2:25" x14ac:dyDescent="0.3">
      <c r="C107" s="316" t="s">
        <v>73</v>
      </c>
      <c r="D107" s="233">
        <v>28.03</v>
      </c>
      <c r="E107" s="196">
        <f>IF(D107&gt;28, (28+28*E$97/100)-D107,D107-(28-28*E$97/100))</f>
        <v>0.66999999999999815</v>
      </c>
      <c r="F107" s="196">
        <f>IF(D107&gt;28, (28+28*F$97/100)-D107,D107-(28-28*F$97/100))</f>
        <v>0.25</v>
      </c>
      <c r="G107" s="104">
        <f>D107</f>
        <v>28.03</v>
      </c>
      <c r="H107" s="196">
        <f>IF(G107&gt;28, (28+28*H$97/100)-G107,G107-(28-28*H$97/100))</f>
        <v>0.66999999999999815</v>
      </c>
      <c r="I107" s="196">
        <f>IF(G107&gt;28, (28+28*I$97/100)-G107,G107-(28-28*I$97/100))</f>
        <v>0.25</v>
      </c>
      <c r="J107" s="107">
        <f>D107-G107</f>
        <v>0</v>
      </c>
      <c r="K107" s="106">
        <f>G107-N106</f>
        <v>28.01</v>
      </c>
      <c r="L107" s="196">
        <f>IF(K107&gt;28, (28+28*L$97/100)-K107,K107-(28-28*L$97/100))</f>
        <v>0.68999999999999773</v>
      </c>
      <c r="M107" s="196">
        <f>IF(K107&gt;28, (28+28*M$97/100)-K107,K107-(28-28*M$97/100))</f>
        <v>0.26999999999999957</v>
      </c>
      <c r="N107" s="107">
        <f>D107-K107</f>
        <v>1.9999999999999574E-2</v>
      </c>
      <c r="O107" s="106"/>
      <c r="P107" s="196">
        <f>IF(O107&gt;28, (28+28*P$97/100)-O107,O107-(28-28*P$97/100))</f>
        <v>-27.3</v>
      </c>
      <c r="Q107" s="196">
        <f>IF(O107&gt;28, (28+28*Q$97/100)-O107,O107-(28-28*Q$97/100))</f>
        <v>-27.72</v>
      </c>
      <c r="R107" s="107">
        <f>H107-O107</f>
        <v>0.66999999999999815</v>
      </c>
    </row>
    <row r="108" spans="2:25" ht="17.25" thickBot="1" x14ac:dyDescent="0.35">
      <c r="C108" s="317"/>
      <c r="D108" s="165"/>
      <c r="E108" s="197"/>
      <c r="F108" s="197"/>
      <c r="G108" s="118"/>
      <c r="H108" s="197"/>
      <c r="I108" s="197"/>
      <c r="J108" s="110">
        <f>D108-G108</f>
        <v>0</v>
      </c>
      <c r="K108" s="109"/>
      <c r="L108" s="197"/>
      <c r="M108" s="197"/>
      <c r="N108" s="110"/>
      <c r="O108" s="109"/>
      <c r="P108" s="197"/>
      <c r="Q108" s="197"/>
      <c r="R108" s="110"/>
    </row>
    <row r="110" spans="2:25" x14ac:dyDescent="0.3">
      <c r="C110" s="172"/>
      <c r="D110" s="172"/>
      <c r="E110" s="172"/>
      <c r="F110" s="219"/>
      <c r="G110" s="172"/>
      <c r="H110" s="172"/>
    </row>
    <row r="111" spans="2:25" x14ac:dyDescent="0.3">
      <c r="J111" s="174"/>
    </row>
    <row r="112" spans="2:25" ht="16.5" customHeight="1" x14ac:dyDescent="0.3">
      <c r="B112" s="103" t="s">
        <v>232</v>
      </c>
    </row>
    <row r="113" spans="3:28" ht="17.25" thickBot="1" x14ac:dyDescent="0.35">
      <c r="C113" s="103" t="s">
        <v>223</v>
      </c>
    </row>
    <row r="114" spans="3:28" ht="17.25" thickBot="1" x14ac:dyDescent="0.35">
      <c r="C114" s="300" t="s">
        <v>221</v>
      </c>
      <c r="D114" s="301"/>
      <c r="E114" s="224">
        <v>0.11</v>
      </c>
      <c r="F114" s="303" t="s">
        <v>222</v>
      </c>
    </row>
    <row r="115" spans="3:28" ht="16.5" customHeight="1" thickBot="1" x14ac:dyDescent="0.35">
      <c r="C115" s="978" t="s">
        <v>211</v>
      </c>
      <c r="D115" s="994" t="s">
        <v>212</v>
      </c>
      <c r="E115" s="984" t="s">
        <v>126</v>
      </c>
      <c r="F115" s="985"/>
      <c r="G115" s="991"/>
      <c r="H115" s="982" t="s">
        <v>144</v>
      </c>
      <c r="I115" s="985"/>
      <c r="J115" s="996"/>
      <c r="K115" s="984" t="s">
        <v>145</v>
      </c>
      <c r="L115" s="985"/>
      <c r="M115" s="991"/>
      <c r="N115" s="984" t="s">
        <v>230</v>
      </c>
      <c r="O115" s="985"/>
      <c r="P115" s="991"/>
      <c r="T115" s="965"/>
      <c r="U115" s="966"/>
      <c r="V115" s="127" t="s">
        <v>117</v>
      </c>
      <c r="W115" s="127" t="s">
        <v>134</v>
      </c>
      <c r="X115" s="127" t="s">
        <v>134</v>
      </c>
      <c r="Y115" s="127" t="s">
        <v>136</v>
      </c>
      <c r="Z115" s="127" t="s">
        <v>136</v>
      </c>
      <c r="AA115" s="128" t="s">
        <v>136</v>
      </c>
      <c r="AB115" s="128" t="s">
        <v>88</v>
      </c>
    </row>
    <row r="116" spans="3:28" ht="17.25" thickBot="1" x14ac:dyDescent="0.35">
      <c r="C116" s="979"/>
      <c r="D116" s="995"/>
      <c r="E116" s="324" t="s">
        <v>125</v>
      </c>
      <c r="F116" s="195">
        <v>2.5</v>
      </c>
      <c r="G116" s="200">
        <v>1</v>
      </c>
      <c r="H116" s="311" t="s">
        <v>76</v>
      </c>
      <c r="I116" s="195">
        <v>2.5</v>
      </c>
      <c r="J116" s="276">
        <v>1</v>
      </c>
      <c r="K116" s="324" t="s">
        <v>76</v>
      </c>
      <c r="L116" s="195">
        <v>2.5</v>
      </c>
      <c r="M116" s="200">
        <v>1</v>
      </c>
      <c r="N116" s="324" t="s">
        <v>76</v>
      </c>
      <c r="O116" s="195">
        <v>2.5</v>
      </c>
      <c r="P116" s="200">
        <v>1</v>
      </c>
      <c r="T116" s="962" t="s">
        <v>227</v>
      </c>
      <c r="U116" s="961"/>
      <c r="V116" s="116">
        <v>5.01</v>
      </c>
      <c r="W116" s="116">
        <v>28.15</v>
      </c>
      <c r="X116" s="116">
        <v>28.2</v>
      </c>
      <c r="Y116" s="116">
        <v>27.94</v>
      </c>
      <c r="Z116" s="116">
        <v>27.8</v>
      </c>
      <c r="AA116" s="117">
        <v>27.8</v>
      </c>
      <c r="AB116" s="117" t="s">
        <v>76</v>
      </c>
    </row>
    <row r="117" spans="3:28" ht="17.25" customHeight="1" thickTop="1" x14ac:dyDescent="0.3">
      <c r="C117" s="175">
        <v>3</v>
      </c>
      <c r="D117" s="306">
        <v>157</v>
      </c>
      <c r="E117" s="139">
        <v>5.01</v>
      </c>
      <c r="F117" s="198">
        <f>IF(E117&gt;5, (5+5*F$116/100)-E117,E117-(5-5*F$116/100))</f>
        <v>0.11500000000000021</v>
      </c>
      <c r="G117" s="194">
        <f>IF(E117&gt;5, (5+5*G$116/100)-E117,E117-(5-5*G$116/100))</f>
        <v>4.0000000000000036E-2</v>
      </c>
      <c r="H117" s="164">
        <v>4.9800000000000004</v>
      </c>
      <c r="I117" s="198">
        <f>IF(H117&gt;5, (5+5*I$116/100)-H117,H117-(5-5*I$116/100))</f>
        <v>0.10500000000000043</v>
      </c>
      <c r="J117" s="194">
        <f t="shared" ref="J117:J128" si="38">IF(H117&gt;5, (5+5*J$116/100)-H117,H117-(5-5*J$116/100))</f>
        <v>3.0000000000000249E-2</v>
      </c>
      <c r="K117" s="139">
        <v>4.96</v>
      </c>
      <c r="L117" s="198">
        <f>IF(K117&gt;5, (5+5*L$116/100)-K117,K117-(5-5*L$116/100))</f>
        <v>8.4999999999999964E-2</v>
      </c>
      <c r="M117" s="194">
        <f t="shared" ref="M117:M128" si="39">IF(K117&gt;5, (5+5*M$116/100)-K117,K117-(5-5*M$116/100))</f>
        <v>9.9999999999997868E-3</v>
      </c>
      <c r="N117" s="139"/>
      <c r="O117" s="198">
        <f>IF(N117&gt;5, (5+5*O$116/100)-N117,N117-(5-5*O$116/100))</f>
        <v>-4.875</v>
      </c>
      <c r="P117" s="194">
        <f t="shared" ref="P117:P128" si="40">IF(N117&gt;5, (5+5*P$116/100)-N117,N117-(5-5*P$116/100))</f>
        <v>-4.95</v>
      </c>
      <c r="T117" s="962" t="s">
        <v>137</v>
      </c>
      <c r="U117" s="961"/>
      <c r="V117" s="116">
        <v>4.8600000000000003</v>
      </c>
      <c r="W117" s="116">
        <v>27.6</v>
      </c>
      <c r="X117" s="116">
        <v>27.6</v>
      </c>
      <c r="Y117" s="116">
        <v>27.91</v>
      </c>
      <c r="Z117" s="116">
        <v>27.91</v>
      </c>
      <c r="AA117" s="117">
        <v>27.91</v>
      </c>
      <c r="AB117" s="107" t="s">
        <v>76</v>
      </c>
    </row>
    <row r="118" spans="3:28" x14ac:dyDescent="0.3">
      <c r="C118" s="176">
        <v>5.7</v>
      </c>
      <c r="D118" s="120">
        <v>216</v>
      </c>
      <c r="E118" s="104">
        <v>5.01</v>
      </c>
      <c r="F118" s="198">
        <f>IF(E118&gt;5, (5+5*F$116/100)-E118,E118-(5-5*F$116/100))</f>
        <v>0.11500000000000021</v>
      </c>
      <c r="G118" s="194">
        <f>IF(E118&gt;5, (5+5*G$116/100)-E118,E118-(5-5*G$116/100))</f>
        <v>4.0000000000000036E-2</v>
      </c>
      <c r="H118" s="233">
        <v>4.97</v>
      </c>
      <c r="I118" s="198">
        <f>IF(H118&gt;5, (5+5*I$116/100)-H118,H118-(5-5*I$116/100))</f>
        <v>9.4999999999999751E-2</v>
      </c>
      <c r="J118" s="194">
        <f t="shared" si="38"/>
        <v>1.9999999999999574E-2</v>
      </c>
      <c r="K118" s="104">
        <v>4.9400000000000004</v>
      </c>
      <c r="L118" s="198">
        <f>IF(K118&gt;5, (5+5*L$116/100)-K118,K118-(5-5*L$116/100))</f>
        <v>6.5000000000000391E-2</v>
      </c>
      <c r="M118" s="194">
        <f t="shared" si="39"/>
        <v>-9.9999999999997868E-3</v>
      </c>
      <c r="N118" s="104"/>
      <c r="O118" s="198">
        <f>IF(N118&gt;5, (5+5*O$116/100)-N118,N118-(5-5*O$116/100))</f>
        <v>-4.875</v>
      </c>
      <c r="P118" s="194">
        <f t="shared" si="40"/>
        <v>-4.95</v>
      </c>
      <c r="T118" s="962" t="s">
        <v>235</v>
      </c>
      <c r="U118" s="961"/>
      <c r="V118" s="210">
        <f>(5-V117)/5*100</f>
        <v>2.7999999999999936</v>
      </c>
      <c r="W118" s="210">
        <f>(28-W117)/28*100</f>
        <v>1.4285714285714235</v>
      </c>
      <c r="X118" s="210">
        <f>(28-X117)/28*100</f>
        <v>1.4285714285714235</v>
      </c>
      <c r="Y118" s="210">
        <f>(28-Y117)/28*100</f>
        <v>0.3214285714285709</v>
      </c>
      <c r="Z118" s="210">
        <f>(28-Z117)/28*100</f>
        <v>0.3214285714285709</v>
      </c>
      <c r="AA118" s="158">
        <f>(28-AA117)/28*100</f>
        <v>0.3214285714285709</v>
      </c>
      <c r="AB118" s="107"/>
    </row>
    <row r="119" spans="3:28" x14ac:dyDescent="0.3">
      <c r="C119" s="202">
        <v>8</v>
      </c>
      <c r="D119" s="307">
        <v>270</v>
      </c>
      <c r="E119" s="104">
        <v>5.01</v>
      </c>
      <c r="F119" s="196"/>
      <c r="G119" s="208"/>
      <c r="H119" s="233">
        <v>4.96</v>
      </c>
      <c r="I119" s="198">
        <f t="shared" ref="I119:I124" si="41">IF(H119&gt;5, (5+5*I$116/100)-H119,H119-(5-5*I$116/100))</f>
        <v>8.4999999999999964E-2</v>
      </c>
      <c r="J119" s="194">
        <f t="shared" si="38"/>
        <v>9.9999999999997868E-3</v>
      </c>
      <c r="K119" s="104">
        <v>4.92</v>
      </c>
      <c r="L119" s="198">
        <f t="shared" ref="L119:L124" si="42">IF(K119&gt;5, (5+5*L$116/100)-K119,K119-(5-5*L$116/100))</f>
        <v>4.4999999999999929E-2</v>
      </c>
      <c r="M119" s="194">
        <f t="shared" si="39"/>
        <v>-3.0000000000000249E-2</v>
      </c>
      <c r="N119" s="104"/>
      <c r="O119" s="198">
        <f t="shared" ref="O119:O124" si="43">IF(N119&gt;5, (5+5*O$116/100)-N119,N119-(5-5*O$116/100))</f>
        <v>-4.875</v>
      </c>
      <c r="P119" s="194">
        <f t="shared" si="40"/>
        <v>-4.95</v>
      </c>
      <c r="T119" s="962" t="s">
        <v>132</v>
      </c>
      <c r="U119" s="961"/>
      <c r="V119" s="209">
        <f>5-V117</f>
        <v>0.13999999999999968</v>
      </c>
      <c r="W119" s="209">
        <f>28-W117</f>
        <v>0.39999999999999858</v>
      </c>
      <c r="X119" s="209">
        <f>28-X117</f>
        <v>0.39999999999999858</v>
      </c>
      <c r="Y119" s="209">
        <f>28-Y117</f>
        <v>8.9999999999999858E-2</v>
      </c>
      <c r="Z119" s="209">
        <f>28-Z117</f>
        <v>8.9999999999999858E-2</v>
      </c>
      <c r="AA119" s="217">
        <f>28-AA117</f>
        <v>8.9999999999999858E-2</v>
      </c>
      <c r="AB119" s="107" t="s">
        <v>76</v>
      </c>
    </row>
    <row r="120" spans="3:28" x14ac:dyDescent="0.3">
      <c r="C120" s="176">
        <v>10</v>
      </c>
      <c r="D120" s="120">
        <v>310</v>
      </c>
      <c r="E120" s="104">
        <v>5.01</v>
      </c>
      <c r="F120" s="196"/>
      <c r="G120" s="208"/>
      <c r="H120" s="233">
        <v>4.95</v>
      </c>
      <c r="I120" s="198">
        <f t="shared" si="41"/>
        <v>7.5000000000000178E-2</v>
      </c>
      <c r="J120" s="194">
        <f t="shared" si="38"/>
        <v>0</v>
      </c>
      <c r="K120" s="104">
        <v>4.9000000000000004</v>
      </c>
      <c r="L120" s="198">
        <f t="shared" si="42"/>
        <v>2.5000000000000355E-2</v>
      </c>
      <c r="M120" s="194">
        <f t="shared" si="39"/>
        <v>-4.9999999999999822E-2</v>
      </c>
      <c r="N120" s="104"/>
      <c r="O120" s="198">
        <f t="shared" si="43"/>
        <v>-4.875</v>
      </c>
      <c r="P120" s="194">
        <f t="shared" si="40"/>
        <v>-4.95</v>
      </c>
      <c r="T120" s="972" t="s">
        <v>81</v>
      </c>
      <c r="U120" s="973"/>
      <c r="V120" s="116">
        <f t="shared" ref="V120:AA120" si="44">V116</f>
        <v>5.01</v>
      </c>
      <c r="W120" s="116">
        <f t="shared" si="44"/>
        <v>28.15</v>
      </c>
      <c r="X120" s="116">
        <f t="shared" si="44"/>
        <v>28.2</v>
      </c>
      <c r="Y120" s="116">
        <f t="shared" si="44"/>
        <v>27.94</v>
      </c>
      <c r="Z120" s="116">
        <f t="shared" si="44"/>
        <v>27.8</v>
      </c>
      <c r="AA120" s="117">
        <f t="shared" si="44"/>
        <v>27.8</v>
      </c>
      <c r="AB120" s="107" t="s">
        <v>76</v>
      </c>
    </row>
    <row r="121" spans="3:28" x14ac:dyDescent="0.3">
      <c r="C121" s="205">
        <v>12</v>
      </c>
      <c r="D121" s="308">
        <v>360</v>
      </c>
      <c r="E121" s="104">
        <v>5.01</v>
      </c>
      <c r="F121" s="196"/>
      <c r="G121" s="208"/>
      <c r="H121" s="233">
        <v>4.9400000000000004</v>
      </c>
      <c r="I121" s="198">
        <f t="shared" si="41"/>
        <v>6.5000000000000391E-2</v>
      </c>
      <c r="J121" s="194">
        <f t="shared" si="38"/>
        <v>-9.9999999999997868E-3</v>
      </c>
      <c r="K121" s="104">
        <v>4.88</v>
      </c>
      <c r="L121" s="198">
        <f t="shared" si="42"/>
        <v>4.9999999999998934E-3</v>
      </c>
      <c r="M121" s="194">
        <f t="shared" si="39"/>
        <v>-7.0000000000000284E-2</v>
      </c>
      <c r="N121" s="104"/>
      <c r="O121" s="198">
        <f t="shared" si="43"/>
        <v>-4.875</v>
      </c>
      <c r="P121" s="194">
        <f t="shared" si="40"/>
        <v>-4.95</v>
      </c>
      <c r="T121" s="960" t="s">
        <v>82</v>
      </c>
      <c r="U121" s="961"/>
      <c r="V121" s="106">
        <v>5.1100000000000003</v>
      </c>
      <c r="W121" s="106">
        <f>W120+W119</f>
        <v>28.549999999999997</v>
      </c>
      <c r="X121" s="106">
        <v>28.28</v>
      </c>
      <c r="Y121" s="106">
        <v>28.03</v>
      </c>
      <c r="Z121" s="106">
        <f>Z120+Z119</f>
        <v>27.89</v>
      </c>
      <c r="AA121" s="107">
        <f>AA120+AA119</f>
        <v>27.89</v>
      </c>
      <c r="AB121" s="107" t="s">
        <v>76</v>
      </c>
    </row>
    <row r="122" spans="3:28" x14ac:dyDescent="0.3">
      <c r="C122" s="336">
        <v>14</v>
      </c>
      <c r="D122" s="337">
        <v>400</v>
      </c>
      <c r="E122" s="338">
        <v>5.01</v>
      </c>
      <c r="F122" s="339"/>
      <c r="G122" s="340"/>
      <c r="H122" s="341">
        <v>4.93</v>
      </c>
      <c r="I122" s="342">
        <f t="shared" si="41"/>
        <v>5.4999999999999716E-2</v>
      </c>
      <c r="J122" s="343">
        <f t="shared" si="38"/>
        <v>-2.0000000000000462E-2</v>
      </c>
      <c r="K122" s="338">
        <v>4.8600000000000003</v>
      </c>
      <c r="L122" s="342">
        <f t="shared" si="42"/>
        <v>-1.499999999999968E-2</v>
      </c>
      <c r="M122" s="343">
        <f t="shared" si="39"/>
        <v>-8.9999999999999858E-2</v>
      </c>
      <c r="N122" s="338">
        <v>4.8600000000000003</v>
      </c>
      <c r="O122" s="342">
        <f t="shared" si="43"/>
        <v>-1.499999999999968E-2</v>
      </c>
      <c r="P122" s="343">
        <f t="shared" si="40"/>
        <v>-8.9999999999999858E-2</v>
      </c>
      <c r="T122" s="962" t="s">
        <v>83</v>
      </c>
      <c r="U122" s="961"/>
      <c r="V122" s="112">
        <f t="shared" ref="V122:AA122" si="45">ABS((V120-V121)/V120)*100</f>
        <v>1.9960079840319469</v>
      </c>
      <c r="W122" s="112">
        <f t="shared" si="45"/>
        <v>1.4209591474245065</v>
      </c>
      <c r="X122" s="112">
        <f t="shared" si="45"/>
        <v>0.28368794326241792</v>
      </c>
      <c r="Y122" s="112">
        <f t="shared" si="45"/>
        <v>0.32211882605583336</v>
      </c>
      <c r="Z122" s="112">
        <f t="shared" si="45"/>
        <v>0.32374100719424409</v>
      </c>
      <c r="AA122" s="218">
        <f t="shared" si="45"/>
        <v>0.32374100719424409</v>
      </c>
      <c r="AB122" s="107" t="s">
        <v>84</v>
      </c>
    </row>
    <row r="123" spans="3:28" ht="17.25" thickBot="1" x14ac:dyDescent="0.35">
      <c r="C123" s="344">
        <v>16</v>
      </c>
      <c r="D123" s="345">
        <v>450</v>
      </c>
      <c r="E123" s="347">
        <v>5.01</v>
      </c>
      <c r="F123" s="197"/>
      <c r="G123" s="216"/>
      <c r="H123" s="346">
        <v>4.92</v>
      </c>
      <c r="I123" s="304">
        <f t="shared" si="41"/>
        <v>4.4999999999999929E-2</v>
      </c>
      <c r="J123" s="348">
        <f t="shared" si="38"/>
        <v>-3.0000000000000249E-2</v>
      </c>
      <c r="K123" s="347">
        <v>4.84</v>
      </c>
      <c r="L123" s="304">
        <f t="shared" si="42"/>
        <v>-3.5000000000000142E-2</v>
      </c>
      <c r="M123" s="348">
        <f t="shared" si="39"/>
        <v>-0.11000000000000032</v>
      </c>
      <c r="N123" s="347"/>
      <c r="O123" s="304">
        <f t="shared" si="43"/>
        <v>-4.875</v>
      </c>
      <c r="P123" s="348">
        <f t="shared" si="40"/>
        <v>-4.95</v>
      </c>
      <c r="T123" s="974" t="s">
        <v>85</v>
      </c>
      <c r="U123" s="975"/>
      <c r="V123" s="354">
        <f t="shared" ref="V123:AA123" si="46">((100+V122)/V122)*(V120/1.225-0.909)</f>
        <v>162.53867142857055</v>
      </c>
      <c r="W123" s="354">
        <f t="shared" si="46"/>
        <v>1575.2884923469444</v>
      </c>
      <c r="X123" s="354">
        <f t="shared" si="46"/>
        <v>7816.3827857141059</v>
      </c>
      <c r="Y123" s="354">
        <f t="shared" si="46"/>
        <v>6820.3727369614626</v>
      </c>
      <c r="Z123" s="354">
        <f t="shared" si="46"/>
        <v>6750.8914988662236</v>
      </c>
      <c r="AA123" s="355">
        <f t="shared" si="46"/>
        <v>6750.8914988662236</v>
      </c>
      <c r="AB123" s="186" t="s">
        <v>86</v>
      </c>
    </row>
    <row r="124" spans="3:28" ht="17.25" thickBot="1" x14ac:dyDescent="0.35">
      <c r="C124" s="353" t="s">
        <v>233</v>
      </c>
      <c r="D124" s="349"/>
      <c r="E124" s="350">
        <f>E122+$E$114</f>
        <v>5.12</v>
      </c>
      <c r="F124" s="351">
        <f>IF(E124&gt;5, (5+5*F$116/100)-E124,E124-(5-5*F$116/100))</f>
        <v>4.9999999999998934E-3</v>
      </c>
      <c r="G124" s="352">
        <f>IF(E124&gt;5, (5+5*G$116/100)-E124,E124-(5-5*G$116/100))</f>
        <v>-7.0000000000000284E-2</v>
      </c>
      <c r="H124" s="350">
        <f>H122+$E$114</f>
        <v>5.04</v>
      </c>
      <c r="I124" s="351">
        <f t="shared" si="41"/>
        <v>8.4999999999999964E-2</v>
      </c>
      <c r="J124" s="352">
        <f t="shared" si="38"/>
        <v>9.9999999999997868E-3</v>
      </c>
      <c r="K124" s="350">
        <f>K122+$E$114</f>
        <v>4.9700000000000006</v>
      </c>
      <c r="L124" s="351">
        <f t="shared" si="42"/>
        <v>9.5000000000000639E-2</v>
      </c>
      <c r="M124" s="352">
        <f t="shared" si="39"/>
        <v>2.0000000000000462E-2</v>
      </c>
      <c r="N124" s="350">
        <f>N122+$E$114</f>
        <v>4.9700000000000006</v>
      </c>
      <c r="O124" s="351">
        <f t="shared" si="43"/>
        <v>9.5000000000000639E-2</v>
      </c>
      <c r="P124" s="352">
        <f t="shared" si="40"/>
        <v>2.0000000000000462E-2</v>
      </c>
      <c r="T124" s="976" t="s">
        <v>85</v>
      </c>
      <c r="U124" s="977"/>
      <c r="V124" s="183">
        <v>150</v>
      </c>
      <c r="W124" s="183">
        <v>1499</v>
      </c>
      <c r="X124" s="183">
        <v>7800</v>
      </c>
      <c r="Y124" s="183">
        <v>6800</v>
      </c>
      <c r="Z124" s="183">
        <v>6800</v>
      </c>
      <c r="AA124" s="183">
        <v>6800</v>
      </c>
      <c r="AB124" s="186" t="s">
        <v>86</v>
      </c>
    </row>
    <row r="125" spans="3:28" x14ac:dyDescent="0.3">
      <c r="C125" s="363">
        <v>3</v>
      </c>
      <c r="D125" s="364">
        <v>162</v>
      </c>
      <c r="E125" s="365">
        <v>5.1100000000000003</v>
      </c>
      <c r="F125" s="366">
        <f>IF(E125&gt;5, (5+5*F$116/100)-E125,E125-(5-5*F$116/100))</f>
        <v>1.499999999999968E-2</v>
      </c>
      <c r="G125" s="367">
        <f>IF(E125&gt;5, (5+5*G$116/100)-E125,E125-(5-5*G$116/100))</f>
        <v>-6.0000000000000497E-2</v>
      </c>
      <c r="H125" s="368">
        <v>5.09</v>
      </c>
      <c r="I125" s="366">
        <f>IF(H125&gt;5, (5+5*I$116/100)-H125,H125-(5-5*I$116/100))</f>
        <v>3.5000000000000142E-2</v>
      </c>
      <c r="J125" s="367">
        <f t="shared" si="38"/>
        <v>-4.0000000000000036E-2</v>
      </c>
      <c r="K125" s="365">
        <v>5.07</v>
      </c>
      <c r="L125" s="366">
        <f>IF(K125&gt;5, (5+5*L$116/100)-K125,K125-(5-5*L$116/100))</f>
        <v>5.4999999999999716E-2</v>
      </c>
      <c r="M125" s="367">
        <f t="shared" si="39"/>
        <v>-2.0000000000000462E-2</v>
      </c>
      <c r="N125" s="379"/>
      <c r="O125" s="380">
        <f>IF(N125&gt;5, (5+5*O$116/100)-N125,N125-(5-5*O$116/100))</f>
        <v>-4.875</v>
      </c>
      <c r="P125" s="381">
        <f t="shared" si="40"/>
        <v>-4.95</v>
      </c>
      <c r="T125" s="962" t="s">
        <v>83</v>
      </c>
      <c r="U125" s="967"/>
      <c r="V125" s="180">
        <f t="shared" ref="V125:AA125" si="47">(V120/1.225-0.909)/(V124-(V120/1.225-0.909))*100</f>
        <v>2.1664712993531818</v>
      </c>
      <c r="W125" s="180">
        <f t="shared" si="47"/>
        <v>1.4943565829718333</v>
      </c>
      <c r="X125" s="180">
        <f t="shared" si="47"/>
        <v>0.28428548316405927</v>
      </c>
      <c r="Y125" s="180">
        <f t="shared" si="47"/>
        <v>0.32308700907223303</v>
      </c>
      <c r="Z125" s="180">
        <f t="shared" si="47"/>
        <v>0.32139548771284049</v>
      </c>
      <c r="AA125" s="180">
        <f t="shared" si="47"/>
        <v>0.32139548771284049</v>
      </c>
      <c r="AB125" s="107" t="s">
        <v>84</v>
      </c>
    </row>
    <row r="126" spans="3:28" x14ac:dyDescent="0.3">
      <c r="C126" s="369">
        <v>12</v>
      </c>
      <c r="D126" s="370">
        <v>370</v>
      </c>
      <c r="E126" s="371">
        <v>5.1100000000000003</v>
      </c>
      <c r="F126" s="273">
        <f>IF(E126&gt;5, (5+5*F$116/100)-E126,E126-(5-5*F$116/100))</f>
        <v>1.499999999999968E-2</v>
      </c>
      <c r="G126" s="335">
        <f>IF(E126&gt;5, (5+5*G$116/100)-E126,E126-(5-5*G$116/100))</f>
        <v>-6.0000000000000497E-2</v>
      </c>
      <c r="H126" s="372">
        <v>5.05</v>
      </c>
      <c r="I126" s="273">
        <f>IF(H126&gt;5, (5+5*I$116/100)-H126,H126-(5-5*I$116/100))</f>
        <v>7.5000000000000178E-2</v>
      </c>
      <c r="J126" s="335">
        <f t="shared" si="38"/>
        <v>0</v>
      </c>
      <c r="K126" s="371">
        <v>4.99</v>
      </c>
      <c r="L126" s="273">
        <f>IF(K126&gt;5, (5+5*L$116/100)-K126,K126-(5-5*L$116/100))</f>
        <v>0.11500000000000021</v>
      </c>
      <c r="M126" s="335">
        <f t="shared" si="39"/>
        <v>4.0000000000000036E-2</v>
      </c>
      <c r="N126" s="382"/>
      <c r="O126" s="383">
        <f>IF(N126&gt;5, (5+5*O$116/100)-N126,N126-(5-5*O$116/100))</f>
        <v>-4.875</v>
      </c>
      <c r="P126" s="384">
        <f t="shared" si="40"/>
        <v>-4.95</v>
      </c>
      <c r="T126" s="960" t="s">
        <v>82</v>
      </c>
      <c r="U126" s="967"/>
      <c r="V126" s="357">
        <f t="shared" ref="V126:AA126" si="48">V120*(100+V125)/100</f>
        <v>5.118540212097594</v>
      </c>
      <c r="W126" s="357">
        <f t="shared" si="48"/>
        <v>28.570661378106571</v>
      </c>
      <c r="X126" s="357">
        <f t="shared" si="48"/>
        <v>28.280168506252263</v>
      </c>
      <c r="Y126" s="357">
        <f t="shared" si="48"/>
        <v>28.030270510334784</v>
      </c>
      <c r="Z126" s="357">
        <f t="shared" si="48"/>
        <v>27.889347945584166</v>
      </c>
      <c r="AA126" s="357">
        <f t="shared" si="48"/>
        <v>27.889347945584166</v>
      </c>
      <c r="AB126" s="358" t="s">
        <v>76</v>
      </c>
    </row>
    <row r="127" spans="3:28" ht="17.25" thickBot="1" x14ac:dyDescent="0.35">
      <c r="C127" s="369">
        <v>14</v>
      </c>
      <c r="D127" s="370">
        <v>410</v>
      </c>
      <c r="E127" s="371">
        <v>5.12</v>
      </c>
      <c r="F127" s="273">
        <f>IF(E127&gt;5, (5+5*F$116/100)-E127,E127-(5-5*F$116/100))</f>
        <v>4.9999999999998934E-3</v>
      </c>
      <c r="G127" s="335">
        <f>IF(E127&gt;5, (5+5*G$116/100)-E127,E127-(5-5*G$116/100))</f>
        <v>-7.0000000000000284E-2</v>
      </c>
      <c r="H127" s="372">
        <v>5.04</v>
      </c>
      <c r="I127" s="273">
        <f>IF(H127&gt;5, (5+5*I$116/100)-H127,H127-(5-5*I$116/100))</f>
        <v>8.4999999999999964E-2</v>
      </c>
      <c r="J127" s="335">
        <f t="shared" si="38"/>
        <v>9.9999999999997868E-3</v>
      </c>
      <c r="K127" s="371">
        <v>4.97</v>
      </c>
      <c r="L127" s="273">
        <f>IF(K127&gt;5, (5+5*L$116/100)-K127,K127-(5-5*L$116/100))</f>
        <v>9.4999999999999751E-2</v>
      </c>
      <c r="M127" s="335">
        <f t="shared" si="39"/>
        <v>1.9999999999999574E-2</v>
      </c>
      <c r="N127" s="382"/>
      <c r="O127" s="383">
        <f>IF(N127&gt;5, (5+5*O$116/100)-N127,N127-(5-5*O$116/100))</f>
        <v>-4.875</v>
      </c>
      <c r="P127" s="384">
        <f t="shared" si="40"/>
        <v>-4.95</v>
      </c>
      <c r="T127" s="968" t="s">
        <v>236</v>
      </c>
      <c r="U127" s="969"/>
      <c r="V127" s="361">
        <f t="shared" ref="V127:AA127" si="49">V126-V120</f>
        <v>0.10854021209759424</v>
      </c>
      <c r="W127" s="361">
        <f t="shared" si="49"/>
        <v>0.42066137810657267</v>
      </c>
      <c r="X127" s="361">
        <f t="shared" si="49"/>
        <v>8.0168506252263683E-2</v>
      </c>
      <c r="Y127" s="361">
        <f t="shared" si="49"/>
        <v>9.0270510334782728E-2</v>
      </c>
      <c r="Z127" s="361">
        <f t="shared" si="49"/>
        <v>8.93479455841657E-2</v>
      </c>
      <c r="AA127" s="361">
        <f t="shared" si="49"/>
        <v>8.93479455841657E-2</v>
      </c>
      <c r="AB127" s="362" t="s">
        <v>234</v>
      </c>
    </row>
    <row r="128" spans="3:28" ht="17.25" thickBot="1" x14ac:dyDescent="0.35">
      <c r="C128" s="373">
        <v>16</v>
      </c>
      <c r="D128" s="374">
        <v>457</v>
      </c>
      <c r="E128" s="375">
        <v>5.12</v>
      </c>
      <c r="F128" s="376">
        <f>IF(E128&gt;5, (5+5*F$116/100)-E128,E128-(5-5*F$116/100))</f>
        <v>4.9999999999998934E-3</v>
      </c>
      <c r="G128" s="377">
        <f>IF(E128&gt;5, (5+5*G$116/100)-E128,E128-(5-5*G$116/100))</f>
        <v>-7.0000000000000284E-2</v>
      </c>
      <c r="H128" s="378">
        <v>5.03</v>
      </c>
      <c r="I128" s="376">
        <f>IF(H128&gt;5, (5+5*I$116/100)-H128,H128-(5-5*I$116/100))</f>
        <v>9.4999999999999751E-2</v>
      </c>
      <c r="J128" s="377">
        <f t="shared" si="38"/>
        <v>1.9999999999999574E-2</v>
      </c>
      <c r="K128" s="375">
        <v>4.95</v>
      </c>
      <c r="L128" s="376">
        <f>IF(K128&gt;5, (5+5*L$116/100)-K128,K128-(5-5*L$116/100))</f>
        <v>7.5000000000000178E-2</v>
      </c>
      <c r="M128" s="377">
        <f t="shared" si="39"/>
        <v>0</v>
      </c>
      <c r="N128" s="375">
        <v>4.95</v>
      </c>
      <c r="O128" s="376">
        <f>IF(N128&gt;5, (5+5*O$116/100)-N128,N128-(5-5*O$116/100))</f>
        <v>7.5000000000000178E-2</v>
      </c>
      <c r="P128" s="377">
        <f t="shared" si="40"/>
        <v>0</v>
      </c>
    </row>
    <row r="130" spans="3:27" ht="17.25" thickBot="1" x14ac:dyDescent="0.35">
      <c r="C130" s="103" t="s">
        <v>134</v>
      </c>
      <c r="V130" t="s">
        <v>138</v>
      </c>
      <c r="X130" s="177">
        <f>V117+V127</f>
        <v>4.9685402120975946</v>
      </c>
      <c r="Y130" s="177">
        <f>W117+W127</f>
        <v>28.020661378106574</v>
      </c>
      <c r="Z130" s="177"/>
    </row>
    <row r="131" spans="3:27" ht="17.25" thickBot="1" x14ac:dyDescent="0.35">
      <c r="C131" s="300" t="s">
        <v>221</v>
      </c>
      <c r="D131" s="301"/>
      <c r="E131" s="302">
        <v>0.08</v>
      </c>
      <c r="F131" s="303" t="s">
        <v>222</v>
      </c>
      <c r="V131" t="s">
        <v>137</v>
      </c>
      <c r="X131">
        <v>4.99</v>
      </c>
      <c r="Y131">
        <v>28.01</v>
      </c>
    </row>
    <row r="132" spans="3:27" x14ac:dyDescent="0.3">
      <c r="C132" s="987" t="s">
        <v>134</v>
      </c>
      <c r="D132" s="984" t="s">
        <v>126</v>
      </c>
      <c r="E132" s="983"/>
      <c r="F132" s="989"/>
      <c r="G132" s="982" t="s">
        <v>144</v>
      </c>
      <c r="H132" s="985"/>
      <c r="I132" s="985"/>
      <c r="J132" s="990"/>
      <c r="K132" s="984" t="s">
        <v>145</v>
      </c>
      <c r="L132" s="985"/>
      <c r="M132" s="985"/>
      <c r="N132" s="986"/>
      <c r="O132" s="984" t="s">
        <v>231</v>
      </c>
      <c r="P132" s="985"/>
      <c r="Q132" s="985"/>
      <c r="R132" s="986"/>
      <c r="V132" t="s">
        <v>139</v>
      </c>
      <c r="X132">
        <f>(5*5)/(V124*1000)</f>
        <v>1.6666666666666666E-4</v>
      </c>
      <c r="Y132">
        <f>(28*28)/(W124*1000)</f>
        <v>5.2301534356237489E-4</v>
      </c>
      <c r="AA132">
        <f>(28*28)/(Y124*1000)</f>
        <v>1.1529411764705883E-4</v>
      </c>
    </row>
    <row r="133" spans="3:27" ht="17.25" thickBot="1" x14ac:dyDescent="0.35">
      <c r="C133" s="988"/>
      <c r="D133" s="132" t="s">
        <v>125</v>
      </c>
      <c r="E133" s="320">
        <v>2.5</v>
      </c>
      <c r="F133" s="321">
        <v>1</v>
      </c>
      <c r="G133" s="322" t="s">
        <v>76</v>
      </c>
      <c r="H133" s="320">
        <v>2.5</v>
      </c>
      <c r="I133" s="320">
        <v>1</v>
      </c>
      <c r="J133" s="131" t="s">
        <v>130</v>
      </c>
      <c r="K133" s="132" t="s">
        <v>76</v>
      </c>
      <c r="L133" s="320">
        <v>2.5</v>
      </c>
      <c r="M133" s="320">
        <v>1</v>
      </c>
      <c r="N133" s="130" t="s">
        <v>130</v>
      </c>
      <c r="O133" s="132" t="s">
        <v>76</v>
      </c>
      <c r="P133" s="320">
        <v>2.5</v>
      </c>
      <c r="Q133" s="320">
        <v>1</v>
      </c>
      <c r="R133" s="130" t="s">
        <v>130</v>
      </c>
    </row>
    <row r="134" spans="3:27" x14ac:dyDescent="0.3">
      <c r="C134" s="161" t="s">
        <v>67</v>
      </c>
      <c r="D134" s="282">
        <v>28.15</v>
      </c>
      <c r="E134" s="198">
        <f>IF(D134&gt;28, (28+28*E$97/100)-D134,D134-(28-28*E$97/100))</f>
        <v>0.55000000000000071</v>
      </c>
      <c r="F134" s="194">
        <f>IF(D134&gt;28, (28+28*F$97/100)-D134,D134-(28-28*F$97/100))</f>
        <v>0.13000000000000256</v>
      </c>
      <c r="G134" s="318">
        <v>28.15</v>
      </c>
      <c r="H134" s="198">
        <f>IF(G134&gt;28, (28+28*H$97/100)-G134,G134-(28-28*H$97/100))</f>
        <v>0.55000000000000071</v>
      </c>
      <c r="I134" s="198">
        <f>IF(G134&gt;28, (28+28*I$97/100)-G134,G134-(28-28*I$97/100))</f>
        <v>0.13000000000000256</v>
      </c>
      <c r="J134" s="306">
        <f>D134-G134</f>
        <v>0</v>
      </c>
      <c r="K134" s="282">
        <v>28.1</v>
      </c>
      <c r="L134" s="198">
        <f>IF(K134&gt;28, (28+28*L$97/100)-K134,K134-(28-28*L$97/100))</f>
        <v>0.59999999999999787</v>
      </c>
      <c r="M134" s="198">
        <f>IF(K134&gt;28, (28+28*M$97/100)-K134,K134-(28-28*M$97/100))</f>
        <v>0.17999999999999972</v>
      </c>
      <c r="N134" s="117">
        <f>D134-K134</f>
        <v>4.9999999999997158E-2</v>
      </c>
      <c r="O134" s="282">
        <v>28.12</v>
      </c>
      <c r="P134" s="198">
        <f>IF(O134&gt;28, (28+28*P$97/100)-O134,O134-(28-28*P$97/100))</f>
        <v>0.57999999999999829</v>
      </c>
      <c r="Q134" s="198">
        <f>IF(O134&gt;28, (28+28*Q$97/100)-O134,O134-(28-28*Q$97/100))</f>
        <v>0.16000000000000014</v>
      </c>
      <c r="R134" s="332">
        <f>D134-O134</f>
        <v>2.9999999999997584E-2</v>
      </c>
    </row>
    <row r="135" spans="3:27" x14ac:dyDescent="0.3">
      <c r="C135" s="315" t="s">
        <v>73</v>
      </c>
      <c r="D135" s="122"/>
      <c r="E135" s="196">
        <f>IF(D135&gt;28, (28+28*E$97/100)-D135,D135-(28-28*E$97/100))</f>
        <v>-27.3</v>
      </c>
      <c r="F135" s="208">
        <f>IF(D135&gt;28, (28+28*F$97/100)-D135,D135-(28-28*F$97/100))</f>
        <v>-27.72</v>
      </c>
      <c r="G135" s="314"/>
      <c r="H135" s="196">
        <f>IF(G135&gt;28, (28+28*H$97/100)-G135,G135-(28-28*H$97/100))</f>
        <v>-27.3</v>
      </c>
      <c r="I135" s="196">
        <f>IF(G135&gt;28, (28+28*I$97/100)-G135,G135-(28-28*I$97/100))</f>
        <v>-27.72</v>
      </c>
      <c r="J135" s="120">
        <f>D135-G135</f>
        <v>0</v>
      </c>
      <c r="K135" s="122"/>
      <c r="L135" s="196">
        <f>IF(K135&gt;28, (28+28*L$97/100)-K135,K135-(28-28*L$97/100))</f>
        <v>-27.3</v>
      </c>
      <c r="M135" s="196">
        <f>IF(K135&gt;28, (28+28*M$97/100)-K135,K135-(28-28*M$97/100))</f>
        <v>-27.72</v>
      </c>
      <c r="N135" s="107">
        <f>D135-K135</f>
        <v>0</v>
      </c>
      <c r="O135" s="122"/>
      <c r="P135" s="196">
        <f>IF(O135&gt;28, (28+28*P$97/100)-O135,O135-(28-28*P$97/100))</f>
        <v>-27.3</v>
      </c>
      <c r="Q135" s="196">
        <f>IF(O135&gt;28, (28+28*Q$97/100)-O135,O135-(28-28*Q$97/100))</f>
        <v>-27.72</v>
      </c>
      <c r="R135" s="333">
        <f>H135-O135</f>
        <v>-27.3</v>
      </c>
    </row>
    <row r="136" spans="3:27" ht="17.25" thickBot="1" x14ac:dyDescent="0.35">
      <c r="C136" s="162" t="s">
        <v>137</v>
      </c>
      <c r="D136" s="123"/>
      <c r="E136" s="197">
        <f>IF(D136&gt;28, (28+28*E$97/100)-D136,D136-(28-28*E$97/100))</f>
        <v>-27.3</v>
      </c>
      <c r="F136" s="216">
        <f>IF(D136&gt;28, (28+28*F$97/100)-D136,D136-(28-28*F$97/100))</f>
        <v>-27.72</v>
      </c>
      <c r="G136" s="234"/>
      <c r="H136" s="197">
        <f>IF(G136&gt;28, (28+28*H$97/100)-G136,G136-(28-28*H$97/100))</f>
        <v>-27.3</v>
      </c>
      <c r="I136" s="197">
        <f>IF(G136&gt;28, (28+28*I$97/100)-G136,G136-(28-28*I$97/100))</f>
        <v>-27.72</v>
      </c>
      <c r="J136" s="121">
        <f>D136-G136</f>
        <v>0</v>
      </c>
      <c r="K136" s="123"/>
      <c r="L136" s="197">
        <f>IF(K136&gt;28, (28+28*L$97/100)-K136,K136-(28-28*L$97/100))</f>
        <v>-27.3</v>
      </c>
      <c r="M136" s="197">
        <f>IF(K136&gt;28, (28+28*M$97/100)-K136,K136-(28-28*M$97/100))</f>
        <v>-27.72</v>
      </c>
      <c r="N136" s="110">
        <f>D136-K136</f>
        <v>0</v>
      </c>
      <c r="O136" s="123"/>
      <c r="P136" s="197">
        <f>IF(O136&gt;28, (28+28*P$97/100)-O136,O136-(28-28*P$97/100))</f>
        <v>-27.3</v>
      </c>
      <c r="Q136" s="197">
        <f>IF(O136&gt;28, (28+28*Q$97/100)-O136,O136-(28-28*Q$97/100))</f>
        <v>-27.72</v>
      </c>
      <c r="R136" s="334">
        <f>H136-O136</f>
        <v>-27.3</v>
      </c>
      <c r="Z136" t="s">
        <v>141</v>
      </c>
    </row>
    <row r="137" spans="3:27" x14ac:dyDescent="0.3">
      <c r="AA137" t="s">
        <v>140</v>
      </c>
    </row>
    <row r="138" spans="3:27" ht="17.25" thickBot="1" x14ac:dyDescent="0.35">
      <c r="C138" s="103" t="s">
        <v>146</v>
      </c>
      <c r="Z138" t="s">
        <v>143</v>
      </c>
    </row>
    <row r="139" spans="3:27" ht="17.25" thickBot="1" x14ac:dyDescent="0.35">
      <c r="C139" s="300" t="s">
        <v>221</v>
      </c>
      <c r="D139" s="301"/>
      <c r="E139" s="302">
        <v>0.11</v>
      </c>
      <c r="F139" s="303" t="s">
        <v>222</v>
      </c>
      <c r="AA139" t="s">
        <v>142</v>
      </c>
    </row>
    <row r="140" spans="3:27" x14ac:dyDescent="0.3">
      <c r="C140" s="980" t="s">
        <v>146</v>
      </c>
      <c r="D140" s="982" t="s">
        <v>126</v>
      </c>
      <c r="E140" s="983"/>
      <c r="F140" s="983"/>
      <c r="G140" s="984" t="s">
        <v>144</v>
      </c>
      <c r="H140" s="985"/>
      <c r="I140" s="985"/>
      <c r="J140" s="986"/>
      <c r="K140" s="985" t="s">
        <v>145</v>
      </c>
      <c r="L140" s="985"/>
      <c r="M140" s="985"/>
      <c r="N140" s="986"/>
      <c r="O140" s="984" t="s">
        <v>231</v>
      </c>
      <c r="P140" s="985"/>
      <c r="Q140" s="985"/>
      <c r="R140" s="986"/>
    </row>
    <row r="141" spans="3:27" ht="17.25" thickBot="1" x14ac:dyDescent="0.35">
      <c r="C141" s="981"/>
      <c r="D141" s="322" t="s">
        <v>125</v>
      </c>
      <c r="E141" s="320">
        <v>2.5</v>
      </c>
      <c r="F141" s="320">
        <v>1</v>
      </c>
      <c r="G141" s="132" t="s">
        <v>76</v>
      </c>
      <c r="H141" s="320">
        <v>2.5</v>
      </c>
      <c r="I141" s="320">
        <v>1</v>
      </c>
      <c r="J141" s="130" t="s">
        <v>130</v>
      </c>
      <c r="K141" s="129" t="s">
        <v>76</v>
      </c>
      <c r="L141" s="320">
        <v>2.5</v>
      </c>
      <c r="M141" s="320">
        <v>1</v>
      </c>
      <c r="N141" s="130" t="s">
        <v>130</v>
      </c>
      <c r="O141" s="129" t="s">
        <v>76</v>
      </c>
      <c r="P141" s="320">
        <v>2.5</v>
      </c>
      <c r="Q141" s="320">
        <v>1</v>
      </c>
      <c r="R141" s="130" t="s">
        <v>130</v>
      </c>
    </row>
    <row r="142" spans="3:27" x14ac:dyDescent="0.3">
      <c r="C142" s="319" t="s">
        <v>67</v>
      </c>
      <c r="D142" s="164">
        <v>27.97</v>
      </c>
      <c r="E142" s="198">
        <f>IF(D142&gt;28, (28+28*E$97/100)-D142,D142-(28-28*E$97/100))</f>
        <v>0.66999999999999815</v>
      </c>
      <c r="F142" s="198">
        <f>IF(D142&gt;28, (28+28*F$97/100)-D142,D142-(28-28*F$97/100))</f>
        <v>0.25</v>
      </c>
      <c r="G142" s="139">
        <v>27.97</v>
      </c>
      <c r="H142" s="198">
        <f>IF(G142&gt;28, (28+28*H$97/100)-G142,G142-(28-28*H$97/100))</f>
        <v>0.66999999999999815</v>
      </c>
      <c r="I142" s="198">
        <f>IF(G142&gt;28, (28+28*I$97/100)-G142,G142-(28-28*I$97/100))</f>
        <v>0.25</v>
      </c>
      <c r="J142" s="117">
        <f>D142-G142</f>
        <v>0</v>
      </c>
      <c r="K142" s="116">
        <v>27.95</v>
      </c>
      <c r="L142" s="198">
        <f>IF(K142&gt;28, (28+28*L$97/100)-K142,K142-(28-28*L$97/100))</f>
        <v>0.64999999999999858</v>
      </c>
      <c r="M142" s="198">
        <f>IF(K142&gt;28, (28+28*M$97/100)-K142,K142-(28-28*M$97/100))</f>
        <v>0.23000000000000043</v>
      </c>
      <c r="N142" s="117">
        <f>D142-K142</f>
        <v>1.9999999999999574E-2</v>
      </c>
      <c r="O142" s="116"/>
      <c r="P142" s="198">
        <f>IF(O142&gt;28, (28+28*P$97/100)-O142,O142-(28-28*P$97/100))</f>
        <v>-27.3</v>
      </c>
      <c r="Q142" s="198">
        <f>IF(O142&gt;28, (28+28*Q$97/100)-O142,O142-(28-28*Q$97/100))</f>
        <v>-27.72</v>
      </c>
      <c r="R142" s="117">
        <f>H142-O142</f>
        <v>0.66999999999999815</v>
      </c>
    </row>
    <row r="143" spans="3:27" x14ac:dyDescent="0.3">
      <c r="C143" s="316" t="s">
        <v>73</v>
      </c>
      <c r="D143" s="233"/>
      <c r="E143" s="196">
        <f>IF(D143&gt;28, (28+28*E$97/100)-D143,D143-(28-28*E$97/100))</f>
        <v>-27.3</v>
      </c>
      <c r="F143" s="196">
        <f>IF(D143&gt;28, (28+28*F$97/100)-D143,D143-(28-28*F$97/100))</f>
        <v>-27.72</v>
      </c>
      <c r="G143" s="104">
        <f>D143</f>
        <v>0</v>
      </c>
      <c r="H143" s="196">
        <f>IF(G143&gt;28, (28+28*H$97/100)-G143,G143-(28-28*H$97/100))</f>
        <v>-27.3</v>
      </c>
      <c r="I143" s="196">
        <f>IF(G143&gt;28, (28+28*I$97/100)-G143,G143-(28-28*I$97/100))</f>
        <v>-27.72</v>
      </c>
      <c r="J143" s="107">
        <f>D143-G143</f>
        <v>0</v>
      </c>
      <c r="K143" s="106">
        <f>G143-N142</f>
        <v>-1.9999999999999574E-2</v>
      </c>
      <c r="L143" s="196">
        <f>IF(K143&gt;28, (28+28*L$97/100)-K143,K143-(28-28*L$97/100))</f>
        <v>-27.32</v>
      </c>
      <c r="M143" s="196">
        <f>IF(K143&gt;28, (28+28*M$97/100)-K143,K143-(28-28*M$97/100))</f>
        <v>-27.74</v>
      </c>
      <c r="N143" s="107">
        <f>D143-K143</f>
        <v>1.9999999999999574E-2</v>
      </c>
      <c r="O143" s="106"/>
      <c r="P143" s="196">
        <f>IF(O143&gt;28, (28+28*P$97/100)-O143,O143-(28-28*P$97/100))</f>
        <v>-27.3</v>
      </c>
      <c r="Q143" s="196">
        <f>IF(O143&gt;28, (28+28*Q$97/100)-O143,O143-(28-28*Q$97/100))</f>
        <v>-27.72</v>
      </c>
      <c r="R143" s="107">
        <f>H143-O143</f>
        <v>-27.3</v>
      </c>
    </row>
    <row r="144" spans="3:27" ht="17.25" thickBot="1" x14ac:dyDescent="0.35">
      <c r="C144" s="317"/>
      <c r="D144" s="165"/>
      <c r="E144" s="197"/>
      <c r="F144" s="197"/>
      <c r="G144" s="118"/>
      <c r="H144" s="197"/>
      <c r="I144" s="197"/>
      <c r="J144" s="110">
        <f>D144-G144</f>
        <v>0</v>
      </c>
      <c r="K144" s="109"/>
      <c r="L144" s="197"/>
      <c r="M144" s="197"/>
      <c r="N144" s="110"/>
      <c r="O144" s="109"/>
      <c r="P144" s="197"/>
      <c r="Q144" s="197"/>
      <c r="R144" s="110"/>
    </row>
    <row r="147" spans="2:11" x14ac:dyDescent="0.3">
      <c r="B147" s="103" t="s">
        <v>1362</v>
      </c>
    </row>
    <row r="149" spans="2:11" ht="17.25" thickBot="1" x14ac:dyDescent="0.35"/>
    <row r="150" spans="2:11" ht="17.25" thickBot="1" x14ac:dyDescent="0.35">
      <c r="C150" s="965"/>
      <c r="D150" s="966"/>
      <c r="E150" s="127" t="s">
        <v>117</v>
      </c>
      <c r="F150" s="127" t="s">
        <v>134</v>
      </c>
      <c r="G150" s="127" t="s">
        <v>134</v>
      </c>
      <c r="H150" s="127" t="s">
        <v>136</v>
      </c>
      <c r="I150" s="127" t="s">
        <v>136</v>
      </c>
      <c r="J150" s="128" t="s">
        <v>136</v>
      </c>
      <c r="K150" s="128" t="s">
        <v>88</v>
      </c>
    </row>
    <row r="151" spans="2:11" x14ac:dyDescent="0.3">
      <c r="C151" s="962" t="s">
        <v>227</v>
      </c>
      <c r="D151" s="961"/>
      <c r="E151" s="116">
        <v>5.01</v>
      </c>
      <c r="F151" s="116">
        <v>28.15</v>
      </c>
      <c r="G151" s="116">
        <v>28.2</v>
      </c>
      <c r="H151" s="116">
        <v>27.97</v>
      </c>
      <c r="I151" s="116">
        <v>27.8</v>
      </c>
      <c r="J151" s="117">
        <v>27.8</v>
      </c>
      <c r="K151" s="117" t="s">
        <v>76</v>
      </c>
    </row>
    <row r="152" spans="2:11" x14ac:dyDescent="0.3">
      <c r="C152" s="962" t="s">
        <v>137</v>
      </c>
      <c r="D152" s="961"/>
      <c r="E152" s="116">
        <v>4.8600000000000003</v>
      </c>
      <c r="F152" s="116">
        <v>27.6</v>
      </c>
      <c r="G152" s="116">
        <v>27.6</v>
      </c>
      <c r="H152" s="116">
        <v>27.97</v>
      </c>
      <c r="I152" s="116">
        <v>27.91</v>
      </c>
      <c r="J152" s="117">
        <v>27.91</v>
      </c>
      <c r="K152" s="107" t="s">
        <v>76</v>
      </c>
    </row>
    <row r="153" spans="2:11" x14ac:dyDescent="0.3">
      <c r="C153" s="962" t="s">
        <v>235</v>
      </c>
      <c r="D153" s="961"/>
      <c r="E153" s="210">
        <f>(5-E152)/5*100</f>
        <v>2.7999999999999936</v>
      </c>
      <c r="F153" s="210">
        <f>(28-F152)/28*100</f>
        <v>1.4285714285714235</v>
      </c>
      <c r="G153" s="210">
        <f>(28-G152)/28*100</f>
        <v>1.4285714285714235</v>
      </c>
      <c r="H153" s="210">
        <f>(28-H152)/28*100</f>
        <v>0.1071428571428612</v>
      </c>
      <c r="I153" s="210">
        <f>(28-I152)/28*100</f>
        <v>0.3214285714285709</v>
      </c>
      <c r="J153" s="158">
        <f>(28-J152)/28*100</f>
        <v>0.3214285714285709</v>
      </c>
      <c r="K153" s="107"/>
    </row>
    <row r="154" spans="2:11" x14ac:dyDescent="0.3">
      <c r="C154" s="962" t="s">
        <v>132</v>
      </c>
      <c r="D154" s="961"/>
      <c r="E154" s="209">
        <f>5-E152</f>
        <v>0.13999999999999968</v>
      </c>
      <c r="F154" s="209">
        <f>28-F152</f>
        <v>0.39999999999999858</v>
      </c>
      <c r="G154" s="209">
        <f>28-G152</f>
        <v>0.39999999999999858</v>
      </c>
      <c r="H154" s="209">
        <f>28-H152</f>
        <v>3.0000000000001137E-2</v>
      </c>
      <c r="I154" s="209">
        <f>28-I152</f>
        <v>8.9999999999999858E-2</v>
      </c>
      <c r="J154" s="217">
        <f>28-J152</f>
        <v>8.9999999999999858E-2</v>
      </c>
      <c r="K154" s="107" t="s">
        <v>76</v>
      </c>
    </row>
    <row r="155" spans="2:11" x14ac:dyDescent="0.3">
      <c r="C155" s="972" t="s">
        <v>81</v>
      </c>
      <c r="D155" s="973"/>
      <c r="E155" s="116">
        <f t="shared" ref="E155:J155" si="50">E151</f>
        <v>5.01</v>
      </c>
      <c r="F155" s="116">
        <f t="shared" si="50"/>
        <v>28.15</v>
      </c>
      <c r="G155" s="116">
        <f t="shared" si="50"/>
        <v>28.2</v>
      </c>
      <c r="H155" s="116">
        <f t="shared" si="50"/>
        <v>27.97</v>
      </c>
      <c r="I155" s="116">
        <f t="shared" si="50"/>
        <v>27.8</v>
      </c>
      <c r="J155" s="117">
        <f t="shared" si="50"/>
        <v>27.8</v>
      </c>
      <c r="K155" s="107" t="s">
        <v>76</v>
      </c>
    </row>
    <row r="156" spans="2:11" x14ac:dyDescent="0.3">
      <c r="C156" s="960" t="s">
        <v>82</v>
      </c>
      <c r="D156" s="961"/>
      <c r="E156" s="106">
        <v>5.1100000000000003</v>
      </c>
      <c r="F156" s="106">
        <f>F155+F154</f>
        <v>28.549999999999997</v>
      </c>
      <c r="G156" s="106">
        <v>28.28</v>
      </c>
      <c r="H156" s="106">
        <v>28.03</v>
      </c>
      <c r="I156" s="106">
        <f>I155+I154</f>
        <v>27.89</v>
      </c>
      <c r="J156" s="107">
        <f>J155+J154</f>
        <v>27.89</v>
      </c>
      <c r="K156" s="107" t="s">
        <v>76</v>
      </c>
    </row>
    <row r="157" spans="2:11" x14ac:dyDescent="0.3">
      <c r="C157" s="962" t="s">
        <v>83</v>
      </c>
      <c r="D157" s="961"/>
      <c r="E157" s="112">
        <f t="shared" ref="E157:J157" si="51">ABS((E155-E156)/E155)*100</f>
        <v>1.9960079840319469</v>
      </c>
      <c r="F157" s="112">
        <f t="shared" si="51"/>
        <v>1.4209591474245065</v>
      </c>
      <c r="G157" s="112">
        <f t="shared" si="51"/>
        <v>0.28368794326241792</v>
      </c>
      <c r="H157" s="112">
        <f t="shared" si="51"/>
        <v>0.21451555237755551</v>
      </c>
      <c r="I157" s="112">
        <f t="shared" si="51"/>
        <v>0.32374100719424409</v>
      </c>
      <c r="J157" s="218">
        <f t="shared" si="51"/>
        <v>0.32374100719424409</v>
      </c>
      <c r="K157" s="107" t="s">
        <v>84</v>
      </c>
    </row>
    <row r="158" spans="2:11" ht="17.25" thickBot="1" x14ac:dyDescent="0.35">
      <c r="C158" s="974" t="s">
        <v>85</v>
      </c>
      <c r="D158" s="975"/>
      <c r="E158" s="354">
        <f t="shared" ref="E158:J158" si="52">((100+E157)/E157)*(E155/1.225-0.909)</f>
        <v>162.53867142857055</v>
      </c>
      <c r="F158" s="354">
        <f t="shared" si="52"/>
        <v>1575.2884923469444</v>
      </c>
      <c r="G158" s="354">
        <f t="shared" si="52"/>
        <v>7816.3827857141059</v>
      </c>
      <c r="H158" s="354">
        <f t="shared" si="52"/>
        <v>10241.999921768318</v>
      </c>
      <c r="I158" s="354">
        <f t="shared" si="52"/>
        <v>6750.8914988662236</v>
      </c>
      <c r="J158" s="355">
        <f t="shared" si="52"/>
        <v>6750.8914988662236</v>
      </c>
      <c r="K158" s="186" t="s">
        <v>86</v>
      </c>
    </row>
    <row r="159" spans="2:11" ht="17.25" thickBot="1" x14ac:dyDescent="0.35">
      <c r="C159" s="976" t="s">
        <v>85</v>
      </c>
      <c r="D159" s="977"/>
      <c r="E159" s="183">
        <v>150</v>
      </c>
      <c r="F159" s="183">
        <v>1499</v>
      </c>
      <c r="G159" s="183">
        <v>7800</v>
      </c>
      <c r="H159" s="183">
        <v>6800</v>
      </c>
      <c r="I159" s="183">
        <v>6800</v>
      </c>
      <c r="J159" s="183">
        <v>6800</v>
      </c>
      <c r="K159" s="186" t="s">
        <v>86</v>
      </c>
    </row>
    <row r="160" spans="2:11" x14ac:dyDescent="0.3">
      <c r="C160" s="962" t="s">
        <v>83</v>
      </c>
      <c r="D160" s="967"/>
      <c r="E160" s="180">
        <f t="shared" ref="E160:J160" si="53">(E155/1.225-0.909)/(E159-(E155/1.225-0.909))*100</f>
        <v>2.1664712993531818</v>
      </c>
      <c r="F160" s="180">
        <f t="shared" si="53"/>
        <v>1.4943565829718333</v>
      </c>
      <c r="G160" s="180">
        <f t="shared" si="53"/>
        <v>0.28428548316405927</v>
      </c>
      <c r="H160" s="180">
        <f t="shared" si="53"/>
        <v>0.32344948535621032</v>
      </c>
      <c r="I160" s="180">
        <f t="shared" si="53"/>
        <v>0.32139548771284049</v>
      </c>
      <c r="J160" s="180">
        <f t="shared" si="53"/>
        <v>0.32139548771284049</v>
      </c>
      <c r="K160" s="107" t="s">
        <v>84</v>
      </c>
    </row>
    <row r="161" spans="3:11" x14ac:dyDescent="0.3">
      <c r="C161" s="960" t="s">
        <v>82</v>
      </c>
      <c r="D161" s="967"/>
      <c r="E161" s="357">
        <f t="shared" ref="E161:J161" si="54">E155*(100+E160)/100</f>
        <v>5.118540212097594</v>
      </c>
      <c r="F161" s="357">
        <f t="shared" si="54"/>
        <v>28.570661378106571</v>
      </c>
      <c r="G161" s="357">
        <f t="shared" si="54"/>
        <v>28.280168506252263</v>
      </c>
      <c r="H161" s="357">
        <f t="shared" si="54"/>
        <v>28.06046882105413</v>
      </c>
      <c r="I161" s="357">
        <f t="shared" si="54"/>
        <v>27.889347945584166</v>
      </c>
      <c r="J161" s="357">
        <f t="shared" si="54"/>
        <v>27.889347945584166</v>
      </c>
      <c r="K161" s="358" t="s">
        <v>76</v>
      </c>
    </row>
    <row r="162" spans="3:11" ht="17.25" thickBot="1" x14ac:dyDescent="0.35">
      <c r="C162" s="968" t="s">
        <v>236</v>
      </c>
      <c r="D162" s="969"/>
      <c r="E162" s="361">
        <f t="shared" ref="E162:J162" si="55">E161-E155</f>
        <v>0.10854021209759424</v>
      </c>
      <c r="F162" s="361">
        <f t="shared" si="55"/>
        <v>0.42066137810657267</v>
      </c>
      <c r="G162" s="361">
        <f t="shared" si="55"/>
        <v>8.0168506252263683E-2</v>
      </c>
      <c r="H162" s="361">
        <f t="shared" si="55"/>
        <v>9.0468821054130899E-2</v>
      </c>
      <c r="I162" s="361">
        <f t="shared" si="55"/>
        <v>8.93479455841657E-2</v>
      </c>
      <c r="J162" s="361">
        <f t="shared" si="55"/>
        <v>8.93479455841657E-2</v>
      </c>
      <c r="K162" s="362" t="s">
        <v>234</v>
      </c>
    </row>
    <row r="166" spans="3:11" ht="17.25" thickBot="1" x14ac:dyDescent="0.35">
      <c r="C166" s="103" t="s">
        <v>197</v>
      </c>
    </row>
    <row r="167" spans="3:11" ht="17.25" thickBot="1" x14ac:dyDescent="0.35">
      <c r="D167" s="970"/>
      <c r="E167" s="971"/>
      <c r="F167" s="792" t="s">
        <v>87</v>
      </c>
      <c r="G167" s="127" t="s">
        <v>87</v>
      </c>
      <c r="H167" s="127" t="s">
        <v>87</v>
      </c>
      <c r="I167" s="128" t="s">
        <v>87</v>
      </c>
      <c r="J167" s="128" t="s">
        <v>88</v>
      </c>
    </row>
    <row r="168" spans="3:11" x14ac:dyDescent="0.3">
      <c r="D168" s="972" t="s">
        <v>81</v>
      </c>
      <c r="E168" s="973"/>
      <c r="F168" s="139">
        <v>27.97</v>
      </c>
      <c r="G168" s="116">
        <v>4.92</v>
      </c>
      <c r="H168" s="116">
        <v>4.92</v>
      </c>
      <c r="I168" s="117">
        <v>5</v>
      </c>
      <c r="J168" s="793" t="s">
        <v>76</v>
      </c>
    </row>
    <row r="169" spans="3:11" x14ac:dyDescent="0.3">
      <c r="D169" s="960" t="s">
        <v>82</v>
      </c>
      <c r="E169" s="961"/>
      <c r="F169" s="104">
        <v>28.02</v>
      </c>
      <c r="G169" s="106">
        <v>5.05</v>
      </c>
      <c r="H169" s="106">
        <v>5.0999999999999996</v>
      </c>
      <c r="I169" s="107">
        <v>5.05</v>
      </c>
      <c r="J169" s="794" t="s">
        <v>76</v>
      </c>
    </row>
    <row r="170" spans="3:11" x14ac:dyDescent="0.3">
      <c r="D170" s="962" t="s">
        <v>83</v>
      </c>
      <c r="E170" s="961"/>
      <c r="F170" s="122">
        <f>ABS((F168-F169)/F168)*100</f>
        <v>0.17876296031462535</v>
      </c>
      <c r="G170" s="112">
        <f>ABS((G168-G169)/G168)*100</f>
        <v>2.6422764227642253</v>
      </c>
      <c r="H170" s="112">
        <f>ABS((H168-H169)/H168)*100</f>
        <v>3.658536585365848</v>
      </c>
      <c r="I170" s="218">
        <f>ABS((I168-I169)/I168)*100</f>
        <v>0.99999999999999634</v>
      </c>
      <c r="J170" s="794" t="s">
        <v>84</v>
      </c>
    </row>
    <row r="171" spans="3:11" x14ac:dyDescent="0.3">
      <c r="D171" s="963" t="s">
        <v>85</v>
      </c>
      <c r="E171" s="964"/>
      <c r="F171" s="202">
        <f>((100+F170)/F170)*(F168/1.225-0.909)</f>
        <v>12286.015175510029</v>
      </c>
      <c r="G171" s="258">
        <f>((100+G170)/G170)*(G168/1.225-0.909)</f>
        <v>120.70768445839883</v>
      </c>
      <c r="H171" s="258">
        <f>((100+H170)/H170)*(H168/1.225-0.909)</f>
        <v>88.040918367347047</v>
      </c>
      <c r="I171" s="263">
        <f>((100+I170)/I170)*(I168/1.225-0.909)</f>
        <v>320.4358979591849</v>
      </c>
      <c r="J171" s="264" t="s">
        <v>86</v>
      </c>
    </row>
    <row r="172" spans="3:11" ht="17.25" thickBot="1" x14ac:dyDescent="0.35">
      <c r="D172" s="965" t="s">
        <v>196</v>
      </c>
      <c r="E172" s="966"/>
      <c r="F172" s="118">
        <f>F169-F168</f>
        <v>5.0000000000000711E-2</v>
      </c>
      <c r="G172" s="109">
        <f>G169-G168</f>
        <v>0.12999999999999989</v>
      </c>
      <c r="H172" s="109">
        <f>H169-H168</f>
        <v>0.17999999999999972</v>
      </c>
      <c r="I172" s="110">
        <f>I169-I168</f>
        <v>4.9999999999999822E-2</v>
      </c>
      <c r="J172" s="795" t="s">
        <v>163</v>
      </c>
    </row>
  </sheetData>
  <mergeCells count="115">
    <mergeCell ref="D18:E18"/>
    <mergeCell ref="D19:E19"/>
    <mergeCell ref="D20:E20"/>
    <mergeCell ref="D21:E21"/>
    <mergeCell ref="D22:E22"/>
    <mergeCell ref="D23:E23"/>
    <mergeCell ref="L27:O27"/>
    <mergeCell ref="F33:H33"/>
    <mergeCell ref="I33:J33"/>
    <mergeCell ref="D27:G27"/>
    <mergeCell ref="H27:K27"/>
    <mergeCell ref="K33:M34"/>
    <mergeCell ref="D33:E33"/>
    <mergeCell ref="U27:V27"/>
    <mergeCell ref="W27:X27"/>
    <mergeCell ref="Y27:Z27"/>
    <mergeCell ref="V71:X71"/>
    <mergeCell ref="E71:G71"/>
    <mergeCell ref="H71:J71"/>
    <mergeCell ref="C84:C85"/>
    <mergeCell ref="D84:D85"/>
    <mergeCell ref="H84:J84"/>
    <mergeCell ref="C71:C72"/>
    <mergeCell ref="D71:D72"/>
    <mergeCell ref="T84:U84"/>
    <mergeCell ref="K71:N71"/>
    <mergeCell ref="O71:Q71"/>
    <mergeCell ref="K35:M35"/>
    <mergeCell ref="K38:M38"/>
    <mergeCell ref="K39:M39"/>
    <mergeCell ref="K40:M40"/>
    <mergeCell ref="C49:C50"/>
    <mergeCell ref="D49:D50"/>
    <mergeCell ref="F49:I49"/>
    <mergeCell ref="J49:M49"/>
    <mergeCell ref="K43:M43"/>
    <mergeCell ref="K44:M44"/>
    <mergeCell ref="C104:C105"/>
    <mergeCell ref="D104:F104"/>
    <mergeCell ref="K104:N104"/>
    <mergeCell ref="C96:C97"/>
    <mergeCell ref="D96:F96"/>
    <mergeCell ref="K96:N96"/>
    <mergeCell ref="G96:J96"/>
    <mergeCell ref="G104:J104"/>
    <mergeCell ref="R71:U71"/>
    <mergeCell ref="K37:M37"/>
    <mergeCell ref="K41:M41"/>
    <mergeCell ref="K42:M42"/>
    <mergeCell ref="K36:M36"/>
    <mergeCell ref="D115:D116"/>
    <mergeCell ref="E115:G115"/>
    <mergeCell ref="H115:J115"/>
    <mergeCell ref="K115:M115"/>
    <mergeCell ref="N115:P115"/>
    <mergeCell ref="T116:U116"/>
    <mergeCell ref="T117:U117"/>
    <mergeCell ref="T95:U95"/>
    <mergeCell ref="E84:G84"/>
    <mergeCell ref="K84:M84"/>
    <mergeCell ref="N84:P84"/>
    <mergeCell ref="O96:R96"/>
    <mergeCell ref="T87:U87"/>
    <mergeCell ref="T86:U86"/>
    <mergeCell ref="T85:U85"/>
    <mergeCell ref="T93:U93"/>
    <mergeCell ref="T94:U94"/>
    <mergeCell ref="T89:U89"/>
    <mergeCell ref="T90:U90"/>
    <mergeCell ref="T91:U91"/>
    <mergeCell ref="T92:U92"/>
    <mergeCell ref="T88:U88"/>
    <mergeCell ref="C115:C116"/>
    <mergeCell ref="T127:U127"/>
    <mergeCell ref="T96:U96"/>
    <mergeCell ref="C140:C141"/>
    <mergeCell ref="D140:F140"/>
    <mergeCell ref="G140:J140"/>
    <mergeCell ref="K140:N140"/>
    <mergeCell ref="O140:R140"/>
    <mergeCell ref="T123:U123"/>
    <mergeCell ref="T124:U124"/>
    <mergeCell ref="T125:U125"/>
    <mergeCell ref="T126:U126"/>
    <mergeCell ref="C132:C133"/>
    <mergeCell ref="D132:F132"/>
    <mergeCell ref="G132:J132"/>
    <mergeCell ref="K132:N132"/>
    <mergeCell ref="O132:R132"/>
    <mergeCell ref="T118:U118"/>
    <mergeCell ref="T119:U119"/>
    <mergeCell ref="T120:U120"/>
    <mergeCell ref="T121:U121"/>
    <mergeCell ref="T122:U122"/>
    <mergeCell ref="O104:R104"/>
    <mergeCell ref="T115:U115"/>
    <mergeCell ref="C155:D155"/>
    <mergeCell ref="C156:D156"/>
    <mergeCell ref="C157:D157"/>
    <mergeCell ref="C158:D158"/>
    <mergeCell ref="C159:D159"/>
    <mergeCell ref="C150:D150"/>
    <mergeCell ref="C151:D151"/>
    <mergeCell ref="C152:D152"/>
    <mergeCell ref="C153:D153"/>
    <mergeCell ref="C154:D154"/>
    <mergeCell ref="D169:E169"/>
    <mergeCell ref="D170:E170"/>
    <mergeCell ref="D171:E171"/>
    <mergeCell ref="D172:E172"/>
    <mergeCell ref="C160:D160"/>
    <mergeCell ref="C161:D161"/>
    <mergeCell ref="C162:D162"/>
    <mergeCell ref="D167:E167"/>
    <mergeCell ref="D168:E168"/>
  </mergeCells>
  <phoneticPr fontId="2" type="noConversion"/>
  <pageMargins left="0.7" right="0.7" top="0.75" bottom="0.75" header="0.3" footer="0.3"/>
  <pageSetup paperSize="9" orientation="landscape" r:id="rId1"/>
  <rowBreaks count="3" manualBreakCount="3">
    <brk id="24" max="16383" man="1"/>
    <brk id="47" max="16383" man="1"/>
    <brk id="68" max="16383" man="1"/>
  </rowBreak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8"/>
  <sheetViews>
    <sheetView topLeftCell="A19" workbookViewId="0">
      <selection activeCell="AD35" sqref="AD35:AE35"/>
    </sheetView>
  </sheetViews>
  <sheetFormatPr defaultRowHeight="16.5" x14ac:dyDescent="0.3"/>
  <cols>
    <col min="1" max="1" width="4" customWidth="1"/>
    <col min="2" max="2" width="11.5" customWidth="1"/>
    <col min="3" max="12" width="7" customWidth="1"/>
    <col min="13" max="13" width="10.875" customWidth="1"/>
    <col min="14" max="32" width="6.125" customWidth="1"/>
    <col min="33" max="37" width="7.75" customWidth="1"/>
  </cols>
  <sheetData>
    <row r="2" spans="2:7" x14ac:dyDescent="0.3">
      <c r="B2" s="103" t="s">
        <v>782</v>
      </c>
    </row>
    <row r="3" spans="2:7" x14ac:dyDescent="0.3">
      <c r="C3" t="s">
        <v>783</v>
      </c>
    </row>
    <row r="4" spans="2:7" x14ac:dyDescent="0.3">
      <c r="C4" t="s">
        <v>854</v>
      </c>
    </row>
    <row r="5" spans="2:7" ht="17.25" thickBot="1" x14ac:dyDescent="0.35">
      <c r="C5" s="103" t="s">
        <v>793</v>
      </c>
    </row>
    <row r="6" spans="2:7" x14ac:dyDescent="0.3">
      <c r="D6" s="570" t="s">
        <v>786</v>
      </c>
      <c r="E6" s="183">
        <v>100</v>
      </c>
      <c r="F6" s="571" t="s">
        <v>787</v>
      </c>
      <c r="G6" t="s">
        <v>784</v>
      </c>
    </row>
    <row r="7" spans="2:7" x14ac:dyDescent="0.3">
      <c r="D7" s="569" t="s">
        <v>788</v>
      </c>
      <c r="E7" s="106">
        <v>5</v>
      </c>
      <c r="F7" s="566" t="s">
        <v>790</v>
      </c>
      <c r="G7" t="s">
        <v>785</v>
      </c>
    </row>
    <row r="8" spans="2:7" x14ac:dyDescent="0.3">
      <c r="D8" s="569" t="s">
        <v>789</v>
      </c>
      <c r="E8" s="106">
        <v>1.5</v>
      </c>
      <c r="F8" s="566" t="s">
        <v>791</v>
      </c>
    </row>
    <row r="9" spans="2:7" ht="17.25" thickBot="1" x14ac:dyDescent="0.35">
      <c r="D9" s="568" t="s">
        <v>792</v>
      </c>
      <c r="E9" s="109">
        <f>E6*E8/E7</f>
        <v>30</v>
      </c>
      <c r="F9" s="567"/>
    </row>
    <row r="18" spans="2:17" ht="17.25" thickBot="1" x14ac:dyDescent="0.35">
      <c r="H18">
        <v>5.0000000000000001E-3</v>
      </c>
    </row>
    <row r="19" spans="2:17" s="415" customFormat="1" x14ac:dyDescent="0.3">
      <c r="B19" s="575" t="s">
        <v>795</v>
      </c>
      <c r="C19" s="577" t="s">
        <v>794</v>
      </c>
      <c r="D19" s="577" t="s">
        <v>796</v>
      </c>
      <c r="E19" s="577" t="s">
        <v>797</v>
      </c>
      <c r="F19" s="577" t="s">
        <v>800</v>
      </c>
      <c r="G19" s="577" t="s">
        <v>798</v>
      </c>
      <c r="H19" s="576" t="s">
        <v>799</v>
      </c>
    </row>
    <row r="20" spans="2:17" x14ac:dyDescent="0.3">
      <c r="B20" s="1103">
        <v>3</v>
      </c>
      <c r="C20" s="106">
        <v>1</v>
      </c>
      <c r="D20" s="106">
        <v>5.2</v>
      </c>
      <c r="E20" s="106">
        <v>5.16</v>
      </c>
      <c r="F20" s="106">
        <f>D20-E20</f>
        <v>4.0000000000000036E-2</v>
      </c>
      <c r="G20" s="106">
        <v>7.5</v>
      </c>
      <c r="H20" s="107">
        <f>G20/H$18/1000</f>
        <v>1.5</v>
      </c>
    </row>
    <row r="21" spans="2:17" x14ac:dyDescent="0.3">
      <c r="B21" s="1103"/>
      <c r="C21" s="106">
        <v>2</v>
      </c>
      <c r="D21" s="106">
        <v>5.27</v>
      </c>
      <c r="E21" s="106">
        <v>5.24</v>
      </c>
      <c r="F21" s="106">
        <f>D21-E21</f>
        <v>2.9999999999999361E-2</v>
      </c>
      <c r="G21" s="106">
        <v>7.5</v>
      </c>
      <c r="H21" s="107">
        <f>G21/H$18/1000</f>
        <v>1.5</v>
      </c>
    </row>
    <row r="22" spans="2:17" x14ac:dyDescent="0.3">
      <c r="B22" s="1103">
        <v>10</v>
      </c>
      <c r="C22" s="106">
        <v>1</v>
      </c>
      <c r="D22" s="106">
        <v>5.4</v>
      </c>
      <c r="E22" s="106">
        <v>5.27</v>
      </c>
      <c r="F22" s="106">
        <f>D22-E22</f>
        <v>0.13000000000000078</v>
      </c>
      <c r="G22" s="106">
        <v>25</v>
      </c>
      <c r="H22" s="107">
        <f>G22/H$18/1000</f>
        <v>5</v>
      </c>
    </row>
    <row r="23" spans="2:17" ht="17.25" thickBot="1" x14ac:dyDescent="0.35">
      <c r="B23" s="1104"/>
      <c r="C23" s="109">
        <v>2</v>
      </c>
      <c r="D23" s="109">
        <v>5.64</v>
      </c>
      <c r="E23" s="109">
        <v>5.52</v>
      </c>
      <c r="F23" s="109">
        <f>D23-E23</f>
        <v>0.12000000000000011</v>
      </c>
      <c r="G23" s="109">
        <v>25</v>
      </c>
      <c r="H23" s="110">
        <f>G23/H$18/1000</f>
        <v>5</v>
      </c>
    </row>
    <row r="26" spans="2:17" x14ac:dyDescent="0.3">
      <c r="B26" t="s">
        <v>807</v>
      </c>
      <c r="F26" t="s">
        <v>810</v>
      </c>
    </row>
    <row r="27" spans="2:17" x14ac:dyDescent="0.3">
      <c r="B27" t="s">
        <v>808</v>
      </c>
      <c r="C27">
        <v>150</v>
      </c>
      <c r="D27" t="s">
        <v>802</v>
      </c>
      <c r="F27" t="s">
        <v>801</v>
      </c>
      <c r="G27">
        <v>150</v>
      </c>
      <c r="H27" t="s">
        <v>802</v>
      </c>
    </row>
    <row r="28" spans="2:17" x14ac:dyDescent="0.3">
      <c r="B28" t="s">
        <v>809</v>
      </c>
      <c r="C28">
        <v>220</v>
      </c>
      <c r="D28" t="s">
        <v>805</v>
      </c>
      <c r="F28" t="s">
        <v>803</v>
      </c>
      <c r="G28">
        <v>5</v>
      </c>
      <c r="H28" t="s">
        <v>805</v>
      </c>
    </row>
    <row r="29" spans="2:17" x14ac:dyDescent="0.3">
      <c r="B29" t="s">
        <v>804</v>
      </c>
      <c r="C29" s="173">
        <f>C27/C28</f>
        <v>0.68181818181818177</v>
      </c>
      <c r="D29" t="s">
        <v>806</v>
      </c>
      <c r="F29" t="s">
        <v>804</v>
      </c>
      <c r="G29">
        <f>G27/G28</f>
        <v>30</v>
      </c>
      <c r="H29" t="s">
        <v>806</v>
      </c>
    </row>
    <row r="30" spans="2:17" x14ac:dyDescent="0.3">
      <c r="F30" t="s">
        <v>832</v>
      </c>
      <c r="G30">
        <f>G28/G29</f>
        <v>0.16666666666666666</v>
      </c>
      <c r="H30" s="574" t="s">
        <v>812</v>
      </c>
    </row>
    <row r="31" spans="2:17" ht="17.25" thickBot="1" x14ac:dyDescent="0.35">
      <c r="B31" s="103" t="s">
        <v>852</v>
      </c>
      <c r="L31" s="103" t="s">
        <v>853</v>
      </c>
    </row>
    <row r="32" spans="2:17" x14ac:dyDescent="0.3">
      <c r="B32" s="585" t="s">
        <v>816</v>
      </c>
      <c r="C32" s="183">
        <v>5</v>
      </c>
      <c r="D32" s="183">
        <v>5</v>
      </c>
      <c r="E32" s="183">
        <v>5</v>
      </c>
      <c r="F32" s="586" t="s">
        <v>817</v>
      </c>
      <c r="M32" s="585" t="s">
        <v>816</v>
      </c>
      <c r="N32" s="183">
        <v>12</v>
      </c>
      <c r="O32" s="183">
        <v>12</v>
      </c>
      <c r="P32" s="183">
        <v>12</v>
      </c>
      <c r="Q32" s="586" t="s">
        <v>817</v>
      </c>
    </row>
    <row r="33" spans="2:18" x14ac:dyDescent="0.3">
      <c r="B33" s="543" t="s">
        <v>828</v>
      </c>
      <c r="C33" s="106">
        <v>30</v>
      </c>
      <c r="D33" s="106">
        <v>15</v>
      </c>
      <c r="E33" s="106">
        <v>15</v>
      </c>
      <c r="F33" s="578" t="s">
        <v>820</v>
      </c>
      <c r="M33" s="543" t="s">
        <v>828</v>
      </c>
      <c r="N33" s="106">
        <v>5</v>
      </c>
      <c r="O33" s="106">
        <v>5</v>
      </c>
      <c r="P33" s="106">
        <v>5</v>
      </c>
      <c r="Q33" s="578" t="s">
        <v>266</v>
      </c>
    </row>
    <row r="34" spans="2:18" x14ac:dyDescent="0.3">
      <c r="B34" s="581" t="s">
        <v>811</v>
      </c>
      <c r="C34" s="106">
        <v>5.0000000000000001E-3</v>
      </c>
      <c r="D34" s="106">
        <v>5.0000000000000001E-3</v>
      </c>
      <c r="E34" s="106">
        <v>5.0000000000000001E-3</v>
      </c>
      <c r="F34" s="579" t="s">
        <v>812</v>
      </c>
      <c r="M34" s="581" t="s">
        <v>811</v>
      </c>
      <c r="N34" s="106">
        <v>0.02</v>
      </c>
      <c r="O34" s="106">
        <v>0.02</v>
      </c>
      <c r="P34" s="106">
        <v>0.02</v>
      </c>
      <c r="Q34" s="579" t="s">
        <v>812</v>
      </c>
    </row>
    <row r="35" spans="2:18" x14ac:dyDescent="0.3">
      <c r="B35" s="543" t="s">
        <v>825</v>
      </c>
      <c r="C35" s="106">
        <f>C33*C34</f>
        <v>0.15</v>
      </c>
      <c r="D35" s="106">
        <f>D33*D34</f>
        <v>7.4999999999999997E-2</v>
      </c>
      <c r="E35" s="106">
        <f>E33*E34</f>
        <v>7.4999999999999997E-2</v>
      </c>
      <c r="F35" s="583" t="s">
        <v>813</v>
      </c>
      <c r="M35" s="543" t="s">
        <v>825</v>
      </c>
      <c r="N35" s="106">
        <f>N33*N34</f>
        <v>0.1</v>
      </c>
      <c r="O35" s="106">
        <f>O33*O34</f>
        <v>0.1</v>
      </c>
      <c r="P35" s="106">
        <f>P33*P34</f>
        <v>0.1</v>
      </c>
      <c r="Q35" s="583" t="s">
        <v>727</v>
      </c>
    </row>
    <row r="36" spans="2:18" x14ac:dyDescent="0.3">
      <c r="B36" s="543" t="s">
        <v>826</v>
      </c>
      <c r="C36" s="206">
        <v>10.5</v>
      </c>
      <c r="D36" s="206">
        <v>3</v>
      </c>
      <c r="E36" s="206">
        <v>2</v>
      </c>
      <c r="F36" s="107"/>
      <c r="M36" s="543" t="s">
        <v>826</v>
      </c>
      <c r="N36" s="206">
        <v>10.5</v>
      </c>
      <c r="O36" s="206">
        <v>3</v>
      </c>
      <c r="P36" s="206">
        <v>5</v>
      </c>
      <c r="Q36" s="107"/>
    </row>
    <row r="37" spans="2:18" x14ac:dyDescent="0.3">
      <c r="B37" s="584" t="s">
        <v>827</v>
      </c>
      <c r="C37" s="106">
        <f>C35*C36</f>
        <v>1.575</v>
      </c>
      <c r="D37" s="106">
        <f>D35*D36</f>
        <v>0.22499999999999998</v>
      </c>
      <c r="E37" s="106">
        <f>E35*E36</f>
        <v>0.15</v>
      </c>
      <c r="F37" s="583" t="s">
        <v>813</v>
      </c>
      <c r="G37" s="103" t="s">
        <v>814</v>
      </c>
      <c r="M37" s="584" t="s">
        <v>827</v>
      </c>
      <c r="N37" s="106">
        <f>N35*N36</f>
        <v>1.05</v>
      </c>
      <c r="O37" s="106">
        <f>O35*O36</f>
        <v>0.30000000000000004</v>
      </c>
      <c r="P37" s="106">
        <f>P35*P36</f>
        <v>0.5</v>
      </c>
      <c r="Q37" s="583" t="s">
        <v>727</v>
      </c>
      <c r="R37" s="103" t="s">
        <v>814</v>
      </c>
    </row>
    <row r="38" spans="2:18" x14ac:dyDescent="0.3">
      <c r="B38" s="543" t="s">
        <v>818</v>
      </c>
      <c r="C38" s="106">
        <v>274</v>
      </c>
      <c r="D38" s="106">
        <v>274</v>
      </c>
      <c r="E38" s="106">
        <v>274</v>
      </c>
      <c r="F38" s="579" t="s">
        <v>812</v>
      </c>
      <c r="M38" s="543" t="s">
        <v>818</v>
      </c>
      <c r="N38" s="106">
        <v>274</v>
      </c>
      <c r="O38" s="106">
        <v>274</v>
      </c>
      <c r="P38" s="106">
        <v>274</v>
      </c>
      <c r="Q38" s="579" t="s">
        <v>812</v>
      </c>
    </row>
    <row r="39" spans="2:18" x14ac:dyDescent="0.3">
      <c r="B39" s="543" t="s">
        <v>819</v>
      </c>
      <c r="C39" s="106">
        <v>16200</v>
      </c>
      <c r="D39" s="106">
        <v>4000</v>
      </c>
      <c r="E39" s="106">
        <v>16200</v>
      </c>
      <c r="F39" s="579" t="s">
        <v>812</v>
      </c>
      <c r="M39" s="543" t="s">
        <v>819</v>
      </c>
      <c r="N39" s="106">
        <v>16200</v>
      </c>
      <c r="O39" s="106">
        <v>16200</v>
      </c>
      <c r="P39" s="106">
        <v>16200</v>
      </c>
      <c r="Q39" s="579" t="s">
        <v>812</v>
      </c>
    </row>
    <row r="40" spans="2:18" x14ac:dyDescent="0.3">
      <c r="B40" s="543" t="s">
        <v>821</v>
      </c>
      <c r="C40" s="112">
        <f>C35*(C39/C38)</f>
        <v>8.8686131386861309</v>
      </c>
      <c r="D40" s="112">
        <f>D33*D34*(D39/D38)</f>
        <v>1.0948905109489051</v>
      </c>
      <c r="E40" s="112">
        <f>E33*E34*(E39/E38)</f>
        <v>4.4343065693430654</v>
      </c>
      <c r="F40" s="578" t="s">
        <v>803</v>
      </c>
      <c r="M40" s="543" t="s">
        <v>821</v>
      </c>
      <c r="N40" s="112">
        <f>N35*(N39/N38)</f>
        <v>5.9124087591240873</v>
      </c>
      <c r="O40" s="112">
        <f>O33*O34*(O39/O38)</f>
        <v>5.9124087591240873</v>
      </c>
      <c r="P40" s="112">
        <f>P33*P34*(P39/P38)</f>
        <v>5.9124087591240873</v>
      </c>
      <c r="Q40" s="578" t="s">
        <v>803</v>
      </c>
    </row>
    <row r="41" spans="2:18" x14ac:dyDescent="0.3">
      <c r="B41" s="543" t="s">
        <v>823</v>
      </c>
      <c r="C41" s="228">
        <f>C39/C38</f>
        <v>59.124087591240873</v>
      </c>
      <c r="D41" s="228">
        <f>D39/D38</f>
        <v>14.598540145985401</v>
      </c>
      <c r="E41" s="228">
        <f>E39/E38</f>
        <v>59.124087591240873</v>
      </c>
      <c r="F41" s="107"/>
      <c r="G41" s="103" t="s">
        <v>815</v>
      </c>
      <c r="M41" s="543" t="s">
        <v>823</v>
      </c>
      <c r="N41" s="228">
        <f>N39/N38</f>
        <v>59.124087591240873</v>
      </c>
      <c r="O41" s="228">
        <f>O39/O38</f>
        <v>59.124087591240873</v>
      </c>
      <c r="P41" s="228">
        <f>P39/P38</f>
        <v>59.124087591240873</v>
      </c>
      <c r="Q41" s="107"/>
      <c r="R41" s="103" t="s">
        <v>815</v>
      </c>
    </row>
    <row r="42" spans="2:18" x14ac:dyDescent="0.3">
      <c r="B42" s="543" t="s">
        <v>822</v>
      </c>
      <c r="C42" s="596" t="str">
        <f>IF(C40&lt;(C32-2),"P","F")</f>
        <v>F</v>
      </c>
      <c r="D42" s="582" t="str">
        <f>IF(D40&lt;(D32-2),"P","F")</f>
        <v>P</v>
      </c>
      <c r="E42" s="582" t="str">
        <f>IF(E40&lt;(E32-2),"P","F")</f>
        <v>F</v>
      </c>
      <c r="F42" s="107"/>
      <c r="M42" s="543" t="s">
        <v>822</v>
      </c>
      <c r="N42" s="596" t="str">
        <f>IF(N40&lt;(N32-2),"P","F")</f>
        <v>P</v>
      </c>
      <c r="O42" s="582" t="str">
        <f>IF(O40&lt;(O32-2),"P","F")</f>
        <v>P</v>
      </c>
      <c r="P42" s="582" t="str">
        <f>IF(P40&lt;(P32-2),"P","F")</f>
        <v>P</v>
      </c>
      <c r="Q42" s="107"/>
    </row>
    <row r="43" spans="2:18" x14ac:dyDescent="0.3">
      <c r="B43" s="543" t="s">
        <v>824</v>
      </c>
      <c r="C43" s="112">
        <f>(C37-C35)*500/(C32-C37+C35-1)</f>
        <v>276.69902912621365</v>
      </c>
      <c r="D43" s="112">
        <f>(D37-D35)*500/(D32-D37+D35-1)</f>
        <v>19.480519480519476</v>
      </c>
      <c r="E43" s="112">
        <f>(E37-E35)*500/(E32-E37+E35-1)</f>
        <v>9.5541401273885356</v>
      </c>
      <c r="F43" s="579" t="s">
        <v>812</v>
      </c>
      <c r="M43" s="543" t="s">
        <v>824</v>
      </c>
      <c r="N43" s="112">
        <f>(N37-N35)*500/(N32-N37+N35-1)</f>
        <v>47.263681592039809</v>
      </c>
      <c r="O43" s="112">
        <f>(O37-O35)*500/(O32-O37+O35-1)</f>
        <v>9.2592592592592613</v>
      </c>
      <c r="P43" s="112">
        <f>(P37-P35)*500/(P32-P37+P35-1)</f>
        <v>18.867924528301888</v>
      </c>
      <c r="Q43" s="579" t="s">
        <v>812</v>
      </c>
    </row>
    <row r="44" spans="2:18" x14ac:dyDescent="0.3">
      <c r="B44" s="543" t="s">
        <v>829</v>
      </c>
      <c r="C44" s="106">
        <v>6</v>
      </c>
      <c r="D44" s="106">
        <v>6</v>
      </c>
      <c r="E44" s="106">
        <v>6</v>
      </c>
      <c r="F44" s="578" t="s">
        <v>830</v>
      </c>
      <c r="M44" s="543" t="s">
        <v>829</v>
      </c>
      <c r="N44" s="106">
        <v>6</v>
      </c>
      <c r="O44" s="106">
        <v>6</v>
      </c>
      <c r="P44" s="106">
        <v>6</v>
      </c>
      <c r="Q44" s="578" t="s">
        <v>830</v>
      </c>
    </row>
    <row r="45" spans="2:18" x14ac:dyDescent="0.3">
      <c r="B45" s="543" t="s">
        <v>824</v>
      </c>
      <c r="C45" s="106">
        <f>(C37-C35)/(C44/1000)</f>
        <v>237.5</v>
      </c>
      <c r="D45" s="106">
        <f>(D37-D35)/(D44/1000)</f>
        <v>24.999999999999993</v>
      </c>
      <c r="E45" s="106">
        <f>(E37-E35)/(E44/1000)</f>
        <v>12.5</v>
      </c>
      <c r="F45" s="579" t="s">
        <v>812</v>
      </c>
      <c r="G45" s="103" t="s">
        <v>831</v>
      </c>
      <c r="M45" s="543" t="s">
        <v>824</v>
      </c>
      <c r="N45" s="106">
        <f>(N37-N35)/(N44/1000)</f>
        <v>158.33333333333334</v>
      </c>
      <c r="O45" s="106">
        <f>(O37-O35)/(O44/1000)</f>
        <v>33.333333333333336</v>
      </c>
      <c r="P45" s="106">
        <f>(P37-P35)/(P44/1000)</f>
        <v>66.666666666666671</v>
      </c>
      <c r="Q45" s="579" t="s">
        <v>812</v>
      </c>
      <c r="R45" s="103" t="s">
        <v>831</v>
      </c>
    </row>
    <row r="46" spans="2:18" ht="17.25" thickBot="1" x14ac:dyDescent="0.35">
      <c r="B46" s="544" t="s">
        <v>833</v>
      </c>
      <c r="C46" s="109"/>
      <c r="D46" s="109"/>
      <c r="E46" s="109">
        <f>G30</f>
        <v>0.16666666666666666</v>
      </c>
      <c r="F46" s="580" t="s">
        <v>812</v>
      </c>
      <c r="M46" s="544" t="s">
        <v>833</v>
      </c>
      <c r="N46" s="109"/>
      <c r="O46" s="109"/>
      <c r="P46" s="109">
        <f>Q30</f>
        <v>0</v>
      </c>
      <c r="Q46" s="580" t="s">
        <v>812</v>
      </c>
    </row>
    <row r="52" spans="1:11" ht="17.25" thickBot="1" x14ac:dyDescent="0.35">
      <c r="B52" s="103" t="s">
        <v>834</v>
      </c>
      <c r="C52" t="s">
        <v>846</v>
      </c>
    </row>
    <row r="53" spans="1:11" ht="17.25" thickBot="1" x14ac:dyDescent="0.35">
      <c r="B53" s="588"/>
      <c r="C53" s="589" t="s">
        <v>836</v>
      </c>
      <c r="D53" s="589" t="s">
        <v>837</v>
      </c>
      <c r="E53" s="590"/>
      <c r="G53" s="220"/>
      <c r="H53" s="1063" t="s">
        <v>839</v>
      </c>
      <c r="I53" s="1063"/>
      <c r="J53" s="615"/>
      <c r="K53" s="587"/>
    </row>
    <row r="54" spans="1:11" ht="18" thickTop="1" thickBot="1" x14ac:dyDescent="0.35">
      <c r="B54" s="139" t="s">
        <v>835</v>
      </c>
      <c r="C54" s="116">
        <v>5.37</v>
      </c>
      <c r="D54" s="116">
        <v>5.38</v>
      </c>
      <c r="E54" s="117" t="s">
        <v>803</v>
      </c>
      <c r="G54" s="591"/>
      <c r="H54" s="592" t="s">
        <v>836</v>
      </c>
      <c r="I54" s="592" t="s">
        <v>837</v>
      </c>
      <c r="J54" s="592" t="s">
        <v>837</v>
      </c>
      <c r="K54" s="593"/>
    </row>
    <row r="55" spans="1:11" ht="17.25" thickTop="1" x14ac:dyDescent="0.3">
      <c r="B55" s="549" t="s">
        <v>838</v>
      </c>
      <c r="C55" s="106">
        <v>5.24</v>
      </c>
      <c r="D55" s="106">
        <v>5.24</v>
      </c>
      <c r="E55" s="107" t="s">
        <v>841</v>
      </c>
      <c r="G55" s="139" t="s">
        <v>847</v>
      </c>
      <c r="H55" s="116">
        <v>46.4</v>
      </c>
      <c r="I55" s="116">
        <v>45.3</v>
      </c>
      <c r="J55" s="116">
        <v>45.3</v>
      </c>
      <c r="K55" s="117" t="s">
        <v>840</v>
      </c>
    </row>
    <row r="56" spans="1:11" x14ac:dyDescent="0.3">
      <c r="B56" s="104" t="s">
        <v>839</v>
      </c>
      <c r="C56" s="106">
        <v>46.4</v>
      </c>
      <c r="D56" s="106">
        <v>45.3</v>
      </c>
      <c r="E56" s="107" t="s">
        <v>840</v>
      </c>
      <c r="G56" s="104" t="s">
        <v>848</v>
      </c>
      <c r="H56" s="106">
        <v>50</v>
      </c>
      <c r="I56" s="106">
        <v>48.7</v>
      </c>
      <c r="J56" s="106">
        <v>48.7</v>
      </c>
      <c r="K56" s="107" t="s">
        <v>840</v>
      </c>
    </row>
    <row r="57" spans="1:11" ht="17.25" thickBot="1" x14ac:dyDescent="0.35">
      <c r="B57" s="104" t="s">
        <v>842</v>
      </c>
      <c r="C57" s="106">
        <v>76</v>
      </c>
      <c r="D57" s="106">
        <v>68.8</v>
      </c>
      <c r="E57" s="107" t="s">
        <v>840</v>
      </c>
      <c r="G57" s="118" t="s">
        <v>849</v>
      </c>
      <c r="H57" s="109">
        <v>57.2</v>
      </c>
      <c r="I57" s="109">
        <v>56.2</v>
      </c>
      <c r="J57" s="109">
        <v>56.2</v>
      </c>
      <c r="K57" s="110" t="s">
        <v>840</v>
      </c>
    </row>
    <row r="58" spans="1:11" x14ac:dyDescent="0.3">
      <c r="B58" s="104" t="s">
        <v>843</v>
      </c>
      <c r="C58" s="106">
        <v>33.200000000000003</v>
      </c>
      <c r="D58" s="106">
        <v>35.9</v>
      </c>
      <c r="E58" s="107" t="s">
        <v>840</v>
      </c>
    </row>
    <row r="59" spans="1:11" ht="17.25" thickBot="1" x14ac:dyDescent="0.35">
      <c r="B59" s="118" t="s">
        <v>844</v>
      </c>
      <c r="C59" s="109">
        <f>C58/5</f>
        <v>6.6400000000000006</v>
      </c>
      <c r="D59" s="109">
        <f>D58/5</f>
        <v>7.18</v>
      </c>
      <c r="E59" s="110" t="s">
        <v>845</v>
      </c>
    </row>
    <row r="60" spans="1:11" x14ac:dyDescent="0.3">
      <c r="A60" s="125"/>
      <c r="B60" s="595" t="s">
        <v>850</v>
      </c>
      <c r="C60" s="594"/>
    </row>
    <row r="61" spans="1:11" x14ac:dyDescent="0.3">
      <c r="B61" s="594"/>
      <c r="C61" s="594" t="s">
        <v>851</v>
      </c>
    </row>
    <row r="62" spans="1:11" x14ac:dyDescent="0.3">
      <c r="C62">
        <f>(C54-C56/1000)/500</f>
        <v>1.0647199999999999E-2</v>
      </c>
    </row>
    <row r="65" spans="2:20" x14ac:dyDescent="0.3">
      <c r="B65" t="s">
        <v>855</v>
      </c>
      <c r="D65">
        <v>6</v>
      </c>
      <c r="E65" t="s">
        <v>856</v>
      </c>
    </row>
    <row r="66" spans="2:20" x14ac:dyDescent="0.3">
      <c r="B66" t="s">
        <v>857</v>
      </c>
      <c r="D66">
        <v>5</v>
      </c>
      <c r="E66" t="s">
        <v>858</v>
      </c>
    </row>
    <row r="68" spans="2:20" ht="17.25" thickBot="1" x14ac:dyDescent="0.35">
      <c r="B68" s="103" t="s">
        <v>896</v>
      </c>
    </row>
    <row r="69" spans="2:20" x14ac:dyDescent="0.3">
      <c r="B69" s="524"/>
      <c r="C69" s="615" t="s">
        <v>957</v>
      </c>
      <c r="D69" s="651" t="s">
        <v>838</v>
      </c>
      <c r="E69" s="551" t="s">
        <v>870</v>
      </c>
      <c r="F69" s="652" t="s">
        <v>838</v>
      </c>
      <c r="G69" s="643" t="s">
        <v>871</v>
      </c>
      <c r="H69" s="627" t="s">
        <v>871</v>
      </c>
      <c r="I69" s="551" t="s">
        <v>871</v>
      </c>
      <c r="J69" s="610"/>
      <c r="K69" s="119"/>
    </row>
    <row r="70" spans="2:20" x14ac:dyDescent="0.3">
      <c r="B70" s="104" t="s">
        <v>859</v>
      </c>
      <c r="C70" s="120">
        <v>12</v>
      </c>
      <c r="D70" s="104">
        <v>5</v>
      </c>
      <c r="E70" s="106">
        <v>5</v>
      </c>
      <c r="F70" s="107">
        <v>5</v>
      </c>
      <c r="G70" s="233">
        <v>28</v>
      </c>
      <c r="H70" s="106">
        <v>28</v>
      </c>
      <c r="I70" s="106">
        <v>28</v>
      </c>
      <c r="J70" s="106">
        <v>28</v>
      </c>
      <c r="K70" s="607" t="s">
        <v>860</v>
      </c>
    </row>
    <row r="71" spans="2:20" x14ac:dyDescent="0.3">
      <c r="B71" s="104" t="s">
        <v>861</v>
      </c>
      <c r="C71" s="120">
        <v>8.4</v>
      </c>
      <c r="D71" s="104">
        <v>20</v>
      </c>
      <c r="E71" s="106">
        <v>15</v>
      </c>
      <c r="F71" s="107">
        <v>15</v>
      </c>
      <c r="G71" s="233">
        <v>5</v>
      </c>
      <c r="H71" s="106">
        <v>5</v>
      </c>
      <c r="I71" s="106">
        <v>5</v>
      </c>
      <c r="J71" s="106">
        <v>5</v>
      </c>
      <c r="K71" s="607" t="s">
        <v>858</v>
      </c>
    </row>
    <row r="72" spans="2:20" x14ac:dyDescent="0.3">
      <c r="B72" s="621" t="s">
        <v>894</v>
      </c>
      <c r="C72" s="308">
        <f>C75*5</f>
        <v>0.21000000000000002</v>
      </c>
      <c r="D72" s="104">
        <f>D70*0.02</f>
        <v>0.1</v>
      </c>
      <c r="E72" s="206">
        <f>E70*0.1</f>
        <v>0.5</v>
      </c>
      <c r="F72" s="542">
        <f>F70*0.1</f>
        <v>0.5</v>
      </c>
      <c r="G72" s="644">
        <f>G70*0.1</f>
        <v>2.8000000000000003</v>
      </c>
      <c r="H72" s="206">
        <v>2</v>
      </c>
      <c r="I72" s="206">
        <v>1</v>
      </c>
      <c r="J72" s="206">
        <v>0.5</v>
      </c>
      <c r="K72" s="607" t="s">
        <v>862</v>
      </c>
      <c r="L72" t="s">
        <v>887</v>
      </c>
    </row>
    <row r="73" spans="2:20" x14ac:dyDescent="0.3">
      <c r="B73" s="621" t="s">
        <v>864</v>
      </c>
      <c r="C73" s="120">
        <v>12</v>
      </c>
      <c r="D73" s="104">
        <v>5</v>
      </c>
      <c r="E73" s="106">
        <v>5</v>
      </c>
      <c r="F73" s="107">
        <v>5</v>
      </c>
      <c r="G73" s="233">
        <v>12</v>
      </c>
      <c r="H73" s="106">
        <v>12</v>
      </c>
      <c r="I73" s="106">
        <v>12</v>
      </c>
      <c r="J73" s="106">
        <v>6</v>
      </c>
      <c r="K73" s="607" t="s">
        <v>862</v>
      </c>
      <c r="S73" t="s">
        <v>877</v>
      </c>
    </row>
    <row r="74" spans="2:20" x14ac:dyDescent="0.3">
      <c r="B74" s="104" t="s">
        <v>865</v>
      </c>
      <c r="C74" s="120">
        <v>5.0000000000000001E-3</v>
      </c>
      <c r="D74" s="104">
        <v>1E-3</v>
      </c>
      <c r="E74" s="106">
        <v>5.0000000000000001E-3</v>
      </c>
      <c r="F74" s="107">
        <v>5.0000000000000001E-3</v>
      </c>
      <c r="G74" s="233">
        <v>0.02</v>
      </c>
      <c r="H74" s="227">
        <v>0.02</v>
      </c>
      <c r="I74" s="106">
        <v>5.0000000000000001E-3</v>
      </c>
      <c r="J74" s="106">
        <v>0.02</v>
      </c>
      <c r="K74" s="607" t="s">
        <v>866</v>
      </c>
      <c r="R74" t="s">
        <v>256</v>
      </c>
      <c r="S74">
        <v>12</v>
      </c>
      <c r="T74" t="s">
        <v>76</v>
      </c>
    </row>
    <row r="75" spans="2:20" x14ac:dyDescent="0.3">
      <c r="B75" s="105" t="s">
        <v>893</v>
      </c>
      <c r="C75" s="637">
        <f t="shared" ref="C75:J75" si="0">C71*C74</f>
        <v>4.2000000000000003E-2</v>
      </c>
      <c r="D75" s="653">
        <f t="shared" si="0"/>
        <v>0.02</v>
      </c>
      <c r="E75" s="622">
        <f t="shared" si="0"/>
        <v>7.4999999999999997E-2</v>
      </c>
      <c r="F75" s="654">
        <f t="shared" si="0"/>
        <v>7.4999999999999997E-2</v>
      </c>
      <c r="G75" s="645">
        <f t="shared" si="0"/>
        <v>0.1</v>
      </c>
      <c r="H75" s="622">
        <f t="shared" si="0"/>
        <v>0.1</v>
      </c>
      <c r="I75" s="622">
        <f>I71*I74</f>
        <v>2.5000000000000001E-2</v>
      </c>
      <c r="J75" s="622">
        <f t="shared" si="0"/>
        <v>0.1</v>
      </c>
      <c r="K75" s="607" t="s">
        <v>862</v>
      </c>
      <c r="L75" s="142" t="s">
        <v>888</v>
      </c>
      <c r="R75" t="s">
        <v>828</v>
      </c>
      <c r="S75">
        <v>8.4</v>
      </c>
      <c r="T75" t="s">
        <v>155</v>
      </c>
    </row>
    <row r="76" spans="2:20" ht="17.25" thickBot="1" x14ac:dyDescent="0.35">
      <c r="B76" s="118" t="s">
        <v>868</v>
      </c>
      <c r="C76" s="638">
        <f t="shared" ref="C76:J76" si="1">C75*C71</f>
        <v>0.35280000000000006</v>
      </c>
      <c r="D76" s="655">
        <f t="shared" si="1"/>
        <v>0.4</v>
      </c>
      <c r="E76" s="623">
        <f t="shared" si="1"/>
        <v>1.125</v>
      </c>
      <c r="F76" s="656">
        <f t="shared" si="1"/>
        <v>1.125</v>
      </c>
      <c r="G76" s="646">
        <f t="shared" si="1"/>
        <v>0.5</v>
      </c>
      <c r="H76" s="623">
        <f t="shared" si="1"/>
        <v>0.5</v>
      </c>
      <c r="I76" s="623">
        <f>I75*I71</f>
        <v>0.125</v>
      </c>
      <c r="J76" s="623">
        <f t="shared" si="1"/>
        <v>0.5</v>
      </c>
      <c r="K76" s="608" t="s">
        <v>869</v>
      </c>
      <c r="R76" s="142" t="s">
        <v>880</v>
      </c>
      <c r="S76">
        <v>6</v>
      </c>
      <c r="T76" t="s">
        <v>76</v>
      </c>
    </row>
    <row r="77" spans="2:20" x14ac:dyDescent="0.3">
      <c r="B77" s="601" t="s">
        <v>895</v>
      </c>
      <c r="K77" s="415"/>
      <c r="R77" s="142"/>
    </row>
    <row r="78" spans="2:20" x14ac:dyDescent="0.3">
      <c r="K78" s="415"/>
      <c r="R78" s="600" t="s">
        <v>881</v>
      </c>
      <c r="S78" s="600">
        <f>S76/(S75*40)</f>
        <v>1.7857142857142856E-2</v>
      </c>
      <c r="T78" s="600" t="s">
        <v>313</v>
      </c>
    </row>
    <row r="79" spans="2:20" ht="17.25" thickBot="1" x14ac:dyDescent="0.35">
      <c r="B79" s="103" t="s">
        <v>897</v>
      </c>
      <c r="K79" s="415"/>
      <c r="R79" t="s">
        <v>310</v>
      </c>
      <c r="S79">
        <v>0.02</v>
      </c>
      <c r="T79" t="s">
        <v>313</v>
      </c>
    </row>
    <row r="80" spans="2:20" x14ac:dyDescent="0.3">
      <c r="B80" s="524" t="s">
        <v>872</v>
      </c>
      <c r="C80" s="639">
        <f t="shared" ref="C80:J80" si="2">C73-2</f>
        <v>10</v>
      </c>
      <c r="D80" s="657">
        <f t="shared" si="2"/>
        <v>3</v>
      </c>
      <c r="E80" s="624">
        <f t="shared" si="2"/>
        <v>3</v>
      </c>
      <c r="F80" s="658">
        <f t="shared" si="2"/>
        <v>3</v>
      </c>
      <c r="G80" s="647">
        <f t="shared" si="2"/>
        <v>10</v>
      </c>
      <c r="H80" s="624">
        <f t="shared" si="2"/>
        <v>10</v>
      </c>
      <c r="I80" s="624">
        <f>I73-2</f>
        <v>10</v>
      </c>
      <c r="J80" s="624">
        <f t="shared" si="2"/>
        <v>4</v>
      </c>
      <c r="K80" s="609" t="s">
        <v>862</v>
      </c>
      <c r="L80" t="s">
        <v>873</v>
      </c>
      <c r="R80" t="s">
        <v>867</v>
      </c>
      <c r="S80">
        <f>S79*S75</f>
        <v>0.16800000000000001</v>
      </c>
      <c r="T80" t="s">
        <v>885</v>
      </c>
    </row>
    <row r="81" spans="2:20" x14ac:dyDescent="0.3">
      <c r="B81" s="104" t="s">
        <v>874</v>
      </c>
      <c r="C81" s="637">
        <f t="shared" ref="C81:J81" si="3">C80/C75</f>
        <v>238.09523809523807</v>
      </c>
      <c r="D81" s="653">
        <f t="shared" si="3"/>
        <v>150</v>
      </c>
      <c r="E81" s="622">
        <f t="shared" si="3"/>
        <v>40</v>
      </c>
      <c r="F81" s="654">
        <f t="shared" si="3"/>
        <v>40</v>
      </c>
      <c r="G81" s="645">
        <f t="shared" si="3"/>
        <v>100</v>
      </c>
      <c r="H81" s="622">
        <f t="shared" si="3"/>
        <v>100</v>
      </c>
      <c r="I81" s="622">
        <f>I80/I75</f>
        <v>400</v>
      </c>
      <c r="J81" s="622">
        <f t="shared" si="3"/>
        <v>40</v>
      </c>
      <c r="K81" s="607" t="s">
        <v>875</v>
      </c>
      <c r="L81" t="s">
        <v>886</v>
      </c>
      <c r="R81" t="s">
        <v>882</v>
      </c>
      <c r="S81">
        <v>500</v>
      </c>
      <c r="T81" t="s">
        <v>313</v>
      </c>
    </row>
    <row r="82" spans="2:20" x14ac:dyDescent="0.3">
      <c r="B82" s="625" t="s">
        <v>898</v>
      </c>
      <c r="C82" s="120"/>
      <c r="D82" s="104"/>
      <c r="E82" s="106"/>
      <c r="F82" s="107"/>
      <c r="G82" s="233"/>
      <c r="H82" s="106"/>
      <c r="I82" s="106"/>
      <c r="J82" s="106"/>
      <c r="K82" s="607"/>
      <c r="R82" s="597" t="s">
        <v>883</v>
      </c>
      <c r="S82" s="597">
        <f>1.8/S81</f>
        <v>3.5999999999999999E-3</v>
      </c>
      <c r="T82" s="597" t="s">
        <v>155</v>
      </c>
    </row>
    <row r="83" spans="2:20" x14ac:dyDescent="0.3">
      <c r="B83" s="105" t="s">
        <v>823</v>
      </c>
      <c r="C83" s="120">
        <v>60</v>
      </c>
      <c r="D83" s="104">
        <v>100</v>
      </c>
      <c r="E83" s="106">
        <v>30</v>
      </c>
      <c r="F83" s="107">
        <v>60</v>
      </c>
      <c r="G83" s="233">
        <v>60</v>
      </c>
      <c r="H83" s="106">
        <v>4</v>
      </c>
      <c r="I83" s="106">
        <v>60</v>
      </c>
      <c r="J83" s="106">
        <v>30</v>
      </c>
      <c r="K83" s="607" t="s">
        <v>875</v>
      </c>
      <c r="R83" s="142" t="s">
        <v>863</v>
      </c>
      <c r="S83">
        <v>0.47</v>
      </c>
      <c r="T83" t="s">
        <v>885</v>
      </c>
    </row>
    <row r="84" spans="2:20" x14ac:dyDescent="0.3">
      <c r="B84" s="105" t="s">
        <v>821</v>
      </c>
      <c r="C84" s="637">
        <f t="shared" ref="C84:J84" si="4">C83*C75</f>
        <v>2.52</v>
      </c>
      <c r="D84" s="653">
        <f t="shared" si="4"/>
        <v>2</v>
      </c>
      <c r="E84" s="622">
        <f t="shared" si="4"/>
        <v>2.25</v>
      </c>
      <c r="F84" s="654">
        <f t="shared" si="4"/>
        <v>4.5</v>
      </c>
      <c r="G84" s="645">
        <f t="shared" si="4"/>
        <v>6</v>
      </c>
      <c r="H84" s="622">
        <f t="shared" si="4"/>
        <v>0.4</v>
      </c>
      <c r="I84" s="622">
        <f>I83*I75</f>
        <v>1.5</v>
      </c>
      <c r="J84" s="622">
        <f t="shared" si="4"/>
        <v>3</v>
      </c>
      <c r="K84" s="607" t="s">
        <v>76</v>
      </c>
      <c r="R84" s="597" t="s">
        <v>884</v>
      </c>
      <c r="S84" s="599">
        <f>(S83-S75*S79)/S82</f>
        <v>83.888888888888872</v>
      </c>
      <c r="T84" s="597" t="s">
        <v>313</v>
      </c>
    </row>
    <row r="85" spans="2:20" x14ac:dyDescent="0.3">
      <c r="B85" s="104" t="s">
        <v>876</v>
      </c>
      <c r="C85" s="120">
        <v>274</v>
      </c>
      <c r="D85" s="104">
        <v>1000</v>
      </c>
      <c r="E85" s="106">
        <v>274</v>
      </c>
      <c r="F85" s="107">
        <v>274</v>
      </c>
      <c r="G85" s="233">
        <v>274</v>
      </c>
      <c r="H85" s="106">
        <v>274</v>
      </c>
      <c r="I85" s="106">
        <v>274</v>
      </c>
      <c r="J85" s="106">
        <v>274</v>
      </c>
      <c r="K85" s="607" t="s">
        <v>866</v>
      </c>
    </row>
    <row r="86" spans="2:20" x14ac:dyDescent="0.3">
      <c r="B86" s="104" t="s">
        <v>960</v>
      </c>
      <c r="C86" s="637">
        <f t="shared" ref="C86:J86" si="5">C85*C83</f>
        <v>16440</v>
      </c>
      <c r="D86" s="653">
        <f t="shared" si="5"/>
        <v>100000</v>
      </c>
      <c r="E86" s="622">
        <f t="shared" si="5"/>
        <v>8220</v>
      </c>
      <c r="F86" s="654">
        <f t="shared" si="5"/>
        <v>16440</v>
      </c>
      <c r="G86" s="645">
        <f t="shared" si="5"/>
        <v>16440</v>
      </c>
      <c r="H86" s="622">
        <f t="shared" si="5"/>
        <v>1096</v>
      </c>
      <c r="I86" s="622">
        <f>I85*I83</f>
        <v>16440</v>
      </c>
      <c r="J86" s="622">
        <f t="shared" si="5"/>
        <v>8220</v>
      </c>
      <c r="K86" s="607" t="s">
        <v>866</v>
      </c>
    </row>
    <row r="87" spans="2:20" x14ac:dyDescent="0.3">
      <c r="B87" s="104" t="s">
        <v>960</v>
      </c>
      <c r="C87" s="308"/>
      <c r="D87" s="659"/>
      <c r="E87" s="696">
        <v>8200</v>
      </c>
      <c r="F87" s="542">
        <v>16200</v>
      </c>
      <c r="G87" s="644">
        <v>16200</v>
      </c>
      <c r="H87" s="696">
        <v>1000</v>
      </c>
      <c r="I87" s="206"/>
      <c r="J87" s="206"/>
      <c r="K87" s="607"/>
    </row>
    <row r="88" spans="2:20" x14ac:dyDescent="0.3">
      <c r="B88" s="105" t="s">
        <v>823</v>
      </c>
      <c r="C88" s="637"/>
      <c r="D88" s="653"/>
      <c r="E88" s="660">
        <f>E87/E85</f>
        <v>29.927007299270073</v>
      </c>
      <c r="F88" s="660">
        <f>F87/F85</f>
        <v>59.124087591240873</v>
      </c>
      <c r="G88" s="648">
        <f>G87/G85</f>
        <v>59.124087591240873</v>
      </c>
      <c r="H88" s="626">
        <f>H87/H85</f>
        <v>3.6496350364963503</v>
      </c>
      <c r="I88" s="622"/>
      <c r="J88" s="622"/>
      <c r="K88" s="607"/>
    </row>
    <row r="89" spans="2:20" x14ac:dyDescent="0.3">
      <c r="B89" s="625" t="s">
        <v>899</v>
      </c>
      <c r="C89" s="120"/>
      <c r="D89" s="104"/>
      <c r="E89" s="106"/>
      <c r="F89" s="107"/>
      <c r="G89" s="233"/>
      <c r="H89" s="106"/>
      <c r="I89" s="106"/>
      <c r="J89" s="106"/>
      <c r="K89" s="607"/>
    </row>
    <row r="90" spans="2:20" x14ac:dyDescent="0.3">
      <c r="B90" s="104" t="s">
        <v>889</v>
      </c>
      <c r="C90" s="120">
        <v>10</v>
      </c>
      <c r="D90" s="104">
        <v>50</v>
      </c>
      <c r="E90" s="106">
        <v>50</v>
      </c>
      <c r="F90" s="107">
        <v>50</v>
      </c>
      <c r="G90" s="233">
        <v>50</v>
      </c>
      <c r="H90" s="106">
        <v>50</v>
      </c>
      <c r="I90" s="106">
        <v>50</v>
      </c>
      <c r="J90" s="106">
        <v>50</v>
      </c>
      <c r="K90" s="607" t="s">
        <v>890</v>
      </c>
      <c r="R90" s="142" t="s">
        <v>827</v>
      </c>
      <c r="S90">
        <v>0.6</v>
      </c>
      <c r="T90" t="s">
        <v>76</v>
      </c>
    </row>
    <row r="91" spans="2:20" x14ac:dyDescent="0.3">
      <c r="B91" s="104" t="s">
        <v>891</v>
      </c>
      <c r="C91" s="640">
        <f t="shared" ref="C91:J91" si="6">1/(2*3.1415*C86*C90)*1000000000</f>
        <v>968.1243133578306</v>
      </c>
      <c r="D91" s="661">
        <f t="shared" si="6"/>
        <v>31.831927423205478</v>
      </c>
      <c r="E91" s="626">
        <f t="shared" si="6"/>
        <v>387.2497253431323</v>
      </c>
      <c r="F91" s="660">
        <f t="shared" si="6"/>
        <v>193.62486267156615</v>
      </c>
      <c r="G91" s="648">
        <f t="shared" si="6"/>
        <v>193.62486267156615</v>
      </c>
      <c r="H91" s="695">
        <f t="shared" si="6"/>
        <v>2904.3729400734924</v>
      </c>
      <c r="I91" s="626">
        <f>1/(2*3.1415*I86*I90)*1000000000</f>
        <v>193.62486267156615</v>
      </c>
      <c r="J91" s="626">
        <f t="shared" si="6"/>
        <v>387.2497253431323</v>
      </c>
      <c r="K91" s="607" t="s">
        <v>892</v>
      </c>
      <c r="R91" s="142" t="s">
        <v>878</v>
      </c>
      <c r="S91">
        <v>40</v>
      </c>
      <c r="T91" t="s">
        <v>879</v>
      </c>
    </row>
    <row r="92" spans="2:20" x14ac:dyDescent="0.3">
      <c r="B92" s="104" t="s">
        <v>891</v>
      </c>
      <c r="C92" s="120">
        <v>1000</v>
      </c>
      <c r="D92" s="104">
        <v>33</v>
      </c>
      <c r="E92" s="106">
        <v>1000</v>
      </c>
      <c r="F92" s="107">
        <v>1000</v>
      </c>
      <c r="G92" s="233">
        <v>1000</v>
      </c>
      <c r="H92" s="227">
        <v>1000</v>
      </c>
      <c r="I92" s="106">
        <v>1000</v>
      </c>
      <c r="J92" s="106">
        <v>400</v>
      </c>
      <c r="K92" s="607" t="s">
        <v>892</v>
      </c>
      <c r="R92" t="s">
        <v>310</v>
      </c>
      <c r="S92">
        <v>5.0000000000000001E-3</v>
      </c>
      <c r="T92" t="s">
        <v>313</v>
      </c>
    </row>
    <row r="93" spans="2:20" x14ac:dyDescent="0.3">
      <c r="B93" s="104" t="s">
        <v>889</v>
      </c>
      <c r="C93" s="640">
        <f t="shared" ref="C93:J93" si="7">1/(2*3.1415*C86*C92)*1000000000</f>
        <v>9.6812431335783078</v>
      </c>
      <c r="D93" s="661">
        <f t="shared" si="7"/>
        <v>48.230193065462842</v>
      </c>
      <c r="E93" s="626">
        <f t="shared" si="7"/>
        <v>19.362486267156616</v>
      </c>
      <c r="F93" s="660">
        <f t="shared" si="7"/>
        <v>9.6812431335783078</v>
      </c>
      <c r="G93" s="648">
        <f t="shared" si="7"/>
        <v>9.6812431335783078</v>
      </c>
      <c r="H93" s="626">
        <f t="shared" si="7"/>
        <v>145.21864700367459</v>
      </c>
      <c r="I93" s="626">
        <f>1/(2*3.1415*I86*I92)*1000000000</f>
        <v>9.6812431335783078</v>
      </c>
      <c r="J93" s="626">
        <f t="shared" si="7"/>
        <v>48.406215667891537</v>
      </c>
      <c r="K93" s="607" t="s">
        <v>890</v>
      </c>
      <c r="R93" s="142" t="s">
        <v>745</v>
      </c>
      <c r="S93">
        <v>12</v>
      </c>
      <c r="T93" t="s">
        <v>76</v>
      </c>
    </row>
    <row r="94" spans="2:20" x14ac:dyDescent="0.3">
      <c r="B94" s="625" t="s">
        <v>900</v>
      </c>
      <c r="C94" s="120"/>
      <c r="D94" s="104"/>
      <c r="E94" s="106"/>
      <c r="F94" s="107"/>
      <c r="G94" s="233"/>
      <c r="H94" s="106"/>
      <c r="I94" s="106"/>
      <c r="J94" s="106"/>
      <c r="K94" s="607"/>
    </row>
    <row r="95" spans="2:20" x14ac:dyDescent="0.3">
      <c r="B95" s="104" t="s">
        <v>901</v>
      </c>
      <c r="C95" s="641">
        <f>3/500</f>
        <v>6.0000000000000001E-3</v>
      </c>
      <c r="D95" s="520">
        <f t="shared" ref="D95:J95" si="8">3/500</f>
        <v>6.0000000000000001E-3</v>
      </c>
      <c r="E95" s="180">
        <f t="shared" si="8"/>
        <v>6.0000000000000001E-3</v>
      </c>
      <c r="F95" s="662">
        <f t="shared" si="8"/>
        <v>6.0000000000000001E-3</v>
      </c>
      <c r="G95" s="649">
        <f t="shared" si="8"/>
        <v>6.0000000000000001E-3</v>
      </c>
      <c r="H95" s="180">
        <f t="shared" si="8"/>
        <v>6.0000000000000001E-3</v>
      </c>
      <c r="I95" s="180">
        <f t="shared" si="8"/>
        <v>6.0000000000000001E-3</v>
      </c>
      <c r="J95" s="180">
        <f t="shared" si="8"/>
        <v>6.0000000000000001E-3</v>
      </c>
      <c r="K95" s="607" t="s">
        <v>155</v>
      </c>
    </row>
    <row r="96" spans="2:20" x14ac:dyDescent="0.3">
      <c r="B96" s="104" t="s">
        <v>902</v>
      </c>
      <c r="C96" s="640">
        <f t="shared" ref="C96:J96" si="9">(C72-C75)/C95</f>
        <v>28</v>
      </c>
      <c r="D96" s="661">
        <f t="shared" si="9"/>
        <v>13.333333333333334</v>
      </c>
      <c r="E96" s="626">
        <f t="shared" si="9"/>
        <v>70.833333333333329</v>
      </c>
      <c r="F96" s="626">
        <f t="shared" si="9"/>
        <v>70.833333333333329</v>
      </c>
      <c r="G96" s="648">
        <f t="shared" si="9"/>
        <v>450</v>
      </c>
      <c r="H96" s="693">
        <f t="shared" si="9"/>
        <v>316.66666666666663</v>
      </c>
      <c r="I96" s="626">
        <f t="shared" si="9"/>
        <v>162.5</v>
      </c>
      <c r="J96" s="626">
        <f t="shared" si="9"/>
        <v>66.666666666666671</v>
      </c>
      <c r="K96" s="607" t="s">
        <v>313</v>
      </c>
      <c r="L96" t="s">
        <v>904</v>
      </c>
      <c r="O96" s="173"/>
      <c r="P96" s="173"/>
      <c r="S96" s="173"/>
    </row>
    <row r="97" spans="2:45" x14ac:dyDescent="0.3">
      <c r="B97" s="105" t="s">
        <v>903</v>
      </c>
      <c r="C97" s="120">
        <f t="shared" ref="C97:J97" si="10">C70-C96*C95</f>
        <v>11.832000000000001</v>
      </c>
      <c r="D97" s="104">
        <f t="shared" si="10"/>
        <v>4.92</v>
      </c>
      <c r="E97" s="106">
        <f t="shared" si="10"/>
        <v>4.5750000000000002</v>
      </c>
      <c r="F97" s="107">
        <f t="shared" si="10"/>
        <v>4.5750000000000002</v>
      </c>
      <c r="G97" s="233">
        <f t="shared" si="10"/>
        <v>25.3</v>
      </c>
      <c r="H97" s="106">
        <f>H70-H96*H95</f>
        <v>26.1</v>
      </c>
      <c r="I97" s="106">
        <f>I70-I96*I95</f>
        <v>27.024999999999999</v>
      </c>
      <c r="J97" s="106">
        <f t="shared" si="10"/>
        <v>27.6</v>
      </c>
      <c r="K97" s="607" t="s">
        <v>76</v>
      </c>
      <c r="L97" t="s">
        <v>906</v>
      </c>
    </row>
    <row r="98" spans="2:45" x14ac:dyDescent="0.3">
      <c r="B98" s="104" t="s">
        <v>824</v>
      </c>
      <c r="C98" s="642"/>
      <c r="D98" s="663"/>
      <c r="E98" s="694">
        <v>50</v>
      </c>
      <c r="F98" s="664">
        <v>10</v>
      </c>
      <c r="G98" s="650"/>
      <c r="H98" s="694">
        <v>300</v>
      </c>
      <c r="I98" s="545"/>
      <c r="J98" s="545"/>
      <c r="K98" s="616" t="s">
        <v>313</v>
      </c>
    </row>
    <row r="99" spans="2:45" x14ac:dyDescent="0.3">
      <c r="B99" s="105" t="s">
        <v>903</v>
      </c>
      <c r="C99" s="642"/>
      <c r="D99" s="663"/>
      <c r="E99" s="106">
        <f>E70-E98*E95</f>
        <v>4.7</v>
      </c>
      <c r="F99" s="106">
        <f>F70-F98*F95</f>
        <v>4.9400000000000004</v>
      </c>
      <c r="G99" s="650"/>
      <c r="H99" s="106">
        <f>H70-H98*H95</f>
        <v>26.2</v>
      </c>
      <c r="I99" s="545"/>
      <c r="J99" s="545"/>
      <c r="K99" s="616" t="s">
        <v>76</v>
      </c>
    </row>
    <row r="100" spans="2:45" ht="17.25" thickBot="1" x14ac:dyDescent="0.35">
      <c r="B100" s="108" t="s">
        <v>905</v>
      </c>
      <c r="C100" s="121">
        <f t="shared" ref="C100:J100" si="11">C95*500</f>
        <v>3</v>
      </c>
      <c r="D100" s="118">
        <f t="shared" si="11"/>
        <v>3</v>
      </c>
      <c r="E100" s="109">
        <f t="shared" si="11"/>
        <v>3</v>
      </c>
      <c r="F100" s="110">
        <f t="shared" si="11"/>
        <v>3</v>
      </c>
      <c r="G100" s="165">
        <f t="shared" si="11"/>
        <v>3</v>
      </c>
      <c r="H100" s="109">
        <f t="shared" si="11"/>
        <v>3</v>
      </c>
      <c r="I100" s="109">
        <f>I95*500</f>
        <v>3</v>
      </c>
      <c r="J100" s="109">
        <f t="shared" si="11"/>
        <v>3</v>
      </c>
      <c r="K100" s="608" t="s">
        <v>76</v>
      </c>
    </row>
    <row r="102" spans="2:45" x14ac:dyDescent="0.3">
      <c r="B102" t="s">
        <v>907</v>
      </c>
      <c r="C102" s="174">
        <f>C70/C71</f>
        <v>1.4285714285714286</v>
      </c>
      <c r="D102" s="174">
        <f t="shared" ref="D102:J102" si="12">D70/D71</f>
        <v>0.25</v>
      </c>
      <c r="E102" s="174">
        <f t="shared" si="12"/>
        <v>0.33333333333333331</v>
      </c>
      <c r="F102" s="174">
        <f t="shared" si="12"/>
        <v>0.33333333333333331</v>
      </c>
      <c r="G102" s="174">
        <f t="shared" si="12"/>
        <v>5.6</v>
      </c>
      <c r="H102" s="174">
        <f t="shared" si="12"/>
        <v>5.6</v>
      </c>
      <c r="I102" s="174">
        <f>I70/I71</f>
        <v>5.6</v>
      </c>
      <c r="J102" s="174">
        <f t="shared" si="12"/>
        <v>5.6</v>
      </c>
    </row>
    <row r="103" spans="2:45" x14ac:dyDescent="0.3">
      <c r="B103" t="s">
        <v>908</v>
      </c>
      <c r="C103" s="598">
        <f>C74/C102</f>
        <v>3.5000000000000001E-3</v>
      </c>
      <c r="D103" s="598">
        <f t="shared" ref="D103:J103" si="13">D74/D102</f>
        <v>4.0000000000000001E-3</v>
      </c>
      <c r="E103" s="598">
        <f t="shared" si="13"/>
        <v>1.5000000000000001E-2</v>
      </c>
      <c r="F103" s="598">
        <f t="shared" si="13"/>
        <v>1.5000000000000001E-2</v>
      </c>
      <c r="G103" s="598">
        <f t="shared" si="13"/>
        <v>3.5714285714285718E-3</v>
      </c>
      <c r="H103" s="598">
        <f t="shared" si="13"/>
        <v>3.5714285714285718E-3</v>
      </c>
      <c r="I103" s="598">
        <f>I74/I102</f>
        <v>8.9285714285714294E-4</v>
      </c>
      <c r="J103" s="598">
        <f t="shared" si="13"/>
        <v>3.5714285714285718E-3</v>
      </c>
      <c r="AB103">
        <v>12</v>
      </c>
      <c r="AC103">
        <v>12</v>
      </c>
      <c r="AD103">
        <v>12</v>
      </c>
    </row>
    <row r="104" spans="2:45" x14ac:dyDescent="0.3">
      <c r="B104" t="s">
        <v>909</v>
      </c>
      <c r="C104" s="173">
        <f>C96/500</f>
        <v>5.6000000000000001E-2</v>
      </c>
      <c r="D104" s="173">
        <f t="shared" ref="D104:J104" si="14">D96/500</f>
        <v>2.6666666666666668E-2</v>
      </c>
      <c r="E104" s="173">
        <f t="shared" si="14"/>
        <v>0.14166666666666666</v>
      </c>
      <c r="F104" s="173">
        <f t="shared" si="14"/>
        <v>0.14166666666666666</v>
      </c>
      <c r="G104" s="173">
        <f t="shared" si="14"/>
        <v>0.9</v>
      </c>
      <c r="H104" s="173">
        <f t="shared" si="14"/>
        <v>0.6333333333333333</v>
      </c>
      <c r="I104" s="173">
        <f>I96/500</f>
        <v>0.32500000000000001</v>
      </c>
      <c r="J104" s="173">
        <f t="shared" si="14"/>
        <v>0.13333333333333333</v>
      </c>
      <c r="AB104">
        <v>500</v>
      </c>
      <c r="AC104">
        <v>500</v>
      </c>
      <c r="AD104">
        <v>500</v>
      </c>
    </row>
    <row r="105" spans="2:45" x14ac:dyDescent="0.3">
      <c r="B105" t="s">
        <v>910</v>
      </c>
      <c r="C105">
        <v>1.4E-2</v>
      </c>
      <c r="D105">
        <v>1.4E-2</v>
      </c>
      <c r="E105">
        <v>1.4E-2</v>
      </c>
      <c r="F105">
        <v>1.4E-2</v>
      </c>
      <c r="G105">
        <v>1.4E-2</v>
      </c>
      <c r="H105">
        <v>1.4E-2</v>
      </c>
      <c r="I105">
        <v>1.4E-2</v>
      </c>
      <c r="J105">
        <v>1.4E-2</v>
      </c>
      <c r="K105" t="s">
        <v>911</v>
      </c>
      <c r="AB105">
        <v>1000</v>
      </c>
      <c r="AC105">
        <v>1500</v>
      </c>
      <c r="AD105">
        <v>2000</v>
      </c>
    </row>
    <row r="106" spans="2:45" x14ac:dyDescent="0.3">
      <c r="AB106" s="174">
        <f>AB103*AB104/(AB104+AB105)</f>
        <v>4</v>
      </c>
      <c r="AC106" s="174">
        <f>AC103*AC104/(AC104+AC105)</f>
        <v>3</v>
      </c>
      <c r="AD106" s="174">
        <f>AD103*AD104/(AD104+AD105)</f>
        <v>2.4</v>
      </c>
    </row>
    <row r="107" spans="2:45" ht="17.25" thickBot="1" x14ac:dyDescent="0.35">
      <c r="B107" s="103" t="s">
        <v>970</v>
      </c>
      <c r="N107">
        <f>1/0.014</f>
        <v>71.428571428571431</v>
      </c>
      <c r="AC107">
        <f>AB103/(AB104+AB105)</f>
        <v>8.0000000000000002E-3</v>
      </c>
      <c r="AD107">
        <f>AC103/(AC104+AC105)</f>
        <v>6.0000000000000001E-3</v>
      </c>
      <c r="AE107">
        <f>AD103/(AD104+AD105)</f>
        <v>4.7999999999999996E-3</v>
      </c>
    </row>
    <row r="108" spans="2:45" x14ac:dyDescent="0.3">
      <c r="B108" s="620" t="s">
        <v>962</v>
      </c>
      <c r="C108" s="1093" t="s">
        <v>966</v>
      </c>
      <c r="D108" s="1093"/>
      <c r="E108" s="611"/>
      <c r="F108" s="611"/>
      <c r="G108" s="1093" t="s">
        <v>966</v>
      </c>
      <c r="H108" s="1093"/>
      <c r="I108" s="611"/>
      <c r="J108" s="611"/>
      <c r="K108" s="1093" t="s">
        <v>966</v>
      </c>
      <c r="L108" s="1093"/>
      <c r="M108" s="611"/>
      <c r="N108" s="611"/>
      <c r="O108" s="1093" t="s">
        <v>963</v>
      </c>
      <c r="P108" s="1093"/>
      <c r="Q108" s="611"/>
      <c r="R108" s="611"/>
      <c r="S108" s="1093" t="s">
        <v>964</v>
      </c>
      <c r="T108" s="1093"/>
      <c r="U108" s="1093" t="s">
        <v>964</v>
      </c>
      <c r="V108" s="1093"/>
      <c r="W108" s="1093" t="s">
        <v>965</v>
      </c>
      <c r="X108" s="1093"/>
      <c r="Y108" s="1093" t="s">
        <v>967</v>
      </c>
      <c r="Z108" s="1132"/>
      <c r="AA108" s="1129" t="s">
        <v>963</v>
      </c>
      <c r="AB108" s="1130"/>
      <c r="AC108" s="1123" t="s">
        <v>963</v>
      </c>
      <c r="AD108" s="1124"/>
    </row>
    <row r="109" spans="2:45" x14ac:dyDescent="0.3">
      <c r="B109" s="618" t="s">
        <v>961</v>
      </c>
      <c r="C109" s="967">
        <v>470</v>
      </c>
      <c r="D109" s="992"/>
      <c r="E109" s="617"/>
      <c r="F109" s="617"/>
      <c r="G109" s="967">
        <v>470</v>
      </c>
      <c r="H109" s="992"/>
      <c r="I109" s="617"/>
      <c r="J109" s="617"/>
      <c r="K109" s="967">
        <v>470</v>
      </c>
      <c r="L109" s="992"/>
      <c r="M109" s="617"/>
      <c r="N109" s="617"/>
      <c r="O109" s="967">
        <v>470</v>
      </c>
      <c r="P109" s="992"/>
      <c r="Q109" s="617"/>
      <c r="R109" s="617"/>
      <c r="S109" s="967">
        <v>470</v>
      </c>
      <c r="T109" s="992"/>
      <c r="U109" s="617">
        <v>150</v>
      </c>
      <c r="V109" s="617"/>
      <c r="W109" s="967">
        <v>300</v>
      </c>
      <c r="X109" s="992"/>
      <c r="Y109" s="967">
        <v>300</v>
      </c>
      <c r="Z109" s="1131"/>
      <c r="AA109" s="1127">
        <v>300</v>
      </c>
      <c r="AB109" s="1128"/>
      <c r="AC109" s="1125">
        <v>300</v>
      </c>
      <c r="AD109" s="1126"/>
      <c r="AH109" t="s">
        <v>919</v>
      </c>
      <c r="AL109" t="s">
        <v>923</v>
      </c>
      <c r="AP109" t="s">
        <v>924</v>
      </c>
    </row>
    <row r="110" spans="2:45" x14ac:dyDescent="0.3">
      <c r="B110" s="105" t="s">
        <v>959</v>
      </c>
      <c r="C110" s="106">
        <v>1</v>
      </c>
      <c r="D110" s="106">
        <v>1</v>
      </c>
      <c r="E110" s="106"/>
      <c r="F110" s="106"/>
      <c r="G110" s="106">
        <v>1.5</v>
      </c>
      <c r="H110" s="106">
        <v>1.5</v>
      </c>
      <c r="I110" s="106"/>
      <c r="J110" s="106"/>
      <c r="K110" s="106">
        <v>2</v>
      </c>
      <c r="L110" s="106">
        <v>2</v>
      </c>
      <c r="M110" s="106"/>
      <c r="N110" s="106"/>
      <c r="O110" s="106">
        <v>2</v>
      </c>
      <c r="P110" s="106">
        <v>2</v>
      </c>
      <c r="Q110" s="106">
        <v>2</v>
      </c>
      <c r="R110" s="106">
        <v>2</v>
      </c>
      <c r="S110" s="106">
        <v>2</v>
      </c>
      <c r="T110" s="106">
        <v>2</v>
      </c>
      <c r="U110" s="106">
        <v>2</v>
      </c>
      <c r="V110" s="106">
        <v>2</v>
      </c>
      <c r="W110" s="106">
        <v>2</v>
      </c>
      <c r="X110" s="106">
        <v>2</v>
      </c>
      <c r="Y110" s="106">
        <v>2</v>
      </c>
      <c r="Z110" s="120">
        <v>2</v>
      </c>
      <c r="AA110" s="690">
        <v>2</v>
      </c>
      <c r="AB110" s="691">
        <v>2</v>
      </c>
      <c r="AC110" s="691">
        <v>2</v>
      </c>
      <c r="AD110" s="692">
        <v>2</v>
      </c>
      <c r="AG110" s="103" t="s">
        <v>959</v>
      </c>
      <c r="AP110">
        <v>499</v>
      </c>
      <c r="AQ110">
        <v>499</v>
      </c>
    </row>
    <row r="111" spans="2:45" x14ac:dyDescent="0.3">
      <c r="B111" s="104"/>
      <c r="C111" s="619">
        <v>1</v>
      </c>
      <c r="D111" s="619">
        <v>2</v>
      </c>
      <c r="E111" s="619">
        <v>1</v>
      </c>
      <c r="F111" s="619">
        <v>2</v>
      </c>
      <c r="G111" s="619">
        <v>1</v>
      </c>
      <c r="H111" s="619">
        <v>2</v>
      </c>
      <c r="I111" s="619">
        <v>1</v>
      </c>
      <c r="J111" s="619">
        <v>2</v>
      </c>
      <c r="K111" s="619">
        <v>1</v>
      </c>
      <c r="L111" s="619">
        <v>2</v>
      </c>
      <c r="M111" s="619">
        <v>1</v>
      </c>
      <c r="N111" s="619">
        <v>2</v>
      </c>
      <c r="O111" s="619">
        <v>1</v>
      </c>
      <c r="P111" s="619">
        <v>2</v>
      </c>
      <c r="Q111" s="619">
        <v>1</v>
      </c>
      <c r="R111" s="619">
        <v>2</v>
      </c>
      <c r="S111" s="619">
        <v>1</v>
      </c>
      <c r="T111" s="619">
        <v>2</v>
      </c>
      <c r="U111" s="619">
        <v>1</v>
      </c>
      <c r="V111" s="619">
        <v>2</v>
      </c>
      <c r="W111" s="619">
        <v>1</v>
      </c>
      <c r="X111" s="619">
        <v>2</v>
      </c>
      <c r="Y111" s="619">
        <v>1</v>
      </c>
      <c r="Z111" s="668">
        <v>2</v>
      </c>
      <c r="AA111" s="618">
        <v>1</v>
      </c>
      <c r="AB111" s="619">
        <v>2</v>
      </c>
      <c r="AC111" s="619">
        <v>1</v>
      </c>
      <c r="AD111" s="616">
        <v>2</v>
      </c>
      <c r="AH111" s="415">
        <v>1</v>
      </c>
      <c r="AI111" s="415">
        <v>2</v>
      </c>
      <c r="AK111" s="415"/>
      <c r="AL111" s="415">
        <v>1</v>
      </c>
      <c r="AM111" s="415"/>
      <c r="AN111" s="415">
        <v>2</v>
      </c>
      <c r="AO111" s="415"/>
      <c r="AP111" s="415">
        <v>1</v>
      </c>
      <c r="AQ111" s="415">
        <v>2</v>
      </c>
      <c r="AR111" s="415"/>
      <c r="AS111" s="415"/>
    </row>
    <row r="112" spans="2:45" x14ac:dyDescent="0.3">
      <c r="B112" s="104"/>
      <c r="C112" s="1059" t="s">
        <v>849</v>
      </c>
      <c r="D112" s="967"/>
      <c r="E112" s="1059" t="s">
        <v>955</v>
      </c>
      <c r="F112" s="967"/>
      <c r="G112" s="1059" t="s">
        <v>849</v>
      </c>
      <c r="H112" s="967"/>
      <c r="I112" s="1059" t="s">
        <v>926</v>
      </c>
      <c r="J112" s="967"/>
      <c r="K112" s="1059" t="s">
        <v>849</v>
      </c>
      <c r="L112" s="967"/>
      <c r="M112" s="1059" t="s">
        <v>926</v>
      </c>
      <c r="N112" s="967"/>
      <c r="O112" s="1059" t="s">
        <v>849</v>
      </c>
      <c r="P112" s="967"/>
      <c r="Q112" s="1059" t="s">
        <v>926</v>
      </c>
      <c r="R112" s="967"/>
      <c r="S112" s="1059" t="s">
        <v>849</v>
      </c>
      <c r="T112" s="967"/>
      <c r="U112" s="1059" t="s">
        <v>849</v>
      </c>
      <c r="V112" s="967"/>
      <c r="W112" s="1059" t="s">
        <v>849</v>
      </c>
      <c r="X112" s="967"/>
      <c r="Y112" s="1059" t="s">
        <v>849</v>
      </c>
      <c r="Z112" s="961"/>
      <c r="AA112" s="960" t="s">
        <v>849</v>
      </c>
      <c r="AB112" s="967"/>
      <c r="AC112" s="1059" t="s">
        <v>968</v>
      </c>
      <c r="AD112" s="1056"/>
      <c r="AH112" s="415" t="s">
        <v>912</v>
      </c>
      <c r="AI112" s="415" t="s">
        <v>912</v>
      </c>
      <c r="AJ112" s="415" t="s">
        <v>913</v>
      </c>
      <c r="AK112" s="415" t="s">
        <v>913</v>
      </c>
      <c r="AL112" s="415" t="s">
        <v>912</v>
      </c>
      <c r="AM112" s="415" t="s">
        <v>913</v>
      </c>
      <c r="AN112" s="415" t="s">
        <v>912</v>
      </c>
      <c r="AO112" s="415" t="s">
        <v>913</v>
      </c>
      <c r="AP112" s="415" t="s">
        <v>913</v>
      </c>
      <c r="AQ112" s="415" t="s">
        <v>913</v>
      </c>
      <c r="AR112" s="415"/>
      <c r="AS112" s="415"/>
    </row>
    <row r="113" spans="2:45" x14ac:dyDescent="0.3">
      <c r="B113" s="105" t="s">
        <v>256</v>
      </c>
      <c r="C113" s="106">
        <v>28.93</v>
      </c>
      <c r="D113" s="106">
        <v>28.9</v>
      </c>
      <c r="E113" s="106"/>
      <c r="F113" s="106"/>
      <c r="G113" s="106">
        <v>28.8</v>
      </c>
      <c r="H113" s="106">
        <v>28.78</v>
      </c>
      <c r="I113" s="106"/>
      <c r="J113" s="106"/>
      <c r="K113" s="106">
        <v>28.73</v>
      </c>
      <c r="L113" s="106">
        <v>28.7</v>
      </c>
      <c r="M113" s="106">
        <v>28.57</v>
      </c>
      <c r="N113" s="106">
        <v>28.54</v>
      </c>
      <c r="O113" s="106">
        <v>28.54</v>
      </c>
      <c r="P113" s="106">
        <v>28.54</v>
      </c>
      <c r="Q113" s="106"/>
      <c r="R113" s="106"/>
      <c r="S113" s="106">
        <v>28.75</v>
      </c>
      <c r="T113" s="106">
        <v>28.7</v>
      </c>
      <c r="U113" s="106">
        <v>28.64</v>
      </c>
      <c r="V113" s="106">
        <v>28.59</v>
      </c>
      <c r="W113" s="106">
        <v>28.72</v>
      </c>
      <c r="X113" s="106">
        <v>28.68</v>
      </c>
      <c r="Y113" s="106">
        <v>28.7</v>
      </c>
      <c r="Z113" s="120">
        <v>28.64</v>
      </c>
      <c r="AA113" s="104">
        <v>28.66</v>
      </c>
      <c r="AB113" s="106">
        <v>28.65</v>
      </c>
      <c r="AC113" s="106">
        <v>28.66</v>
      </c>
      <c r="AD113" s="107">
        <v>28.65</v>
      </c>
      <c r="AG113" s="103" t="s">
        <v>916</v>
      </c>
      <c r="AH113">
        <v>28.54</v>
      </c>
      <c r="AI113">
        <v>28.54</v>
      </c>
      <c r="AJ113">
        <v>29.03</v>
      </c>
      <c r="AK113">
        <v>28.93</v>
      </c>
      <c r="AM113">
        <v>28.83</v>
      </c>
      <c r="AO113">
        <v>28.73</v>
      </c>
      <c r="AP113">
        <v>28.82</v>
      </c>
      <c r="AQ113">
        <v>28.72</v>
      </c>
      <c r="AR113">
        <v>28.83</v>
      </c>
      <c r="AS113">
        <v>28.75</v>
      </c>
    </row>
    <row r="114" spans="2:45" x14ac:dyDescent="0.3">
      <c r="B114" s="105" t="s">
        <v>821</v>
      </c>
      <c r="C114" s="106">
        <v>4.32</v>
      </c>
      <c r="D114" s="106">
        <v>2.35</v>
      </c>
      <c r="E114" s="106"/>
      <c r="F114" s="106"/>
      <c r="G114" s="106">
        <v>3.9590000000000001</v>
      </c>
      <c r="H114" s="106">
        <v>2.79</v>
      </c>
      <c r="I114" s="106"/>
      <c r="J114" s="106"/>
      <c r="K114" s="106">
        <v>4.1100000000000003</v>
      </c>
      <c r="L114" s="106">
        <v>2.5950000000000002</v>
      </c>
      <c r="M114" s="106"/>
      <c r="N114" s="106"/>
      <c r="O114" s="106">
        <v>0.19600000000000001</v>
      </c>
      <c r="P114" s="106">
        <v>0.19800000000000001</v>
      </c>
      <c r="Q114" s="106"/>
      <c r="R114" s="106"/>
      <c r="S114" s="106">
        <v>2.9</v>
      </c>
      <c r="T114" s="106">
        <v>1.35</v>
      </c>
      <c r="U114" s="106">
        <v>2.915</v>
      </c>
      <c r="V114" s="106">
        <v>1.58</v>
      </c>
      <c r="W114" s="106">
        <v>1.3759999999999999</v>
      </c>
      <c r="X114" s="106">
        <v>0.82699999999999996</v>
      </c>
      <c r="Y114" s="106">
        <v>0.68</v>
      </c>
      <c r="Z114" s="120">
        <v>0.54700000000000004</v>
      </c>
      <c r="AA114" s="104">
        <v>0.20300000000000001</v>
      </c>
      <c r="AB114" s="106">
        <v>0.184</v>
      </c>
      <c r="AC114" s="106">
        <v>0.42</v>
      </c>
      <c r="AD114" s="107">
        <v>0.378</v>
      </c>
      <c r="AE114" t="s">
        <v>873</v>
      </c>
      <c r="AG114" s="103" t="s">
        <v>821</v>
      </c>
      <c r="AH114">
        <v>0.26600000000000001</v>
      </c>
      <c r="AI114">
        <v>0.26</v>
      </c>
      <c r="AJ114">
        <v>4.84</v>
      </c>
      <c r="AK114">
        <v>0.41599999999999998</v>
      </c>
      <c r="AM114">
        <v>5</v>
      </c>
      <c r="AO114">
        <v>0.59</v>
      </c>
      <c r="AP114">
        <v>4.87</v>
      </c>
      <c r="AQ114">
        <v>0.38</v>
      </c>
      <c r="AR114">
        <v>4.63</v>
      </c>
      <c r="AS114">
        <v>1.0720000000000001</v>
      </c>
    </row>
    <row r="115" spans="2:45" x14ac:dyDescent="0.3">
      <c r="B115" s="105" t="s">
        <v>925</v>
      </c>
      <c r="C115" s="106">
        <v>10.31</v>
      </c>
      <c r="D115" s="106">
        <v>11.55</v>
      </c>
      <c r="E115" s="106"/>
      <c r="F115" s="106"/>
      <c r="G115" s="106">
        <v>10.31</v>
      </c>
      <c r="H115" s="106">
        <v>10.56</v>
      </c>
      <c r="I115" s="106"/>
      <c r="J115" s="106"/>
      <c r="K115" s="106">
        <v>10.199999999999999</v>
      </c>
      <c r="L115" s="106">
        <v>10.44</v>
      </c>
      <c r="M115" s="106"/>
      <c r="N115" s="106"/>
      <c r="O115" s="106">
        <v>11.86</v>
      </c>
      <c r="P115" s="106">
        <v>11.7</v>
      </c>
      <c r="Q115" s="106">
        <v>11.8</v>
      </c>
      <c r="R115" s="106">
        <v>11.5</v>
      </c>
      <c r="S115" s="106">
        <v>10.31</v>
      </c>
      <c r="T115" s="106">
        <v>10.47</v>
      </c>
      <c r="U115" s="106">
        <v>10.25</v>
      </c>
      <c r="V115" s="106">
        <v>10.46</v>
      </c>
      <c r="W115" s="106">
        <v>10.37</v>
      </c>
      <c r="X115" s="106">
        <v>10.51</v>
      </c>
      <c r="Y115" s="106">
        <v>10.56</v>
      </c>
      <c r="Z115" s="120">
        <v>11.05</v>
      </c>
      <c r="AA115" s="104">
        <v>11.35</v>
      </c>
      <c r="AB115" s="106">
        <v>10.82</v>
      </c>
      <c r="AC115" s="106">
        <v>11.04</v>
      </c>
      <c r="AD115" s="107">
        <v>10.79</v>
      </c>
      <c r="AG115" s="103" t="s">
        <v>925</v>
      </c>
    </row>
    <row r="116" spans="2:45" x14ac:dyDescent="0.3">
      <c r="B116" s="666" t="s">
        <v>903</v>
      </c>
      <c r="C116" s="203">
        <v>4.1100000000000003</v>
      </c>
      <c r="D116" s="203">
        <v>5.41</v>
      </c>
      <c r="E116" s="203"/>
      <c r="F116" s="203"/>
      <c r="G116" s="203">
        <v>3.44</v>
      </c>
      <c r="H116" s="203">
        <v>3.33</v>
      </c>
      <c r="I116" s="203"/>
      <c r="J116" s="203"/>
      <c r="K116" s="203">
        <v>2.61</v>
      </c>
      <c r="L116" s="203">
        <v>2.669</v>
      </c>
      <c r="M116" s="203">
        <v>2.5139999999999998</v>
      </c>
      <c r="N116" s="203">
        <v>2.6240000000000001</v>
      </c>
      <c r="O116" s="203">
        <v>10.31</v>
      </c>
      <c r="P116" s="203">
        <v>9.0299999999999994</v>
      </c>
      <c r="Q116" s="203">
        <v>9.6199999999999992</v>
      </c>
      <c r="R116" s="203">
        <v>7.79</v>
      </c>
      <c r="S116" s="203">
        <v>2.66</v>
      </c>
      <c r="T116" s="203">
        <v>2.6890000000000001</v>
      </c>
      <c r="U116" s="203">
        <v>2.649</v>
      </c>
      <c r="V116" s="203">
        <v>2.6829999999999998</v>
      </c>
      <c r="W116" s="203">
        <v>2.6779999999999999</v>
      </c>
      <c r="X116" s="203">
        <v>2.6989999999999998</v>
      </c>
      <c r="Y116" s="203">
        <v>3.06</v>
      </c>
      <c r="Z116" s="307">
        <v>4.24</v>
      </c>
      <c r="AA116" s="669">
        <v>6.8</v>
      </c>
      <c r="AB116" s="203">
        <v>5.75</v>
      </c>
      <c r="AC116" s="203">
        <v>5.3</v>
      </c>
      <c r="AD116" s="667">
        <v>3.88</v>
      </c>
      <c r="AE116" t="s">
        <v>906</v>
      </c>
      <c r="AG116" s="606" t="s">
        <v>903</v>
      </c>
      <c r="AH116" s="605">
        <v>11.9</v>
      </c>
      <c r="AI116" s="605">
        <v>11.68</v>
      </c>
      <c r="AJ116" s="605">
        <v>11.76</v>
      </c>
      <c r="AK116" s="605">
        <v>11.71</v>
      </c>
      <c r="AL116" s="605"/>
      <c r="AM116" s="605">
        <v>11.67</v>
      </c>
      <c r="AN116" s="605"/>
      <c r="AO116" s="605">
        <v>11.68</v>
      </c>
      <c r="AP116" s="605">
        <v>8.11</v>
      </c>
      <c r="AQ116" s="605">
        <v>8.67</v>
      </c>
      <c r="AR116" s="605"/>
      <c r="AS116" s="605">
        <v>8.66</v>
      </c>
    </row>
    <row r="117" spans="2:45" x14ac:dyDescent="0.3">
      <c r="B117" s="105" t="s">
        <v>917</v>
      </c>
      <c r="C117" s="106">
        <v>28.16</v>
      </c>
      <c r="D117" s="106">
        <v>28.13</v>
      </c>
      <c r="E117" s="106"/>
      <c r="F117" s="106"/>
      <c r="G117" s="106">
        <v>28.17</v>
      </c>
      <c r="H117" s="106">
        <v>28.13</v>
      </c>
      <c r="I117" s="106"/>
      <c r="J117" s="106"/>
      <c r="K117" s="106">
        <v>28.16</v>
      </c>
      <c r="L117" s="106">
        <v>28.11</v>
      </c>
      <c r="M117" s="106"/>
      <c r="N117" s="106"/>
      <c r="O117" s="106">
        <v>28.19</v>
      </c>
      <c r="P117" s="106">
        <v>28.15</v>
      </c>
      <c r="Q117" s="106"/>
      <c r="R117" s="106"/>
      <c r="S117" s="106"/>
      <c r="T117" s="106"/>
      <c r="U117" s="106">
        <v>28.2</v>
      </c>
      <c r="V117" s="106">
        <v>28.16</v>
      </c>
      <c r="W117" s="106"/>
      <c r="X117" s="106"/>
      <c r="Y117" s="106">
        <v>28.2</v>
      </c>
      <c r="Z117" s="120">
        <v>28.16</v>
      </c>
      <c r="AA117" s="104">
        <v>28.2</v>
      </c>
      <c r="AB117" s="106">
        <v>28.16</v>
      </c>
      <c r="AC117" s="106">
        <v>28.2</v>
      </c>
      <c r="AD117" s="107">
        <v>28.14</v>
      </c>
      <c r="AG117" s="103" t="s">
        <v>917</v>
      </c>
      <c r="AH117">
        <v>28.18</v>
      </c>
      <c r="AI117">
        <v>28.14</v>
      </c>
      <c r="AJ117">
        <v>28.19</v>
      </c>
      <c r="AK117">
        <v>28.12</v>
      </c>
      <c r="AM117">
        <v>28.2</v>
      </c>
      <c r="AO117">
        <v>28.14</v>
      </c>
      <c r="AP117">
        <v>28.18</v>
      </c>
      <c r="AQ117">
        <v>28.12</v>
      </c>
      <c r="AS117">
        <v>28.15</v>
      </c>
    </row>
    <row r="118" spans="2:45" x14ac:dyDescent="0.3">
      <c r="B118" s="105" t="s">
        <v>905</v>
      </c>
      <c r="C118" s="106">
        <v>3.605</v>
      </c>
      <c r="D118" s="106">
        <v>3.6419999999999999</v>
      </c>
      <c r="E118" s="106"/>
      <c r="F118" s="106"/>
      <c r="G118" s="106">
        <v>3.6040000000000001</v>
      </c>
      <c r="H118" s="106">
        <v>3.6259999999999999</v>
      </c>
      <c r="I118" s="106"/>
      <c r="J118" s="106"/>
      <c r="K118" s="106">
        <v>3.601</v>
      </c>
      <c r="L118" s="106">
        <v>3.625</v>
      </c>
      <c r="M118" s="106"/>
      <c r="N118" s="106"/>
      <c r="O118" s="106">
        <v>3.56</v>
      </c>
      <c r="P118" s="106">
        <v>3.41</v>
      </c>
      <c r="Q118" s="106"/>
      <c r="R118" s="106"/>
      <c r="S118" s="106"/>
      <c r="T118" s="106"/>
      <c r="U118" s="106"/>
      <c r="V118" s="106">
        <v>3.645</v>
      </c>
      <c r="W118" s="106"/>
      <c r="X118" s="106"/>
      <c r="Y118" s="106"/>
      <c r="Z118" s="120"/>
      <c r="AA118" s="104">
        <v>3.61</v>
      </c>
      <c r="AB118" s="106">
        <v>3.59</v>
      </c>
      <c r="AC118" s="106">
        <v>3.66</v>
      </c>
      <c r="AD118" s="107">
        <v>3.64</v>
      </c>
      <c r="AG118" s="103" t="s">
        <v>905</v>
      </c>
      <c r="AH118">
        <v>3.649</v>
      </c>
      <c r="AI118">
        <v>3.629</v>
      </c>
      <c r="AJ118">
        <v>3.6989999999999998</v>
      </c>
      <c r="AK118">
        <v>3.6429999999999998</v>
      </c>
      <c r="AM118">
        <v>3.706</v>
      </c>
      <c r="AO118">
        <v>3.6419999999999999</v>
      </c>
      <c r="AP118">
        <v>3.6949999999999998</v>
      </c>
      <c r="AQ118">
        <v>3.6419999999999999</v>
      </c>
      <c r="AS118">
        <v>3.6560000000000001</v>
      </c>
    </row>
    <row r="119" spans="2:45" x14ac:dyDescent="0.3">
      <c r="B119" s="105" t="s">
        <v>914</v>
      </c>
      <c r="C119" s="106">
        <v>5.01</v>
      </c>
      <c r="D119" s="106">
        <v>4.91</v>
      </c>
      <c r="E119" s="106"/>
      <c r="F119" s="106"/>
      <c r="G119" s="106">
        <v>4.0069999999999997</v>
      </c>
      <c r="H119" s="106">
        <v>3.8149999999999999</v>
      </c>
      <c r="I119" s="106"/>
      <c r="J119" s="106"/>
      <c r="K119" s="106">
        <v>4.0449999999999999</v>
      </c>
      <c r="L119" s="106">
        <v>3.9580000000000002</v>
      </c>
      <c r="M119" s="106"/>
      <c r="N119" s="106"/>
      <c r="O119" s="106">
        <v>0.24399999999999999</v>
      </c>
      <c r="P119" s="106">
        <v>0.23200000000000001</v>
      </c>
      <c r="Q119" s="106"/>
      <c r="R119" s="106"/>
      <c r="S119" s="106"/>
      <c r="T119" s="106"/>
      <c r="U119" s="106"/>
      <c r="V119" s="106">
        <v>2.7519999999999998</v>
      </c>
      <c r="W119" s="106"/>
      <c r="X119" s="106"/>
      <c r="Y119" s="106"/>
      <c r="Z119" s="120"/>
      <c r="AA119" s="104"/>
      <c r="AB119" s="106"/>
      <c r="AC119" s="106"/>
      <c r="AD119" s="107"/>
      <c r="AG119" s="103" t="s">
        <v>914</v>
      </c>
      <c r="AH119">
        <v>0.155</v>
      </c>
      <c r="AI119">
        <v>0.16900000000000001</v>
      </c>
      <c r="AJ119">
        <v>4.68</v>
      </c>
      <c r="AK119">
        <v>4.68</v>
      </c>
      <c r="AM119">
        <v>4.71</v>
      </c>
      <c r="AO119">
        <v>4.6900000000000004</v>
      </c>
      <c r="AP119">
        <v>4.7699999999999996</v>
      </c>
      <c r="AQ119">
        <v>4.75</v>
      </c>
      <c r="AS119">
        <v>4.4000000000000004</v>
      </c>
    </row>
    <row r="120" spans="2:45" x14ac:dyDescent="0.3">
      <c r="B120" s="105" t="s">
        <v>915</v>
      </c>
      <c r="C120" s="106">
        <v>6.8000000000000005E-2</v>
      </c>
      <c r="D120" s="106">
        <v>3.1E-2</v>
      </c>
      <c r="E120" s="106">
        <v>8.1000000000000003E-2</v>
      </c>
      <c r="F120" s="106">
        <v>4.7E-2</v>
      </c>
      <c r="G120" s="106">
        <v>6.2E-2</v>
      </c>
      <c r="H120" s="106">
        <v>3.7999999999999999E-2</v>
      </c>
      <c r="I120" s="106">
        <v>9.5000000000000001E-2</v>
      </c>
      <c r="J120" s="106">
        <v>6.8000000000000005E-2</v>
      </c>
      <c r="K120" s="106">
        <v>6.4000000000000001E-2</v>
      </c>
      <c r="L120" s="106">
        <v>3.5000000000000003E-2</v>
      </c>
      <c r="M120" s="106">
        <v>9.9000000000000005E-2</v>
      </c>
      <c r="N120" s="106">
        <v>7.0999999999999994E-2</v>
      </c>
      <c r="O120" s="106">
        <v>0.05</v>
      </c>
      <c r="P120" s="106">
        <v>0.05</v>
      </c>
      <c r="Q120" s="106">
        <v>0.09</v>
      </c>
      <c r="R120" s="106">
        <v>8.6999999999999994E-2</v>
      </c>
      <c r="S120" s="106">
        <v>6.9000000000000006E-2</v>
      </c>
      <c r="T120" s="106">
        <v>3.1E-2</v>
      </c>
      <c r="U120" s="106">
        <v>6.9000000000000006E-2</v>
      </c>
      <c r="V120" s="106">
        <v>3.2000000000000001E-2</v>
      </c>
      <c r="W120" s="106">
        <v>6.0999999999999999E-2</v>
      </c>
      <c r="X120" s="106">
        <v>4.8000000000000001E-2</v>
      </c>
      <c r="Y120" s="106">
        <v>6.4000000000000001E-2</v>
      </c>
      <c r="Z120" s="120">
        <v>4.9000000000000002E-2</v>
      </c>
      <c r="AA120" s="104">
        <v>5.0999999999999997E-2</v>
      </c>
      <c r="AB120" s="106">
        <v>4.7E-2</v>
      </c>
      <c r="AC120" s="106">
        <v>0.11</v>
      </c>
      <c r="AD120" s="107">
        <v>9.2999999999999999E-2</v>
      </c>
      <c r="AG120" s="103" t="s">
        <v>915</v>
      </c>
      <c r="AH120">
        <v>1E-3</v>
      </c>
      <c r="AI120">
        <v>1E-3</v>
      </c>
      <c r="AJ120">
        <v>7.2999999999999995E-2</v>
      </c>
      <c r="AK120">
        <v>4.0000000000000001E-3</v>
      </c>
      <c r="AM120">
        <v>7.2999999999999995E-2</v>
      </c>
      <c r="AO120">
        <v>4.0000000000000001E-3</v>
      </c>
      <c r="AP120">
        <v>7.4999999999999997E-2</v>
      </c>
      <c r="AQ120">
        <v>3.0000000000000001E-3</v>
      </c>
      <c r="AS120">
        <v>8.9999999999999993E-3</v>
      </c>
    </row>
    <row r="121" spans="2:45" x14ac:dyDescent="0.3">
      <c r="B121" s="105" t="s">
        <v>918</v>
      </c>
      <c r="C121" s="106">
        <f t="shared" ref="C121:N121" si="15">C120/0.02</f>
        <v>3.4000000000000004</v>
      </c>
      <c r="D121" s="106">
        <f t="shared" si="15"/>
        <v>1.55</v>
      </c>
      <c r="E121" s="106">
        <f t="shared" si="15"/>
        <v>4.05</v>
      </c>
      <c r="F121" s="106">
        <f t="shared" si="15"/>
        <v>2.35</v>
      </c>
      <c r="G121" s="106">
        <f t="shared" si="15"/>
        <v>3.1</v>
      </c>
      <c r="H121" s="106">
        <f t="shared" si="15"/>
        <v>1.9</v>
      </c>
      <c r="I121" s="106">
        <f t="shared" si="15"/>
        <v>4.75</v>
      </c>
      <c r="J121" s="106">
        <f t="shared" si="15"/>
        <v>3.4000000000000004</v>
      </c>
      <c r="K121" s="106">
        <f t="shared" si="15"/>
        <v>3.2</v>
      </c>
      <c r="L121" s="106">
        <f t="shared" si="15"/>
        <v>1.7500000000000002</v>
      </c>
      <c r="M121" s="106">
        <f t="shared" si="15"/>
        <v>4.95</v>
      </c>
      <c r="N121" s="106">
        <f t="shared" si="15"/>
        <v>3.55</v>
      </c>
      <c r="O121" s="106">
        <f t="shared" ref="O121:AD121" si="16">O120/0.02</f>
        <v>2.5</v>
      </c>
      <c r="P121" s="106">
        <f t="shared" si="16"/>
        <v>2.5</v>
      </c>
      <c r="Q121" s="106">
        <f t="shared" si="16"/>
        <v>4.5</v>
      </c>
      <c r="R121" s="106">
        <f t="shared" si="16"/>
        <v>4.3499999999999996</v>
      </c>
      <c r="S121" s="106">
        <f t="shared" si="16"/>
        <v>3.45</v>
      </c>
      <c r="T121" s="106">
        <f t="shared" si="16"/>
        <v>1.55</v>
      </c>
      <c r="U121" s="106">
        <f t="shared" si="16"/>
        <v>3.45</v>
      </c>
      <c r="V121" s="106">
        <f t="shared" si="16"/>
        <v>1.6</v>
      </c>
      <c r="W121" s="106">
        <f t="shared" si="16"/>
        <v>3.05</v>
      </c>
      <c r="X121" s="106">
        <f t="shared" si="16"/>
        <v>2.4</v>
      </c>
      <c r="Y121" s="106">
        <f t="shared" si="16"/>
        <v>3.2</v>
      </c>
      <c r="Z121" s="120">
        <f t="shared" si="16"/>
        <v>2.4500000000000002</v>
      </c>
      <c r="AA121" s="104">
        <f t="shared" si="16"/>
        <v>2.5499999999999998</v>
      </c>
      <c r="AB121" s="106">
        <f t="shared" si="16"/>
        <v>2.35</v>
      </c>
      <c r="AC121" s="106">
        <f t="shared" si="16"/>
        <v>5.5</v>
      </c>
      <c r="AD121" s="107">
        <f t="shared" si="16"/>
        <v>4.6499999999999995</v>
      </c>
      <c r="AG121" s="103" t="s">
        <v>918</v>
      </c>
      <c r="AH121">
        <f>AH120/0.02</f>
        <v>0.05</v>
      </c>
      <c r="AI121">
        <f>AI120/0.02</f>
        <v>0.05</v>
      </c>
      <c r="AJ121">
        <f>AJ120/0.02</f>
        <v>3.65</v>
      </c>
      <c r="AK121">
        <f>AK120/0.02</f>
        <v>0.2</v>
      </c>
      <c r="AM121">
        <f>AM120/0.02</f>
        <v>3.65</v>
      </c>
      <c r="AO121">
        <f>AO120/0.02</f>
        <v>0.2</v>
      </c>
      <c r="AP121">
        <f>AP120/0.02</f>
        <v>3.75</v>
      </c>
      <c r="AQ121">
        <f>AQ120/0.02</f>
        <v>0.15</v>
      </c>
    </row>
    <row r="122" spans="2:45" x14ac:dyDescent="0.3">
      <c r="B122" s="105" t="s">
        <v>920</v>
      </c>
      <c r="C122" s="106">
        <f>C117-C116</f>
        <v>24.05</v>
      </c>
      <c r="D122" s="106">
        <f>D117-D116</f>
        <v>22.72</v>
      </c>
      <c r="E122" s="106"/>
      <c r="F122" s="106"/>
      <c r="G122" s="106">
        <f>G117-G116</f>
        <v>24.73</v>
      </c>
      <c r="H122" s="106">
        <f>H117-H116</f>
        <v>24.799999999999997</v>
      </c>
      <c r="I122" s="106"/>
      <c r="J122" s="106"/>
      <c r="K122" s="106">
        <f>K117-K116</f>
        <v>25.55</v>
      </c>
      <c r="L122" s="106">
        <f>L117-L116</f>
        <v>25.440999999999999</v>
      </c>
      <c r="M122" s="106"/>
      <c r="N122" s="106"/>
      <c r="O122" s="106">
        <f t="shared" ref="O122:X122" si="17">O117-O116</f>
        <v>17.880000000000003</v>
      </c>
      <c r="P122" s="106">
        <f t="shared" si="17"/>
        <v>19.119999999999997</v>
      </c>
      <c r="Q122" s="106">
        <f t="shared" si="17"/>
        <v>-9.6199999999999992</v>
      </c>
      <c r="R122" s="106">
        <f t="shared" si="17"/>
        <v>-7.79</v>
      </c>
      <c r="S122" s="106">
        <f t="shared" si="17"/>
        <v>-2.66</v>
      </c>
      <c r="T122" s="106">
        <f t="shared" si="17"/>
        <v>-2.6890000000000001</v>
      </c>
      <c r="U122" s="106">
        <f t="shared" si="17"/>
        <v>25.550999999999998</v>
      </c>
      <c r="V122" s="106">
        <f t="shared" si="17"/>
        <v>25.477</v>
      </c>
      <c r="W122" s="106">
        <f t="shared" si="17"/>
        <v>-2.6779999999999999</v>
      </c>
      <c r="X122" s="106">
        <f t="shared" si="17"/>
        <v>-2.6989999999999998</v>
      </c>
      <c r="Y122" s="106">
        <f t="shared" ref="Y122:AD122" si="18">Y117-Y116</f>
        <v>25.14</v>
      </c>
      <c r="Z122" s="120">
        <f t="shared" si="18"/>
        <v>23.92</v>
      </c>
      <c r="AA122" s="104">
        <f t="shared" si="18"/>
        <v>21.4</v>
      </c>
      <c r="AB122" s="106">
        <f t="shared" si="18"/>
        <v>22.41</v>
      </c>
      <c r="AC122" s="106">
        <f t="shared" si="18"/>
        <v>22.9</v>
      </c>
      <c r="AD122" s="107">
        <f t="shared" si="18"/>
        <v>24.26</v>
      </c>
      <c r="AG122" s="103" t="s">
        <v>920</v>
      </c>
      <c r="AH122">
        <f>AH117-AH116</f>
        <v>16.28</v>
      </c>
      <c r="AI122">
        <f>AI117-AI116</f>
        <v>16.46</v>
      </c>
      <c r="AJ122">
        <f>AJ117-AJ116</f>
        <v>16.43</v>
      </c>
      <c r="AK122">
        <f>AK117-AK116</f>
        <v>16.41</v>
      </c>
      <c r="AM122">
        <f>AM117-AM116</f>
        <v>16.53</v>
      </c>
      <c r="AO122">
        <f>AO117-AO116</f>
        <v>16.46</v>
      </c>
    </row>
    <row r="123" spans="2:45" x14ac:dyDescent="0.3">
      <c r="B123" s="105" t="s">
        <v>921</v>
      </c>
      <c r="C123" s="106">
        <f>C113-C117</f>
        <v>0.76999999999999957</v>
      </c>
      <c r="D123" s="106">
        <f>D113-D117</f>
        <v>0.76999999999999957</v>
      </c>
      <c r="E123" s="106"/>
      <c r="F123" s="106"/>
      <c r="G123" s="106">
        <f>G113-G117</f>
        <v>0.62999999999999901</v>
      </c>
      <c r="H123" s="106">
        <f>H113-H117</f>
        <v>0.65000000000000213</v>
      </c>
      <c r="I123" s="106"/>
      <c r="J123" s="106"/>
      <c r="K123" s="106">
        <f>K113-K117</f>
        <v>0.57000000000000028</v>
      </c>
      <c r="L123" s="106">
        <f>L113-L117</f>
        <v>0.58999999999999986</v>
      </c>
      <c r="M123" s="106"/>
      <c r="N123" s="106"/>
      <c r="O123" s="106">
        <f t="shared" ref="O123:X123" si="19">O113-O117</f>
        <v>0.34999999999999787</v>
      </c>
      <c r="P123" s="106">
        <f t="shared" si="19"/>
        <v>0.39000000000000057</v>
      </c>
      <c r="Q123" s="106">
        <f t="shared" si="19"/>
        <v>0</v>
      </c>
      <c r="R123" s="106">
        <f t="shared" si="19"/>
        <v>0</v>
      </c>
      <c r="S123" s="106">
        <f t="shared" si="19"/>
        <v>28.75</v>
      </c>
      <c r="T123" s="106">
        <f t="shared" si="19"/>
        <v>28.7</v>
      </c>
      <c r="U123" s="106">
        <f t="shared" si="19"/>
        <v>0.44000000000000128</v>
      </c>
      <c r="V123" s="106">
        <f t="shared" si="19"/>
        <v>0.42999999999999972</v>
      </c>
      <c r="W123" s="106">
        <f t="shared" si="19"/>
        <v>28.72</v>
      </c>
      <c r="X123" s="106">
        <f t="shared" si="19"/>
        <v>28.68</v>
      </c>
      <c r="Y123" s="106">
        <f t="shared" ref="Y123:AD123" si="20">Y113-Y117</f>
        <v>0.5</v>
      </c>
      <c r="Z123" s="120">
        <f t="shared" si="20"/>
        <v>0.48000000000000043</v>
      </c>
      <c r="AA123" s="104">
        <f t="shared" si="20"/>
        <v>0.46000000000000085</v>
      </c>
      <c r="AB123" s="106">
        <f t="shared" si="20"/>
        <v>0.48999999999999844</v>
      </c>
      <c r="AC123" s="106">
        <f t="shared" si="20"/>
        <v>0.46000000000000085</v>
      </c>
      <c r="AD123" s="107">
        <f t="shared" si="20"/>
        <v>0.50999999999999801</v>
      </c>
      <c r="AG123" s="103" t="s">
        <v>921</v>
      </c>
      <c r="AH123">
        <f>AH113-AH117</f>
        <v>0.35999999999999943</v>
      </c>
      <c r="AI123">
        <f>AI113-AI117</f>
        <v>0.39999999999999858</v>
      </c>
      <c r="AJ123">
        <f>AJ113-AJ117</f>
        <v>0.83999999999999986</v>
      </c>
      <c r="AK123">
        <f>AK113-AK117</f>
        <v>0.80999999999999872</v>
      </c>
      <c r="AM123">
        <f>AM113-AM117</f>
        <v>0.62999999999999901</v>
      </c>
      <c r="AO123">
        <f>AO113-AO117</f>
        <v>0.58999999999999986</v>
      </c>
      <c r="AP123">
        <f>AP113-AP117</f>
        <v>0.64000000000000057</v>
      </c>
      <c r="AQ123">
        <f>AQ113-AQ117</f>
        <v>0.59999999999999787</v>
      </c>
    </row>
    <row r="124" spans="2:45" x14ac:dyDescent="0.3">
      <c r="B124" s="105" t="s">
        <v>883</v>
      </c>
      <c r="C124" s="106">
        <f>C118/500</f>
        <v>7.2100000000000003E-3</v>
      </c>
      <c r="D124" s="106">
        <f>D118/500</f>
        <v>7.2839999999999997E-3</v>
      </c>
      <c r="E124" s="106"/>
      <c r="F124" s="106"/>
      <c r="G124" s="106">
        <f>G118/500</f>
        <v>7.208E-3</v>
      </c>
      <c r="H124" s="106">
        <f>H118/500</f>
        <v>7.2519999999999998E-3</v>
      </c>
      <c r="I124" s="106"/>
      <c r="J124" s="106"/>
      <c r="K124" s="106">
        <f>K118/500</f>
        <v>7.2020000000000001E-3</v>
      </c>
      <c r="L124" s="106">
        <f>L118/500</f>
        <v>7.2500000000000004E-3</v>
      </c>
      <c r="M124" s="106"/>
      <c r="N124" s="106"/>
      <c r="O124" s="106">
        <f t="shared" ref="O124:X124" si="21">O118/500</f>
        <v>7.1200000000000005E-3</v>
      </c>
      <c r="P124" s="106">
        <f t="shared" si="21"/>
        <v>6.8200000000000005E-3</v>
      </c>
      <c r="Q124" s="106">
        <f t="shared" si="21"/>
        <v>0</v>
      </c>
      <c r="R124" s="106">
        <f t="shared" si="21"/>
        <v>0</v>
      </c>
      <c r="S124" s="106">
        <f t="shared" si="21"/>
        <v>0</v>
      </c>
      <c r="T124" s="106">
        <f t="shared" si="21"/>
        <v>0</v>
      </c>
      <c r="U124" s="106">
        <f t="shared" si="21"/>
        <v>0</v>
      </c>
      <c r="V124" s="106">
        <f t="shared" si="21"/>
        <v>7.2899999999999996E-3</v>
      </c>
      <c r="W124" s="106">
        <f t="shared" si="21"/>
        <v>0</v>
      </c>
      <c r="X124" s="106">
        <f t="shared" si="21"/>
        <v>0</v>
      </c>
      <c r="Y124" s="106">
        <f t="shared" ref="Y124:AD124" si="22">Y118/500</f>
        <v>0</v>
      </c>
      <c r="Z124" s="120">
        <f t="shared" si="22"/>
        <v>0</v>
      </c>
      <c r="AA124" s="104">
        <f t="shared" si="22"/>
        <v>7.2199999999999999E-3</v>
      </c>
      <c r="AB124" s="106">
        <f t="shared" si="22"/>
        <v>7.1799999999999998E-3</v>
      </c>
      <c r="AC124" s="106">
        <f t="shared" si="22"/>
        <v>7.3200000000000001E-3</v>
      </c>
      <c r="AD124" s="107">
        <f t="shared" si="22"/>
        <v>7.28E-3</v>
      </c>
      <c r="AG124" s="103" t="s">
        <v>922</v>
      </c>
      <c r="AH124">
        <f>AH118/500</f>
        <v>7.2979999999999998E-3</v>
      </c>
      <c r="AI124">
        <f>AI118/500</f>
        <v>7.2579999999999997E-3</v>
      </c>
      <c r="AJ124">
        <f>AJ118/500</f>
        <v>7.3980000000000001E-3</v>
      </c>
      <c r="AK124">
        <f>AK118/500</f>
        <v>7.2859999999999999E-3</v>
      </c>
      <c r="AM124">
        <f>AM118/500</f>
        <v>7.4120000000000002E-3</v>
      </c>
      <c r="AO124">
        <f>AO118/500</f>
        <v>7.2839999999999997E-3</v>
      </c>
      <c r="AP124">
        <f>AP118/500</f>
        <v>7.3899999999999999E-3</v>
      </c>
      <c r="AQ124">
        <f>AQ118/500</f>
        <v>7.2839999999999997E-3</v>
      </c>
    </row>
    <row r="125" spans="2:45" x14ac:dyDescent="0.3">
      <c r="B125" s="105" t="s">
        <v>958</v>
      </c>
      <c r="C125" s="106">
        <f>(C115-C116)/C110</f>
        <v>6.2</v>
      </c>
      <c r="D125" s="106">
        <f>(D115-D116)/D110</f>
        <v>6.1400000000000006</v>
      </c>
      <c r="E125" s="106"/>
      <c r="F125" s="106"/>
      <c r="G125" s="106">
        <f>(G115-G116)/G110</f>
        <v>4.580000000000001</v>
      </c>
      <c r="H125" s="106">
        <f>(H115-H116)/H110</f>
        <v>4.82</v>
      </c>
      <c r="I125" s="106"/>
      <c r="J125" s="106"/>
      <c r="K125" s="106">
        <f>(K115-K116)/K110</f>
        <v>3.7949999999999999</v>
      </c>
      <c r="L125" s="106">
        <f>(L115-L116)/L110</f>
        <v>3.8854999999999995</v>
      </c>
      <c r="M125" s="106"/>
      <c r="N125" s="106"/>
      <c r="O125" s="106">
        <f t="shared" ref="O125:AD125" si="23">(O115-O116)/O110</f>
        <v>0.77499999999999947</v>
      </c>
      <c r="P125" s="106">
        <f t="shared" si="23"/>
        <v>1.335</v>
      </c>
      <c r="Q125" s="106">
        <f t="shared" si="23"/>
        <v>1.0900000000000007</v>
      </c>
      <c r="R125" s="106">
        <f t="shared" si="23"/>
        <v>1.855</v>
      </c>
      <c r="S125" s="106">
        <f t="shared" si="23"/>
        <v>3.8250000000000002</v>
      </c>
      <c r="T125" s="106">
        <f t="shared" si="23"/>
        <v>3.8905000000000003</v>
      </c>
      <c r="U125" s="106">
        <f t="shared" si="23"/>
        <v>3.8005</v>
      </c>
      <c r="V125" s="106">
        <f t="shared" si="23"/>
        <v>3.8885000000000005</v>
      </c>
      <c r="W125" s="106">
        <f t="shared" si="23"/>
        <v>3.8459999999999996</v>
      </c>
      <c r="X125" s="106">
        <f t="shared" si="23"/>
        <v>3.9055</v>
      </c>
      <c r="Y125" s="106">
        <f t="shared" si="23"/>
        <v>3.75</v>
      </c>
      <c r="Z125" s="120">
        <f t="shared" si="23"/>
        <v>3.4050000000000002</v>
      </c>
      <c r="AA125" s="104">
        <f t="shared" si="23"/>
        <v>2.2749999999999999</v>
      </c>
      <c r="AB125" s="106">
        <f t="shared" si="23"/>
        <v>2.5350000000000001</v>
      </c>
      <c r="AC125" s="106">
        <f t="shared" si="23"/>
        <v>2.8699999999999997</v>
      </c>
      <c r="AD125" s="107">
        <f t="shared" si="23"/>
        <v>3.4549999999999996</v>
      </c>
      <c r="AE125" t="s">
        <v>969</v>
      </c>
      <c r="AG125" s="103" t="s">
        <v>958</v>
      </c>
    </row>
    <row r="126" spans="2:45" ht="17.25" thickBot="1" x14ac:dyDescent="0.35">
      <c r="B126" s="108" t="s">
        <v>956</v>
      </c>
      <c r="C126" s="109">
        <f>C121+D121</f>
        <v>4.95</v>
      </c>
      <c r="D126" s="109">
        <f>C121-D121</f>
        <v>1.8500000000000003</v>
      </c>
      <c r="E126" s="109">
        <f>E121+F121</f>
        <v>6.4</v>
      </c>
      <c r="F126" s="109">
        <f>E121-F121</f>
        <v>1.6999999999999997</v>
      </c>
      <c r="G126" s="109">
        <f>G121+H121</f>
        <v>5</v>
      </c>
      <c r="H126" s="109">
        <f>G121-H121</f>
        <v>1.2000000000000002</v>
      </c>
      <c r="I126" s="109">
        <f>I121+J121</f>
        <v>8.15</v>
      </c>
      <c r="J126" s="109">
        <f>I121-J121</f>
        <v>1.3499999999999996</v>
      </c>
      <c r="K126" s="109">
        <f>K121+L121</f>
        <v>4.95</v>
      </c>
      <c r="L126" s="109">
        <f>K121-L121</f>
        <v>1.45</v>
      </c>
      <c r="M126" s="109">
        <f>M121+N121</f>
        <v>8.5</v>
      </c>
      <c r="N126" s="109">
        <f>M121-N121</f>
        <v>1.4000000000000004</v>
      </c>
      <c r="O126" s="109">
        <f>O121+P121</f>
        <v>5</v>
      </c>
      <c r="P126" s="109">
        <f>O121-P121</f>
        <v>0</v>
      </c>
      <c r="Q126" s="109">
        <f>Q121+R121</f>
        <v>8.85</v>
      </c>
      <c r="R126" s="109">
        <f>Q121-R121</f>
        <v>0.15000000000000036</v>
      </c>
      <c r="S126" s="109">
        <f>S121+T121</f>
        <v>5</v>
      </c>
      <c r="T126" s="109">
        <f>S121-T121</f>
        <v>1.9000000000000001</v>
      </c>
      <c r="U126" s="109">
        <f>U121+V121</f>
        <v>5.0500000000000007</v>
      </c>
      <c r="V126" s="109">
        <f>U121-V121</f>
        <v>1.85</v>
      </c>
      <c r="W126" s="109">
        <f>W121+X121</f>
        <v>5.4499999999999993</v>
      </c>
      <c r="X126" s="109">
        <f>W121-X121</f>
        <v>0.64999999999999991</v>
      </c>
      <c r="Y126" s="109">
        <f>Y121+Z121</f>
        <v>5.65</v>
      </c>
      <c r="Z126" s="121">
        <f>Y121-Z121</f>
        <v>0.75</v>
      </c>
      <c r="AA126" s="118">
        <f>AA121+AB121</f>
        <v>4.9000000000000004</v>
      </c>
      <c r="AB126" s="109">
        <f>AA121-AB121</f>
        <v>0.19999999999999973</v>
      </c>
      <c r="AC126" s="109">
        <f>AC121+AD121</f>
        <v>10.149999999999999</v>
      </c>
      <c r="AD126" s="110">
        <f>AC121-AD121</f>
        <v>0.85000000000000053</v>
      </c>
      <c r="AG126" s="103" t="s">
        <v>956</v>
      </c>
    </row>
    <row r="129" spans="2:11" ht="17.25" thickBot="1" x14ac:dyDescent="0.35">
      <c r="B129" s="103" t="s">
        <v>117</v>
      </c>
      <c r="I129" t="s">
        <v>997</v>
      </c>
    </row>
    <row r="130" spans="2:11" x14ac:dyDescent="0.3">
      <c r="B130" s="633" t="s">
        <v>971</v>
      </c>
      <c r="C130" s="1093" t="s">
        <v>966</v>
      </c>
      <c r="D130" s="1093"/>
      <c r="E130" s="1093" t="s">
        <v>974</v>
      </c>
      <c r="F130" s="1093"/>
      <c r="G130" s="1093" t="s">
        <v>974</v>
      </c>
      <c r="H130" s="1093"/>
      <c r="I130" s="1063" t="s">
        <v>974</v>
      </c>
      <c r="J130" s="1063"/>
    </row>
    <row r="131" spans="2:11" x14ac:dyDescent="0.3">
      <c r="B131" s="629" t="s">
        <v>972</v>
      </c>
      <c r="C131" s="967">
        <v>10</v>
      </c>
      <c r="D131" s="992"/>
      <c r="E131" s="967">
        <v>10</v>
      </c>
      <c r="F131" s="992"/>
      <c r="G131" s="967">
        <v>49.9</v>
      </c>
      <c r="H131" s="992"/>
      <c r="I131" s="1059">
        <v>49.9</v>
      </c>
      <c r="J131" s="1133"/>
    </row>
    <row r="132" spans="2:11" x14ac:dyDescent="0.3">
      <c r="B132" s="104"/>
      <c r="C132" s="630">
        <v>1</v>
      </c>
      <c r="D132" s="630">
        <v>2</v>
      </c>
      <c r="E132" s="630">
        <v>1</v>
      </c>
      <c r="F132" s="630">
        <v>2</v>
      </c>
      <c r="G132" s="630">
        <v>1</v>
      </c>
      <c r="H132" s="630">
        <v>2</v>
      </c>
      <c r="I132" s="630">
        <v>1</v>
      </c>
      <c r="J132" s="630">
        <v>2</v>
      </c>
    </row>
    <row r="133" spans="2:11" x14ac:dyDescent="0.3">
      <c r="B133" s="104"/>
      <c r="C133" s="1059" t="s">
        <v>973</v>
      </c>
      <c r="D133" s="967"/>
      <c r="E133" s="1059" t="s">
        <v>973</v>
      </c>
      <c r="F133" s="967"/>
      <c r="G133" s="1059" t="s">
        <v>973</v>
      </c>
      <c r="H133" s="967"/>
      <c r="I133" s="1059" t="s">
        <v>973</v>
      </c>
      <c r="J133" s="967"/>
    </row>
    <row r="134" spans="2:11" x14ac:dyDescent="0.3">
      <c r="B134" s="105" t="s">
        <v>256</v>
      </c>
      <c r="C134" s="106">
        <v>5.24</v>
      </c>
      <c r="D134" s="106">
        <v>5.25</v>
      </c>
      <c r="E134" s="106">
        <v>5.18</v>
      </c>
      <c r="F134" s="106">
        <v>5.17</v>
      </c>
      <c r="G134" s="106">
        <v>5.13</v>
      </c>
      <c r="H134" s="106">
        <v>5.14</v>
      </c>
      <c r="I134" s="106">
        <v>5.25</v>
      </c>
      <c r="J134" s="106">
        <v>5.22</v>
      </c>
    </row>
    <row r="135" spans="2:11" x14ac:dyDescent="0.3">
      <c r="B135" s="105" t="s">
        <v>975</v>
      </c>
      <c r="C135" s="106"/>
      <c r="D135" s="106"/>
      <c r="E135" s="106"/>
      <c r="F135" s="106"/>
      <c r="G135" s="106"/>
      <c r="H135" s="106"/>
      <c r="I135" s="106">
        <v>5.52</v>
      </c>
      <c r="J135" s="106">
        <v>5.5</v>
      </c>
    </row>
    <row r="136" spans="2:11" x14ac:dyDescent="0.3">
      <c r="B136" s="105" t="s">
        <v>821</v>
      </c>
      <c r="C136" s="106">
        <v>1.911</v>
      </c>
      <c r="D136" s="106">
        <v>2.04</v>
      </c>
      <c r="E136" s="106">
        <v>3.5819999999999999</v>
      </c>
      <c r="F136" s="106">
        <v>3.4870000000000001</v>
      </c>
      <c r="G136" s="106">
        <v>3.512</v>
      </c>
      <c r="H136" s="106">
        <v>3.508</v>
      </c>
      <c r="I136" s="106"/>
      <c r="J136" s="106"/>
      <c r="K136" t="s">
        <v>873</v>
      </c>
    </row>
    <row r="137" spans="2:11" x14ac:dyDescent="0.3">
      <c r="B137" s="666" t="s">
        <v>903</v>
      </c>
      <c r="C137" s="203">
        <v>5.05</v>
      </c>
      <c r="D137" s="203">
        <v>5.0599999999999996</v>
      </c>
      <c r="E137" s="203">
        <v>5.04</v>
      </c>
      <c r="F137" s="203">
        <v>5.05</v>
      </c>
      <c r="G137" s="203">
        <v>5.05</v>
      </c>
      <c r="H137" s="203">
        <v>5.0599999999999996</v>
      </c>
      <c r="I137" s="203"/>
      <c r="J137" s="203"/>
      <c r="K137" t="s">
        <v>906</v>
      </c>
    </row>
    <row r="138" spans="2:11" x14ac:dyDescent="0.3">
      <c r="B138" s="105" t="s">
        <v>917</v>
      </c>
      <c r="C138" s="106">
        <v>5.09</v>
      </c>
      <c r="D138" s="106">
        <v>5.1100000000000003</v>
      </c>
      <c r="E138" s="670">
        <v>5.0199999999999996</v>
      </c>
      <c r="F138" s="670">
        <v>5.03</v>
      </c>
      <c r="G138" s="106">
        <v>4.9800000000000004</v>
      </c>
      <c r="H138" s="106">
        <v>5</v>
      </c>
      <c r="I138" s="106"/>
      <c r="J138" s="106"/>
    </row>
    <row r="139" spans="2:11" x14ac:dyDescent="0.3">
      <c r="B139" s="105" t="s">
        <v>905</v>
      </c>
      <c r="C139" s="106">
        <v>3.5870000000000002</v>
      </c>
      <c r="D139" s="106">
        <v>3.6059999999999999</v>
      </c>
      <c r="E139" s="106">
        <v>7.4999999999999997E-2</v>
      </c>
      <c r="F139" s="106">
        <v>5.8000000000000003E-2</v>
      </c>
      <c r="G139" s="106">
        <v>7.1999999999999995E-2</v>
      </c>
      <c r="H139" s="106">
        <v>6.2E-2</v>
      </c>
      <c r="I139" s="106"/>
      <c r="J139" s="106"/>
    </row>
    <row r="140" spans="2:11" x14ac:dyDescent="0.3">
      <c r="B140" s="105" t="s">
        <v>914</v>
      </c>
      <c r="C140" s="106">
        <v>2.0609999999999999</v>
      </c>
      <c r="D140" s="106">
        <v>2.09</v>
      </c>
      <c r="E140" s="106">
        <v>2.3559999999999999</v>
      </c>
      <c r="F140" s="106">
        <v>2.3780000000000001</v>
      </c>
      <c r="G140" s="106">
        <v>2.3479999999999999</v>
      </c>
      <c r="H140" s="106">
        <v>2.3769999999999998</v>
      </c>
      <c r="I140" s="106"/>
      <c r="J140" s="106"/>
    </row>
    <row r="141" spans="2:11" x14ac:dyDescent="0.3">
      <c r="B141" s="105" t="s">
        <v>915</v>
      </c>
      <c r="C141" s="106">
        <v>3.5000000000000003E-2</v>
      </c>
      <c r="D141" s="106">
        <v>3.4000000000000002E-2</v>
      </c>
      <c r="E141" s="106">
        <v>3.5999999999999997E-2</v>
      </c>
      <c r="F141" s="106">
        <v>3.2000000000000001E-2</v>
      </c>
      <c r="G141" s="106">
        <v>3.5000000000000003E-2</v>
      </c>
      <c r="H141" s="106">
        <v>3.4000000000000002E-2</v>
      </c>
      <c r="I141" s="106">
        <v>6.8000000000000005E-2</v>
      </c>
      <c r="J141" s="106">
        <v>6.8000000000000005E-2</v>
      </c>
    </row>
    <row r="142" spans="2:11" x14ac:dyDescent="0.3">
      <c r="B142" s="105" t="s">
        <v>918</v>
      </c>
      <c r="C142" s="106">
        <f t="shared" ref="C142:J142" si="24">C141/0.005</f>
        <v>7.0000000000000009</v>
      </c>
      <c r="D142" s="106">
        <f t="shared" si="24"/>
        <v>6.8000000000000007</v>
      </c>
      <c r="E142" s="106">
        <f t="shared" si="24"/>
        <v>7.1999999999999993</v>
      </c>
      <c r="F142" s="106">
        <f t="shared" si="24"/>
        <v>6.4</v>
      </c>
      <c r="G142" s="106">
        <f t="shared" si="24"/>
        <v>7.0000000000000009</v>
      </c>
      <c r="H142" s="106">
        <f t="shared" si="24"/>
        <v>6.8000000000000007</v>
      </c>
      <c r="I142" s="106">
        <f t="shared" si="24"/>
        <v>13.600000000000001</v>
      </c>
      <c r="J142" s="106">
        <f t="shared" si="24"/>
        <v>13.600000000000001</v>
      </c>
    </row>
    <row r="143" spans="2:11" x14ac:dyDescent="0.3">
      <c r="B143" s="105" t="s">
        <v>883</v>
      </c>
      <c r="C143" s="106">
        <f t="shared" ref="C143:J143" si="25">C139/500</f>
        <v>7.1740000000000007E-3</v>
      </c>
      <c r="D143" s="106">
        <f t="shared" si="25"/>
        <v>7.2119999999999997E-3</v>
      </c>
      <c r="E143" s="106">
        <f t="shared" si="25"/>
        <v>1.4999999999999999E-4</v>
      </c>
      <c r="F143" s="106">
        <f t="shared" si="25"/>
        <v>1.16E-4</v>
      </c>
      <c r="G143" s="106">
        <f t="shared" si="25"/>
        <v>1.4399999999999998E-4</v>
      </c>
      <c r="H143" s="106">
        <f t="shared" si="25"/>
        <v>1.2400000000000001E-4</v>
      </c>
      <c r="I143" s="106">
        <f t="shared" si="25"/>
        <v>0</v>
      </c>
      <c r="J143" s="106">
        <f t="shared" si="25"/>
        <v>0</v>
      </c>
    </row>
    <row r="144" spans="2:11" x14ac:dyDescent="0.3">
      <c r="B144" s="105" t="s">
        <v>958</v>
      </c>
      <c r="C144" s="112">
        <f>(C137-C138)/C131*1000</f>
        <v>-4.0000000000000036</v>
      </c>
      <c r="D144" s="112">
        <f>(D137-D138)/C131*1000</f>
        <v>-5.0000000000000711</v>
      </c>
      <c r="E144" s="112">
        <f>(E137-E138)/E131*1000</f>
        <v>2.0000000000000462</v>
      </c>
      <c r="F144" s="112">
        <f>(F137-F138)/E131*1000</f>
        <v>1.9999999999999576</v>
      </c>
      <c r="G144" s="112">
        <f>(G137-G138)/G131*1000</f>
        <v>1.402805611222433</v>
      </c>
      <c r="H144" s="112">
        <f>(H137-H138)/G131*1000</f>
        <v>1.2024048096192306</v>
      </c>
      <c r="I144" s="112">
        <f>(I137-I138)/I131*1000</f>
        <v>0</v>
      </c>
      <c r="J144" s="112">
        <f>(J137-J138)/I131*1000</f>
        <v>0</v>
      </c>
      <c r="K144" t="s">
        <v>969</v>
      </c>
    </row>
    <row r="145" spans="2:10" ht="17.25" thickBot="1" x14ac:dyDescent="0.35">
      <c r="B145" s="108" t="s">
        <v>956</v>
      </c>
      <c r="C145" s="109">
        <f>C142+D142</f>
        <v>13.8</v>
      </c>
      <c r="D145" s="109">
        <f>C142-D142</f>
        <v>0.20000000000000018</v>
      </c>
      <c r="E145" s="109">
        <f>E142+F142</f>
        <v>13.6</v>
      </c>
      <c r="F145" s="109">
        <f>E142-F142</f>
        <v>0.79999999999999893</v>
      </c>
      <c r="G145" s="109">
        <f>G142+H142</f>
        <v>13.8</v>
      </c>
      <c r="H145" s="109">
        <f>G142-H142</f>
        <v>0.20000000000000018</v>
      </c>
      <c r="I145" s="109">
        <f>I142+J142</f>
        <v>27.200000000000003</v>
      </c>
      <c r="J145" s="109">
        <f>I142-J142</f>
        <v>0</v>
      </c>
    </row>
    <row r="149" spans="2:10" x14ac:dyDescent="0.3">
      <c r="E149" t="s">
        <v>997</v>
      </c>
    </row>
    <row r="150" spans="2:10" x14ac:dyDescent="0.3">
      <c r="C150" s="630">
        <v>1</v>
      </c>
      <c r="D150" s="630">
        <v>2</v>
      </c>
      <c r="E150" s="630">
        <v>1</v>
      </c>
      <c r="F150" s="630">
        <v>2</v>
      </c>
      <c r="G150" s="630">
        <v>1</v>
      </c>
      <c r="H150" s="630">
        <v>2</v>
      </c>
    </row>
    <row r="151" spans="2:10" x14ac:dyDescent="0.3">
      <c r="C151" s="1059" t="s">
        <v>996</v>
      </c>
      <c r="D151" s="967"/>
      <c r="E151" s="1059" t="s">
        <v>973</v>
      </c>
      <c r="F151" s="967"/>
      <c r="G151" s="1059" t="s">
        <v>973</v>
      </c>
      <c r="H151" s="967"/>
    </row>
    <row r="152" spans="2:10" x14ac:dyDescent="0.3">
      <c r="B152" s="105" t="s">
        <v>256</v>
      </c>
      <c r="C152">
        <v>28</v>
      </c>
      <c r="D152">
        <v>28.02</v>
      </c>
      <c r="E152">
        <v>28.37</v>
      </c>
      <c r="F152">
        <v>28.35</v>
      </c>
      <c r="G152">
        <v>28.22</v>
      </c>
      <c r="H152">
        <v>28.15</v>
      </c>
    </row>
    <row r="153" spans="2:10" x14ac:dyDescent="0.3">
      <c r="B153" s="105" t="s">
        <v>975</v>
      </c>
      <c r="C153">
        <v>28.03</v>
      </c>
      <c r="D153">
        <v>28.04</v>
      </c>
      <c r="E153">
        <v>28.56</v>
      </c>
      <c r="F153">
        <v>28.53</v>
      </c>
      <c r="G153">
        <v>28.31</v>
      </c>
      <c r="H153">
        <v>28.22</v>
      </c>
    </row>
    <row r="154" spans="2:10" x14ac:dyDescent="0.3">
      <c r="B154" s="105" t="s">
        <v>915</v>
      </c>
      <c r="C154">
        <v>2.3E-2</v>
      </c>
      <c r="D154">
        <v>2.3E-2</v>
      </c>
      <c r="E154">
        <v>0.129</v>
      </c>
      <c r="F154">
        <v>0.13</v>
      </c>
      <c r="G154">
        <v>7.1999999999999995E-2</v>
      </c>
      <c r="H154">
        <v>4.5999999999999999E-2</v>
      </c>
    </row>
    <row r="155" spans="2:10" x14ac:dyDescent="0.3">
      <c r="B155" s="105" t="s">
        <v>918</v>
      </c>
      <c r="C155" s="174">
        <f t="shared" ref="C155:H155" si="26">C154/0.0085</f>
        <v>2.7058823529411762</v>
      </c>
      <c r="D155" s="174">
        <f t="shared" si="26"/>
        <v>2.7058823529411762</v>
      </c>
      <c r="E155" s="174">
        <f t="shared" si="26"/>
        <v>15.176470588235293</v>
      </c>
      <c r="F155" s="174">
        <f t="shared" si="26"/>
        <v>15.294117647058822</v>
      </c>
      <c r="G155" s="174">
        <f t="shared" si="26"/>
        <v>8.470588235294116</v>
      </c>
      <c r="H155" s="174">
        <f t="shared" si="26"/>
        <v>5.4117647058823524</v>
      </c>
    </row>
    <row r="156" spans="2:10" ht="17.25" thickBot="1" x14ac:dyDescent="0.35">
      <c r="B156" s="108" t="s">
        <v>956</v>
      </c>
      <c r="C156" s="136"/>
      <c r="D156" s="136"/>
      <c r="E156" s="136"/>
      <c r="F156" s="136"/>
      <c r="G156" s="136">
        <f>G155+H155</f>
        <v>13.882352941176467</v>
      </c>
      <c r="H156" s="136">
        <f>G155-H155</f>
        <v>3.0588235294117636</v>
      </c>
    </row>
    <row r="157" spans="2:10" x14ac:dyDescent="0.3">
      <c r="B157" s="688" t="s">
        <v>998</v>
      </c>
      <c r="G157">
        <v>2.9329999999999998</v>
      </c>
      <c r="H157">
        <v>2.9319999999999999</v>
      </c>
    </row>
    <row r="158" spans="2:10" x14ac:dyDescent="0.3">
      <c r="B158" s="688" t="s">
        <v>999</v>
      </c>
      <c r="G158">
        <v>1.369</v>
      </c>
      <c r="H158">
        <v>1.3660000000000001</v>
      </c>
      <c r="I158">
        <v>1.321</v>
      </c>
    </row>
  </sheetData>
  <mergeCells count="51">
    <mergeCell ref="C151:D151"/>
    <mergeCell ref="E151:F151"/>
    <mergeCell ref="G151:H151"/>
    <mergeCell ref="G130:H130"/>
    <mergeCell ref="G131:H131"/>
    <mergeCell ref="G133:H133"/>
    <mergeCell ref="I130:J130"/>
    <mergeCell ref="I131:J131"/>
    <mergeCell ref="I133:J133"/>
    <mergeCell ref="C130:D130"/>
    <mergeCell ref="C131:D131"/>
    <mergeCell ref="C133:D133"/>
    <mergeCell ref="E130:F130"/>
    <mergeCell ref="E131:F131"/>
    <mergeCell ref="E133:F133"/>
    <mergeCell ref="B20:B21"/>
    <mergeCell ref="B22:B23"/>
    <mergeCell ref="H53:I53"/>
    <mergeCell ref="AA112:AB112"/>
    <mergeCell ref="Y112:Z112"/>
    <mergeCell ref="W112:X112"/>
    <mergeCell ref="U112:V112"/>
    <mergeCell ref="S112:T112"/>
    <mergeCell ref="O112:P112"/>
    <mergeCell ref="K112:L112"/>
    <mergeCell ref="G112:H112"/>
    <mergeCell ref="C112:D112"/>
    <mergeCell ref="E112:F112"/>
    <mergeCell ref="I112:J112"/>
    <mergeCell ref="M112:N112"/>
    <mergeCell ref="Q112:R112"/>
    <mergeCell ref="G109:H109"/>
    <mergeCell ref="C109:D109"/>
    <mergeCell ref="C108:D108"/>
    <mergeCell ref="G108:H108"/>
    <mergeCell ref="K108:L108"/>
    <mergeCell ref="AC112:AD112"/>
    <mergeCell ref="AC108:AD108"/>
    <mergeCell ref="AC109:AD109"/>
    <mergeCell ref="O109:P109"/>
    <mergeCell ref="K109:L109"/>
    <mergeCell ref="O108:P108"/>
    <mergeCell ref="AA109:AB109"/>
    <mergeCell ref="AA108:AB108"/>
    <mergeCell ref="Y109:Z109"/>
    <mergeCell ref="W109:X109"/>
    <mergeCell ref="S109:T109"/>
    <mergeCell ref="S108:T108"/>
    <mergeCell ref="U108:V108"/>
    <mergeCell ref="W108:X108"/>
    <mergeCell ref="Y108:Z10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5"/>
  <sheetViews>
    <sheetView topLeftCell="A49" zoomScaleNormal="100" workbookViewId="0">
      <selection activeCell="C71" sqref="C71"/>
    </sheetView>
  </sheetViews>
  <sheetFormatPr defaultRowHeight="16.5" x14ac:dyDescent="0.3"/>
  <cols>
    <col min="1" max="1" width="3.25" customWidth="1"/>
    <col min="2" max="2" width="5.75" customWidth="1"/>
    <col min="3" max="10" width="9" customWidth="1"/>
    <col min="11" max="11" width="9" style="172" customWidth="1"/>
    <col min="12" max="12" width="9" customWidth="1"/>
    <col min="13" max="14" width="9" style="172" customWidth="1"/>
  </cols>
  <sheetData>
    <row r="2" spans="2:6" x14ac:dyDescent="0.3">
      <c r="B2" s="103" t="s">
        <v>1305</v>
      </c>
    </row>
    <row r="3" spans="2:6" x14ac:dyDescent="0.3">
      <c r="C3" t="s">
        <v>1302</v>
      </c>
    </row>
    <row r="4" spans="2:6" x14ac:dyDescent="0.3">
      <c r="C4" t="s">
        <v>1303</v>
      </c>
    </row>
    <row r="5" spans="2:6" ht="17.25" thickBot="1" x14ac:dyDescent="0.35">
      <c r="C5" t="s">
        <v>1304</v>
      </c>
    </row>
    <row r="6" spans="2:6" x14ac:dyDescent="0.3">
      <c r="C6" s="745" t="s">
        <v>1222</v>
      </c>
      <c r="D6" s="747" t="s">
        <v>1228</v>
      </c>
      <c r="E6" s="747" t="s">
        <v>1219</v>
      </c>
      <c r="F6" s="746" t="s">
        <v>1221</v>
      </c>
    </row>
    <row r="7" spans="2:6" x14ac:dyDescent="0.3">
      <c r="C7" s="960" t="s">
        <v>1223</v>
      </c>
      <c r="D7" s="106" t="s">
        <v>1225</v>
      </c>
      <c r="E7" s="106" t="s">
        <v>1220</v>
      </c>
      <c r="F7" s="107" t="s">
        <v>1220</v>
      </c>
    </row>
    <row r="8" spans="2:6" x14ac:dyDescent="0.3">
      <c r="C8" s="960"/>
      <c r="D8" s="106" t="s">
        <v>1227</v>
      </c>
      <c r="E8" s="106" t="s">
        <v>1226</v>
      </c>
      <c r="F8" s="107" t="s">
        <v>1226</v>
      </c>
    </row>
    <row r="9" spans="2:6" x14ac:dyDescent="0.3">
      <c r="C9" s="1156" t="s">
        <v>1224</v>
      </c>
      <c r="D9" s="106" t="s">
        <v>1225</v>
      </c>
      <c r="E9" s="106" t="s">
        <v>1226</v>
      </c>
      <c r="F9" s="107" t="s">
        <v>1226</v>
      </c>
    </row>
    <row r="10" spans="2:6" ht="17.25" thickBot="1" x14ac:dyDescent="0.35">
      <c r="C10" s="1157"/>
      <c r="D10" s="109" t="s">
        <v>1227</v>
      </c>
      <c r="E10" s="109" t="s">
        <v>1220</v>
      </c>
      <c r="F10" s="110" t="s">
        <v>1220</v>
      </c>
    </row>
    <row r="11" spans="2:6" x14ac:dyDescent="0.3">
      <c r="C11" s="749" t="s">
        <v>1299</v>
      </c>
    </row>
    <row r="12" spans="2:6" x14ac:dyDescent="0.3">
      <c r="C12" t="s">
        <v>1300</v>
      </c>
    </row>
    <row r="13" spans="2:6" x14ac:dyDescent="0.3">
      <c r="D13" t="s">
        <v>1301</v>
      </c>
    </row>
    <row r="27" spans="3:13" ht="17.25" thickBot="1" x14ac:dyDescent="0.35">
      <c r="C27" s="103" t="s">
        <v>1229</v>
      </c>
    </row>
    <row r="28" spans="3:13" x14ac:dyDescent="0.3">
      <c r="C28" s="1060"/>
      <c r="D28" s="1063" t="s">
        <v>558</v>
      </c>
      <c r="E28" s="1063"/>
      <c r="F28" s="1063" t="s">
        <v>1218</v>
      </c>
      <c r="G28" s="1063"/>
      <c r="H28" s="1063" t="s">
        <v>949</v>
      </c>
      <c r="I28" s="1063"/>
      <c r="J28" s="1063"/>
      <c r="K28" s="1158" t="s">
        <v>952</v>
      </c>
      <c r="L28" s="1159"/>
    </row>
    <row r="29" spans="3:13" ht="17.25" thickBot="1" x14ac:dyDescent="0.35">
      <c r="C29" s="968"/>
      <c r="D29" s="1046" t="s">
        <v>929</v>
      </c>
      <c r="E29" s="1046"/>
      <c r="F29" s="737" t="s">
        <v>1221</v>
      </c>
      <c r="G29" s="737" t="s">
        <v>1219</v>
      </c>
      <c r="H29" s="737" t="s">
        <v>1232</v>
      </c>
      <c r="I29" s="737" t="s">
        <v>950</v>
      </c>
      <c r="J29" s="737" t="s">
        <v>951</v>
      </c>
      <c r="K29" s="737" t="s">
        <v>1232</v>
      </c>
      <c r="L29" s="730" t="s">
        <v>1233</v>
      </c>
    </row>
    <row r="30" spans="3:13" x14ac:dyDescent="0.3">
      <c r="C30" s="1137" t="s">
        <v>1097</v>
      </c>
      <c r="D30" s="1138" t="s">
        <v>927</v>
      </c>
      <c r="E30" s="1138"/>
      <c r="F30" s="764" t="s">
        <v>931</v>
      </c>
      <c r="G30" s="764" t="s">
        <v>21</v>
      </c>
      <c r="H30" s="764" t="s">
        <v>1230</v>
      </c>
      <c r="I30" s="764">
        <v>0</v>
      </c>
      <c r="J30" s="764">
        <v>0</v>
      </c>
      <c r="K30" s="764" t="s">
        <v>29</v>
      </c>
      <c r="L30" s="765" t="s">
        <v>1216</v>
      </c>
      <c r="M30" s="766"/>
    </row>
    <row r="31" spans="3:13" x14ac:dyDescent="0.3">
      <c r="C31" s="1139"/>
      <c r="D31" s="1140" t="s">
        <v>928</v>
      </c>
      <c r="E31" s="1140"/>
      <c r="F31" s="472" t="s">
        <v>1220</v>
      </c>
      <c r="G31" s="472" t="s">
        <v>1220</v>
      </c>
      <c r="H31" s="472" t="s">
        <v>1231</v>
      </c>
      <c r="I31" s="472">
        <v>5</v>
      </c>
      <c r="J31" s="472">
        <v>3.3</v>
      </c>
      <c r="K31" s="472" t="s">
        <v>31</v>
      </c>
      <c r="L31" s="757" t="s">
        <v>1217</v>
      </c>
      <c r="M31" s="766"/>
    </row>
    <row r="32" spans="3:13" ht="17.25" thickBot="1" x14ac:dyDescent="0.35">
      <c r="C32" s="1141"/>
      <c r="D32" s="1142" t="s">
        <v>1215</v>
      </c>
      <c r="E32" s="1142"/>
      <c r="F32" s="725" t="s">
        <v>21</v>
      </c>
      <c r="G32" s="725" t="s">
        <v>21</v>
      </c>
      <c r="H32" s="725" t="s">
        <v>1230</v>
      </c>
      <c r="I32" s="725">
        <v>0</v>
      </c>
      <c r="J32" s="725">
        <v>0</v>
      </c>
      <c r="K32" s="725" t="s">
        <v>29</v>
      </c>
      <c r="L32" s="758" t="s">
        <v>1216</v>
      </c>
      <c r="M32" s="766"/>
    </row>
    <row r="33" spans="2:13" x14ac:dyDescent="0.3">
      <c r="C33" s="1137" t="s">
        <v>936</v>
      </c>
      <c r="D33" s="1138" t="s">
        <v>927</v>
      </c>
      <c r="E33" s="1138"/>
      <c r="F33" s="764" t="s">
        <v>1220</v>
      </c>
      <c r="G33" s="764" t="s">
        <v>1220</v>
      </c>
      <c r="H33" s="764" t="s">
        <v>1231</v>
      </c>
      <c r="I33" s="764">
        <v>5</v>
      </c>
      <c r="J33" s="764">
        <v>3.3</v>
      </c>
      <c r="K33" s="764" t="s">
        <v>31</v>
      </c>
      <c r="L33" s="765" t="s">
        <v>1216</v>
      </c>
      <c r="M33" s="766"/>
    </row>
    <row r="34" spans="2:13" x14ac:dyDescent="0.3">
      <c r="C34" s="1139"/>
      <c r="D34" s="1140" t="s">
        <v>928</v>
      </c>
      <c r="E34" s="1140"/>
      <c r="F34" s="472" t="s">
        <v>21</v>
      </c>
      <c r="G34" s="472" t="s">
        <v>21</v>
      </c>
      <c r="H34" s="472" t="s">
        <v>1230</v>
      </c>
      <c r="I34" s="472">
        <v>0</v>
      </c>
      <c r="J34" s="472">
        <v>0</v>
      </c>
      <c r="K34" s="472" t="s">
        <v>29</v>
      </c>
      <c r="L34" s="757" t="s">
        <v>1217</v>
      </c>
      <c r="M34" s="766"/>
    </row>
    <row r="35" spans="2:13" ht="17.25" thickBot="1" x14ac:dyDescent="0.35">
      <c r="C35" s="1141"/>
      <c r="D35" s="1142" t="s">
        <v>1215</v>
      </c>
      <c r="E35" s="1142"/>
      <c r="F35" s="725" t="s">
        <v>1220</v>
      </c>
      <c r="G35" s="725" t="s">
        <v>1220</v>
      </c>
      <c r="H35" s="725" t="s">
        <v>1231</v>
      </c>
      <c r="I35" s="725">
        <v>5</v>
      </c>
      <c r="J35" s="725">
        <v>3.3</v>
      </c>
      <c r="K35" s="725" t="s">
        <v>31</v>
      </c>
      <c r="L35" s="758" t="s">
        <v>1216</v>
      </c>
      <c r="M35" s="766"/>
    </row>
    <row r="36" spans="2:13" x14ac:dyDescent="0.3">
      <c r="C36" s="594" t="s">
        <v>1238</v>
      </c>
    </row>
    <row r="37" spans="2:13" ht="17.25" thickBot="1" x14ac:dyDescent="0.35">
      <c r="C37" s="103" t="s">
        <v>1235</v>
      </c>
    </row>
    <row r="38" spans="2:13" x14ac:dyDescent="0.3">
      <c r="C38" s="1060"/>
      <c r="D38" s="1063"/>
      <c r="E38" s="747" t="s">
        <v>21</v>
      </c>
      <c r="F38" s="746" t="s">
        <v>62</v>
      </c>
    </row>
    <row r="39" spans="2:13" ht="17.25" thickBot="1" x14ac:dyDescent="0.35">
      <c r="C39" s="968" t="s">
        <v>1234</v>
      </c>
      <c r="D39" s="1046"/>
      <c r="E39" s="738" t="s">
        <v>404</v>
      </c>
      <c r="F39" s="748" t="s">
        <v>41</v>
      </c>
    </row>
    <row r="48" spans="2:13" ht="17.25" thickBot="1" x14ac:dyDescent="0.35">
      <c r="B48" s="103" t="s">
        <v>1306</v>
      </c>
    </row>
    <row r="49" spans="3:14" ht="17.25" thickBot="1" x14ac:dyDescent="0.35">
      <c r="C49" s="614" t="s">
        <v>1222</v>
      </c>
      <c r="D49" s="613" t="s">
        <v>1532</v>
      </c>
      <c r="E49" s="883" t="s">
        <v>1535</v>
      </c>
      <c r="F49" s="612" t="s">
        <v>582</v>
      </c>
    </row>
    <row r="50" spans="3:14" x14ac:dyDescent="0.3">
      <c r="C50" s="1060" t="s">
        <v>1223</v>
      </c>
      <c r="D50" s="183" t="s">
        <v>1533</v>
      </c>
      <c r="E50" s="884" t="s">
        <v>1227</v>
      </c>
      <c r="F50" s="119" t="s">
        <v>1525</v>
      </c>
      <c r="G50" s="536"/>
    </row>
    <row r="51" spans="3:14" x14ac:dyDescent="0.3">
      <c r="C51" s="960"/>
      <c r="D51" s="106" t="s">
        <v>1534</v>
      </c>
      <c r="E51" s="885" t="s">
        <v>411</v>
      </c>
      <c r="F51" s="107" t="s">
        <v>41</v>
      </c>
    </row>
    <row r="52" spans="3:14" x14ac:dyDescent="0.3">
      <c r="C52" s="960" t="s">
        <v>1224</v>
      </c>
      <c r="D52" s="106" t="s">
        <v>1533</v>
      </c>
      <c r="E52" s="542" t="s">
        <v>1536</v>
      </c>
      <c r="F52" s="107" t="s">
        <v>41</v>
      </c>
      <c r="G52" s="536"/>
    </row>
    <row r="53" spans="3:14" ht="17.25" thickBot="1" x14ac:dyDescent="0.35">
      <c r="C53" s="968"/>
      <c r="D53" s="109" t="s">
        <v>1534</v>
      </c>
      <c r="E53" s="886" t="s">
        <v>411</v>
      </c>
      <c r="F53" s="110" t="s">
        <v>1525</v>
      </c>
    </row>
    <row r="61" spans="3:14" ht="17.25" thickBot="1" x14ac:dyDescent="0.35">
      <c r="C61" s="103" t="s">
        <v>1229</v>
      </c>
    </row>
    <row r="62" spans="3:14" x14ac:dyDescent="0.3">
      <c r="C62" s="1143"/>
      <c r="D62" s="1060" t="s">
        <v>558</v>
      </c>
      <c r="E62" s="1063"/>
      <c r="F62" s="1063"/>
      <c r="G62" s="1061"/>
      <c r="H62" s="1062" t="s">
        <v>949</v>
      </c>
      <c r="I62" s="1063"/>
      <c r="J62" s="1061"/>
      <c r="K62" s="1062" t="s">
        <v>1537</v>
      </c>
      <c r="L62" s="1061"/>
      <c r="M62" s="1062" t="s">
        <v>952</v>
      </c>
      <c r="N62" s="1061"/>
    </row>
    <row r="63" spans="3:14" ht="17.25" thickBot="1" x14ac:dyDescent="0.35">
      <c r="C63" s="1144"/>
      <c r="D63" s="1145" t="s">
        <v>1233</v>
      </c>
      <c r="E63" s="1146"/>
      <c r="F63" s="1146" t="s">
        <v>929</v>
      </c>
      <c r="G63" s="1147"/>
      <c r="H63" s="861" t="s">
        <v>953</v>
      </c>
      <c r="I63" s="859" t="s">
        <v>935</v>
      </c>
      <c r="J63" s="860" t="s">
        <v>954</v>
      </c>
      <c r="K63" s="861" t="s">
        <v>1232</v>
      </c>
      <c r="L63" s="860" t="s">
        <v>1233</v>
      </c>
      <c r="M63" s="861" t="s">
        <v>1232</v>
      </c>
      <c r="N63" s="860" t="s">
        <v>1233</v>
      </c>
    </row>
    <row r="64" spans="3:14" x14ac:dyDescent="0.3">
      <c r="C64" s="1148" t="s">
        <v>933</v>
      </c>
      <c r="D64" s="1137" t="s">
        <v>927</v>
      </c>
      <c r="E64" s="1138"/>
      <c r="F64" s="871" t="s">
        <v>1236</v>
      </c>
      <c r="G64" s="872" t="s">
        <v>1529</v>
      </c>
      <c r="H64" s="875" t="s">
        <v>1530</v>
      </c>
      <c r="I64" s="845" t="s">
        <v>1531</v>
      </c>
      <c r="J64" s="846">
        <v>0</v>
      </c>
      <c r="K64" s="848" t="s">
        <v>29</v>
      </c>
      <c r="L64" s="771" t="s">
        <v>927</v>
      </c>
      <c r="M64" s="874" t="s">
        <v>29</v>
      </c>
      <c r="N64" s="863" t="s">
        <v>934</v>
      </c>
    </row>
    <row r="65" spans="3:14" x14ac:dyDescent="0.3">
      <c r="C65" s="1149"/>
      <c r="D65" s="1139" t="s">
        <v>934</v>
      </c>
      <c r="E65" s="1140"/>
      <c r="F65" s="865" t="s">
        <v>1237</v>
      </c>
      <c r="G65" s="868" t="s">
        <v>348</v>
      </c>
      <c r="H65" s="890" t="s">
        <v>348</v>
      </c>
      <c r="I65" s="839" t="s">
        <v>348</v>
      </c>
      <c r="J65" s="841">
        <v>3.3</v>
      </c>
      <c r="K65" s="862" t="s">
        <v>31</v>
      </c>
      <c r="L65" s="770" t="s">
        <v>934</v>
      </c>
      <c r="M65" s="887" t="s">
        <v>31</v>
      </c>
      <c r="N65" s="864" t="s">
        <v>927</v>
      </c>
    </row>
    <row r="66" spans="3:14" ht="17.25" thickBot="1" x14ac:dyDescent="0.35">
      <c r="C66" s="1150"/>
      <c r="D66" s="1141" t="s">
        <v>1215</v>
      </c>
      <c r="E66" s="1142"/>
      <c r="F66" s="866"/>
      <c r="G66" s="869" t="s">
        <v>348</v>
      </c>
      <c r="H66" s="870" t="s">
        <v>348</v>
      </c>
      <c r="I66" s="840" t="s">
        <v>348</v>
      </c>
      <c r="J66" s="843">
        <v>3.3</v>
      </c>
      <c r="K66" s="772" t="s">
        <v>31</v>
      </c>
      <c r="L66" s="842" t="s">
        <v>934</v>
      </c>
      <c r="M66" s="888" t="s">
        <v>31</v>
      </c>
      <c r="N66" s="867" t="s">
        <v>927</v>
      </c>
    </row>
    <row r="67" spans="3:14" x14ac:dyDescent="0.3">
      <c r="C67" s="1134" t="s">
        <v>546</v>
      </c>
      <c r="D67" s="1137" t="s">
        <v>927</v>
      </c>
      <c r="E67" s="1138"/>
      <c r="F67" s="871" t="s">
        <v>1236</v>
      </c>
      <c r="G67" s="765" t="s">
        <v>1526</v>
      </c>
      <c r="H67" s="891" t="s">
        <v>1527</v>
      </c>
      <c r="I67" s="764" t="s">
        <v>1528</v>
      </c>
      <c r="J67" s="765">
        <v>3.3</v>
      </c>
      <c r="K67" s="773" t="s">
        <v>31</v>
      </c>
      <c r="L67" s="863" t="s">
        <v>934</v>
      </c>
      <c r="M67" s="889" t="s">
        <v>31</v>
      </c>
      <c r="N67" s="771" t="s">
        <v>927</v>
      </c>
    </row>
    <row r="68" spans="3:14" x14ac:dyDescent="0.3">
      <c r="C68" s="1135"/>
      <c r="D68" s="1139" t="s">
        <v>934</v>
      </c>
      <c r="E68" s="1140"/>
      <c r="F68" s="865" t="s">
        <v>1237</v>
      </c>
      <c r="G68" s="868" t="s">
        <v>37</v>
      </c>
      <c r="H68" s="768" t="s">
        <v>37</v>
      </c>
      <c r="I68" s="847" t="s">
        <v>37</v>
      </c>
      <c r="J68" s="757">
        <v>0</v>
      </c>
      <c r="K68" s="844" t="s">
        <v>29</v>
      </c>
      <c r="L68" s="864" t="s">
        <v>927</v>
      </c>
      <c r="M68" s="873" t="s">
        <v>29</v>
      </c>
      <c r="N68" s="770" t="s">
        <v>934</v>
      </c>
    </row>
    <row r="69" spans="3:14" ht="17.25" thickBot="1" x14ac:dyDescent="0.35">
      <c r="C69" s="1136"/>
      <c r="D69" s="1141" t="s">
        <v>1215</v>
      </c>
      <c r="E69" s="1142"/>
      <c r="F69" s="866"/>
      <c r="G69" s="758" t="s">
        <v>348</v>
      </c>
      <c r="H69" s="769" t="s">
        <v>348</v>
      </c>
      <c r="I69" s="725" t="s">
        <v>348</v>
      </c>
      <c r="J69" s="758">
        <v>3.3</v>
      </c>
      <c r="K69" s="772" t="s">
        <v>31</v>
      </c>
      <c r="L69" s="842" t="s">
        <v>934</v>
      </c>
      <c r="M69" s="888" t="s">
        <v>31</v>
      </c>
      <c r="N69" s="867" t="s">
        <v>927</v>
      </c>
    </row>
    <row r="70" spans="3:14" x14ac:dyDescent="0.3">
      <c r="C70" s="421" t="s">
        <v>1538</v>
      </c>
    </row>
    <row r="72" spans="3:14" ht="17.25" thickBot="1" x14ac:dyDescent="0.35">
      <c r="C72" s="103" t="s">
        <v>1235</v>
      </c>
    </row>
    <row r="73" spans="3:14" x14ac:dyDescent="0.3">
      <c r="C73" s="1060"/>
      <c r="D73" s="1063"/>
      <c r="E73" s="747" t="s">
        <v>21</v>
      </c>
      <c r="F73" s="746" t="s">
        <v>62</v>
      </c>
    </row>
    <row r="74" spans="3:14" ht="17.25" thickBot="1" x14ac:dyDescent="0.35">
      <c r="C74" s="968" t="s">
        <v>932</v>
      </c>
      <c r="D74" s="1046"/>
      <c r="E74" s="738" t="s">
        <v>404</v>
      </c>
      <c r="F74" s="748" t="s">
        <v>41</v>
      </c>
    </row>
    <row r="99" spans="2:17" x14ac:dyDescent="0.3">
      <c r="K99" t="s">
        <v>1024</v>
      </c>
      <c r="L99" s="172" t="s">
        <v>1029</v>
      </c>
      <c r="M99"/>
      <c r="N99" t="s">
        <v>1031</v>
      </c>
      <c r="O99" t="s">
        <v>1032</v>
      </c>
    </row>
    <row r="100" spans="2:17" x14ac:dyDescent="0.3">
      <c r="K100" t="s">
        <v>1027</v>
      </c>
      <c r="L100" s="172" t="s">
        <v>1030</v>
      </c>
      <c r="M100"/>
      <c r="N100" t="s">
        <v>1033</v>
      </c>
      <c r="O100" t="s">
        <v>1034</v>
      </c>
    </row>
    <row r="101" spans="2:17" ht="17.25" thickBot="1" x14ac:dyDescent="0.35">
      <c r="B101" s="103" t="s">
        <v>941</v>
      </c>
      <c r="C101" s="172"/>
      <c r="D101" s="172"/>
      <c r="G101" t="s">
        <v>1014</v>
      </c>
      <c r="K101"/>
      <c r="L101" s="172"/>
      <c r="M101"/>
      <c r="N101" t="s">
        <v>1035</v>
      </c>
      <c r="O101" t="s">
        <v>1036</v>
      </c>
    </row>
    <row r="102" spans="2:17" ht="17.25" thickBot="1" x14ac:dyDescent="0.35">
      <c r="C102" s="1160"/>
      <c r="D102" s="1161"/>
      <c r="E102" s="774" t="s">
        <v>931</v>
      </c>
      <c r="F102" s="741" t="s">
        <v>930</v>
      </c>
      <c r="G102" t="s">
        <v>1016</v>
      </c>
      <c r="K102"/>
      <c r="M102"/>
      <c r="N102" t="s">
        <v>1038</v>
      </c>
      <c r="O102" t="s">
        <v>1039</v>
      </c>
    </row>
    <row r="103" spans="2:17" ht="17.25" thickBot="1" x14ac:dyDescent="0.35">
      <c r="C103" s="1162" t="s">
        <v>932</v>
      </c>
      <c r="D103" s="1163"/>
      <c r="E103" s="394" t="s">
        <v>937</v>
      </c>
      <c r="F103" s="602" t="s">
        <v>938</v>
      </c>
      <c r="G103" t="s">
        <v>1015</v>
      </c>
      <c r="H103" t="s">
        <v>1020</v>
      </c>
      <c r="I103" t="s">
        <v>1021</v>
      </c>
      <c r="K103"/>
      <c r="M103"/>
      <c r="N103"/>
    </row>
    <row r="104" spans="2:17" x14ac:dyDescent="0.3">
      <c r="C104" s="1164" t="s">
        <v>939</v>
      </c>
      <c r="D104" s="1165"/>
      <c r="E104" s="395" t="s">
        <v>937</v>
      </c>
      <c r="F104" s="603" t="s">
        <v>938</v>
      </c>
      <c r="G104" t="s">
        <v>1017</v>
      </c>
      <c r="H104" t="s">
        <v>1017</v>
      </c>
      <c r="I104" t="s">
        <v>1017</v>
      </c>
      <c r="K104" s="1060" t="s">
        <v>1023</v>
      </c>
      <c r="L104" s="701"/>
      <c r="M104" s="1063" t="s">
        <v>1016</v>
      </c>
      <c r="N104" s="1063"/>
      <c r="O104" s="1063"/>
      <c r="P104" s="1061" t="s">
        <v>1028</v>
      </c>
      <c r="Q104" s="1151" t="s">
        <v>1041</v>
      </c>
    </row>
    <row r="105" spans="2:17" ht="17.25" thickBot="1" x14ac:dyDescent="0.35">
      <c r="C105" s="1164" t="s">
        <v>940</v>
      </c>
      <c r="D105" s="1165"/>
      <c r="E105" s="395" t="s">
        <v>937</v>
      </c>
      <c r="F105" s="603" t="s">
        <v>938</v>
      </c>
      <c r="G105" t="s">
        <v>1018</v>
      </c>
      <c r="H105" t="s">
        <v>1019</v>
      </c>
      <c r="I105" t="s">
        <v>1022</v>
      </c>
      <c r="K105" s="968"/>
      <c r="L105" s="698"/>
      <c r="M105" s="698" t="s">
        <v>1015</v>
      </c>
      <c r="N105" s="698" t="s">
        <v>1020</v>
      </c>
      <c r="O105" s="698" t="s">
        <v>1021</v>
      </c>
      <c r="P105" s="1036"/>
      <c r="Q105" s="1036"/>
    </row>
    <row r="106" spans="2:17" x14ac:dyDescent="0.3">
      <c r="C106" s="1164" t="s">
        <v>946</v>
      </c>
      <c r="D106" s="1165"/>
      <c r="E106" s="395" t="s">
        <v>937</v>
      </c>
      <c r="F106" s="603" t="s">
        <v>938</v>
      </c>
      <c r="K106" s="1154" t="s">
        <v>1024</v>
      </c>
      <c r="L106" s="116" t="s">
        <v>1024</v>
      </c>
      <c r="M106" s="700" t="s">
        <v>1025</v>
      </c>
      <c r="N106" s="700" t="s">
        <v>1017</v>
      </c>
      <c r="O106" s="700" t="s">
        <v>1025</v>
      </c>
      <c r="P106" s="1152" t="s">
        <v>1040</v>
      </c>
      <c r="Q106" s="1152" t="s">
        <v>1040</v>
      </c>
    </row>
    <row r="107" spans="2:17" ht="17.25" thickBot="1" x14ac:dyDescent="0.35">
      <c r="C107" s="1164" t="s">
        <v>948</v>
      </c>
      <c r="D107" s="1165"/>
      <c r="E107" s="395" t="s">
        <v>937</v>
      </c>
      <c r="F107" s="603" t="s">
        <v>938</v>
      </c>
      <c r="K107" s="1155"/>
      <c r="L107" s="545" t="s">
        <v>1027</v>
      </c>
      <c r="M107" s="702" t="s">
        <v>1018</v>
      </c>
      <c r="N107" s="702" t="s">
        <v>1019</v>
      </c>
      <c r="O107" s="702" t="s">
        <v>1022</v>
      </c>
      <c r="P107" s="1153"/>
      <c r="Q107" s="1153"/>
    </row>
    <row r="108" spans="2:17" ht="17.25" thickBot="1" x14ac:dyDescent="0.35">
      <c r="C108" s="1166" t="s">
        <v>947</v>
      </c>
      <c r="D108" s="1167"/>
      <c r="E108" s="396" t="s">
        <v>937</v>
      </c>
      <c r="F108" s="604" t="s">
        <v>938</v>
      </c>
      <c r="K108" s="1154" t="s">
        <v>1026</v>
      </c>
      <c r="L108" s="183" t="s">
        <v>1024</v>
      </c>
      <c r="M108" s="703" t="s">
        <v>1018</v>
      </c>
      <c r="N108" s="703" t="s">
        <v>1019</v>
      </c>
      <c r="O108" s="703" t="s">
        <v>1022</v>
      </c>
      <c r="P108" s="1152" t="s">
        <v>1040</v>
      </c>
      <c r="Q108" s="1152" t="s">
        <v>1034</v>
      </c>
    </row>
    <row r="109" spans="2:17" ht="17.25" thickBot="1" x14ac:dyDescent="0.35">
      <c r="C109" s="172"/>
      <c r="D109" s="172"/>
      <c r="K109" s="1155"/>
      <c r="L109" s="109" t="s">
        <v>1027</v>
      </c>
      <c r="M109" s="699" t="s">
        <v>1018</v>
      </c>
      <c r="N109" s="699" t="s">
        <v>1019</v>
      </c>
      <c r="O109" s="699" t="s">
        <v>1022</v>
      </c>
      <c r="P109" s="1153"/>
      <c r="Q109" s="1153"/>
    </row>
    <row r="110" spans="2:17" ht="17.25" thickBot="1" x14ac:dyDescent="0.35">
      <c r="B110" s="103" t="s">
        <v>942</v>
      </c>
      <c r="C110" s="172"/>
      <c r="D110" s="172"/>
      <c r="K110" s="1154" t="s">
        <v>1027</v>
      </c>
      <c r="L110" s="116" t="s">
        <v>1024</v>
      </c>
      <c r="M110" s="700" t="s">
        <v>1018</v>
      </c>
      <c r="N110" s="700" t="s">
        <v>1019</v>
      </c>
      <c r="O110" s="700" t="s">
        <v>1022</v>
      </c>
      <c r="P110" s="1152" t="s">
        <v>1040</v>
      </c>
      <c r="Q110" s="1152" t="s">
        <v>1034</v>
      </c>
    </row>
    <row r="111" spans="2:17" ht="17.25" thickBot="1" x14ac:dyDescent="0.35">
      <c r="C111" s="1160"/>
      <c r="D111" s="1161"/>
      <c r="E111" s="774" t="s">
        <v>931</v>
      </c>
      <c r="F111" s="741" t="s">
        <v>930</v>
      </c>
      <c r="K111" s="1155"/>
      <c r="L111" s="545" t="s">
        <v>1027</v>
      </c>
      <c r="M111" s="702" t="s">
        <v>1025</v>
      </c>
      <c r="N111" s="702" t="s">
        <v>1017</v>
      </c>
      <c r="O111" s="702" t="s">
        <v>1025</v>
      </c>
      <c r="P111" s="1153"/>
      <c r="Q111" s="1153"/>
    </row>
    <row r="112" spans="2:17" x14ac:dyDescent="0.3">
      <c r="C112" s="1162" t="s">
        <v>943</v>
      </c>
      <c r="D112" s="1163"/>
      <c r="E112" s="394" t="s">
        <v>937</v>
      </c>
      <c r="F112" s="602" t="s">
        <v>944</v>
      </c>
      <c r="K112" s="1154" t="s">
        <v>1037</v>
      </c>
      <c r="L112" s="183" t="s">
        <v>1024</v>
      </c>
      <c r="M112" s="705"/>
      <c r="N112" s="705"/>
      <c r="O112" s="703" t="s">
        <v>1018</v>
      </c>
      <c r="P112" s="1152" t="s">
        <v>1040</v>
      </c>
      <c r="Q112" s="1152" t="s">
        <v>1040</v>
      </c>
    </row>
    <row r="113" spans="3:17" ht="17.25" thickBot="1" x14ac:dyDescent="0.35">
      <c r="C113" s="1166" t="s">
        <v>945</v>
      </c>
      <c r="D113" s="1167"/>
      <c r="E113" s="396" t="s">
        <v>937</v>
      </c>
      <c r="F113" s="604" t="s">
        <v>944</v>
      </c>
      <c r="K113" s="1155"/>
      <c r="L113" s="109" t="s">
        <v>1027</v>
      </c>
      <c r="M113" s="704"/>
      <c r="N113" s="704"/>
      <c r="O113" s="699" t="s">
        <v>1018</v>
      </c>
      <c r="P113" s="1153"/>
      <c r="Q113" s="1153"/>
    </row>
    <row r="120" spans="3:17" x14ac:dyDescent="0.3">
      <c r="I120" s="469"/>
      <c r="J120" s="469"/>
    </row>
    <row r="121" spans="3:17" x14ac:dyDescent="0.3">
      <c r="I121" s="124"/>
      <c r="J121" s="124"/>
    </row>
    <row r="124" spans="3:17" x14ac:dyDescent="0.3">
      <c r="I124" s="469"/>
      <c r="J124" s="469"/>
    </row>
    <row r="125" spans="3:17" x14ac:dyDescent="0.3">
      <c r="I125" s="469"/>
      <c r="J125" s="469"/>
    </row>
  </sheetData>
  <mergeCells count="63">
    <mergeCell ref="C107:D107"/>
    <mergeCell ref="C108:D108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K28:L28"/>
    <mergeCell ref="C73:D73"/>
    <mergeCell ref="C50:C51"/>
    <mergeCell ref="C52:C53"/>
    <mergeCell ref="C39:D39"/>
    <mergeCell ref="F28:G28"/>
    <mergeCell ref="H28:J28"/>
    <mergeCell ref="C28:C29"/>
    <mergeCell ref="C33:C35"/>
    <mergeCell ref="D35:E35"/>
    <mergeCell ref="D34:E34"/>
    <mergeCell ref="D33:E33"/>
    <mergeCell ref="C74:D74"/>
    <mergeCell ref="C38:D38"/>
    <mergeCell ref="C9:C10"/>
    <mergeCell ref="C7:C8"/>
    <mergeCell ref="D32:E32"/>
    <mergeCell ref="D31:E31"/>
    <mergeCell ref="D30:E30"/>
    <mergeCell ref="D29:E29"/>
    <mergeCell ref="D28:E28"/>
    <mergeCell ref="C30:C32"/>
    <mergeCell ref="M104:O104"/>
    <mergeCell ref="P104:P105"/>
    <mergeCell ref="K104:K105"/>
    <mergeCell ref="K106:K107"/>
    <mergeCell ref="K108:K109"/>
    <mergeCell ref="P106:P107"/>
    <mergeCell ref="K110:K111"/>
    <mergeCell ref="K112:K113"/>
    <mergeCell ref="P112:P113"/>
    <mergeCell ref="P110:P111"/>
    <mergeCell ref="P108:P109"/>
    <mergeCell ref="Q104:Q105"/>
    <mergeCell ref="Q106:Q107"/>
    <mergeCell ref="Q108:Q109"/>
    <mergeCell ref="Q110:Q111"/>
    <mergeCell ref="Q112:Q113"/>
    <mergeCell ref="M62:N62"/>
    <mergeCell ref="C67:C69"/>
    <mergeCell ref="D67:E67"/>
    <mergeCell ref="D68:E68"/>
    <mergeCell ref="D69:E69"/>
    <mergeCell ref="C62:C63"/>
    <mergeCell ref="D62:G62"/>
    <mergeCell ref="D63:E63"/>
    <mergeCell ref="F63:G63"/>
    <mergeCell ref="K62:L62"/>
    <mergeCell ref="C64:C66"/>
    <mergeCell ref="D64:E64"/>
    <mergeCell ref="D65:E65"/>
    <mergeCell ref="D66:E66"/>
    <mergeCell ref="H62:J62"/>
  </mergeCells>
  <phoneticPr fontId="2" type="noConversion"/>
  <pageMargins left="0.7" right="0.7" top="0.75" bottom="0.75" header="0.3" footer="0.3"/>
  <pageSetup paperSize="8" scale="78" orientation="landscape" r:id="rId1"/>
  <rowBreaks count="2" manualBreakCount="2">
    <brk id="46" max="25" man="1"/>
    <brk id="94" max="25" man="1"/>
  </rowBreaks>
  <colBreaks count="1" manualBreakCount="1">
    <brk id="26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118"/>
  <sheetViews>
    <sheetView workbookViewId="0">
      <selection activeCell="S8" sqref="S8"/>
    </sheetView>
  </sheetViews>
  <sheetFormatPr defaultRowHeight="16.5" x14ac:dyDescent="0.3"/>
  <cols>
    <col min="1" max="1" width="2.375" customWidth="1"/>
    <col min="2" max="3" width="4.25" customWidth="1"/>
    <col min="6" max="6" width="9.875" customWidth="1"/>
    <col min="15" max="15" width="9.375" customWidth="1"/>
    <col min="16" max="16" width="13" customWidth="1"/>
  </cols>
  <sheetData>
    <row r="1" spans="2:16" x14ac:dyDescent="0.3">
      <c r="B1" s="103" t="s">
        <v>1560</v>
      </c>
      <c r="C1" s="103"/>
    </row>
    <row r="2" spans="2:16" x14ac:dyDescent="0.3">
      <c r="B2" s="103" t="s">
        <v>1561</v>
      </c>
      <c r="C2" s="103"/>
    </row>
    <row r="3" spans="2:16" ht="17.25" thickBot="1" x14ac:dyDescent="0.35">
      <c r="C3" s="103" t="s">
        <v>1559</v>
      </c>
    </row>
    <row r="4" spans="2:16" ht="17.25" thickBot="1" x14ac:dyDescent="0.35">
      <c r="D4" s="798" t="s">
        <v>155</v>
      </c>
      <c r="E4" s="799" t="s">
        <v>1010</v>
      </c>
      <c r="F4" s="959" t="s">
        <v>1011</v>
      </c>
      <c r="G4" s="1160"/>
      <c r="H4" s="1161"/>
      <c r="J4" s="1169"/>
      <c r="K4" s="1169"/>
      <c r="L4" s="915" t="s">
        <v>1364</v>
      </c>
      <c r="M4" s="904" t="s">
        <v>1365</v>
      </c>
      <c r="N4" s="904" t="s">
        <v>1366</v>
      </c>
      <c r="O4" s="106"/>
      <c r="P4" s="106"/>
    </row>
    <row r="5" spans="2:16" x14ac:dyDescent="0.3">
      <c r="D5" s="803" t="s">
        <v>1009</v>
      </c>
      <c r="E5" s="800" t="s">
        <v>1009</v>
      </c>
      <c r="F5" s="896" t="s">
        <v>1012</v>
      </c>
      <c r="G5" s="1143" t="s">
        <v>1013</v>
      </c>
      <c r="H5" s="1168"/>
      <c r="J5" s="1169" t="s">
        <v>1363</v>
      </c>
      <c r="K5" s="1169"/>
      <c r="L5" s="804" t="s">
        <v>1367</v>
      </c>
      <c r="M5" s="894">
        <v>0.22</v>
      </c>
      <c r="N5" s="894">
        <v>0.55000000000000004</v>
      </c>
      <c r="O5" s="894" t="s">
        <v>1371</v>
      </c>
      <c r="P5" s="958" t="s">
        <v>1368</v>
      </c>
    </row>
    <row r="6" spans="2:16" x14ac:dyDescent="0.3">
      <c r="D6" s="801" t="s">
        <v>1009</v>
      </c>
      <c r="E6" s="796" t="s">
        <v>31</v>
      </c>
      <c r="F6" s="892" t="s">
        <v>1012</v>
      </c>
      <c r="G6" s="1164" t="s">
        <v>1013</v>
      </c>
      <c r="H6" s="1165"/>
      <c r="J6" s="967" t="s">
        <v>1370</v>
      </c>
      <c r="K6" s="967"/>
      <c r="L6" s="894"/>
      <c r="M6" s="894"/>
      <c r="N6" s="894">
        <v>-50</v>
      </c>
      <c r="O6" s="894" t="s">
        <v>1372</v>
      </c>
      <c r="P6" s="958" t="s">
        <v>1373</v>
      </c>
    </row>
    <row r="7" spans="2:16" x14ac:dyDescent="0.3">
      <c r="D7" s="801" t="s">
        <v>31</v>
      </c>
      <c r="E7" s="796" t="s">
        <v>1009</v>
      </c>
      <c r="F7" s="892" t="s">
        <v>1012</v>
      </c>
      <c r="G7" s="1164" t="s">
        <v>1013</v>
      </c>
      <c r="H7" s="1165"/>
    </row>
    <row r="8" spans="2:16" ht="17.25" thickBot="1" x14ac:dyDescent="0.35">
      <c r="D8" s="802" t="s">
        <v>31</v>
      </c>
      <c r="E8" s="797" t="s">
        <v>31</v>
      </c>
      <c r="F8" s="893" t="s">
        <v>29</v>
      </c>
      <c r="G8" s="1166"/>
      <c r="H8" s="1167"/>
      <c r="L8" t="s">
        <v>1337</v>
      </c>
    </row>
    <row r="9" spans="2:16" x14ac:dyDescent="0.3">
      <c r="M9" t="s">
        <v>1338</v>
      </c>
      <c r="N9" t="s">
        <v>1340</v>
      </c>
    </row>
    <row r="10" spans="2:16" x14ac:dyDescent="0.3">
      <c r="C10" s="103" t="s">
        <v>1562</v>
      </c>
      <c r="M10" t="s">
        <v>1339</v>
      </c>
      <c r="N10" t="s">
        <v>1341</v>
      </c>
    </row>
    <row r="11" spans="2:16" x14ac:dyDescent="0.3">
      <c r="D11" t="s">
        <v>1369</v>
      </c>
    </row>
    <row r="13" spans="2:16" x14ac:dyDescent="0.3">
      <c r="C13" t="s">
        <v>1543</v>
      </c>
    </row>
    <row r="14" spans="2:16" x14ac:dyDescent="0.3">
      <c r="C14" t="s">
        <v>1549</v>
      </c>
    </row>
    <row r="15" spans="2:16" x14ac:dyDescent="0.3">
      <c r="C15" s="103" t="s">
        <v>1544</v>
      </c>
    </row>
    <row r="16" spans="2:16" x14ac:dyDescent="0.3">
      <c r="D16" t="s">
        <v>1546</v>
      </c>
    </row>
    <row r="17" spans="3:11" ht="17.25" thickBot="1" x14ac:dyDescent="0.35">
      <c r="D17" t="s">
        <v>1552</v>
      </c>
    </row>
    <row r="18" spans="3:11" ht="33.75" thickBot="1" x14ac:dyDescent="0.35">
      <c r="D18" s="899" t="s">
        <v>1539</v>
      </c>
      <c r="E18" s="932" t="s">
        <v>1550</v>
      </c>
      <c r="F18" s="825" t="s">
        <v>1084</v>
      </c>
      <c r="G18" s="900" t="s">
        <v>1006</v>
      </c>
      <c r="H18" s="900" t="s">
        <v>1540</v>
      </c>
      <c r="I18" s="900" t="s">
        <v>1541</v>
      </c>
      <c r="J18" s="805" t="s">
        <v>1542</v>
      </c>
      <c r="K18" s="933" t="s">
        <v>1551</v>
      </c>
    </row>
    <row r="19" spans="3:11" x14ac:dyDescent="0.3">
      <c r="D19" s="914" t="s">
        <v>31</v>
      </c>
      <c r="E19" s="901" t="str">
        <f t="shared" ref="E19:E24" si="0">IF(D19="H","L","H")</f>
        <v>L</v>
      </c>
      <c r="F19" s="901" t="s">
        <v>1012</v>
      </c>
      <c r="G19" s="901" t="s">
        <v>31</v>
      </c>
      <c r="H19" s="930" t="str">
        <f>G19</f>
        <v>H</v>
      </c>
      <c r="I19" s="930" t="str">
        <f t="shared" ref="I19:I27" si="1">E19</f>
        <v>L</v>
      </c>
      <c r="J19" s="901" t="s">
        <v>1012</v>
      </c>
      <c r="K19" s="902" t="str">
        <f>IF(J19="L","ON","OFF")</f>
        <v>OFF</v>
      </c>
    </row>
    <row r="20" spans="3:11" x14ac:dyDescent="0.3">
      <c r="D20" s="910" t="s">
        <v>31</v>
      </c>
      <c r="E20" s="894" t="str">
        <f t="shared" si="0"/>
        <v>L</v>
      </c>
      <c r="F20" s="894" t="s">
        <v>1012</v>
      </c>
      <c r="G20" s="894" t="s">
        <v>29</v>
      </c>
      <c r="H20" s="721" t="str">
        <f t="shared" ref="H20:H24" si="2">G20</f>
        <v>L</v>
      </c>
      <c r="I20" s="721" t="str">
        <f t="shared" si="1"/>
        <v>L</v>
      </c>
      <c r="J20" s="894" t="s">
        <v>1012</v>
      </c>
      <c r="K20" s="903" t="str">
        <f t="shared" ref="K20:K27" si="3">IF(J20="L","ON","OFF")</f>
        <v>OFF</v>
      </c>
    </row>
    <row r="21" spans="3:11" x14ac:dyDescent="0.3">
      <c r="D21" s="910" t="s">
        <v>31</v>
      </c>
      <c r="E21" s="894" t="str">
        <f t="shared" si="0"/>
        <v>L</v>
      </c>
      <c r="F21" s="894" t="s">
        <v>1012</v>
      </c>
      <c r="G21" s="908" t="s">
        <v>1079</v>
      </c>
      <c r="H21" s="721" t="str">
        <f t="shared" si="2"/>
        <v>X</v>
      </c>
      <c r="I21" s="721" t="str">
        <f t="shared" si="1"/>
        <v>L</v>
      </c>
      <c r="J21" s="894" t="s">
        <v>1080</v>
      </c>
      <c r="K21" s="903" t="str">
        <f t="shared" si="3"/>
        <v>OFF</v>
      </c>
    </row>
    <row r="22" spans="3:11" x14ac:dyDescent="0.3">
      <c r="D22" s="917" t="s">
        <v>29</v>
      </c>
      <c r="E22" s="916" t="str">
        <f t="shared" si="0"/>
        <v>H</v>
      </c>
      <c r="F22" s="916" t="s">
        <v>29</v>
      </c>
      <c r="G22" s="916" t="s">
        <v>31</v>
      </c>
      <c r="H22" s="918" t="str">
        <f t="shared" si="2"/>
        <v>H</v>
      </c>
      <c r="I22" s="918" t="str">
        <f t="shared" si="1"/>
        <v>H</v>
      </c>
      <c r="J22" s="916" t="s">
        <v>29</v>
      </c>
      <c r="K22" s="864" t="str">
        <f t="shared" si="3"/>
        <v>ON</v>
      </c>
    </row>
    <row r="23" spans="3:11" x14ac:dyDescent="0.3">
      <c r="D23" s="917" t="s">
        <v>29</v>
      </c>
      <c r="E23" s="916" t="str">
        <f t="shared" si="0"/>
        <v>H</v>
      </c>
      <c r="F23" s="916" t="s">
        <v>29</v>
      </c>
      <c r="G23" s="916" t="s">
        <v>29</v>
      </c>
      <c r="H23" s="918" t="str">
        <f t="shared" si="2"/>
        <v>L</v>
      </c>
      <c r="I23" s="918" t="str">
        <f t="shared" si="1"/>
        <v>H</v>
      </c>
      <c r="J23" s="916" t="s">
        <v>1012</v>
      </c>
      <c r="K23" s="903" t="str">
        <f t="shared" si="3"/>
        <v>OFF</v>
      </c>
    </row>
    <row r="24" spans="3:11" x14ac:dyDescent="0.3">
      <c r="D24" s="917" t="s">
        <v>29</v>
      </c>
      <c r="E24" s="916" t="str">
        <f t="shared" si="0"/>
        <v>H</v>
      </c>
      <c r="F24" s="916" t="s">
        <v>29</v>
      </c>
      <c r="G24" s="919" t="s">
        <v>1079</v>
      </c>
      <c r="H24" s="918" t="str">
        <f t="shared" si="2"/>
        <v>X</v>
      </c>
      <c r="I24" s="918" t="str">
        <f t="shared" si="1"/>
        <v>H</v>
      </c>
      <c r="J24" s="916" t="s">
        <v>1080</v>
      </c>
      <c r="K24" s="903" t="str">
        <f t="shared" si="3"/>
        <v>OFF</v>
      </c>
    </row>
    <row r="25" spans="3:11" x14ac:dyDescent="0.3">
      <c r="D25" s="910" t="s">
        <v>1012</v>
      </c>
      <c r="E25" s="916" t="str">
        <f t="shared" ref="E25:E27" si="4">IF(D25="H","L","H")</f>
        <v>H</v>
      </c>
      <c r="F25" s="916" t="s">
        <v>29</v>
      </c>
      <c r="G25" s="916" t="s">
        <v>31</v>
      </c>
      <c r="H25" s="918" t="str">
        <f t="shared" ref="H25:H27" si="5">G25</f>
        <v>H</v>
      </c>
      <c r="I25" s="918" t="str">
        <f t="shared" si="1"/>
        <v>H</v>
      </c>
      <c r="J25" s="916" t="s">
        <v>29</v>
      </c>
      <c r="K25" s="864" t="str">
        <f t="shared" si="3"/>
        <v>ON</v>
      </c>
    </row>
    <row r="26" spans="3:11" x14ac:dyDescent="0.3">
      <c r="D26" s="910" t="s">
        <v>1012</v>
      </c>
      <c r="E26" s="916" t="str">
        <f t="shared" si="4"/>
        <v>H</v>
      </c>
      <c r="F26" s="916" t="s">
        <v>29</v>
      </c>
      <c r="G26" s="916" t="s">
        <v>29</v>
      </c>
      <c r="H26" s="918" t="str">
        <f t="shared" si="5"/>
        <v>L</v>
      </c>
      <c r="I26" s="918" t="str">
        <f t="shared" si="1"/>
        <v>H</v>
      </c>
      <c r="J26" s="916" t="s">
        <v>1012</v>
      </c>
      <c r="K26" s="903" t="str">
        <f t="shared" si="3"/>
        <v>OFF</v>
      </c>
    </row>
    <row r="27" spans="3:11" ht="17.25" thickBot="1" x14ac:dyDescent="0.35">
      <c r="D27" s="911" t="s">
        <v>1012</v>
      </c>
      <c r="E27" s="920" t="str">
        <f t="shared" si="4"/>
        <v>H</v>
      </c>
      <c r="F27" s="920" t="s">
        <v>29</v>
      </c>
      <c r="G27" s="921" t="s">
        <v>1079</v>
      </c>
      <c r="H27" s="922" t="str">
        <f t="shared" si="5"/>
        <v>X</v>
      </c>
      <c r="I27" s="922" t="str">
        <f t="shared" si="1"/>
        <v>H</v>
      </c>
      <c r="J27" s="920" t="s">
        <v>1080</v>
      </c>
      <c r="K27" s="905" t="str">
        <f t="shared" si="3"/>
        <v>OFF</v>
      </c>
    </row>
    <row r="28" spans="3:11" x14ac:dyDescent="0.3">
      <c r="H28" s="172"/>
      <c r="I28" s="172"/>
      <c r="J28" s="172"/>
      <c r="K28" s="172"/>
    </row>
    <row r="29" spans="3:11" x14ac:dyDescent="0.3">
      <c r="C29" s="103" t="s">
        <v>1545</v>
      </c>
    </row>
    <row r="30" spans="3:11" x14ac:dyDescent="0.3">
      <c r="D30" s="720" t="s">
        <v>1547</v>
      </c>
    </row>
    <row r="31" spans="3:11" x14ac:dyDescent="0.3">
      <c r="D31" s="720" t="s">
        <v>1548</v>
      </c>
    </row>
    <row r="32" spans="3:11" ht="17.25" thickBot="1" x14ac:dyDescent="0.35">
      <c r="D32" t="s">
        <v>1552</v>
      </c>
    </row>
    <row r="33" spans="4:11" ht="33.75" thickBot="1" x14ac:dyDescent="0.35">
      <c r="D33" s="899" t="s">
        <v>1539</v>
      </c>
      <c r="E33" s="932" t="s">
        <v>1550</v>
      </c>
      <c r="F33" s="805" t="s">
        <v>1084</v>
      </c>
      <c r="G33" s="933" t="s">
        <v>1551</v>
      </c>
      <c r="H33" s="172"/>
      <c r="I33" s="172"/>
      <c r="J33" s="172"/>
      <c r="K33" s="172"/>
    </row>
    <row r="34" spans="4:11" x14ac:dyDescent="0.3">
      <c r="D34" s="914" t="s">
        <v>31</v>
      </c>
      <c r="E34" s="901" t="str">
        <f t="shared" ref="E34:E42" si="6">IF(D34="H","L","H")</f>
        <v>L</v>
      </c>
      <c r="F34" s="901" t="s">
        <v>1012</v>
      </c>
      <c r="G34" s="931" t="str">
        <f>IF(F34="L","ON","OFF")</f>
        <v>OFF</v>
      </c>
      <c r="H34" s="172"/>
      <c r="I34" s="172"/>
      <c r="J34" s="172"/>
      <c r="K34" s="172"/>
    </row>
    <row r="35" spans="4:11" x14ac:dyDescent="0.3">
      <c r="D35" s="910" t="s">
        <v>31</v>
      </c>
      <c r="E35" s="894" t="str">
        <f t="shared" si="6"/>
        <v>L</v>
      </c>
      <c r="F35" s="894" t="s">
        <v>1012</v>
      </c>
      <c r="G35" s="923" t="str">
        <f t="shared" ref="G35:G42" si="7">IF(F35="L","ON","OFF")</f>
        <v>OFF</v>
      </c>
    </row>
    <row r="36" spans="4:11" x14ac:dyDescent="0.3">
      <c r="D36" s="910" t="s">
        <v>31</v>
      </c>
      <c r="E36" s="894" t="str">
        <f t="shared" si="6"/>
        <v>L</v>
      </c>
      <c r="F36" s="894" t="s">
        <v>1012</v>
      </c>
      <c r="G36" s="923" t="str">
        <f t="shared" si="7"/>
        <v>OFF</v>
      </c>
    </row>
    <row r="37" spans="4:11" x14ac:dyDescent="0.3">
      <c r="D37" s="917" t="s">
        <v>29</v>
      </c>
      <c r="E37" s="916" t="str">
        <f t="shared" si="6"/>
        <v>H</v>
      </c>
      <c r="F37" s="916" t="s">
        <v>29</v>
      </c>
      <c r="G37" s="864" t="str">
        <f t="shared" si="7"/>
        <v>ON</v>
      </c>
    </row>
    <row r="38" spans="4:11" x14ac:dyDescent="0.3">
      <c r="D38" s="917" t="s">
        <v>29</v>
      </c>
      <c r="E38" s="916" t="str">
        <f t="shared" si="6"/>
        <v>H</v>
      </c>
      <c r="F38" s="916" t="s">
        <v>29</v>
      </c>
      <c r="G38" s="864" t="str">
        <f t="shared" si="7"/>
        <v>ON</v>
      </c>
    </row>
    <row r="39" spans="4:11" x14ac:dyDescent="0.3">
      <c r="D39" s="917" t="s">
        <v>29</v>
      </c>
      <c r="E39" s="916" t="str">
        <f t="shared" si="6"/>
        <v>H</v>
      </c>
      <c r="F39" s="916" t="s">
        <v>29</v>
      </c>
      <c r="G39" s="864" t="str">
        <f t="shared" si="7"/>
        <v>ON</v>
      </c>
    </row>
    <row r="40" spans="4:11" x14ac:dyDescent="0.3">
      <c r="D40" s="924" t="s">
        <v>1012</v>
      </c>
      <c r="E40" s="925" t="str">
        <f t="shared" si="6"/>
        <v>H</v>
      </c>
      <c r="F40" s="925" t="s">
        <v>29</v>
      </c>
      <c r="G40" s="926" t="str">
        <f t="shared" si="7"/>
        <v>ON</v>
      </c>
    </row>
    <row r="41" spans="4:11" x14ac:dyDescent="0.3">
      <c r="D41" s="924" t="s">
        <v>1012</v>
      </c>
      <c r="E41" s="925" t="str">
        <f t="shared" si="6"/>
        <v>H</v>
      </c>
      <c r="F41" s="925" t="s">
        <v>29</v>
      </c>
      <c r="G41" s="926" t="str">
        <f t="shared" si="7"/>
        <v>ON</v>
      </c>
    </row>
    <row r="42" spans="4:11" ht="17.25" thickBot="1" x14ac:dyDescent="0.35">
      <c r="D42" s="927" t="s">
        <v>1012</v>
      </c>
      <c r="E42" s="928" t="str">
        <f t="shared" si="6"/>
        <v>H</v>
      </c>
      <c r="F42" s="928" t="s">
        <v>29</v>
      </c>
      <c r="G42" s="929" t="str">
        <f t="shared" si="7"/>
        <v>ON</v>
      </c>
    </row>
    <row r="43" spans="4:11" x14ac:dyDescent="0.3">
      <c r="H43" s="172"/>
      <c r="I43" s="172"/>
      <c r="J43" s="172"/>
      <c r="K43" s="172"/>
    </row>
    <row r="59" spans="2:19" x14ac:dyDescent="0.3">
      <c r="B59" s="103" t="s">
        <v>1563</v>
      </c>
    </row>
    <row r="60" spans="2:19" x14ac:dyDescent="0.3">
      <c r="C60" s="103" t="s">
        <v>1564</v>
      </c>
    </row>
    <row r="61" spans="2:19" ht="17.25" thickBot="1" x14ac:dyDescent="0.35">
      <c r="D61" s="103" t="s">
        <v>1558</v>
      </c>
      <c r="J61" s="103" t="s">
        <v>1557</v>
      </c>
    </row>
    <row r="62" spans="2:19" ht="17.25" thickBot="1" x14ac:dyDescent="0.35">
      <c r="D62" s="879" t="s">
        <v>1553</v>
      </c>
      <c r="E62" s="877" t="s">
        <v>1554</v>
      </c>
      <c r="F62" s="877" t="s">
        <v>463</v>
      </c>
      <c r="G62" s="880"/>
      <c r="J62" s="790" t="s">
        <v>522</v>
      </c>
      <c r="K62" s="788" t="s">
        <v>523</v>
      </c>
      <c r="L62" s="788" t="s">
        <v>524</v>
      </c>
      <c r="M62" s="788" t="s">
        <v>525</v>
      </c>
      <c r="N62" s="788" t="s">
        <v>526</v>
      </c>
      <c r="O62" s="789" t="s">
        <v>527</v>
      </c>
      <c r="P62" s="125"/>
      <c r="Q62" s="125"/>
      <c r="R62" s="125"/>
      <c r="S62" s="125"/>
    </row>
    <row r="63" spans="2:19" ht="17.25" thickBot="1" x14ac:dyDescent="0.35">
      <c r="D63" s="882" t="s">
        <v>29</v>
      </c>
      <c r="E63" s="878" t="s">
        <v>29</v>
      </c>
      <c r="F63" s="901" t="s">
        <v>29</v>
      </c>
      <c r="G63" s="117"/>
      <c r="J63" s="497" t="s">
        <v>1567</v>
      </c>
      <c r="K63" s="498" t="s">
        <v>419</v>
      </c>
      <c r="L63" s="498" t="s">
        <v>1361</v>
      </c>
      <c r="M63" s="499" t="s">
        <v>1566</v>
      </c>
      <c r="N63" s="499"/>
      <c r="O63" s="500"/>
      <c r="P63" s="125"/>
      <c r="R63" s="125"/>
      <c r="S63" s="125"/>
    </row>
    <row r="64" spans="2:19" x14ac:dyDescent="0.3">
      <c r="D64" s="881" t="s">
        <v>29</v>
      </c>
      <c r="E64" s="876" t="s">
        <v>31</v>
      </c>
      <c r="F64" s="894" t="s">
        <v>31</v>
      </c>
      <c r="G64" s="107"/>
      <c r="J64" s="941" t="s">
        <v>48</v>
      </c>
      <c r="K64" s="947" t="s">
        <v>31</v>
      </c>
      <c r="L64" s="947" t="s">
        <v>530</v>
      </c>
      <c r="M64" s="948" t="s">
        <v>530</v>
      </c>
      <c r="N64" s="948" t="s">
        <v>48</v>
      </c>
      <c r="O64" s="949" t="s">
        <v>31</v>
      </c>
      <c r="P64" s="940" t="s">
        <v>1572</v>
      </c>
    </row>
    <row r="65" spans="3:16" x14ac:dyDescent="0.3">
      <c r="D65" s="881" t="s">
        <v>31</v>
      </c>
      <c r="E65" s="876" t="s">
        <v>1556</v>
      </c>
      <c r="F65" s="894" t="s">
        <v>1555</v>
      </c>
      <c r="G65" s="107"/>
      <c r="J65" s="934" t="s">
        <v>31</v>
      </c>
      <c r="K65" s="721" t="s">
        <v>48</v>
      </c>
      <c r="L65" s="721" t="s">
        <v>530</v>
      </c>
      <c r="M65" s="721" t="s">
        <v>530</v>
      </c>
      <c r="N65" s="721" t="s">
        <v>31</v>
      </c>
      <c r="O65" s="935" t="s">
        <v>48</v>
      </c>
      <c r="P65" s="939" t="s">
        <v>1568</v>
      </c>
    </row>
    <row r="66" spans="3:16" x14ac:dyDescent="0.3">
      <c r="J66" s="934" t="s">
        <v>48</v>
      </c>
      <c r="K66" s="721" t="s">
        <v>48</v>
      </c>
      <c r="L66" s="721" t="s">
        <v>530</v>
      </c>
      <c r="M66" s="721" t="s">
        <v>530</v>
      </c>
      <c r="N66" s="721" t="s">
        <v>31</v>
      </c>
      <c r="O66" s="935" t="s">
        <v>31</v>
      </c>
      <c r="P66" s="939" t="s">
        <v>1568</v>
      </c>
    </row>
    <row r="67" spans="3:16" x14ac:dyDescent="0.3">
      <c r="C67" s="103"/>
      <c r="J67" s="934" t="s">
        <v>31</v>
      </c>
      <c r="K67" s="936" t="s">
        <v>31</v>
      </c>
      <c r="L67" s="721" t="s">
        <v>48</v>
      </c>
      <c r="M67" s="937" t="s">
        <v>531</v>
      </c>
      <c r="N67" s="721" t="s">
        <v>48</v>
      </c>
      <c r="O67" s="935" t="s">
        <v>31</v>
      </c>
      <c r="P67" s="939" t="s">
        <v>1569</v>
      </c>
    </row>
    <row r="68" spans="3:16" x14ac:dyDescent="0.3">
      <c r="J68" s="913" t="s">
        <v>31</v>
      </c>
      <c r="K68" s="945" t="s">
        <v>31</v>
      </c>
      <c r="L68" s="945" t="s">
        <v>31</v>
      </c>
      <c r="M68" s="943" t="s">
        <v>531</v>
      </c>
      <c r="N68" s="906" t="s">
        <v>31</v>
      </c>
      <c r="O68" s="907" t="s">
        <v>48</v>
      </c>
      <c r="P68" s="940" t="s">
        <v>1571</v>
      </c>
    </row>
    <row r="69" spans="3:16" ht="17.25" thickBot="1" x14ac:dyDescent="0.35">
      <c r="J69" s="942" t="s">
        <v>31</v>
      </c>
      <c r="K69" s="946" t="s">
        <v>31</v>
      </c>
      <c r="L69" s="946" t="s">
        <v>530</v>
      </c>
      <c r="M69" s="944" t="s">
        <v>532</v>
      </c>
      <c r="N69" s="912" t="s">
        <v>533</v>
      </c>
      <c r="O69" s="909" t="s">
        <v>534</v>
      </c>
      <c r="P69" s="938" t="s">
        <v>1570</v>
      </c>
    </row>
    <row r="71" spans="3:16" ht="17.25" thickBot="1" x14ac:dyDescent="0.35">
      <c r="C71" s="103" t="s">
        <v>1565</v>
      </c>
    </row>
    <row r="72" spans="3:16" x14ac:dyDescent="0.3">
      <c r="D72" s="1060" t="s">
        <v>1358</v>
      </c>
      <c r="E72" s="1063" t="s">
        <v>1359</v>
      </c>
      <c r="F72" s="1063" t="s">
        <v>1360</v>
      </c>
      <c r="G72" s="1063"/>
      <c r="H72" s="1063"/>
      <c r="I72" s="1061"/>
    </row>
    <row r="73" spans="3:16" ht="17.25" thickBot="1" x14ac:dyDescent="0.35">
      <c r="D73" s="968"/>
      <c r="E73" s="1046"/>
      <c r="F73" s="898" t="s">
        <v>1567</v>
      </c>
      <c r="G73" s="898" t="s">
        <v>1574</v>
      </c>
      <c r="H73" s="898" t="s">
        <v>1575</v>
      </c>
      <c r="I73" s="897" t="s">
        <v>1576</v>
      </c>
    </row>
    <row r="74" spans="3:16" x14ac:dyDescent="0.3">
      <c r="D74" s="957" t="s">
        <v>531</v>
      </c>
      <c r="E74" s="951" t="s">
        <v>531</v>
      </c>
      <c r="F74" s="952" t="s">
        <v>1573</v>
      </c>
      <c r="G74" s="930" t="s">
        <v>1573</v>
      </c>
      <c r="H74" s="952" t="s">
        <v>31</v>
      </c>
      <c r="I74" s="953" t="s">
        <v>29</v>
      </c>
    </row>
    <row r="75" spans="3:16" x14ac:dyDescent="0.3">
      <c r="D75" s="956" t="s">
        <v>531</v>
      </c>
      <c r="E75" s="496" t="s">
        <v>531</v>
      </c>
      <c r="F75" s="437" t="s">
        <v>29</v>
      </c>
      <c r="G75" s="721" t="s">
        <v>1573</v>
      </c>
      <c r="H75" s="437" t="s">
        <v>29</v>
      </c>
      <c r="I75" s="438" t="s">
        <v>31</v>
      </c>
      <c r="J75" s="954" t="s">
        <v>1579</v>
      </c>
    </row>
    <row r="76" spans="3:16" x14ac:dyDescent="0.3">
      <c r="D76" s="955" t="s">
        <v>532</v>
      </c>
      <c r="E76" s="943" t="s">
        <v>532</v>
      </c>
      <c r="F76" s="906" t="s">
        <v>1573</v>
      </c>
      <c r="G76" s="721" t="s">
        <v>1573</v>
      </c>
      <c r="H76" s="906" t="s">
        <v>1575</v>
      </c>
      <c r="I76" s="907" t="s">
        <v>1576</v>
      </c>
    </row>
    <row r="77" spans="3:16" x14ac:dyDescent="0.3">
      <c r="D77" s="956" t="s">
        <v>532</v>
      </c>
      <c r="E77" s="496" t="s">
        <v>532</v>
      </c>
      <c r="F77" s="437" t="s">
        <v>29</v>
      </c>
      <c r="G77" s="721" t="s">
        <v>1573</v>
      </c>
      <c r="H77" s="437" t="s">
        <v>29</v>
      </c>
      <c r="I77" s="438" t="s">
        <v>31</v>
      </c>
      <c r="J77" s="954" t="s">
        <v>1579</v>
      </c>
    </row>
    <row r="78" spans="3:16" x14ac:dyDescent="0.3">
      <c r="D78" s="934" t="s">
        <v>1556</v>
      </c>
      <c r="E78" s="721" t="s">
        <v>1556</v>
      </c>
      <c r="F78" s="721" t="s">
        <v>1573</v>
      </c>
      <c r="G78" s="721" t="s">
        <v>1573</v>
      </c>
      <c r="H78" s="721" t="s">
        <v>1577</v>
      </c>
      <c r="I78" s="935" t="s">
        <v>1556</v>
      </c>
      <c r="J78" s="950" t="s">
        <v>1578</v>
      </c>
    </row>
    <row r="79" spans="3:16" ht="17.25" thickBot="1" x14ac:dyDescent="0.35">
      <c r="D79" s="911" t="s">
        <v>1556</v>
      </c>
      <c r="E79" s="895" t="s">
        <v>1556</v>
      </c>
      <c r="F79" s="895" t="s">
        <v>29</v>
      </c>
      <c r="G79" s="724" t="s">
        <v>1573</v>
      </c>
      <c r="H79" s="895" t="s">
        <v>29</v>
      </c>
      <c r="I79" s="758" t="s">
        <v>31</v>
      </c>
      <c r="J79" s="954" t="s">
        <v>1579</v>
      </c>
    </row>
    <row r="81" spans="4:4" x14ac:dyDescent="0.3">
      <c r="D81" t="s">
        <v>1580</v>
      </c>
    </row>
    <row r="82" spans="4:4" x14ac:dyDescent="0.3">
      <c r="D82" t="s">
        <v>1581</v>
      </c>
    </row>
    <row r="108" spans="4:11" x14ac:dyDescent="0.3">
      <c r="D108" s="415" t="s">
        <v>1008</v>
      </c>
      <c r="E108" s="415" t="s">
        <v>1006</v>
      </c>
      <c r="F108" s="415" t="s">
        <v>1085</v>
      </c>
      <c r="G108" s="415" t="s">
        <v>1086</v>
      </c>
      <c r="H108" s="415" t="s">
        <v>1083</v>
      </c>
      <c r="I108" s="415" t="s">
        <v>1084</v>
      </c>
      <c r="J108" s="415" t="s">
        <v>1081</v>
      </c>
      <c r="K108" s="415" t="s">
        <v>1082</v>
      </c>
    </row>
    <row r="109" spans="4:11" x14ac:dyDescent="0.3">
      <c r="D109" s="172" t="s">
        <v>31</v>
      </c>
      <c r="E109" s="172" t="s">
        <v>31</v>
      </c>
      <c r="F109" s="172" t="s">
        <v>29</v>
      </c>
      <c r="G109" s="172" t="str">
        <f t="shared" ref="G109:G114" si="8">D109</f>
        <v>H</v>
      </c>
      <c r="H109" s="172" t="s">
        <v>41</v>
      </c>
      <c r="I109" s="172" t="str">
        <f t="shared" ref="I109:I114" si="9">IF(D109="H","L","OPEN")</f>
        <v>L</v>
      </c>
      <c r="J109" s="172" t="s">
        <v>1374</v>
      </c>
      <c r="K109" s="172" t="str">
        <f t="shared" ref="K109:K114" si="10">IF(I109="L","ON","OFF")</f>
        <v>ON</v>
      </c>
    </row>
    <row r="110" spans="4:11" x14ac:dyDescent="0.3">
      <c r="D110" s="172" t="s">
        <v>31</v>
      </c>
      <c r="E110" s="172" t="s">
        <v>1007</v>
      </c>
      <c r="F110" s="172" t="s">
        <v>31</v>
      </c>
      <c r="G110" s="172" t="str">
        <f t="shared" si="8"/>
        <v>H</v>
      </c>
      <c r="H110" s="172" t="s">
        <v>29</v>
      </c>
      <c r="I110" s="172" t="str">
        <f t="shared" si="9"/>
        <v>L</v>
      </c>
      <c r="J110" s="172" t="s">
        <v>1374</v>
      </c>
      <c r="K110" s="172" t="str">
        <f t="shared" si="10"/>
        <v>ON</v>
      </c>
    </row>
    <row r="111" spans="4:11" x14ac:dyDescent="0.3">
      <c r="D111" s="172" t="s">
        <v>31</v>
      </c>
      <c r="E111" s="719" t="s">
        <v>1079</v>
      </c>
      <c r="F111" s="719" t="s">
        <v>1079</v>
      </c>
      <c r="G111" s="172" t="str">
        <f t="shared" si="8"/>
        <v>H</v>
      </c>
      <c r="H111" s="172" t="s">
        <v>1080</v>
      </c>
      <c r="I111" s="172" t="str">
        <f t="shared" si="9"/>
        <v>L</v>
      </c>
      <c r="J111" s="172" t="s">
        <v>1374</v>
      </c>
      <c r="K111" s="172" t="str">
        <f t="shared" si="10"/>
        <v>ON</v>
      </c>
    </row>
    <row r="112" spans="4:11" x14ac:dyDescent="0.3">
      <c r="D112" s="172" t="s">
        <v>1009</v>
      </c>
      <c r="E112" s="172" t="s">
        <v>31</v>
      </c>
      <c r="F112" s="172" t="s">
        <v>29</v>
      </c>
      <c r="G112" s="172" t="str">
        <f t="shared" si="8"/>
        <v>L</v>
      </c>
      <c r="H112" s="172" t="s">
        <v>41</v>
      </c>
      <c r="I112" s="172" t="str">
        <f t="shared" si="9"/>
        <v>OPEN</v>
      </c>
      <c r="J112" s="172" t="s">
        <v>1374</v>
      </c>
      <c r="K112" s="172" t="str">
        <f t="shared" si="10"/>
        <v>OFF</v>
      </c>
    </row>
    <row r="113" spans="4:11" x14ac:dyDescent="0.3">
      <c r="D113" s="172" t="s">
        <v>29</v>
      </c>
      <c r="E113" s="172" t="s">
        <v>1007</v>
      </c>
      <c r="F113" s="172" t="s">
        <v>31</v>
      </c>
      <c r="G113" s="172" t="str">
        <f t="shared" si="8"/>
        <v>L</v>
      </c>
      <c r="H113" s="172" t="s">
        <v>41</v>
      </c>
      <c r="I113" s="172" t="str">
        <f t="shared" si="9"/>
        <v>OPEN</v>
      </c>
      <c r="J113" s="172" t="s">
        <v>1374</v>
      </c>
      <c r="K113" s="172" t="str">
        <f t="shared" si="10"/>
        <v>OFF</v>
      </c>
    </row>
    <row r="114" spans="4:11" x14ac:dyDescent="0.3">
      <c r="D114" s="172" t="s">
        <v>29</v>
      </c>
      <c r="E114" s="719" t="s">
        <v>1079</v>
      </c>
      <c r="F114" s="719" t="s">
        <v>1079</v>
      </c>
      <c r="G114" s="172" t="str">
        <f t="shared" si="8"/>
        <v>L</v>
      </c>
      <c r="H114" s="172" t="s">
        <v>1080</v>
      </c>
      <c r="I114" s="172" t="str">
        <f t="shared" si="9"/>
        <v>OPEN</v>
      </c>
      <c r="J114" s="172" t="s">
        <v>1374</v>
      </c>
      <c r="K114" s="172" t="str">
        <f t="shared" si="10"/>
        <v>OFF</v>
      </c>
    </row>
    <row r="117" spans="4:11" x14ac:dyDescent="0.3">
      <c r="D117" s="415" t="s">
        <v>1375</v>
      </c>
      <c r="E117" s="415" t="s">
        <v>1006</v>
      </c>
      <c r="F117" s="415" t="s">
        <v>1376</v>
      </c>
      <c r="G117" s="415" t="s">
        <v>1086</v>
      </c>
      <c r="H117" s="415" t="s">
        <v>1083</v>
      </c>
      <c r="I117" s="415" t="s">
        <v>1084</v>
      </c>
      <c r="J117" s="415" t="s">
        <v>1081</v>
      </c>
      <c r="K117" s="415" t="s">
        <v>1082</v>
      </c>
    </row>
    <row r="118" spans="4:11" x14ac:dyDescent="0.3">
      <c r="D118" s="172" t="s">
        <v>31</v>
      </c>
      <c r="E118" s="719" t="s">
        <v>1079</v>
      </c>
      <c r="F118" s="719" t="s">
        <v>1079</v>
      </c>
      <c r="G118" s="172" t="str">
        <f t="shared" ref="G118" si="11">D118</f>
        <v>H</v>
      </c>
      <c r="H118" s="172" t="s">
        <v>29</v>
      </c>
    </row>
  </sheetData>
  <mergeCells count="11">
    <mergeCell ref="J6:K6"/>
    <mergeCell ref="J5:K5"/>
    <mergeCell ref="J4:K4"/>
    <mergeCell ref="F72:I72"/>
    <mergeCell ref="E72:E73"/>
    <mergeCell ref="G4:H4"/>
    <mergeCell ref="D72:D73"/>
    <mergeCell ref="G8:H8"/>
    <mergeCell ref="G7:H7"/>
    <mergeCell ref="G6:H6"/>
    <mergeCell ref="G5:H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24580" r:id="rId4">
          <objectPr defaultSize="0" r:id="rId5">
            <anchor moveWithCells="1">
              <from>
                <xdr:col>13</xdr:col>
                <xdr:colOff>666750</xdr:colOff>
                <xdr:row>108</xdr:row>
                <xdr:rowOff>0</xdr:rowOff>
              </from>
              <to>
                <xdr:col>18</xdr:col>
                <xdr:colOff>381000</xdr:colOff>
                <xdr:row>120</xdr:row>
                <xdr:rowOff>133350</xdr:rowOff>
              </to>
            </anchor>
          </objectPr>
        </oleObject>
      </mc:Choice>
      <mc:Fallback>
        <oleObject progId="Visio.Drawing.11" shapeId="24580" r:id="rId4"/>
      </mc:Fallback>
    </mc:AlternateContent>
    <mc:AlternateContent xmlns:mc="http://schemas.openxmlformats.org/markup-compatibility/2006">
      <mc:Choice Requires="x14">
        <oleObject progId="Visio.Drawing.11" shapeId="24584" r:id="rId6">
          <objectPr defaultSize="0" autoPict="0" r:id="rId7">
            <anchor moveWithCells="1">
              <from>
                <xdr:col>14</xdr:col>
                <xdr:colOff>190500</xdr:colOff>
                <xdr:row>15</xdr:row>
                <xdr:rowOff>85725</xdr:rowOff>
              </from>
              <to>
                <xdr:col>21</xdr:col>
                <xdr:colOff>342900</xdr:colOff>
                <xdr:row>27</xdr:row>
                <xdr:rowOff>104775</xdr:rowOff>
              </to>
            </anchor>
          </objectPr>
        </oleObject>
      </mc:Choice>
      <mc:Fallback>
        <oleObject progId="Visio.Drawing.11" shapeId="24584" r:id="rId6"/>
      </mc:Fallback>
    </mc:AlternateContent>
    <mc:AlternateContent xmlns:mc="http://schemas.openxmlformats.org/markup-compatibility/2006">
      <mc:Choice Requires="x14">
        <oleObject progId="Visio.Drawing.11" shapeId="24586" r:id="rId8">
          <objectPr defaultSize="0" autoPict="0" r:id="rId9">
            <anchor moveWithCells="1">
              <from>
                <xdr:col>11</xdr:col>
                <xdr:colOff>57150</xdr:colOff>
                <xdr:row>71</xdr:row>
                <xdr:rowOff>66675</xdr:rowOff>
              </from>
              <to>
                <xdr:col>20</xdr:col>
                <xdr:colOff>219075</xdr:colOff>
                <xdr:row>83</xdr:row>
                <xdr:rowOff>142875</xdr:rowOff>
              </to>
            </anchor>
          </objectPr>
        </oleObject>
      </mc:Choice>
      <mc:Fallback>
        <oleObject progId="Visio.Drawing.11" shapeId="24586" r:id="rId8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02"/>
  <sheetViews>
    <sheetView topLeftCell="A46" zoomScaleNormal="100" workbookViewId="0">
      <selection activeCell="T195" sqref="T195"/>
    </sheetView>
  </sheetViews>
  <sheetFormatPr defaultRowHeight="16.5" x14ac:dyDescent="0.3"/>
  <cols>
    <col min="1" max="1" width="4" customWidth="1"/>
    <col min="2" max="2" width="5.25" customWidth="1"/>
    <col min="8" max="8" width="9.875" customWidth="1"/>
    <col min="11" max="11" width="9.625" customWidth="1"/>
    <col min="12" max="12" width="9.125" customWidth="1"/>
    <col min="14" max="14" width="9.75" customWidth="1"/>
  </cols>
  <sheetData>
    <row r="2" spans="2:19" ht="17.25" thickBot="1" x14ac:dyDescent="0.35">
      <c r="B2" s="103" t="s">
        <v>1197</v>
      </c>
    </row>
    <row r="3" spans="2:19" ht="17.25" thickBot="1" x14ac:dyDescent="0.35">
      <c r="O3" s="734"/>
      <c r="P3" s="732" t="s">
        <v>1145</v>
      </c>
      <c r="Q3" s="732" t="s">
        <v>1146</v>
      </c>
      <c r="R3" s="732" t="s">
        <v>1146</v>
      </c>
      <c r="S3" s="741"/>
    </row>
    <row r="4" spans="2:19" x14ac:dyDescent="0.3">
      <c r="O4" s="735" t="s">
        <v>1139</v>
      </c>
      <c r="P4" s="116">
        <v>28</v>
      </c>
      <c r="Q4" s="116">
        <v>28</v>
      </c>
      <c r="R4" s="116">
        <v>28</v>
      </c>
      <c r="S4" s="743" t="s">
        <v>77</v>
      </c>
    </row>
    <row r="5" spans="2:19" x14ac:dyDescent="0.3">
      <c r="O5" s="739" t="s">
        <v>1137</v>
      </c>
      <c r="P5" s="106">
        <v>6700</v>
      </c>
      <c r="Q5" s="106">
        <v>3300</v>
      </c>
      <c r="R5" s="106">
        <v>3300</v>
      </c>
      <c r="S5" s="744" t="s">
        <v>1140</v>
      </c>
    </row>
    <row r="6" spans="2:19" x14ac:dyDescent="0.3">
      <c r="O6" s="739" t="s">
        <v>1138</v>
      </c>
      <c r="P6" s="106">
        <v>1000</v>
      </c>
      <c r="Q6" s="106">
        <v>330</v>
      </c>
      <c r="R6" s="106">
        <v>330</v>
      </c>
      <c r="S6" s="744" t="s">
        <v>1140</v>
      </c>
    </row>
    <row r="7" spans="2:19" ht="17.25" thickBot="1" x14ac:dyDescent="0.35">
      <c r="O7" s="736" t="s">
        <v>1345</v>
      </c>
      <c r="P7" s="532" t="s">
        <v>1147</v>
      </c>
      <c r="Q7" s="109">
        <v>240</v>
      </c>
      <c r="R7" s="109">
        <v>330</v>
      </c>
      <c r="S7" s="748" t="s">
        <v>1140</v>
      </c>
    </row>
    <row r="8" spans="2:19" x14ac:dyDescent="0.3">
      <c r="S8" s="172"/>
    </row>
    <row r="9" spans="2:19" ht="17.25" thickBot="1" x14ac:dyDescent="0.35">
      <c r="O9" s="103" t="s">
        <v>1344</v>
      </c>
      <c r="S9" s="172"/>
    </row>
    <row r="10" spans="2:19" x14ac:dyDescent="0.3">
      <c r="O10" s="745" t="s">
        <v>1141</v>
      </c>
      <c r="P10" s="183">
        <f>P6</f>
        <v>1000</v>
      </c>
      <c r="Q10" s="550">
        <f>Q6*Q7/(Q7+Q6)</f>
        <v>138.94736842105263</v>
      </c>
      <c r="R10" s="183">
        <f>R6*R7/(R7+R6)</f>
        <v>165</v>
      </c>
      <c r="S10" s="225" t="s">
        <v>1140</v>
      </c>
    </row>
    <row r="11" spans="2:19" ht="17.25" thickBot="1" x14ac:dyDescent="0.35">
      <c r="O11" s="736" t="s">
        <v>77</v>
      </c>
      <c r="P11" s="136">
        <f>P4*P10/(P5+P10)</f>
        <v>3.6363636363636362</v>
      </c>
      <c r="Q11" s="136">
        <f>Q4*Q10/(Q5+Q10)</f>
        <v>1.1313131313131313</v>
      </c>
      <c r="R11" s="136">
        <f>R4*R10/(R5+R10)</f>
        <v>1.3333333333333333</v>
      </c>
      <c r="S11" s="753" t="s">
        <v>77</v>
      </c>
    </row>
    <row r="12" spans="2:19" ht="17.25" thickBot="1" x14ac:dyDescent="0.35">
      <c r="O12" s="785" t="s">
        <v>166</v>
      </c>
      <c r="P12" s="361">
        <f>(P4-P11)/P5</f>
        <v>3.6363636363636364E-3</v>
      </c>
      <c r="Q12" s="361">
        <f>Q11/Q7</f>
        <v>4.7138047138047135E-3</v>
      </c>
      <c r="R12" s="361">
        <f>R11/R7</f>
        <v>4.0404040404040404E-3</v>
      </c>
      <c r="S12" s="786" t="s">
        <v>155</v>
      </c>
    </row>
    <row r="14" spans="2:19" ht="17.25" thickBot="1" x14ac:dyDescent="0.35">
      <c r="O14" s="103" t="s">
        <v>1143</v>
      </c>
      <c r="S14" s="172"/>
    </row>
    <row r="15" spans="2:19" x14ac:dyDescent="0.3">
      <c r="O15" s="745" t="s">
        <v>1142</v>
      </c>
      <c r="P15" s="550">
        <f>P4*P6/(P5+P6)</f>
        <v>3.6363636363636362</v>
      </c>
      <c r="Q15" s="550">
        <f>Q4*Q6/(Q5+Q6)</f>
        <v>2.5454545454545454</v>
      </c>
      <c r="R15" s="550">
        <f>R4*R6/(R5+R6)</f>
        <v>2.5454545454545454</v>
      </c>
      <c r="S15" s="225" t="s">
        <v>77</v>
      </c>
    </row>
    <row r="16" spans="2:19" ht="17.25" thickBot="1" x14ac:dyDescent="0.35">
      <c r="O16" s="736" t="s">
        <v>1144</v>
      </c>
      <c r="P16" s="361">
        <f>P15/P6</f>
        <v>3.6363636363636364E-3</v>
      </c>
      <c r="Q16" s="361">
        <f>Q15/Q6</f>
        <v>7.7134986225895312E-3</v>
      </c>
      <c r="R16" s="361">
        <f>R15/R6</f>
        <v>7.7134986225895312E-3</v>
      </c>
      <c r="S16" s="748" t="s">
        <v>287</v>
      </c>
    </row>
    <row r="18" spans="3:15" x14ac:dyDescent="0.3">
      <c r="O18" s="103" t="s">
        <v>1148</v>
      </c>
    </row>
    <row r="26" spans="3:15" x14ac:dyDescent="0.3">
      <c r="D26" t="s">
        <v>1381</v>
      </c>
    </row>
    <row r="27" spans="3:15" x14ac:dyDescent="0.3">
      <c r="C27" t="s">
        <v>1384</v>
      </c>
      <c r="D27">
        <v>3300</v>
      </c>
      <c r="F27">
        <v>3300</v>
      </c>
      <c r="G27">
        <v>3300</v>
      </c>
    </row>
    <row r="28" spans="3:15" x14ac:dyDescent="0.3">
      <c r="C28" t="s">
        <v>1388</v>
      </c>
      <c r="D28">
        <v>330</v>
      </c>
      <c r="F28">
        <v>330</v>
      </c>
      <c r="G28">
        <v>1000</v>
      </c>
    </row>
    <row r="29" spans="3:15" x14ac:dyDescent="0.3">
      <c r="C29" t="s">
        <v>1389</v>
      </c>
      <c r="D29">
        <v>240</v>
      </c>
      <c r="F29">
        <v>240</v>
      </c>
      <c r="G29">
        <v>240</v>
      </c>
    </row>
    <row r="30" spans="3:15" x14ac:dyDescent="0.3">
      <c r="C30" t="s">
        <v>1382</v>
      </c>
      <c r="D30">
        <v>2.7</v>
      </c>
      <c r="F30">
        <v>22.4</v>
      </c>
      <c r="G30">
        <v>22.4</v>
      </c>
    </row>
    <row r="31" spans="3:15" x14ac:dyDescent="0.3">
      <c r="C31" t="s">
        <v>1383</v>
      </c>
      <c r="D31">
        <v>1.6</v>
      </c>
      <c r="F31">
        <f>F30-1.1</f>
        <v>21.299999999999997</v>
      </c>
      <c r="G31">
        <f>G30-1.1</f>
        <v>21.299999999999997</v>
      </c>
    </row>
    <row r="32" spans="3:15" x14ac:dyDescent="0.3">
      <c r="C32" t="s">
        <v>76</v>
      </c>
      <c r="D32">
        <f>D30+D31</f>
        <v>4.3000000000000007</v>
      </c>
      <c r="F32">
        <f>F30+1.6</f>
        <v>24</v>
      </c>
      <c r="G32">
        <f>G30+1.6</f>
        <v>24</v>
      </c>
    </row>
    <row r="33" spans="2:22" x14ac:dyDescent="0.3">
      <c r="C33" t="s">
        <v>1385</v>
      </c>
      <c r="D33">
        <f>(28-D32)/D27</f>
        <v>7.1818181818181816E-3</v>
      </c>
      <c r="F33">
        <f>(28-F32)/F27</f>
        <v>1.2121212121212121E-3</v>
      </c>
      <c r="G33">
        <f>(28-G32)/G27</f>
        <v>1.2121212121212121E-3</v>
      </c>
    </row>
    <row r="34" spans="2:22" x14ac:dyDescent="0.3">
      <c r="C34" t="s">
        <v>1386</v>
      </c>
      <c r="D34">
        <f>D31/D33</f>
        <v>222.7848101265823</v>
      </c>
      <c r="F34">
        <f>F31/F33</f>
        <v>17572.499999999996</v>
      </c>
      <c r="G34">
        <f>G31/G33</f>
        <v>17572.499999999996</v>
      </c>
    </row>
    <row r="35" spans="2:22" x14ac:dyDescent="0.3">
      <c r="C35" t="s">
        <v>1387</v>
      </c>
      <c r="D35">
        <f>D33*D28/(D28+D29)</f>
        <v>4.1578947368421052E-3</v>
      </c>
      <c r="F35">
        <f>F33*F28/(F28+F29)</f>
        <v>7.0175438596491234E-4</v>
      </c>
      <c r="G35">
        <f>G33*G28/(G28+G29)</f>
        <v>9.7751710654936461E-4</v>
      </c>
    </row>
    <row r="36" spans="2:22" x14ac:dyDescent="0.3">
      <c r="B36" s="103" t="s">
        <v>1198</v>
      </c>
    </row>
    <row r="46" spans="2:22" x14ac:dyDescent="0.3">
      <c r="C46" t="s">
        <v>1342</v>
      </c>
    </row>
    <row r="47" spans="2:22" ht="17.25" thickBot="1" x14ac:dyDescent="0.35">
      <c r="C47" s="103" t="s">
        <v>1343</v>
      </c>
      <c r="R47" s="103" t="s">
        <v>1200</v>
      </c>
    </row>
    <row r="48" spans="2:22" ht="17.25" thickBot="1" x14ac:dyDescent="0.35">
      <c r="D48" s="1143"/>
      <c r="E48" s="1171"/>
      <c r="F48" s="1172"/>
      <c r="G48" s="747" t="s">
        <v>1160</v>
      </c>
      <c r="H48" s="747" t="s">
        <v>1161</v>
      </c>
      <c r="I48" s="747" t="s">
        <v>1162</v>
      </c>
      <c r="J48" s="119"/>
      <c r="R48" s="1170"/>
      <c r="S48" s="971"/>
      <c r="T48" s="971"/>
      <c r="U48" s="732" t="s">
        <v>1162</v>
      </c>
      <c r="V48" s="741" t="s">
        <v>1209</v>
      </c>
    </row>
    <row r="49" spans="2:22" x14ac:dyDescent="0.3">
      <c r="D49" s="1103" t="s">
        <v>1149</v>
      </c>
      <c r="E49" s="967"/>
      <c r="F49" s="967"/>
      <c r="G49" s="106">
        <v>3</v>
      </c>
      <c r="H49" s="755" t="s">
        <v>1150</v>
      </c>
      <c r="I49" s="106">
        <v>10</v>
      </c>
      <c r="J49" s="744" t="s">
        <v>1153</v>
      </c>
      <c r="L49" s="745" t="s">
        <v>1139</v>
      </c>
      <c r="M49" s="183">
        <v>5</v>
      </c>
      <c r="N49" s="119"/>
      <c r="R49" s="1118" t="s">
        <v>1201</v>
      </c>
      <c r="S49" s="1052"/>
      <c r="T49" s="1052"/>
      <c r="U49" s="116">
        <v>100</v>
      </c>
      <c r="V49" s="117" t="s">
        <v>1203</v>
      </c>
    </row>
    <row r="50" spans="2:22" x14ac:dyDescent="0.3">
      <c r="D50" s="1103" t="s">
        <v>1151</v>
      </c>
      <c r="E50" s="967"/>
      <c r="F50" s="967"/>
      <c r="G50" s="106"/>
      <c r="H50" s="106">
        <v>3</v>
      </c>
      <c r="I50" s="106"/>
      <c r="J50" s="744" t="s">
        <v>1153</v>
      </c>
      <c r="L50" s="543" t="s">
        <v>1163</v>
      </c>
      <c r="M50" s="106">
        <v>150</v>
      </c>
      <c r="N50" s="107"/>
      <c r="R50" s="1103" t="s">
        <v>1202</v>
      </c>
      <c r="S50" s="967"/>
      <c r="T50" s="967"/>
      <c r="U50" s="106">
        <v>70</v>
      </c>
      <c r="V50" s="107" t="s">
        <v>1204</v>
      </c>
    </row>
    <row r="51" spans="2:22" x14ac:dyDescent="0.3">
      <c r="D51" s="1103" t="s">
        <v>1152</v>
      </c>
      <c r="E51" s="967"/>
      <c r="F51" s="967"/>
      <c r="G51" s="106"/>
      <c r="H51" s="106">
        <v>1</v>
      </c>
      <c r="I51" s="106"/>
      <c r="J51" s="744" t="s">
        <v>1153</v>
      </c>
      <c r="L51" s="739" t="s">
        <v>1164</v>
      </c>
      <c r="M51" s="106">
        <v>300</v>
      </c>
      <c r="N51" s="107"/>
      <c r="R51" s="1103" t="s">
        <v>1205</v>
      </c>
      <c r="S51" s="967"/>
      <c r="T51" s="967"/>
      <c r="U51" s="106">
        <v>1</v>
      </c>
      <c r="V51" s="107" t="s">
        <v>1206</v>
      </c>
    </row>
    <row r="52" spans="2:22" ht="17.25" thickBot="1" x14ac:dyDescent="0.35">
      <c r="D52" s="1103" t="s">
        <v>1154</v>
      </c>
      <c r="E52" s="967"/>
      <c r="F52" s="967"/>
      <c r="G52" s="106"/>
      <c r="H52" s="106">
        <v>15</v>
      </c>
      <c r="I52" s="106"/>
      <c r="J52" s="744" t="s">
        <v>1155</v>
      </c>
      <c r="L52" s="739" t="s">
        <v>166</v>
      </c>
      <c r="M52" s="112">
        <f>M49/M50*1000</f>
        <v>33.333333333333336</v>
      </c>
      <c r="N52" s="107" t="s">
        <v>1155</v>
      </c>
      <c r="O52" t="s">
        <v>1213</v>
      </c>
      <c r="R52" s="1104" t="s">
        <v>1207</v>
      </c>
      <c r="S52" s="969"/>
      <c r="T52" s="969"/>
      <c r="U52" s="109">
        <v>30</v>
      </c>
      <c r="V52" s="110" t="s">
        <v>1208</v>
      </c>
    </row>
    <row r="53" spans="2:22" ht="17.25" thickBot="1" x14ac:dyDescent="0.35">
      <c r="D53" s="1103" t="s">
        <v>1156</v>
      </c>
      <c r="E53" s="967"/>
      <c r="F53" s="967"/>
      <c r="G53" s="106"/>
      <c r="H53" s="106">
        <v>300</v>
      </c>
      <c r="I53" s="106"/>
      <c r="J53" s="744" t="s">
        <v>1140</v>
      </c>
      <c r="L53" s="736" t="s">
        <v>166</v>
      </c>
      <c r="M53" s="136">
        <f>M49/(M50+M51)*1000</f>
        <v>11.111111111111111</v>
      </c>
      <c r="N53" s="110" t="s">
        <v>1155</v>
      </c>
      <c r="O53" t="s">
        <v>1165</v>
      </c>
      <c r="R53" s="1104" t="s">
        <v>1210</v>
      </c>
      <c r="S53" s="969"/>
      <c r="T53" s="969"/>
      <c r="U53" s="109">
        <v>1.1000000000000001</v>
      </c>
      <c r="V53" s="110" t="s">
        <v>1203</v>
      </c>
    </row>
    <row r="54" spans="2:22" ht="17.25" thickBot="1" x14ac:dyDescent="0.35">
      <c r="D54" s="1103" t="s">
        <v>1157</v>
      </c>
      <c r="E54" s="967"/>
      <c r="F54" s="967"/>
      <c r="G54" s="106">
        <v>0</v>
      </c>
      <c r="H54" s="106"/>
      <c r="I54" s="106">
        <v>60</v>
      </c>
      <c r="J54" s="744" t="s">
        <v>1153</v>
      </c>
      <c r="R54" s="1104" t="s">
        <v>1196</v>
      </c>
      <c r="S54" s="969"/>
      <c r="T54" s="969"/>
      <c r="U54" s="109" t="s">
        <v>1212</v>
      </c>
      <c r="V54" s="110" t="s">
        <v>1211</v>
      </c>
    </row>
    <row r="55" spans="2:22" ht="17.25" thickBot="1" x14ac:dyDescent="0.35">
      <c r="D55" s="1104" t="s">
        <v>1158</v>
      </c>
      <c r="E55" s="969"/>
      <c r="F55" s="969"/>
      <c r="G55" s="109">
        <v>0</v>
      </c>
      <c r="H55" s="109"/>
      <c r="I55" s="109">
        <v>10</v>
      </c>
      <c r="J55" s="748" t="s">
        <v>1159</v>
      </c>
    </row>
    <row r="57" spans="2:22" x14ac:dyDescent="0.3">
      <c r="B57" s="103" t="s">
        <v>1199</v>
      </c>
    </row>
    <row r="58" spans="2:22" ht="17.25" thickBot="1" x14ac:dyDescent="0.35">
      <c r="C58" s="390" t="s">
        <v>1214</v>
      </c>
    </row>
    <row r="59" spans="2:22" ht="17.25" thickBot="1" x14ac:dyDescent="0.35">
      <c r="C59" s="1049"/>
      <c r="D59" s="1050"/>
      <c r="E59" s="732" t="s">
        <v>1187</v>
      </c>
      <c r="F59" s="732" t="s">
        <v>1188</v>
      </c>
      <c r="G59" s="732" t="s">
        <v>1189</v>
      </c>
      <c r="H59" s="732" t="s">
        <v>1190</v>
      </c>
      <c r="I59" s="732" t="s">
        <v>1195</v>
      </c>
      <c r="J59" s="741" t="s">
        <v>1196</v>
      </c>
      <c r="K59" s="741"/>
    </row>
    <row r="60" spans="2:22" x14ac:dyDescent="0.3">
      <c r="C60" s="972" t="s">
        <v>1166</v>
      </c>
      <c r="D60" s="1058"/>
      <c r="E60" s="116">
        <v>3.3</v>
      </c>
      <c r="F60" s="116">
        <v>5</v>
      </c>
      <c r="G60" s="116">
        <v>2</v>
      </c>
      <c r="H60" s="116">
        <v>0.8</v>
      </c>
      <c r="I60" s="116" t="s">
        <v>1191</v>
      </c>
      <c r="J60" s="117" t="s">
        <v>1194</v>
      </c>
      <c r="K60" s="117" t="s">
        <v>1145</v>
      </c>
    </row>
    <row r="61" spans="2:22" ht="17.25" thickBot="1" x14ac:dyDescent="0.35">
      <c r="C61" s="968" t="s">
        <v>1346</v>
      </c>
      <c r="D61" s="1046"/>
      <c r="E61" s="969">
        <v>5</v>
      </c>
      <c r="F61" s="969"/>
      <c r="G61" s="109">
        <v>2</v>
      </c>
      <c r="H61" s="109">
        <v>0.8</v>
      </c>
      <c r="I61" s="109" t="s">
        <v>1192</v>
      </c>
      <c r="J61" s="110" t="s">
        <v>1193</v>
      </c>
      <c r="K61" s="110" t="s">
        <v>1146</v>
      </c>
    </row>
    <row r="62" spans="2:22" x14ac:dyDescent="0.3">
      <c r="C62" t="s">
        <v>1347</v>
      </c>
    </row>
    <row r="64" spans="2:22" ht="17.25" thickBot="1" x14ac:dyDescent="0.35">
      <c r="C64" s="103" t="s">
        <v>1178</v>
      </c>
      <c r="M64" s="103" t="s">
        <v>1166</v>
      </c>
    </row>
    <row r="65" spans="3:17" x14ac:dyDescent="0.3">
      <c r="C65" s="745" t="s">
        <v>1179</v>
      </c>
      <c r="D65" s="747" t="s">
        <v>1180</v>
      </c>
      <c r="E65" s="615" t="s">
        <v>1181</v>
      </c>
      <c r="F65" s="745" t="s">
        <v>1182</v>
      </c>
      <c r="G65" s="747" t="s">
        <v>1183</v>
      </c>
      <c r="H65" s="746" t="s">
        <v>1184</v>
      </c>
      <c r="M65" s="745" t="s">
        <v>1173</v>
      </c>
      <c r="N65" s="747" t="s">
        <v>1167</v>
      </c>
      <c r="O65" s="1063" t="s">
        <v>1169</v>
      </c>
      <c r="P65" s="1063"/>
      <c r="Q65" s="746" t="s">
        <v>1176</v>
      </c>
    </row>
    <row r="66" spans="3:17" x14ac:dyDescent="0.3">
      <c r="C66" s="104" t="s">
        <v>1171</v>
      </c>
      <c r="D66" s="106" t="s">
        <v>1171</v>
      </c>
      <c r="E66" s="120" t="s">
        <v>1171</v>
      </c>
      <c r="F66" s="104" t="s">
        <v>1171</v>
      </c>
      <c r="G66" s="106" t="s">
        <v>1171</v>
      </c>
      <c r="H66" s="107" t="s">
        <v>1171</v>
      </c>
      <c r="M66" s="104" t="s">
        <v>1171</v>
      </c>
      <c r="N66" s="106" t="s">
        <v>1168</v>
      </c>
      <c r="O66" s="967" t="s">
        <v>1170</v>
      </c>
      <c r="P66" s="967"/>
      <c r="Q66" s="107" t="s">
        <v>1175</v>
      </c>
    </row>
    <row r="67" spans="3:17" x14ac:dyDescent="0.3">
      <c r="C67" s="104" t="s">
        <v>1171</v>
      </c>
      <c r="D67" s="106" t="s">
        <v>1168</v>
      </c>
      <c r="E67" s="120" t="s">
        <v>1168</v>
      </c>
      <c r="F67" s="104" t="s">
        <v>1171</v>
      </c>
      <c r="G67" s="106" t="s">
        <v>1168</v>
      </c>
      <c r="H67" s="107" t="s">
        <v>1168</v>
      </c>
      <c r="M67" s="104" t="s">
        <v>1171</v>
      </c>
      <c r="N67" s="106" t="s">
        <v>1171</v>
      </c>
      <c r="O67" s="967" t="s">
        <v>1172</v>
      </c>
      <c r="P67" s="967"/>
      <c r="Q67" s="107" t="s">
        <v>1175</v>
      </c>
    </row>
    <row r="68" spans="3:17" ht="17.25" thickBot="1" x14ac:dyDescent="0.35">
      <c r="C68" s="118" t="s">
        <v>1168</v>
      </c>
      <c r="D68" s="756" t="s">
        <v>1186</v>
      </c>
      <c r="E68" s="121" t="s">
        <v>1185</v>
      </c>
      <c r="F68" s="118" t="s">
        <v>1168</v>
      </c>
      <c r="G68" s="756" t="s">
        <v>1186</v>
      </c>
      <c r="H68" s="110" t="s">
        <v>1185</v>
      </c>
      <c r="M68" s="118" t="s">
        <v>1168</v>
      </c>
      <c r="N68" s="109" t="s">
        <v>1079</v>
      </c>
      <c r="O68" s="969" t="s">
        <v>1177</v>
      </c>
      <c r="P68" s="969"/>
      <c r="Q68" s="110" t="s">
        <v>1174</v>
      </c>
    </row>
    <row r="74" spans="3:17" x14ac:dyDescent="0.3">
      <c r="C74" s="103"/>
    </row>
    <row r="85" spans="2:7" x14ac:dyDescent="0.3">
      <c r="B85" s="103" t="s">
        <v>1307</v>
      </c>
    </row>
    <row r="86" spans="2:7" x14ac:dyDescent="0.3">
      <c r="C86" s="138" t="s">
        <v>1326</v>
      </c>
    </row>
    <row r="87" spans="2:7" ht="17.25" thickBot="1" x14ac:dyDescent="0.35">
      <c r="C87" t="s">
        <v>1327</v>
      </c>
    </row>
    <row r="88" spans="2:7" x14ac:dyDescent="0.3">
      <c r="C88" s="524" t="s">
        <v>1317</v>
      </c>
      <c r="D88" s="183">
        <v>15</v>
      </c>
      <c r="E88" s="119" t="s">
        <v>86</v>
      </c>
    </row>
    <row r="89" spans="2:7" x14ac:dyDescent="0.3">
      <c r="C89" s="104" t="s">
        <v>1318</v>
      </c>
      <c r="D89" s="106">
        <v>22</v>
      </c>
      <c r="E89" s="107" t="s">
        <v>380</v>
      </c>
    </row>
    <row r="90" spans="2:7" ht="17.25" thickBot="1" x14ac:dyDescent="0.35">
      <c r="C90" s="118" t="s">
        <v>381</v>
      </c>
      <c r="D90" s="109">
        <f>D88*D89/1000</f>
        <v>0.33</v>
      </c>
      <c r="E90" s="110" t="s">
        <v>1319</v>
      </c>
    </row>
    <row r="91" spans="2:7" x14ac:dyDescent="0.3">
      <c r="C91" t="s">
        <v>1320</v>
      </c>
    </row>
    <row r="93" spans="2:7" ht="17.25" thickBot="1" x14ac:dyDescent="0.35">
      <c r="C93" s="103" t="s">
        <v>1229</v>
      </c>
    </row>
    <row r="94" spans="2:7" ht="17.25" thickBot="1" x14ac:dyDescent="0.35">
      <c r="C94" s="417"/>
      <c r="D94" s="732" t="s">
        <v>1329</v>
      </c>
      <c r="E94" s="732" t="s">
        <v>1330</v>
      </c>
      <c r="F94" s="741" t="s">
        <v>1331</v>
      </c>
    </row>
    <row r="95" spans="2:7" x14ac:dyDescent="0.3">
      <c r="C95" s="139" t="s">
        <v>1328</v>
      </c>
      <c r="D95" s="116">
        <v>0</v>
      </c>
      <c r="E95" s="116">
        <v>1</v>
      </c>
      <c r="F95" s="117">
        <v>0</v>
      </c>
    </row>
    <row r="96" spans="2:7" ht="17.25" thickBot="1" x14ac:dyDescent="0.35">
      <c r="C96" s="118" t="s">
        <v>1128</v>
      </c>
      <c r="D96" s="109">
        <v>1</v>
      </c>
      <c r="E96" s="109">
        <v>0</v>
      </c>
      <c r="F96" s="110">
        <v>1</v>
      </c>
      <c r="G96" t="s">
        <v>1332</v>
      </c>
    </row>
    <row r="97" spans="2:21" x14ac:dyDescent="0.3">
      <c r="C97" s="536" t="s">
        <v>1333</v>
      </c>
    </row>
    <row r="103" spans="2:21" x14ac:dyDescent="0.3">
      <c r="B103" s="103" t="s">
        <v>1390</v>
      </c>
    </row>
    <row r="104" spans="2:21" x14ac:dyDescent="0.3">
      <c r="C104" t="s">
        <v>1399</v>
      </c>
    </row>
    <row r="105" spans="2:21" ht="17.25" thickBot="1" x14ac:dyDescent="0.35">
      <c r="C105" t="s">
        <v>1400</v>
      </c>
    </row>
    <row r="106" spans="2:21" ht="17.25" thickBot="1" x14ac:dyDescent="0.35">
      <c r="C106" s="809" t="s">
        <v>1391</v>
      </c>
      <c r="D106" s="808" t="s">
        <v>1393</v>
      </c>
      <c r="E106" s="808" t="s">
        <v>1392</v>
      </c>
      <c r="F106" s="810" t="s">
        <v>1394</v>
      </c>
      <c r="G106" s="791" t="s">
        <v>1403</v>
      </c>
      <c r="H106" s="825" t="s">
        <v>1404</v>
      </c>
      <c r="I106" s="825" t="s">
        <v>1406</v>
      </c>
      <c r="J106" s="825" t="s">
        <v>355</v>
      </c>
      <c r="K106" s="825" t="s">
        <v>1406</v>
      </c>
      <c r="L106" s="826" t="s">
        <v>649</v>
      </c>
      <c r="M106" s="827" t="s">
        <v>1415</v>
      </c>
      <c r="N106" s="827" t="s">
        <v>1407</v>
      </c>
      <c r="O106" s="525" t="s">
        <v>1408</v>
      </c>
      <c r="P106" s="525" t="s">
        <v>1413</v>
      </c>
      <c r="Q106" s="525" t="s">
        <v>1409</v>
      </c>
      <c r="R106" s="525" t="s">
        <v>1410</v>
      </c>
      <c r="S106" s="525" t="s">
        <v>1411</v>
      </c>
      <c r="T106" s="525" t="s">
        <v>1414</v>
      </c>
      <c r="U106" s="525" t="s">
        <v>1412</v>
      </c>
    </row>
    <row r="107" spans="2:21" x14ac:dyDescent="0.3">
      <c r="C107" s="819">
        <v>0</v>
      </c>
      <c r="D107" s="820" t="s">
        <v>1397</v>
      </c>
      <c r="E107" s="820" t="s">
        <v>1129</v>
      </c>
      <c r="F107" s="816" t="s">
        <v>1395</v>
      </c>
      <c r="G107" s="822" t="s">
        <v>411</v>
      </c>
      <c r="H107" s="822" t="s">
        <v>411</v>
      </c>
      <c r="I107" s="822" t="s">
        <v>411</v>
      </c>
      <c r="J107" s="822" t="s">
        <v>411</v>
      </c>
      <c r="K107" s="106">
        <f t="shared" ref="K107:K108" si="0">SUM(G107:J107)</f>
        <v>0</v>
      </c>
      <c r="L107" s="662">
        <v>0</v>
      </c>
      <c r="N107" s="822" t="s">
        <v>411</v>
      </c>
      <c r="O107" s="822" t="s">
        <v>411</v>
      </c>
      <c r="P107" s="822" t="s">
        <v>411</v>
      </c>
      <c r="Q107" s="822" t="s">
        <v>411</v>
      </c>
      <c r="R107" s="822" t="s">
        <v>411</v>
      </c>
      <c r="S107" s="822" t="s">
        <v>411</v>
      </c>
      <c r="T107" s="822" t="s">
        <v>411</v>
      </c>
      <c r="U107" s="822" t="s">
        <v>411</v>
      </c>
    </row>
    <row r="108" spans="2:21" x14ac:dyDescent="0.3">
      <c r="C108" s="823">
        <v>0</v>
      </c>
      <c r="D108" s="820" t="s">
        <v>1397</v>
      </c>
      <c r="E108" s="820" t="s">
        <v>1079</v>
      </c>
      <c r="F108" s="821" t="s">
        <v>406</v>
      </c>
      <c r="G108" s="822" t="s">
        <v>411</v>
      </c>
      <c r="H108" s="822" t="s">
        <v>411</v>
      </c>
      <c r="I108" s="822" t="s">
        <v>411</v>
      </c>
      <c r="J108" s="106">
        <v>360</v>
      </c>
      <c r="K108" s="106">
        <f t="shared" si="0"/>
        <v>360</v>
      </c>
      <c r="L108" s="662">
        <f t="shared" ref="L108" si="1">28/K108</f>
        <v>7.7777777777777779E-2</v>
      </c>
      <c r="N108" s="822" t="s">
        <v>411</v>
      </c>
      <c r="O108" s="822" t="s">
        <v>411</v>
      </c>
      <c r="P108" s="822" t="s">
        <v>411</v>
      </c>
      <c r="Q108" s="530">
        <f>28*J108/K108</f>
        <v>28</v>
      </c>
      <c r="R108" s="822" t="s">
        <v>411</v>
      </c>
      <c r="S108" s="822" t="s">
        <v>411</v>
      </c>
      <c r="T108" s="822" t="s">
        <v>411</v>
      </c>
      <c r="U108" s="828">
        <f>$L108*Q108</f>
        <v>2.177777777777778</v>
      </c>
    </row>
    <row r="109" spans="2:21" x14ac:dyDescent="0.3">
      <c r="C109" s="817">
        <v>1</v>
      </c>
      <c r="D109" s="811" t="s">
        <v>1397</v>
      </c>
      <c r="E109" s="811" t="s">
        <v>1396</v>
      </c>
      <c r="F109" s="813" t="s">
        <v>1395</v>
      </c>
      <c r="G109" s="104">
        <v>2400</v>
      </c>
      <c r="H109" s="815" t="s">
        <v>1405</v>
      </c>
      <c r="I109" s="815" t="s">
        <v>1405</v>
      </c>
      <c r="J109" s="815" t="s">
        <v>1405</v>
      </c>
      <c r="K109" s="106">
        <f>SUM(G109:J109)</f>
        <v>2400</v>
      </c>
      <c r="L109" s="662">
        <f>28/K109</f>
        <v>1.1666666666666667E-2</v>
      </c>
      <c r="N109" s="530">
        <f>28*G109/K109</f>
        <v>28</v>
      </c>
      <c r="O109" s="822" t="s">
        <v>411</v>
      </c>
      <c r="P109" s="822" t="s">
        <v>411</v>
      </c>
      <c r="Q109" s="822" t="s">
        <v>411</v>
      </c>
      <c r="R109" s="828">
        <f>$L109*N109</f>
        <v>0.32666666666666666</v>
      </c>
      <c r="S109" s="822" t="s">
        <v>411</v>
      </c>
      <c r="T109" s="822" t="s">
        <v>411</v>
      </c>
      <c r="U109" s="822" t="s">
        <v>411</v>
      </c>
    </row>
    <row r="110" spans="2:21" x14ac:dyDescent="0.3">
      <c r="C110" s="817">
        <v>1</v>
      </c>
      <c r="D110" s="811" t="s">
        <v>1397</v>
      </c>
      <c r="E110" s="811" t="s">
        <v>1079</v>
      </c>
      <c r="F110" s="813" t="s">
        <v>1395</v>
      </c>
      <c r="G110" s="104">
        <v>2400</v>
      </c>
      <c r="H110" s="815" t="s">
        <v>1405</v>
      </c>
      <c r="I110" s="815" t="s">
        <v>1405</v>
      </c>
      <c r="J110" s="106">
        <v>360</v>
      </c>
      <c r="K110" s="106">
        <f t="shared" ref="K110:K112" si="2">SUM(G110:J110)</f>
        <v>2760</v>
      </c>
      <c r="L110" s="662">
        <f>28/K110</f>
        <v>1.0144927536231883E-2</v>
      </c>
      <c r="N110" s="530">
        <f>28*G110/K110</f>
        <v>24.347826086956523</v>
      </c>
      <c r="O110" s="822" t="s">
        <v>411</v>
      </c>
      <c r="P110" s="822" t="s">
        <v>411</v>
      </c>
      <c r="Q110" s="530">
        <f>28*J110/K110</f>
        <v>3.652173913043478</v>
      </c>
      <c r="R110" s="173">
        <f>$L110*N110</f>
        <v>0.24700693131695023</v>
      </c>
      <c r="S110" s="822" t="s">
        <v>411</v>
      </c>
      <c r="T110" s="822" t="s">
        <v>411</v>
      </c>
      <c r="U110" s="173">
        <f>$L110*Q110</f>
        <v>3.7051039697542532E-2</v>
      </c>
    </row>
    <row r="111" spans="2:21" x14ac:dyDescent="0.3">
      <c r="C111" s="817">
        <v>1</v>
      </c>
      <c r="D111" s="811" t="s">
        <v>1079</v>
      </c>
      <c r="E111" s="811" t="s">
        <v>1401</v>
      </c>
      <c r="F111" s="813" t="s">
        <v>1398</v>
      </c>
      <c r="G111" s="104">
        <v>2400</v>
      </c>
      <c r="H111" s="106">
        <v>1500</v>
      </c>
      <c r="I111" s="112">
        <f>240*330/(240+330)</f>
        <v>138.94736842105263</v>
      </c>
      <c r="J111" s="815" t="s">
        <v>1405</v>
      </c>
      <c r="K111" s="106">
        <f t="shared" si="2"/>
        <v>4038.9473684210525</v>
      </c>
      <c r="L111" s="662">
        <f>28/K111</f>
        <v>6.9324993484493093E-3</v>
      </c>
      <c r="M111">
        <f>L111*330/(240+330)</f>
        <v>4.01355225436539E-3</v>
      </c>
      <c r="N111" s="530">
        <f>28*G111/K111</f>
        <v>16.637998436278345</v>
      </c>
      <c r="O111" s="530">
        <f>28*H111/K111</f>
        <v>10.398749022673965</v>
      </c>
      <c r="P111" s="530">
        <f>28*I111/K111</f>
        <v>0.96325254104769353</v>
      </c>
      <c r="Q111" s="822" t="s">
        <v>411</v>
      </c>
      <c r="R111" s="173">
        <f>$L111*N111</f>
        <v>0.11534291331900025</v>
      </c>
      <c r="S111" s="173">
        <f>$L111*O111</f>
        <v>7.208932082437515E-2</v>
      </c>
      <c r="T111" s="173">
        <f>$L111*P111</f>
        <v>6.6777476132052769E-3</v>
      </c>
      <c r="U111" s="822" t="s">
        <v>411</v>
      </c>
    </row>
    <row r="112" spans="2:21" ht="17.25" thickBot="1" x14ac:dyDescent="0.35">
      <c r="C112" s="818">
        <v>1</v>
      </c>
      <c r="D112" s="812" t="s">
        <v>1079</v>
      </c>
      <c r="E112" s="812" t="s">
        <v>1402</v>
      </c>
      <c r="F112" s="814" t="s">
        <v>1398</v>
      </c>
      <c r="G112" s="118">
        <v>2400</v>
      </c>
      <c r="H112" s="109">
        <v>1500</v>
      </c>
      <c r="I112" s="112">
        <f>240*330/(240+330)</f>
        <v>138.94736842105263</v>
      </c>
      <c r="J112" s="109">
        <v>360</v>
      </c>
      <c r="K112" s="109">
        <f t="shared" si="2"/>
        <v>4398.9473684210525</v>
      </c>
      <c r="L112" s="824">
        <f>28/K112</f>
        <v>6.3651591289782244E-3</v>
      </c>
      <c r="M112">
        <f>L112*330/(240+330)</f>
        <v>3.6850921273031824E-3</v>
      </c>
      <c r="N112" s="530">
        <f>28*G112/K112</f>
        <v>15.276381909547739</v>
      </c>
      <c r="O112" s="530">
        <f>28*H112/K112</f>
        <v>9.5477386934673376</v>
      </c>
      <c r="P112" s="530">
        <f>28*I112/K112</f>
        <v>0.88442211055276387</v>
      </c>
      <c r="Q112" s="530">
        <f>28*J112/K112</f>
        <v>2.291457286432161</v>
      </c>
      <c r="R112" s="173">
        <f>$L112*N112</f>
        <v>9.7236601769315589E-2</v>
      </c>
      <c r="S112" s="173">
        <f>$L112*O112</f>
        <v>6.077287610582225E-2</v>
      </c>
      <c r="T112" s="173">
        <f>$L112*P112</f>
        <v>5.6294874708551134E-3</v>
      </c>
      <c r="U112" s="173">
        <f>$L112*Q112</f>
        <v>1.4585490265397339E-2</v>
      </c>
    </row>
    <row r="154" spans="4:16" x14ac:dyDescent="0.3">
      <c r="F154" t="s">
        <v>1406</v>
      </c>
    </row>
    <row r="155" spans="4:16" x14ac:dyDescent="0.3">
      <c r="D155">
        <v>360</v>
      </c>
      <c r="E155">
        <v>330</v>
      </c>
      <c r="J155">
        <v>28</v>
      </c>
      <c r="K155" t="s">
        <v>76</v>
      </c>
      <c r="M155">
        <v>28</v>
      </c>
      <c r="N155" t="s">
        <v>76</v>
      </c>
      <c r="O155">
        <v>28</v>
      </c>
      <c r="P155" t="s">
        <v>76</v>
      </c>
    </row>
    <row r="156" spans="4:16" x14ac:dyDescent="0.3">
      <c r="E156">
        <v>1500</v>
      </c>
      <c r="J156">
        <v>2400</v>
      </c>
      <c r="K156" s="174">
        <f>J$155*J156/J$160</f>
        <v>14.177215189873417</v>
      </c>
      <c r="M156">
        <v>2400</v>
      </c>
      <c r="N156" s="174">
        <f>M$155*M156/M$160</f>
        <v>24.347826086956523</v>
      </c>
      <c r="O156">
        <v>2400</v>
      </c>
      <c r="P156" s="174">
        <f>O$155*O156/O$160</f>
        <v>10.275229357798166</v>
      </c>
    </row>
    <row r="157" spans="4:16" x14ac:dyDescent="0.3">
      <c r="E157">
        <v>2400</v>
      </c>
      <c r="J157">
        <v>1500</v>
      </c>
      <c r="K157" s="174">
        <f>J$155*J157/J$160</f>
        <v>8.8607594936708853</v>
      </c>
      <c r="M157">
        <v>0</v>
      </c>
      <c r="N157" s="174">
        <f>M$155*M157/M$160</f>
        <v>0</v>
      </c>
      <c r="O157">
        <v>3300</v>
      </c>
      <c r="P157" s="174">
        <f>O$155*O157/O$160</f>
        <v>14.128440366972477</v>
      </c>
    </row>
    <row r="158" spans="4:16" x14ac:dyDescent="0.3">
      <c r="E158">
        <v>2400</v>
      </c>
      <c r="J158">
        <v>480</v>
      </c>
      <c r="K158" s="174">
        <f>J$155*J158/J$160</f>
        <v>2.8354430379746836</v>
      </c>
      <c r="M158">
        <v>0</v>
      </c>
      <c r="N158" s="174">
        <f>M$155*M158/M$160</f>
        <v>0</v>
      </c>
      <c r="O158">
        <v>480</v>
      </c>
      <c r="P158" s="174">
        <f>O$155*O158/O$160</f>
        <v>2.0550458715596331</v>
      </c>
    </row>
    <row r="159" spans="4:16" x14ac:dyDescent="0.3">
      <c r="E159">
        <v>1500</v>
      </c>
      <c r="J159">
        <v>360</v>
      </c>
      <c r="K159" s="174">
        <f>J$155*J159/J$160</f>
        <v>2.1265822784810124</v>
      </c>
      <c r="M159">
        <v>360</v>
      </c>
      <c r="N159" s="174">
        <f>M$155*M159/M$160</f>
        <v>3.652173913043478</v>
      </c>
      <c r="O159">
        <v>360</v>
      </c>
      <c r="P159" s="174">
        <f>O$155*O159/O$160</f>
        <v>1.5412844036697249</v>
      </c>
    </row>
    <row r="160" spans="4:16" x14ac:dyDescent="0.3">
      <c r="E160">
        <v>360</v>
      </c>
      <c r="G160" t="s">
        <v>76</v>
      </c>
      <c r="H160">
        <f>28*E160/E161</f>
        <v>1.1872791519434629</v>
      </c>
      <c r="J160">
        <f>SUM(J156:J159)</f>
        <v>4740</v>
      </c>
      <c r="K160">
        <f>SUM(K156:K159)</f>
        <v>28</v>
      </c>
      <c r="M160">
        <f>SUM(M156:M159)</f>
        <v>2760</v>
      </c>
      <c r="N160">
        <f>SUM(N156:N159)</f>
        <v>28</v>
      </c>
      <c r="O160">
        <f>SUM(O156:O159)</f>
        <v>6540</v>
      </c>
      <c r="P160">
        <f>SUM(P156:P159)</f>
        <v>28.000000000000004</v>
      </c>
    </row>
    <row r="161" spans="4:19" x14ac:dyDescent="0.3">
      <c r="E161">
        <f>SUM(E155:E160)</f>
        <v>8490</v>
      </c>
      <c r="F161">
        <f>D155*E161/(D155+E161)</f>
        <v>345.35593220338984</v>
      </c>
      <c r="J161">
        <f>J155/J160</f>
        <v>5.9071729957805904E-3</v>
      </c>
      <c r="M161">
        <f>M155/M160</f>
        <v>1.0144927536231883E-2</v>
      </c>
      <c r="O161">
        <f>O155/O160</f>
        <v>4.2813455657492354E-3</v>
      </c>
    </row>
    <row r="162" spans="4:19" x14ac:dyDescent="0.3">
      <c r="J162" t="s">
        <v>1417</v>
      </c>
      <c r="K162">
        <v>1.5</v>
      </c>
    </row>
    <row r="163" spans="4:19" x14ac:dyDescent="0.3">
      <c r="J163" t="s">
        <v>1416</v>
      </c>
      <c r="K163" s="829">
        <f>K162+K158</f>
        <v>4.3354430379746836</v>
      </c>
    </row>
    <row r="164" spans="4:19" x14ac:dyDescent="0.3">
      <c r="K164">
        <f>K163/J158</f>
        <v>9.0321729957805914E-3</v>
      </c>
    </row>
    <row r="166" spans="4:19" x14ac:dyDescent="0.3">
      <c r="P166" t="s">
        <v>776</v>
      </c>
      <c r="Q166">
        <v>4.76</v>
      </c>
      <c r="R166">
        <v>240</v>
      </c>
      <c r="S166">
        <f>Q166/R166</f>
        <v>1.9833333333333331E-2</v>
      </c>
    </row>
    <row r="167" spans="4:19" x14ac:dyDescent="0.3">
      <c r="P167" t="s">
        <v>1418</v>
      </c>
      <c r="Q167">
        <v>3.28</v>
      </c>
    </row>
    <row r="168" spans="4:19" x14ac:dyDescent="0.3">
      <c r="P168" t="s">
        <v>1419</v>
      </c>
      <c r="Q168">
        <v>1.88</v>
      </c>
    </row>
    <row r="169" spans="4:19" x14ac:dyDescent="0.3">
      <c r="E169">
        <v>28</v>
      </c>
      <c r="F169" t="s">
        <v>76</v>
      </c>
      <c r="H169" t="s">
        <v>1432</v>
      </c>
      <c r="P169" t="s">
        <v>355</v>
      </c>
      <c r="Q169">
        <v>240</v>
      </c>
      <c r="R169">
        <v>240</v>
      </c>
      <c r="S169">
        <f>Q169/R169</f>
        <v>1</v>
      </c>
    </row>
    <row r="170" spans="4:19" x14ac:dyDescent="0.3">
      <c r="E170">
        <v>2400</v>
      </c>
      <c r="F170" s="174">
        <f>E$169*E170/E$174</f>
        <v>10.290964777947933</v>
      </c>
      <c r="H170" t="s">
        <v>1435</v>
      </c>
      <c r="I170">
        <v>5.8</v>
      </c>
      <c r="Q170">
        <f>(Q166-Q167)/Q169</f>
        <v>6.1666666666666667E-3</v>
      </c>
    </row>
    <row r="171" spans="4:19" x14ac:dyDescent="0.3">
      <c r="E171">
        <v>3300</v>
      </c>
      <c r="F171" s="174">
        <f>E$169*E171/E$174</f>
        <v>14.150076569678408</v>
      </c>
      <c r="H171" t="s">
        <v>1418</v>
      </c>
      <c r="I171">
        <v>3.08</v>
      </c>
    </row>
    <row r="172" spans="4:19" x14ac:dyDescent="0.3">
      <c r="E172">
        <v>470</v>
      </c>
      <c r="F172" s="174">
        <f>E$169*E172/E$174</f>
        <v>2.01531393568147</v>
      </c>
      <c r="H172" t="s">
        <v>1419</v>
      </c>
      <c r="I172">
        <v>1.8</v>
      </c>
    </row>
    <row r="173" spans="4:19" x14ac:dyDescent="0.3">
      <c r="E173">
        <v>360</v>
      </c>
      <c r="F173" s="174">
        <f>E$169*E173/E$174</f>
        <v>1.5436447166921898</v>
      </c>
      <c r="H173" t="s">
        <v>355</v>
      </c>
      <c r="I173">
        <v>470</v>
      </c>
    </row>
    <row r="174" spans="4:19" x14ac:dyDescent="0.3">
      <c r="E174">
        <f>SUM(E170:E173)</f>
        <v>6530</v>
      </c>
      <c r="F174">
        <f>SUM(F170:F173)</f>
        <v>27.999999999999996</v>
      </c>
      <c r="M174">
        <v>28</v>
      </c>
      <c r="N174" t="s">
        <v>76</v>
      </c>
    </row>
    <row r="175" spans="4:19" x14ac:dyDescent="0.3">
      <c r="D175" t="s">
        <v>1433</v>
      </c>
      <c r="E175">
        <f>E169/E174</f>
        <v>4.2879019908116387E-3</v>
      </c>
      <c r="H175" t="s">
        <v>1434</v>
      </c>
      <c r="I175">
        <f>(I170-I172)/I173</f>
        <v>8.5106382978723406E-3</v>
      </c>
      <c r="M175">
        <v>2400</v>
      </c>
      <c r="N175" s="174">
        <f>M$174*M175/M$179</f>
        <v>11.313131313131313</v>
      </c>
    </row>
    <row r="176" spans="4:19" x14ac:dyDescent="0.3">
      <c r="M176">
        <v>3300</v>
      </c>
      <c r="N176" s="174">
        <f>M$174*M176/M$179</f>
        <v>15.555555555555555</v>
      </c>
    </row>
    <row r="177" spans="3:18" x14ac:dyDescent="0.3">
      <c r="M177">
        <v>240</v>
      </c>
      <c r="N177" s="174">
        <f>M$174*M177/M$179</f>
        <v>1.1313131313131313</v>
      </c>
    </row>
    <row r="178" spans="3:18" x14ac:dyDescent="0.3">
      <c r="M178">
        <v>0</v>
      </c>
      <c r="N178" s="174">
        <f>M$174*M178/M$179</f>
        <v>0</v>
      </c>
    </row>
    <row r="179" spans="3:18" x14ac:dyDescent="0.3">
      <c r="M179">
        <f>SUM(M175:M178)</f>
        <v>5940</v>
      </c>
      <c r="N179">
        <f>SUM(N175:N178)</f>
        <v>28</v>
      </c>
    </row>
    <row r="180" spans="3:18" x14ac:dyDescent="0.3">
      <c r="M180">
        <f>M174/M179</f>
        <v>4.7138047138047135E-3</v>
      </c>
    </row>
    <row r="182" spans="3:18" x14ac:dyDescent="0.3">
      <c r="C182" t="s">
        <v>1420</v>
      </c>
    </row>
    <row r="183" spans="3:18" x14ac:dyDescent="0.3">
      <c r="J183">
        <v>28</v>
      </c>
      <c r="K183">
        <v>28</v>
      </c>
      <c r="L183">
        <v>28</v>
      </c>
      <c r="M183">
        <v>28</v>
      </c>
      <c r="N183">
        <v>28</v>
      </c>
      <c r="O183">
        <v>28</v>
      </c>
      <c r="P183">
        <v>3.3</v>
      </c>
      <c r="Q183">
        <v>3.3</v>
      </c>
      <c r="R183" t="s">
        <v>1430</v>
      </c>
    </row>
    <row r="184" spans="3:18" x14ac:dyDescent="0.3">
      <c r="D184" t="s">
        <v>1426</v>
      </c>
      <c r="I184" t="s">
        <v>1439</v>
      </c>
      <c r="J184">
        <v>3300</v>
      </c>
      <c r="K184">
        <v>3300</v>
      </c>
      <c r="L184">
        <v>12500</v>
      </c>
      <c r="M184">
        <v>12500</v>
      </c>
      <c r="N184">
        <v>25000</v>
      </c>
      <c r="O184">
        <v>15000</v>
      </c>
      <c r="P184">
        <v>4700</v>
      </c>
      <c r="Q184">
        <v>3300</v>
      </c>
      <c r="R184" s="142" t="s">
        <v>1431</v>
      </c>
    </row>
    <row r="185" spans="3:18" x14ac:dyDescent="0.3">
      <c r="E185" t="s">
        <v>1423</v>
      </c>
      <c r="F185" t="s">
        <v>1424</v>
      </c>
      <c r="G185" t="s">
        <v>1425</v>
      </c>
      <c r="I185" t="s">
        <v>1440</v>
      </c>
      <c r="J185">
        <v>240</v>
      </c>
      <c r="K185">
        <v>470</v>
      </c>
      <c r="L185">
        <v>1500</v>
      </c>
      <c r="M185">
        <v>1500</v>
      </c>
      <c r="N185">
        <v>3000</v>
      </c>
      <c r="O185">
        <v>1500</v>
      </c>
      <c r="P185">
        <v>2500</v>
      </c>
      <c r="Q185">
        <v>2500</v>
      </c>
      <c r="R185" s="142" t="s">
        <v>1431</v>
      </c>
    </row>
    <row r="186" spans="3:18" x14ac:dyDescent="0.3">
      <c r="D186" t="s">
        <v>1435</v>
      </c>
      <c r="E186">
        <v>2.9</v>
      </c>
      <c r="J186">
        <f t="shared" ref="J186:Q186" si="3">SUM(J184:J185)</f>
        <v>3540</v>
      </c>
      <c r="K186">
        <f t="shared" si="3"/>
        <v>3770</v>
      </c>
      <c r="L186">
        <f t="shared" si="3"/>
        <v>14000</v>
      </c>
      <c r="M186">
        <f t="shared" si="3"/>
        <v>14000</v>
      </c>
      <c r="N186">
        <f t="shared" si="3"/>
        <v>28000</v>
      </c>
      <c r="O186">
        <f t="shared" si="3"/>
        <v>16500</v>
      </c>
      <c r="P186">
        <f t="shared" si="3"/>
        <v>7200</v>
      </c>
      <c r="Q186">
        <f t="shared" si="3"/>
        <v>5800</v>
      </c>
      <c r="R186" s="142" t="s">
        <v>1431</v>
      </c>
    </row>
    <row r="187" spans="3:18" x14ac:dyDescent="0.3">
      <c r="D187" t="s">
        <v>1421</v>
      </c>
      <c r="E187">
        <v>1.02</v>
      </c>
      <c r="F187">
        <v>14.4</v>
      </c>
      <c r="G187">
        <v>28</v>
      </c>
      <c r="I187" t="s">
        <v>1441</v>
      </c>
      <c r="J187" s="174">
        <f t="shared" ref="J187:Q188" si="4">J$183*J184/J$186</f>
        <v>26.101694915254239</v>
      </c>
      <c r="K187" s="174">
        <f t="shared" si="4"/>
        <v>24.509283819628646</v>
      </c>
      <c r="L187" s="174">
        <f t="shared" si="4"/>
        <v>25</v>
      </c>
      <c r="M187" s="174">
        <f t="shared" si="4"/>
        <v>25</v>
      </c>
      <c r="N187" s="174">
        <f t="shared" si="4"/>
        <v>25</v>
      </c>
      <c r="O187" s="174">
        <f t="shared" si="4"/>
        <v>25.454545454545453</v>
      </c>
      <c r="P187" s="174">
        <f t="shared" si="4"/>
        <v>2.1541666666666668</v>
      </c>
      <c r="Q187" s="174">
        <f t="shared" si="4"/>
        <v>1.8775862068965516</v>
      </c>
      <c r="R187" t="s">
        <v>1430</v>
      </c>
    </row>
    <row r="188" spans="3:18" x14ac:dyDescent="0.3">
      <c r="D188" t="s">
        <v>1422</v>
      </c>
      <c r="E188">
        <v>0</v>
      </c>
      <c r="F188">
        <v>13.2</v>
      </c>
      <c r="G188">
        <v>0</v>
      </c>
      <c r="I188" t="s">
        <v>1442</v>
      </c>
      <c r="J188" s="174">
        <f t="shared" si="4"/>
        <v>1.8983050847457628</v>
      </c>
      <c r="K188" s="174">
        <f t="shared" si="4"/>
        <v>3.4907161803713529</v>
      </c>
      <c r="L188" s="174">
        <f t="shared" si="4"/>
        <v>3</v>
      </c>
      <c r="M188" s="174">
        <f t="shared" si="4"/>
        <v>3</v>
      </c>
      <c r="N188" s="174">
        <f t="shared" si="4"/>
        <v>3</v>
      </c>
      <c r="O188" s="174">
        <f t="shared" si="4"/>
        <v>2.5454545454545454</v>
      </c>
      <c r="P188" s="174">
        <f t="shared" si="4"/>
        <v>1.1458333333333333</v>
      </c>
      <c r="Q188" s="174">
        <f t="shared" si="4"/>
        <v>1.4224137931034482</v>
      </c>
      <c r="R188" t="s">
        <v>1430</v>
      </c>
    </row>
    <row r="189" spans="3:18" x14ac:dyDescent="0.3">
      <c r="D189" t="s">
        <v>1427</v>
      </c>
      <c r="E189" t="s">
        <v>1428</v>
      </c>
      <c r="F189" t="s">
        <v>1428</v>
      </c>
      <c r="G189" t="s">
        <v>1429</v>
      </c>
      <c r="I189" t="s">
        <v>1434</v>
      </c>
      <c r="J189" s="598">
        <f t="shared" ref="J189:Q189" si="5">(J188+1)/J185</f>
        <v>1.2076271186440678E-2</v>
      </c>
      <c r="K189" s="598">
        <f t="shared" si="5"/>
        <v>9.5547152773858557E-3</v>
      </c>
      <c r="L189" s="598">
        <f t="shared" si="5"/>
        <v>2.6666666666666666E-3</v>
      </c>
      <c r="M189" s="598">
        <f t="shared" si="5"/>
        <v>2.6666666666666666E-3</v>
      </c>
      <c r="N189" s="598">
        <f t="shared" si="5"/>
        <v>1.3333333333333333E-3</v>
      </c>
      <c r="O189" s="598">
        <f t="shared" si="5"/>
        <v>2.3636363636363638E-3</v>
      </c>
      <c r="P189" s="598">
        <f t="shared" si="5"/>
        <v>8.5833333333333324E-4</v>
      </c>
      <c r="Q189" s="598">
        <f t="shared" si="5"/>
        <v>9.6896551724137941E-4</v>
      </c>
      <c r="R189" s="829" t="s">
        <v>1443</v>
      </c>
    </row>
    <row r="190" spans="3:18" x14ac:dyDescent="0.3">
      <c r="D190" t="s">
        <v>1436</v>
      </c>
      <c r="E190">
        <v>240</v>
      </c>
      <c r="F190">
        <v>240</v>
      </c>
      <c r="G190">
        <v>240</v>
      </c>
    </row>
    <row r="191" spans="3:18" x14ac:dyDescent="0.3">
      <c r="D191" t="s">
        <v>1437</v>
      </c>
      <c r="E191">
        <f>E186/E190</f>
        <v>1.2083333333333333E-2</v>
      </c>
    </row>
    <row r="192" spans="3:18" x14ac:dyDescent="0.3">
      <c r="I192" t="s">
        <v>1444</v>
      </c>
      <c r="J192">
        <v>28</v>
      </c>
      <c r="K192">
        <v>28</v>
      </c>
      <c r="M192" t="s">
        <v>76</v>
      </c>
      <c r="O192" t="s">
        <v>1432</v>
      </c>
    </row>
    <row r="193" spans="5:16" x14ac:dyDescent="0.3">
      <c r="I193" t="s">
        <v>1445</v>
      </c>
      <c r="J193">
        <v>2E-3</v>
      </c>
      <c r="K193">
        <v>1E-3</v>
      </c>
      <c r="M193" s="829" t="s">
        <v>1443</v>
      </c>
      <c r="O193" t="s">
        <v>1435</v>
      </c>
      <c r="P193">
        <v>2.9</v>
      </c>
    </row>
    <row r="194" spans="5:16" x14ac:dyDescent="0.3">
      <c r="I194" t="s">
        <v>1446</v>
      </c>
      <c r="J194">
        <f>J192/J193</f>
        <v>14000</v>
      </c>
      <c r="K194">
        <f>K192/K193</f>
        <v>28000</v>
      </c>
      <c r="M194" s="142" t="s">
        <v>1431</v>
      </c>
      <c r="O194" t="s">
        <v>1418</v>
      </c>
      <c r="P194">
        <v>1.02</v>
      </c>
    </row>
    <row r="195" spans="5:16" x14ac:dyDescent="0.3">
      <c r="I195" t="s">
        <v>1447</v>
      </c>
      <c r="J195">
        <v>3</v>
      </c>
      <c r="K195">
        <v>3</v>
      </c>
      <c r="M195" t="s">
        <v>76</v>
      </c>
      <c r="O195" t="s">
        <v>1419</v>
      </c>
      <c r="P195">
        <v>0</v>
      </c>
    </row>
    <row r="196" spans="5:16" x14ac:dyDescent="0.3">
      <c r="I196" t="s">
        <v>1448</v>
      </c>
      <c r="J196">
        <f>J195*J194/J192</f>
        <v>1500</v>
      </c>
      <c r="K196">
        <f>K195*K194/K192</f>
        <v>3000</v>
      </c>
      <c r="M196" s="142" t="s">
        <v>1431</v>
      </c>
      <c r="O196" t="s">
        <v>1438</v>
      </c>
      <c r="P196">
        <v>240</v>
      </c>
    </row>
    <row r="197" spans="5:16" x14ac:dyDescent="0.3">
      <c r="G197" s="142"/>
      <c r="I197" t="s">
        <v>1449</v>
      </c>
      <c r="J197">
        <f>J194-J196</f>
        <v>12500</v>
      </c>
      <c r="K197">
        <f>K194-K196</f>
        <v>25000</v>
      </c>
      <c r="M197" s="142" t="s">
        <v>1431</v>
      </c>
    </row>
    <row r="198" spans="5:16" x14ac:dyDescent="0.3">
      <c r="G198" s="142"/>
      <c r="O198" t="s">
        <v>1434</v>
      </c>
      <c r="P198">
        <f>(P193-P195)/P196</f>
        <v>1.2083333333333333E-2</v>
      </c>
    </row>
    <row r="199" spans="5:16" x14ac:dyDescent="0.3">
      <c r="G199" s="142"/>
    </row>
    <row r="200" spans="5:16" x14ac:dyDescent="0.3">
      <c r="E200" s="174"/>
      <c r="F200" s="174"/>
    </row>
    <row r="201" spans="5:16" x14ac:dyDescent="0.3">
      <c r="E201" s="174"/>
      <c r="F201" s="174"/>
    </row>
    <row r="202" spans="5:16" x14ac:dyDescent="0.3">
      <c r="E202" s="598"/>
      <c r="F202" s="598"/>
      <c r="G202" s="829"/>
    </row>
  </sheetData>
  <mergeCells count="23">
    <mergeCell ref="D50:F50"/>
    <mergeCell ref="R53:T53"/>
    <mergeCell ref="R54:T54"/>
    <mergeCell ref="R49:T49"/>
    <mergeCell ref="R50:T50"/>
    <mergeCell ref="R51:T51"/>
    <mergeCell ref="R52:T52"/>
    <mergeCell ref="R48:T48"/>
    <mergeCell ref="D48:F48"/>
    <mergeCell ref="D49:F49"/>
    <mergeCell ref="O68:P68"/>
    <mergeCell ref="O67:P67"/>
    <mergeCell ref="O66:P66"/>
    <mergeCell ref="O65:P65"/>
    <mergeCell ref="C61:D61"/>
    <mergeCell ref="C60:D60"/>
    <mergeCell ref="E61:F61"/>
    <mergeCell ref="C59:D59"/>
    <mergeCell ref="D55:F55"/>
    <mergeCell ref="D54:F54"/>
    <mergeCell ref="D53:F53"/>
    <mergeCell ref="D52:F52"/>
    <mergeCell ref="D51:F51"/>
  </mergeCells>
  <phoneticPr fontId="2" type="noConversion"/>
  <pageMargins left="0.7" right="0.7" top="0.75" bottom="0.75" header="0.3" footer="0.3"/>
  <pageSetup paperSize="8" scale="70" orientation="landscape" r:id="rId1"/>
  <rowBreaks count="2" manualBreakCount="2">
    <brk id="35" max="28" man="1"/>
    <brk id="83" max="28" man="1"/>
  </rowBreaks>
  <colBreaks count="1" manualBreakCount="1">
    <brk id="29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2"/>
  <sheetViews>
    <sheetView zoomScale="115" zoomScaleNormal="115" workbookViewId="0">
      <selection activeCell="O17" sqref="O17"/>
    </sheetView>
  </sheetViews>
  <sheetFormatPr defaultRowHeight="16.5" x14ac:dyDescent="0.3"/>
  <cols>
    <col min="2" max="2" width="16.625" bestFit="1" customWidth="1"/>
    <col min="5" max="5" width="23.25" bestFit="1" customWidth="1"/>
  </cols>
  <sheetData>
    <row r="2" spans="2:10" ht="17.25" thickBot="1" x14ac:dyDescent="0.35"/>
    <row r="3" spans="2:10" x14ac:dyDescent="0.3">
      <c r="B3" s="524" t="s">
        <v>1456</v>
      </c>
      <c r="C3" s="183" t="s">
        <v>1457</v>
      </c>
      <c r="D3" s="183"/>
      <c r="E3" s="119"/>
      <c r="F3" s="777"/>
      <c r="G3" s="183" t="s">
        <v>1485</v>
      </c>
      <c r="H3" s="183" t="s">
        <v>1486</v>
      </c>
      <c r="I3" s="183"/>
      <c r="J3" s="119"/>
    </row>
    <row r="4" spans="2:10" x14ac:dyDescent="0.3">
      <c r="B4" s="104" t="s">
        <v>1458</v>
      </c>
      <c r="C4" s="106" t="s">
        <v>1459</v>
      </c>
      <c r="D4" s="106" t="s">
        <v>1460</v>
      </c>
      <c r="E4" s="107"/>
      <c r="F4" s="233"/>
      <c r="G4" s="106" t="s">
        <v>1458</v>
      </c>
      <c r="H4" s="106" t="s">
        <v>1459</v>
      </c>
      <c r="I4" s="106" t="s">
        <v>1460</v>
      </c>
      <c r="J4" s="107"/>
    </row>
    <row r="5" spans="2:10" x14ac:dyDescent="0.3">
      <c r="B5" s="104">
        <v>30</v>
      </c>
      <c r="C5" s="106" t="s">
        <v>1477</v>
      </c>
      <c r="D5" s="106">
        <v>0</v>
      </c>
      <c r="E5" s="855" t="s">
        <v>1520</v>
      </c>
      <c r="F5" s="233"/>
      <c r="G5" s="106">
        <v>51</v>
      </c>
      <c r="H5" s="106" t="s">
        <v>1487</v>
      </c>
      <c r="I5" s="106">
        <v>0</v>
      </c>
      <c r="J5" s="849" t="s">
        <v>1521</v>
      </c>
    </row>
    <row r="6" spans="2:10" x14ac:dyDescent="0.3">
      <c r="B6" s="104">
        <v>31</v>
      </c>
      <c r="C6" s="106" t="s">
        <v>1478</v>
      </c>
      <c r="D6" s="106">
        <v>1</v>
      </c>
      <c r="E6" s="855" t="s">
        <v>1520</v>
      </c>
      <c r="F6" s="233"/>
      <c r="G6" s="106">
        <v>52</v>
      </c>
      <c r="H6" s="106" t="s">
        <v>1488</v>
      </c>
      <c r="I6" s="106">
        <v>1</v>
      </c>
      <c r="J6" s="849" t="s">
        <v>1521</v>
      </c>
    </row>
    <row r="7" spans="2:10" x14ac:dyDescent="0.3">
      <c r="B7" s="104">
        <v>32</v>
      </c>
      <c r="C7" s="106" t="s">
        <v>1479</v>
      </c>
      <c r="D7" s="106">
        <v>2</v>
      </c>
      <c r="E7" s="855" t="s">
        <v>1520</v>
      </c>
      <c r="F7" s="233"/>
      <c r="G7" s="106">
        <v>54</v>
      </c>
      <c r="H7" s="106" t="s">
        <v>1489</v>
      </c>
      <c r="I7" s="106">
        <v>2</v>
      </c>
      <c r="J7" s="849" t="s">
        <v>1521</v>
      </c>
    </row>
    <row r="8" spans="2:10" x14ac:dyDescent="0.3">
      <c r="B8" s="104">
        <v>33</v>
      </c>
      <c r="C8" s="106" t="s">
        <v>1480</v>
      </c>
      <c r="D8" s="106">
        <v>3</v>
      </c>
      <c r="E8" s="855" t="s">
        <v>1520</v>
      </c>
      <c r="F8" s="233"/>
      <c r="G8" s="106">
        <v>55</v>
      </c>
      <c r="H8" s="106" t="s">
        <v>1490</v>
      </c>
      <c r="I8" s="106">
        <v>3</v>
      </c>
      <c r="J8" s="849" t="s">
        <v>1521</v>
      </c>
    </row>
    <row r="9" spans="2:10" x14ac:dyDescent="0.3">
      <c r="B9" s="104">
        <v>34</v>
      </c>
      <c r="C9" s="106" t="s">
        <v>1481</v>
      </c>
      <c r="D9" s="106">
        <v>4</v>
      </c>
      <c r="E9" s="855" t="s">
        <v>1520</v>
      </c>
      <c r="F9" s="233"/>
      <c r="G9" s="106">
        <v>56</v>
      </c>
      <c r="H9" s="106" t="s">
        <v>1491</v>
      </c>
      <c r="I9" s="106">
        <v>4</v>
      </c>
      <c r="J9" s="849" t="s">
        <v>1521</v>
      </c>
    </row>
    <row r="10" spans="2:10" x14ac:dyDescent="0.3">
      <c r="B10" s="104">
        <v>37</v>
      </c>
      <c r="C10" s="106" t="s">
        <v>1484</v>
      </c>
      <c r="D10" s="106">
        <v>5</v>
      </c>
      <c r="E10" s="855" t="s">
        <v>1520</v>
      </c>
      <c r="F10" s="233"/>
      <c r="G10" s="106">
        <v>2</v>
      </c>
      <c r="H10" s="106" t="s">
        <v>1492</v>
      </c>
      <c r="I10" s="106">
        <v>5</v>
      </c>
      <c r="J10" s="850" t="s">
        <v>1524</v>
      </c>
    </row>
    <row r="11" spans="2:10" x14ac:dyDescent="0.3">
      <c r="B11" s="104">
        <v>35</v>
      </c>
      <c r="C11" s="106" t="s">
        <v>1482</v>
      </c>
      <c r="D11" s="106">
        <v>6</v>
      </c>
      <c r="E11" s="855" t="s">
        <v>1520</v>
      </c>
      <c r="F11" s="233"/>
      <c r="G11" s="106">
        <v>3</v>
      </c>
      <c r="H11" s="106" t="s">
        <v>1493</v>
      </c>
      <c r="I11" s="106">
        <v>6</v>
      </c>
      <c r="J11" s="849" t="s">
        <v>1521</v>
      </c>
    </row>
    <row r="12" spans="2:10" x14ac:dyDescent="0.3">
      <c r="B12" s="104">
        <v>20</v>
      </c>
      <c r="C12" s="106" t="s">
        <v>1469</v>
      </c>
      <c r="D12" s="106">
        <v>7</v>
      </c>
      <c r="E12" s="358" t="s">
        <v>1519</v>
      </c>
      <c r="F12" s="233"/>
      <c r="G12" s="106">
        <v>4</v>
      </c>
      <c r="H12" s="106" t="s">
        <v>1494</v>
      </c>
      <c r="I12" s="106">
        <v>7</v>
      </c>
      <c r="J12" s="849" t="s">
        <v>1521</v>
      </c>
    </row>
    <row r="13" spans="2:10" x14ac:dyDescent="0.3">
      <c r="B13" s="104">
        <v>21</v>
      </c>
      <c r="C13" s="106" t="s">
        <v>1470</v>
      </c>
      <c r="D13" s="106">
        <v>8</v>
      </c>
      <c r="E13" s="358" t="s">
        <v>1519</v>
      </c>
      <c r="F13" s="233"/>
      <c r="G13" s="106">
        <v>6</v>
      </c>
      <c r="H13" s="106" t="s">
        <v>1495</v>
      </c>
      <c r="I13" s="106">
        <v>8</v>
      </c>
      <c r="J13" s="654" t="s">
        <v>1522</v>
      </c>
    </row>
    <row r="14" spans="2:10" x14ac:dyDescent="0.3">
      <c r="B14" s="104">
        <v>22</v>
      </c>
      <c r="C14" s="106" t="s">
        <v>1471</v>
      </c>
      <c r="D14" s="106">
        <v>9</v>
      </c>
      <c r="E14" s="358" t="s">
        <v>1519</v>
      </c>
      <c r="F14" s="233"/>
      <c r="G14" s="106">
        <v>7</v>
      </c>
      <c r="H14" s="106" t="s">
        <v>1496</v>
      </c>
      <c r="I14" s="106">
        <v>9</v>
      </c>
      <c r="J14" s="654" t="s">
        <v>1522</v>
      </c>
    </row>
    <row r="15" spans="2:10" x14ac:dyDescent="0.3">
      <c r="B15" s="104">
        <v>26</v>
      </c>
      <c r="C15" s="106" t="s">
        <v>1475</v>
      </c>
      <c r="D15" s="106">
        <v>10</v>
      </c>
      <c r="E15" s="358" t="s">
        <v>1519</v>
      </c>
      <c r="F15" s="233"/>
      <c r="G15" s="106">
        <v>8</v>
      </c>
      <c r="H15" s="106" t="s">
        <v>1497</v>
      </c>
      <c r="I15" s="106">
        <v>10</v>
      </c>
      <c r="J15" s="850" t="s">
        <v>1524</v>
      </c>
    </row>
    <row r="16" spans="2:10" x14ac:dyDescent="0.3">
      <c r="B16" s="104">
        <v>27</v>
      </c>
      <c r="C16" s="106" t="s">
        <v>1476</v>
      </c>
      <c r="D16" s="106">
        <v>11</v>
      </c>
      <c r="E16" s="358" t="s">
        <v>1519</v>
      </c>
      <c r="F16" s="233"/>
      <c r="G16" s="106">
        <v>10</v>
      </c>
      <c r="H16" s="106" t="s">
        <v>1498</v>
      </c>
      <c r="I16" s="106">
        <v>11</v>
      </c>
      <c r="J16" s="850" t="s">
        <v>1524</v>
      </c>
    </row>
    <row r="17" spans="2:10" x14ac:dyDescent="0.3">
      <c r="B17" s="104">
        <v>23</v>
      </c>
      <c r="C17" s="106" t="s">
        <v>1472</v>
      </c>
      <c r="D17" s="106">
        <v>12</v>
      </c>
      <c r="E17" s="358" t="s">
        <v>1519</v>
      </c>
      <c r="F17" s="233"/>
      <c r="G17" s="106">
        <v>11</v>
      </c>
      <c r="H17" s="106" t="s">
        <v>1499</v>
      </c>
      <c r="I17" s="106">
        <v>12</v>
      </c>
      <c r="J17" s="654" t="s">
        <v>1522</v>
      </c>
    </row>
    <row r="18" spans="2:10" x14ac:dyDescent="0.3">
      <c r="B18" s="104">
        <v>24</v>
      </c>
      <c r="C18" s="106" t="s">
        <v>1473</v>
      </c>
      <c r="D18" s="106">
        <v>13</v>
      </c>
      <c r="E18" s="358" t="s">
        <v>1519</v>
      </c>
      <c r="F18" s="233"/>
      <c r="G18" s="106">
        <v>12</v>
      </c>
      <c r="H18" s="106" t="s">
        <v>1500</v>
      </c>
      <c r="I18" s="106">
        <v>13</v>
      </c>
      <c r="J18" s="654" t="s">
        <v>1522</v>
      </c>
    </row>
    <row r="19" spans="2:10" x14ac:dyDescent="0.3">
      <c r="B19" s="104">
        <v>25</v>
      </c>
      <c r="C19" s="106" t="s">
        <v>1474</v>
      </c>
      <c r="D19" s="106">
        <v>14</v>
      </c>
      <c r="E19" s="358" t="s">
        <v>1519</v>
      </c>
      <c r="F19" s="233"/>
      <c r="G19" s="106">
        <v>14</v>
      </c>
      <c r="H19" s="106" t="s">
        <v>1501</v>
      </c>
      <c r="I19" s="106">
        <v>14</v>
      </c>
      <c r="J19" s="654" t="s">
        <v>1522</v>
      </c>
    </row>
    <row r="20" spans="2:10" x14ac:dyDescent="0.3">
      <c r="B20" s="104">
        <v>10</v>
      </c>
      <c r="C20" s="106" t="s">
        <v>1461</v>
      </c>
      <c r="D20" s="106">
        <v>15</v>
      </c>
      <c r="E20" s="856" t="s">
        <v>1518</v>
      </c>
      <c r="F20" s="233"/>
      <c r="G20" s="106">
        <v>15</v>
      </c>
      <c r="H20" s="106" t="s">
        <v>1502</v>
      </c>
      <c r="I20" s="106">
        <v>15</v>
      </c>
      <c r="J20" s="654" t="s">
        <v>1522</v>
      </c>
    </row>
    <row r="21" spans="2:10" x14ac:dyDescent="0.3">
      <c r="B21" s="104">
        <v>16</v>
      </c>
      <c r="C21" s="106" t="s">
        <v>1467</v>
      </c>
      <c r="D21" s="106">
        <v>16</v>
      </c>
      <c r="E21" s="856" t="s">
        <v>1518</v>
      </c>
      <c r="F21" s="233"/>
      <c r="G21" s="106">
        <v>16</v>
      </c>
      <c r="H21" s="106" t="s">
        <v>1503</v>
      </c>
      <c r="I21" s="106">
        <v>16</v>
      </c>
      <c r="J21" s="850" t="s">
        <v>1524</v>
      </c>
    </row>
    <row r="22" spans="2:10" x14ac:dyDescent="0.3">
      <c r="B22" s="104">
        <v>17</v>
      </c>
      <c r="C22" s="106" t="s">
        <v>1468</v>
      </c>
      <c r="D22" s="106">
        <v>17</v>
      </c>
      <c r="E22" s="856" t="s">
        <v>1518</v>
      </c>
      <c r="F22" s="233"/>
      <c r="G22" s="106">
        <v>18</v>
      </c>
      <c r="H22" s="106" t="s">
        <v>1504</v>
      </c>
      <c r="I22" s="106">
        <v>17</v>
      </c>
      <c r="J22" s="850" t="s">
        <v>1524</v>
      </c>
    </row>
    <row r="23" spans="2:10" x14ac:dyDescent="0.3">
      <c r="B23" s="104">
        <v>11</v>
      </c>
      <c r="C23" s="106" t="s">
        <v>1462</v>
      </c>
      <c r="D23" s="106">
        <v>18</v>
      </c>
      <c r="E23" s="856" t="s">
        <v>1518</v>
      </c>
      <c r="F23" s="233"/>
      <c r="G23" s="106">
        <v>19</v>
      </c>
      <c r="H23" s="106" t="s">
        <v>1505</v>
      </c>
      <c r="I23" s="106">
        <v>18</v>
      </c>
      <c r="J23" s="654" t="s">
        <v>1522</v>
      </c>
    </row>
    <row r="24" spans="2:10" x14ac:dyDescent="0.3">
      <c r="B24" s="104">
        <v>12</v>
      </c>
      <c r="C24" s="106" t="s">
        <v>1463</v>
      </c>
      <c r="D24" s="106">
        <v>19</v>
      </c>
      <c r="E24" s="856" t="s">
        <v>1518</v>
      </c>
      <c r="F24" s="233"/>
      <c r="G24" s="106">
        <v>20</v>
      </c>
      <c r="H24" s="106" t="s">
        <v>1506</v>
      </c>
      <c r="I24" s="106">
        <v>19</v>
      </c>
      <c r="J24" s="851" t="s">
        <v>1523</v>
      </c>
    </row>
    <row r="25" spans="2:10" x14ac:dyDescent="0.3">
      <c r="B25" s="104">
        <v>13</v>
      </c>
      <c r="C25" s="106" t="s">
        <v>1464</v>
      </c>
      <c r="D25" s="106">
        <v>20</v>
      </c>
      <c r="E25" s="856" t="s">
        <v>1518</v>
      </c>
      <c r="F25" s="233"/>
      <c r="G25" s="106">
        <v>22</v>
      </c>
      <c r="H25" s="106" t="s">
        <v>1507</v>
      </c>
      <c r="I25" s="106">
        <v>20</v>
      </c>
      <c r="J25" s="851" t="s">
        <v>1523</v>
      </c>
    </row>
    <row r="26" spans="2:10" x14ac:dyDescent="0.3">
      <c r="B26" s="104">
        <v>14</v>
      </c>
      <c r="C26" s="106" t="s">
        <v>1465</v>
      </c>
      <c r="D26" s="106">
        <v>21</v>
      </c>
      <c r="E26" s="856" t="s">
        <v>1518</v>
      </c>
      <c r="F26" s="233"/>
      <c r="G26" s="106">
        <v>23</v>
      </c>
      <c r="H26" s="106" t="s">
        <v>1508</v>
      </c>
      <c r="I26" s="106">
        <v>21</v>
      </c>
      <c r="J26" s="851" t="s">
        <v>1523</v>
      </c>
    </row>
    <row r="27" spans="2:10" x14ac:dyDescent="0.3">
      <c r="B27" s="104">
        <v>15</v>
      </c>
      <c r="C27" s="106" t="s">
        <v>1466</v>
      </c>
      <c r="D27" s="106">
        <v>22</v>
      </c>
      <c r="E27" s="856" t="s">
        <v>1518</v>
      </c>
      <c r="F27" s="233"/>
      <c r="G27" s="106">
        <v>24</v>
      </c>
      <c r="H27" s="106" t="s">
        <v>1509</v>
      </c>
      <c r="I27" s="106">
        <v>22</v>
      </c>
      <c r="J27" s="851" t="s">
        <v>1523</v>
      </c>
    </row>
    <row r="28" spans="2:10" x14ac:dyDescent="0.3">
      <c r="B28" s="852"/>
      <c r="C28" s="853"/>
      <c r="D28" s="853"/>
      <c r="E28" s="857"/>
      <c r="F28" s="233"/>
      <c r="G28" s="106">
        <v>25</v>
      </c>
      <c r="H28" s="106" t="s">
        <v>1510</v>
      </c>
      <c r="I28" s="106">
        <v>23</v>
      </c>
      <c r="J28" s="850" t="s">
        <v>1524</v>
      </c>
    </row>
    <row r="29" spans="2:10" x14ac:dyDescent="0.3">
      <c r="B29" s="104">
        <v>48</v>
      </c>
      <c r="C29" s="106" t="s">
        <v>1517</v>
      </c>
      <c r="D29" s="106">
        <v>24</v>
      </c>
      <c r="E29" s="107"/>
      <c r="F29" s="233"/>
      <c r="G29" s="106">
        <v>27</v>
      </c>
      <c r="H29" s="106" t="s">
        <v>1511</v>
      </c>
      <c r="I29" s="106">
        <v>24</v>
      </c>
      <c r="J29" s="851" t="s">
        <v>1523</v>
      </c>
    </row>
    <row r="30" spans="2:10" x14ac:dyDescent="0.3">
      <c r="B30" s="104">
        <v>47</v>
      </c>
      <c r="C30" s="106" t="s">
        <v>1516</v>
      </c>
      <c r="D30" s="106">
        <v>25</v>
      </c>
      <c r="E30" s="107"/>
      <c r="F30" s="233"/>
      <c r="G30" s="106">
        <v>28</v>
      </c>
      <c r="H30" s="106" t="s">
        <v>1512</v>
      </c>
      <c r="I30" s="106">
        <v>25</v>
      </c>
      <c r="J30" s="851" t="s">
        <v>1523</v>
      </c>
    </row>
    <row r="31" spans="2:10" x14ac:dyDescent="0.3">
      <c r="B31" s="104">
        <v>46</v>
      </c>
      <c r="C31" s="106" t="s">
        <v>1515</v>
      </c>
      <c r="D31" s="106">
        <v>26</v>
      </c>
      <c r="E31" s="107"/>
      <c r="F31" s="233"/>
      <c r="G31" s="106">
        <v>30</v>
      </c>
      <c r="H31" s="106" t="s">
        <v>1513</v>
      </c>
      <c r="I31" s="106">
        <v>26</v>
      </c>
      <c r="J31" s="851" t="s">
        <v>1523</v>
      </c>
    </row>
    <row r="32" spans="2:10" ht="17.25" thickBot="1" x14ac:dyDescent="0.35">
      <c r="B32" s="118">
        <v>36</v>
      </c>
      <c r="C32" s="109" t="s">
        <v>1483</v>
      </c>
      <c r="D32" s="109">
        <v>27</v>
      </c>
      <c r="E32" s="858" t="s">
        <v>1520</v>
      </c>
      <c r="F32" s="165"/>
      <c r="G32" s="109">
        <v>50</v>
      </c>
      <c r="H32" s="109" t="s">
        <v>1514</v>
      </c>
      <c r="I32" s="109">
        <v>27</v>
      </c>
      <c r="J32" s="854" t="s">
        <v>1524</v>
      </c>
    </row>
  </sheetData>
  <sortState ref="B5:G31">
    <sortCondition ref="D5:D31"/>
  </sortState>
  <phoneticPr fontId="2" type="noConversion"/>
  <pageMargins left="0.7" right="0.7" top="0.75" bottom="0.75" header="0.3" footer="0.3"/>
  <pageSetup paperSize="9"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M137"/>
  <sheetViews>
    <sheetView topLeftCell="A10" zoomScaleNormal="100" workbookViewId="0">
      <selection activeCell="O16" sqref="O16"/>
    </sheetView>
  </sheetViews>
  <sheetFormatPr defaultRowHeight="16.5" x14ac:dyDescent="0.3"/>
  <cols>
    <col min="1" max="1" width="3.625" style="1" customWidth="1"/>
    <col min="2" max="2" width="3.375" style="1" customWidth="1"/>
    <col min="3" max="32" width="6.875" style="1" customWidth="1"/>
    <col min="33" max="33" width="7.125" style="1" bestFit="1" customWidth="1"/>
    <col min="34" max="16384" width="9" style="1"/>
  </cols>
  <sheetData>
    <row r="2" spans="2:11" x14ac:dyDescent="0.3">
      <c r="B2" s="22" t="s">
        <v>51</v>
      </c>
    </row>
    <row r="3" spans="2:11" x14ac:dyDescent="0.3">
      <c r="C3" s="1" t="s">
        <v>53</v>
      </c>
    </row>
    <row r="4" spans="2:11" x14ac:dyDescent="0.3">
      <c r="C4" s="1" t="s">
        <v>54</v>
      </c>
    </row>
    <row r="5" spans="2:11" x14ac:dyDescent="0.3">
      <c r="C5" s="1" t="s">
        <v>55</v>
      </c>
    </row>
    <row r="7" spans="2:11" ht="17.25" thickBot="1" x14ac:dyDescent="0.35">
      <c r="C7" s="1" t="s">
        <v>52</v>
      </c>
    </row>
    <row r="8" spans="2:11" ht="17.25" thickBot="1" x14ac:dyDescent="0.35">
      <c r="D8" s="35" t="s">
        <v>24</v>
      </c>
      <c r="E8" s="36" t="s">
        <v>27</v>
      </c>
      <c r="F8" s="36" t="s">
        <v>28</v>
      </c>
      <c r="G8" s="1022" t="s">
        <v>30</v>
      </c>
      <c r="H8" s="1028"/>
      <c r="I8" s="36" t="s">
        <v>32</v>
      </c>
      <c r="J8" s="1022" t="s">
        <v>34</v>
      </c>
      <c r="K8" s="1023"/>
    </row>
    <row r="9" spans="2:11" ht="17.25" thickTop="1" x14ac:dyDescent="0.3">
      <c r="D9" s="37" t="s">
        <v>25</v>
      </c>
      <c r="E9" s="31" t="s">
        <v>1</v>
      </c>
      <c r="F9" s="32" t="s">
        <v>29</v>
      </c>
      <c r="G9" s="1029" t="s">
        <v>31</v>
      </c>
      <c r="H9" s="1006"/>
      <c r="I9" s="33" t="s">
        <v>33</v>
      </c>
      <c r="J9" s="32" t="s">
        <v>36</v>
      </c>
      <c r="K9" s="34" t="s">
        <v>37</v>
      </c>
    </row>
    <row r="10" spans="2:11" ht="17.25" thickBot="1" x14ac:dyDescent="0.35">
      <c r="D10" s="38" t="s">
        <v>25</v>
      </c>
      <c r="E10" s="27" t="s">
        <v>38</v>
      </c>
      <c r="F10" s="28" t="s">
        <v>35</v>
      </c>
      <c r="G10" s="1030" t="s">
        <v>31</v>
      </c>
      <c r="H10" s="1011"/>
      <c r="I10" s="29" t="s">
        <v>39</v>
      </c>
      <c r="J10" s="28" t="s">
        <v>40</v>
      </c>
      <c r="K10" s="12" t="s">
        <v>41</v>
      </c>
    </row>
    <row r="11" spans="2:11" x14ac:dyDescent="0.3">
      <c r="D11" s="1" t="s">
        <v>50</v>
      </c>
    </row>
    <row r="13" spans="2:11" ht="17.25" thickBot="1" x14ac:dyDescent="0.35">
      <c r="C13" s="1" t="s">
        <v>56</v>
      </c>
    </row>
    <row r="14" spans="2:11" ht="17.25" thickBot="1" x14ac:dyDescent="0.35">
      <c r="D14" s="35" t="s">
        <v>24</v>
      </c>
      <c r="E14" s="36" t="s">
        <v>42</v>
      </c>
      <c r="F14" s="36" t="s">
        <v>43</v>
      </c>
      <c r="G14" s="1022" t="s">
        <v>44</v>
      </c>
      <c r="H14" s="1028"/>
      <c r="I14" s="36" t="s">
        <v>45</v>
      </c>
      <c r="J14" s="1022" t="s">
        <v>46</v>
      </c>
      <c r="K14" s="1023"/>
    </row>
    <row r="15" spans="2:11" ht="17.25" thickTop="1" x14ac:dyDescent="0.3">
      <c r="D15" s="37" t="s">
        <v>25</v>
      </c>
      <c r="E15" s="31" t="s">
        <v>1</v>
      </c>
      <c r="F15" s="32" t="s">
        <v>29</v>
      </c>
      <c r="G15" s="1029" t="s">
        <v>47</v>
      </c>
      <c r="H15" s="1006"/>
      <c r="I15" s="33" t="s">
        <v>39</v>
      </c>
      <c r="J15" s="32" t="s">
        <v>40</v>
      </c>
      <c r="K15" s="34" t="s">
        <v>41</v>
      </c>
    </row>
    <row r="16" spans="2:11" ht="17.25" thickBot="1" x14ac:dyDescent="0.35">
      <c r="D16" s="38" t="s">
        <v>25</v>
      </c>
      <c r="E16" s="27" t="s">
        <v>38</v>
      </c>
      <c r="F16" s="28" t="s">
        <v>35</v>
      </c>
      <c r="G16" s="1030" t="s">
        <v>48</v>
      </c>
      <c r="H16" s="1011"/>
      <c r="I16" s="29" t="s">
        <v>40</v>
      </c>
      <c r="J16" s="28" t="s">
        <v>47</v>
      </c>
      <c r="K16" s="12" t="s">
        <v>37</v>
      </c>
    </row>
    <row r="17" spans="2:4" x14ac:dyDescent="0.3">
      <c r="D17" s="1" t="s">
        <v>49</v>
      </c>
    </row>
    <row r="21" spans="2:4" x14ac:dyDescent="0.3">
      <c r="B21" s="22" t="s">
        <v>20</v>
      </c>
    </row>
    <row r="35" spans="3:28" ht="17.25" thickBot="1" x14ac:dyDescent="0.35"/>
    <row r="36" spans="3:28" x14ac:dyDescent="0.3">
      <c r="C36" s="1" t="s">
        <v>22</v>
      </c>
      <c r="T36" s="48"/>
      <c r="U36" s="1026" t="s">
        <v>67</v>
      </c>
      <c r="V36" s="1027"/>
      <c r="W36" s="24"/>
      <c r="X36" s="1026" t="s">
        <v>187</v>
      </c>
      <c r="Y36" s="1027"/>
      <c r="Z36" s="24"/>
      <c r="AA36" s="1026" t="s">
        <v>188</v>
      </c>
      <c r="AB36" s="1027"/>
    </row>
    <row r="37" spans="3:28" x14ac:dyDescent="0.3">
      <c r="C37" s="1" t="s">
        <v>23</v>
      </c>
      <c r="T37" s="16" t="s">
        <v>15</v>
      </c>
      <c r="U37" s="40">
        <v>28</v>
      </c>
      <c r="V37" s="15" t="s">
        <v>8</v>
      </c>
      <c r="W37" s="16" t="s">
        <v>15</v>
      </c>
      <c r="X37" s="40">
        <v>28</v>
      </c>
      <c r="Y37" s="15" t="s">
        <v>8</v>
      </c>
      <c r="Z37" s="16" t="s">
        <v>15</v>
      </c>
      <c r="AA37" s="40">
        <v>28</v>
      </c>
      <c r="AB37" s="15" t="s">
        <v>8</v>
      </c>
    </row>
    <row r="38" spans="3:28" x14ac:dyDescent="0.3">
      <c r="T38" s="16" t="s">
        <v>14</v>
      </c>
      <c r="U38" s="40">
        <v>73500</v>
      </c>
      <c r="V38" s="15" t="s">
        <v>11</v>
      </c>
      <c r="W38" s="16" t="s">
        <v>14</v>
      </c>
      <c r="X38" s="40">
        <v>90700</v>
      </c>
      <c r="Y38" s="15" t="s">
        <v>11</v>
      </c>
      <c r="Z38" s="16" t="s">
        <v>14</v>
      </c>
      <c r="AA38" s="40">
        <v>73500</v>
      </c>
      <c r="AB38" s="15" t="s">
        <v>11</v>
      </c>
    </row>
    <row r="39" spans="3:28" x14ac:dyDescent="0.3">
      <c r="C39" s="22" t="s">
        <v>189</v>
      </c>
      <c r="T39" s="16" t="s">
        <v>13</v>
      </c>
      <c r="U39" s="40">
        <v>90700</v>
      </c>
      <c r="V39" s="15" t="s">
        <v>11</v>
      </c>
      <c r="W39" s="16" t="s">
        <v>13</v>
      </c>
      <c r="X39" s="40">
        <v>73500</v>
      </c>
      <c r="Y39" s="15" t="s">
        <v>11</v>
      </c>
      <c r="Z39" s="16" t="s">
        <v>13</v>
      </c>
      <c r="AA39" s="40">
        <v>90700</v>
      </c>
      <c r="AB39" s="15" t="s">
        <v>11</v>
      </c>
    </row>
    <row r="40" spans="3:28" ht="17.25" thickBot="1" x14ac:dyDescent="0.35">
      <c r="C40" s="1" t="s">
        <v>68</v>
      </c>
      <c r="T40" s="14" t="s">
        <v>12</v>
      </c>
      <c r="U40" s="41">
        <v>3900</v>
      </c>
      <c r="V40" s="12" t="s">
        <v>11</v>
      </c>
      <c r="W40" s="14" t="s">
        <v>12</v>
      </c>
      <c r="X40" s="41">
        <v>3900</v>
      </c>
      <c r="Y40" s="12" t="s">
        <v>11</v>
      </c>
      <c r="Z40" s="14" t="s">
        <v>12</v>
      </c>
      <c r="AA40" s="41">
        <v>3900</v>
      </c>
      <c r="AB40" s="12" t="s">
        <v>11</v>
      </c>
    </row>
    <row r="41" spans="3:28" ht="17.25" thickBot="1" x14ac:dyDescent="0.35">
      <c r="C41" s="246" t="s">
        <v>69</v>
      </c>
      <c r="D41" s="243" t="s">
        <v>57</v>
      </c>
      <c r="E41" s="245" t="s">
        <v>58</v>
      </c>
      <c r="F41" s="250" t="s">
        <v>61</v>
      </c>
      <c r="G41" s="244" t="s">
        <v>63</v>
      </c>
      <c r="H41" s="1031" t="s">
        <v>106</v>
      </c>
      <c r="I41" s="1032"/>
      <c r="J41" s="244" t="s">
        <v>26</v>
      </c>
      <c r="K41" s="245" t="s">
        <v>66</v>
      </c>
    </row>
    <row r="42" spans="3:28" x14ac:dyDescent="0.3">
      <c r="C42" s="247">
        <v>1</v>
      </c>
      <c r="D42" s="241" t="s">
        <v>36</v>
      </c>
      <c r="E42" s="254" t="s">
        <v>36</v>
      </c>
      <c r="F42" s="251" t="s">
        <v>62</v>
      </c>
      <c r="G42" s="242" t="s">
        <v>62</v>
      </c>
      <c r="H42" s="242" t="s">
        <v>64</v>
      </c>
      <c r="I42" s="242" t="s">
        <v>41</v>
      </c>
      <c r="J42" s="257" t="s">
        <v>1</v>
      </c>
      <c r="K42" s="46" t="s">
        <v>0</v>
      </c>
      <c r="S42" s="51" t="s">
        <v>6</v>
      </c>
      <c r="T42" s="20" t="s">
        <v>5</v>
      </c>
      <c r="U42" s="30" t="s">
        <v>4</v>
      </c>
      <c r="V42" s="44" t="s">
        <v>69</v>
      </c>
      <c r="W42" s="54" t="s">
        <v>5</v>
      </c>
      <c r="X42" s="30" t="s">
        <v>4</v>
      </c>
      <c r="Y42" s="44" t="s">
        <v>69</v>
      </c>
      <c r="Z42" s="54" t="s">
        <v>5</v>
      </c>
      <c r="AA42" s="134" t="s">
        <v>4</v>
      </c>
      <c r="AB42" s="44" t="s">
        <v>69</v>
      </c>
    </row>
    <row r="43" spans="3:28" x14ac:dyDescent="0.3">
      <c r="C43" s="248">
        <v>2</v>
      </c>
      <c r="D43" s="39" t="s">
        <v>36</v>
      </c>
      <c r="E43" s="15" t="s">
        <v>31</v>
      </c>
      <c r="F43" s="252" t="s">
        <v>21</v>
      </c>
      <c r="G43" s="26" t="s">
        <v>21</v>
      </c>
      <c r="H43" s="26" t="s">
        <v>65</v>
      </c>
      <c r="I43" s="26" t="s">
        <v>37</v>
      </c>
      <c r="J43" s="255" t="s">
        <v>1</v>
      </c>
      <c r="K43" s="7" t="s">
        <v>1</v>
      </c>
      <c r="L43" s="1" t="s">
        <v>111</v>
      </c>
      <c r="S43" s="52">
        <v>23</v>
      </c>
      <c r="T43" s="58">
        <f t="shared" ref="T43:T63" si="0">$S43*U$40/(U$38+U$40)</f>
        <v>1.1589147286821706</v>
      </c>
      <c r="U43" s="4">
        <f t="shared" ref="U43:U63" si="1">$S43*U$40/(U$39+U$40)</f>
        <v>0.94820295983086678</v>
      </c>
      <c r="V43" s="1024">
        <v>2</v>
      </c>
      <c r="W43" s="55">
        <f t="shared" ref="W43:W63" si="2">$S43*X$40/(X$38+X$40)</f>
        <v>0.94820295983086678</v>
      </c>
      <c r="X43" s="4">
        <f t="shared" ref="X43:X63" si="3">$S43*X$40/(X$39+X$40)</f>
        <v>1.1589147286821706</v>
      </c>
      <c r="Y43" s="1024">
        <v>2</v>
      </c>
      <c r="Z43" s="55">
        <f t="shared" ref="Z43:Z63" si="4">$S43*AA$40/(AA$38+AA$40)</f>
        <v>1.1589147286821706</v>
      </c>
      <c r="AA43" s="4">
        <f t="shared" ref="AA43:AA63" si="5">$S43*AA$40/(AA$39+AA$40)</f>
        <v>0.94820295983086678</v>
      </c>
      <c r="AB43" s="1037">
        <v>2</v>
      </c>
    </row>
    <row r="44" spans="3:28" x14ac:dyDescent="0.3">
      <c r="C44" s="248">
        <v>3</v>
      </c>
      <c r="D44" s="39" t="s">
        <v>31</v>
      </c>
      <c r="E44" s="15" t="s">
        <v>36</v>
      </c>
      <c r="F44" s="252" t="s">
        <v>21</v>
      </c>
      <c r="G44" s="26" t="s">
        <v>21</v>
      </c>
      <c r="H44" s="26" t="s">
        <v>65</v>
      </c>
      <c r="I44" s="26" t="s">
        <v>37</v>
      </c>
      <c r="J44" s="25" t="s">
        <v>0</v>
      </c>
      <c r="K44" s="256" t="s">
        <v>0</v>
      </c>
      <c r="L44" s="1" t="s">
        <v>112</v>
      </c>
      <c r="S44" s="52">
        <v>23.5</v>
      </c>
      <c r="T44" s="58">
        <f t="shared" si="0"/>
        <v>1.1841085271317831</v>
      </c>
      <c r="U44" s="4">
        <f t="shared" si="1"/>
        <v>0.96881606765327699</v>
      </c>
      <c r="V44" s="1025"/>
      <c r="W44" s="55">
        <f t="shared" si="2"/>
        <v>0.96881606765327699</v>
      </c>
      <c r="X44" s="4">
        <f t="shared" si="3"/>
        <v>1.1841085271317831</v>
      </c>
      <c r="Y44" s="1025"/>
      <c r="Z44" s="55">
        <f t="shared" si="4"/>
        <v>1.1841085271317831</v>
      </c>
      <c r="AA44" s="4">
        <f t="shared" si="5"/>
        <v>0.96881606765327699</v>
      </c>
      <c r="AB44" s="1038"/>
    </row>
    <row r="45" spans="3:28" ht="17.25" thickBot="1" x14ac:dyDescent="0.35">
      <c r="C45" s="249">
        <v>4</v>
      </c>
      <c r="D45" s="38" t="s">
        <v>31</v>
      </c>
      <c r="E45" s="12" t="s">
        <v>31</v>
      </c>
      <c r="F45" s="253" t="s">
        <v>21</v>
      </c>
      <c r="G45" s="29" t="s">
        <v>21</v>
      </c>
      <c r="H45" s="29" t="s">
        <v>65</v>
      </c>
      <c r="I45" s="29" t="s">
        <v>37</v>
      </c>
      <c r="J45" s="27" t="s">
        <v>0</v>
      </c>
      <c r="K45" s="45" t="s">
        <v>1</v>
      </c>
      <c r="L45" s="1" t="s">
        <v>110</v>
      </c>
      <c r="S45" s="52">
        <v>24</v>
      </c>
      <c r="T45" s="58">
        <f t="shared" si="0"/>
        <v>1.2093023255813953</v>
      </c>
      <c r="U45" s="4">
        <f t="shared" si="1"/>
        <v>0.98942917547568709</v>
      </c>
      <c r="V45" s="1025"/>
      <c r="W45" s="55">
        <f t="shared" si="2"/>
        <v>0.98942917547568709</v>
      </c>
      <c r="X45" s="4">
        <f t="shared" si="3"/>
        <v>1.2093023255813953</v>
      </c>
      <c r="Y45" s="1025"/>
      <c r="Z45" s="55">
        <f t="shared" si="4"/>
        <v>1.2093023255813953</v>
      </c>
      <c r="AA45" s="4">
        <f t="shared" si="5"/>
        <v>0.98942917547568709</v>
      </c>
      <c r="AB45" s="1038"/>
    </row>
    <row r="46" spans="3:28" x14ac:dyDescent="0.3">
      <c r="C46" s="240" t="s">
        <v>191</v>
      </c>
      <c r="S46" s="52">
        <v>24.5</v>
      </c>
      <c r="T46" s="58">
        <f t="shared" si="0"/>
        <v>1.2344961240310077</v>
      </c>
      <c r="U46" s="4">
        <f t="shared" si="1"/>
        <v>1.0100422832980973</v>
      </c>
      <c r="V46" s="1025"/>
      <c r="W46" s="55">
        <f t="shared" si="2"/>
        <v>1.0100422832980973</v>
      </c>
      <c r="X46" s="4">
        <f t="shared" si="3"/>
        <v>1.2344961240310077</v>
      </c>
      <c r="Y46" s="1025"/>
      <c r="Z46" s="55">
        <f t="shared" si="4"/>
        <v>1.2344961240310077</v>
      </c>
      <c r="AA46" s="4">
        <f t="shared" si="5"/>
        <v>1.0100422832980973</v>
      </c>
      <c r="AB46" s="1038"/>
    </row>
    <row r="47" spans="3:28" x14ac:dyDescent="0.3">
      <c r="S47" s="52">
        <v>25</v>
      </c>
      <c r="T47" s="58">
        <f t="shared" si="0"/>
        <v>1.2596899224806202</v>
      </c>
      <c r="U47" s="4">
        <f t="shared" si="1"/>
        <v>1.0306553911205074</v>
      </c>
      <c r="V47" s="1025"/>
      <c r="W47" s="55">
        <f t="shared" si="2"/>
        <v>1.0306553911205074</v>
      </c>
      <c r="X47" s="4">
        <f t="shared" si="3"/>
        <v>1.2596899224806202</v>
      </c>
      <c r="Y47" s="1025"/>
      <c r="Z47" s="55">
        <f t="shared" si="4"/>
        <v>1.2596899224806202</v>
      </c>
      <c r="AA47" s="4">
        <f t="shared" si="5"/>
        <v>1.0306553911205074</v>
      </c>
      <c r="AB47" s="1038"/>
    </row>
    <row r="48" spans="3:28" x14ac:dyDescent="0.3">
      <c r="C48" s="22" t="s">
        <v>185</v>
      </c>
      <c r="S48" s="52">
        <v>25.5</v>
      </c>
      <c r="T48" s="59">
        <f t="shared" si="0"/>
        <v>1.2848837209302326</v>
      </c>
      <c r="U48" s="4">
        <f t="shared" si="1"/>
        <v>1.0512684989429175</v>
      </c>
      <c r="V48" s="1024">
        <v>4</v>
      </c>
      <c r="W48" s="55">
        <f t="shared" si="2"/>
        <v>1.0512684989429175</v>
      </c>
      <c r="X48" s="23">
        <f t="shared" si="3"/>
        <v>1.2848837209302326</v>
      </c>
      <c r="Y48" s="1037">
        <v>1</v>
      </c>
      <c r="Z48" s="55">
        <f t="shared" si="4"/>
        <v>1.2848837209302326</v>
      </c>
      <c r="AA48" s="23">
        <f t="shared" si="5"/>
        <v>1.0512684989429175</v>
      </c>
      <c r="AB48" s="1039">
        <v>4</v>
      </c>
    </row>
    <row r="49" spans="3:28" ht="17.25" thickBot="1" x14ac:dyDescent="0.35">
      <c r="C49" s="1" t="s">
        <v>68</v>
      </c>
      <c r="S49" s="52">
        <v>26</v>
      </c>
      <c r="T49" s="59">
        <f t="shared" si="0"/>
        <v>1.3100775193798451</v>
      </c>
      <c r="U49" s="4">
        <f t="shared" si="1"/>
        <v>1.0718816067653276</v>
      </c>
      <c r="V49" s="1025"/>
      <c r="W49" s="55">
        <f t="shared" si="2"/>
        <v>1.0718816067653276</v>
      </c>
      <c r="X49" s="23">
        <f t="shared" si="3"/>
        <v>1.3100775193798451</v>
      </c>
      <c r="Y49" s="1038"/>
      <c r="Z49" s="55">
        <f t="shared" si="4"/>
        <v>1.3100775193798451</v>
      </c>
      <c r="AA49" s="23">
        <f t="shared" si="5"/>
        <v>1.0718816067653276</v>
      </c>
      <c r="AB49" s="1040"/>
    </row>
    <row r="50" spans="3:28" ht="17.25" thickBot="1" x14ac:dyDescent="0.35">
      <c r="C50" s="246" t="s">
        <v>69</v>
      </c>
      <c r="D50" s="35" t="s">
        <v>57</v>
      </c>
      <c r="E50" s="36" t="s">
        <v>58</v>
      </c>
      <c r="F50" s="36" t="s">
        <v>61</v>
      </c>
      <c r="G50" s="36" t="s">
        <v>63</v>
      </c>
      <c r="H50" s="1020" t="s">
        <v>106</v>
      </c>
      <c r="I50" s="1021"/>
      <c r="J50" s="36" t="s">
        <v>26</v>
      </c>
      <c r="K50" s="47" t="s">
        <v>66</v>
      </c>
      <c r="S50" s="52">
        <v>26.5</v>
      </c>
      <c r="T50" s="59">
        <f t="shared" si="0"/>
        <v>1.3352713178294573</v>
      </c>
      <c r="U50" s="4">
        <f t="shared" si="1"/>
        <v>1.0924947145877379</v>
      </c>
      <c r="V50" s="1025"/>
      <c r="W50" s="55">
        <f t="shared" si="2"/>
        <v>1.0924947145877379</v>
      </c>
      <c r="X50" s="23">
        <f t="shared" si="3"/>
        <v>1.3352713178294573</v>
      </c>
      <c r="Y50" s="1038"/>
      <c r="Z50" s="55">
        <f t="shared" si="4"/>
        <v>1.3352713178294573</v>
      </c>
      <c r="AA50" s="23">
        <f t="shared" si="5"/>
        <v>1.0924947145877379</v>
      </c>
      <c r="AB50" s="1040"/>
    </row>
    <row r="51" spans="3:28" x14ac:dyDescent="0.3">
      <c r="C51" s="247">
        <v>1</v>
      </c>
      <c r="D51" s="42" t="s">
        <v>59</v>
      </c>
      <c r="E51" s="43" t="s">
        <v>59</v>
      </c>
      <c r="F51" s="43" t="s">
        <v>62</v>
      </c>
      <c r="G51" s="43" t="s">
        <v>62</v>
      </c>
      <c r="H51" s="43" t="s">
        <v>64</v>
      </c>
      <c r="I51" s="43" t="s">
        <v>41</v>
      </c>
      <c r="J51" s="257" t="s">
        <v>1</v>
      </c>
      <c r="K51" s="46" t="s">
        <v>0</v>
      </c>
      <c r="L51" s="1" t="s">
        <v>110</v>
      </c>
      <c r="S51" s="52">
        <v>27</v>
      </c>
      <c r="T51" s="59">
        <f t="shared" si="0"/>
        <v>1.3604651162790697</v>
      </c>
      <c r="U51" s="4">
        <f t="shared" si="1"/>
        <v>1.1131078224101481</v>
      </c>
      <c r="V51" s="1025"/>
      <c r="W51" s="55">
        <f t="shared" si="2"/>
        <v>1.1131078224101481</v>
      </c>
      <c r="X51" s="23">
        <f t="shared" si="3"/>
        <v>1.3604651162790697</v>
      </c>
      <c r="Y51" s="1038"/>
      <c r="Z51" s="55">
        <f t="shared" si="4"/>
        <v>1.3604651162790697</v>
      </c>
      <c r="AA51" s="23">
        <f t="shared" si="5"/>
        <v>1.1131078224101481</v>
      </c>
      <c r="AB51" s="1040"/>
    </row>
    <row r="52" spans="3:28" x14ac:dyDescent="0.3">
      <c r="C52" s="248">
        <v>2</v>
      </c>
      <c r="D52" s="39" t="s">
        <v>59</v>
      </c>
      <c r="E52" s="26" t="s">
        <v>60</v>
      </c>
      <c r="F52" s="26" t="s">
        <v>21</v>
      </c>
      <c r="G52" s="26" t="s">
        <v>21</v>
      </c>
      <c r="H52" s="26" t="s">
        <v>65</v>
      </c>
      <c r="I52" s="26" t="s">
        <v>37</v>
      </c>
      <c r="J52" s="255" t="s">
        <v>1</v>
      </c>
      <c r="K52" s="7" t="s">
        <v>1</v>
      </c>
      <c r="L52" s="1" t="s">
        <v>111</v>
      </c>
      <c r="S52" s="52">
        <v>27.5</v>
      </c>
      <c r="T52" s="59">
        <f t="shared" si="0"/>
        <v>1.3856589147286822</v>
      </c>
      <c r="U52" s="4">
        <f t="shared" si="1"/>
        <v>1.1337209302325582</v>
      </c>
      <c r="V52" s="1025"/>
      <c r="W52" s="55">
        <f t="shared" si="2"/>
        <v>1.1337209302325582</v>
      </c>
      <c r="X52" s="23">
        <f t="shared" si="3"/>
        <v>1.3856589147286822</v>
      </c>
      <c r="Y52" s="1038"/>
      <c r="Z52" s="55">
        <f t="shared" si="4"/>
        <v>1.3856589147286822</v>
      </c>
      <c r="AA52" s="23">
        <f t="shared" si="5"/>
        <v>1.1337209302325582</v>
      </c>
      <c r="AB52" s="1040"/>
    </row>
    <row r="53" spans="3:28" x14ac:dyDescent="0.3">
      <c r="C53" s="248">
        <v>3</v>
      </c>
      <c r="D53" s="39" t="s">
        <v>60</v>
      </c>
      <c r="E53" s="26" t="s">
        <v>59</v>
      </c>
      <c r="F53" s="26" t="s">
        <v>21</v>
      </c>
      <c r="G53" s="26" t="s">
        <v>21</v>
      </c>
      <c r="H53" s="26" t="s">
        <v>65</v>
      </c>
      <c r="I53" s="26" t="s">
        <v>37</v>
      </c>
      <c r="J53" s="25" t="s">
        <v>0</v>
      </c>
      <c r="K53" s="256" t="s">
        <v>0</v>
      </c>
      <c r="L53" s="1" t="s">
        <v>112</v>
      </c>
      <c r="S53" s="52">
        <v>28</v>
      </c>
      <c r="T53" s="59">
        <f t="shared" si="0"/>
        <v>1.4108527131782946</v>
      </c>
      <c r="U53" s="4">
        <f t="shared" si="1"/>
        <v>1.1543340380549683</v>
      </c>
      <c r="V53" s="1025"/>
      <c r="W53" s="55">
        <f t="shared" si="2"/>
        <v>1.1543340380549683</v>
      </c>
      <c r="X53" s="23">
        <f t="shared" si="3"/>
        <v>1.4108527131782946</v>
      </c>
      <c r="Y53" s="1038"/>
      <c r="Z53" s="55">
        <f t="shared" si="4"/>
        <v>1.4108527131782946</v>
      </c>
      <c r="AA53" s="23">
        <f t="shared" si="5"/>
        <v>1.1543340380549683</v>
      </c>
      <c r="AB53" s="1040"/>
    </row>
    <row r="54" spans="3:28" ht="17.25" thickBot="1" x14ac:dyDescent="0.35">
      <c r="C54" s="249">
        <v>4</v>
      </c>
      <c r="D54" s="38" t="s">
        <v>60</v>
      </c>
      <c r="E54" s="29" t="s">
        <v>60</v>
      </c>
      <c r="F54" s="29" t="s">
        <v>21</v>
      </c>
      <c r="G54" s="29" t="s">
        <v>21</v>
      </c>
      <c r="H54" s="29" t="s">
        <v>65</v>
      </c>
      <c r="I54" s="29" t="s">
        <v>37</v>
      </c>
      <c r="J54" s="27" t="s">
        <v>0</v>
      </c>
      <c r="K54" s="45" t="s">
        <v>1</v>
      </c>
      <c r="S54" s="52">
        <v>28.5</v>
      </c>
      <c r="T54" s="59">
        <f t="shared" si="0"/>
        <v>1.4360465116279071</v>
      </c>
      <c r="U54" s="4">
        <f t="shared" si="1"/>
        <v>1.1749471458773784</v>
      </c>
      <c r="V54" s="1025"/>
      <c r="W54" s="55">
        <f t="shared" si="2"/>
        <v>1.1749471458773784</v>
      </c>
      <c r="X54" s="23">
        <f t="shared" si="3"/>
        <v>1.4360465116279071</v>
      </c>
      <c r="Y54" s="1038"/>
      <c r="Z54" s="55">
        <f t="shared" si="4"/>
        <v>1.4360465116279071</v>
      </c>
      <c r="AA54" s="23">
        <f t="shared" si="5"/>
        <v>1.1749471458773784</v>
      </c>
      <c r="AB54" s="1040"/>
    </row>
    <row r="55" spans="3:28" x14ac:dyDescent="0.3">
      <c r="C55" s="143" t="s">
        <v>190</v>
      </c>
      <c r="S55" s="52">
        <v>29</v>
      </c>
      <c r="T55" s="59">
        <f t="shared" si="0"/>
        <v>1.4612403100775193</v>
      </c>
      <c r="U55" s="4">
        <f t="shared" si="1"/>
        <v>1.1955602536997887</v>
      </c>
      <c r="V55" s="1025"/>
      <c r="W55" s="55">
        <f t="shared" si="2"/>
        <v>1.1955602536997887</v>
      </c>
      <c r="X55" s="23">
        <f t="shared" si="3"/>
        <v>1.4612403100775193</v>
      </c>
      <c r="Y55" s="1038"/>
      <c r="Z55" s="55">
        <f t="shared" si="4"/>
        <v>1.4612403100775193</v>
      </c>
      <c r="AA55" s="23">
        <f t="shared" si="5"/>
        <v>1.1955602536997887</v>
      </c>
      <c r="AB55" s="1040"/>
    </row>
    <row r="56" spans="3:28" x14ac:dyDescent="0.3">
      <c r="S56" s="52">
        <v>29.5</v>
      </c>
      <c r="T56" s="59">
        <f t="shared" si="0"/>
        <v>1.4864341085271318</v>
      </c>
      <c r="U56" s="4">
        <f t="shared" si="1"/>
        <v>1.2161733615221988</v>
      </c>
      <c r="V56" s="1025"/>
      <c r="W56" s="55">
        <f t="shared" si="2"/>
        <v>1.2161733615221988</v>
      </c>
      <c r="X56" s="23">
        <f t="shared" si="3"/>
        <v>1.4864341085271318</v>
      </c>
      <c r="Y56" s="1038"/>
      <c r="Z56" s="55">
        <f t="shared" si="4"/>
        <v>1.4864341085271318</v>
      </c>
      <c r="AA56" s="23">
        <f t="shared" si="5"/>
        <v>1.2161733615221988</v>
      </c>
      <c r="AB56" s="1040"/>
    </row>
    <row r="57" spans="3:28" x14ac:dyDescent="0.3">
      <c r="C57" s="22" t="s">
        <v>186</v>
      </c>
      <c r="S57" s="52">
        <v>30</v>
      </c>
      <c r="T57" s="59">
        <f t="shared" si="0"/>
        <v>1.5116279069767442</v>
      </c>
      <c r="U57" s="4">
        <f t="shared" si="1"/>
        <v>1.2367864693446089</v>
      </c>
      <c r="V57" s="1025"/>
      <c r="W57" s="55">
        <f t="shared" si="2"/>
        <v>1.2367864693446089</v>
      </c>
      <c r="X57" s="23">
        <f t="shared" si="3"/>
        <v>1.5116279069767442</v>
      </c>
      <c r="Y57" s="1038"/>
      <c r="Z57" s="55">
        <f t="shared" si="4"/>
        <v>1.5116279069767442</v>
      </c>
      <c r="AA57" s="23">
        <f t="shared" si="5"/>
        <v>1.2367864693446089</v>
      </c>
      <c r="AB57" s="1040"/>
    </row>
    <row r="58" spans="3:28" ht="17.25" thickBot="1" x14ac:dyDescent="0.35">
      <c r="C58" s="1" t="s">
        <v>107</v>
      </c>
      <c r="S58" s="52">
        <v>30.5</v>
      </c>
      <c r="T58" s="59">
        <f t="shared" si="0"/>
        <v>1.5368217054263567</v>
      </c>
      <c r="U58" s="4">
        <f t="shared" si="1"/>
        <v>1.257399577167019</v>
      </c>
      <c r="V58" s="1025"/>
      <c r="W58" s="55">
        <f t="shared" si="2"/>
        <v>1.257399577167019</v>
      </c>
      <c r="X58" s="23">
        <f t="shared" si="3"/>
        <v>1.5368217054263567</v>
      </c>
      <c r="Y58" s="1038"/>
      <c r="Z58" s="55">
        <f t="shared" si="4"/>
        <v>1.5368217054263567</v>
      </c>
      <c r="AA58" s="23">
        <f t="shared" si="5"/>
        <v>1.257399577167019</v>
      </c>
      <c r="AB58" s="1040"/>
    </row>
    <row r="59" spans="3:28" ht="17.25" thickBot="1" x14ac:dyDescent="0.35">
      <c r="C59" s="246" t="s">
        <v>69</v>
      </c>
      <c r="D59" s="35" t="s">
        <v>57</v>
      </c>
      <c r="E59" s="133" t="s">
        <v>58</v>
      </c>
      <c r="F59" s="133" t="s">
        <v>61</v>
      </c>
      <c r="G59" s="133" t="s">
        <v>63</v>
      </c>
      <c r="H59" s="1020" t="s">
        <v>106</v>
      </c>
      <c r="I59" s="1021"/>
      <c r="J59" s="133" t="s">
        <v>26</v>
      </c>
      <c r="K59" s="47" t="s">
        <v>66</v>
      </c>
      <c r="S59" s="52">
        <v>31</v>
      </c>
      <c r="T59" s="59">
        <f t="shared" si="0"/>
        <v>1.5620155038759691</v>
      </c>
      <c r="U59" s="23">
        <f t="shared" si="1"/>
        <v>1.2780126849894291</v>
      </c>
      <c r="V59" s="1024">
        <v>3</v>
      </c>
      <c r="W59" s="56">
        <f t="shared" si="2"/>
        <v>1.2780126849894291</v>
      </c>
      <c r="X59" s="23">
        <f t="shared" si="3"/>
        <v>1.5620155038759691</v>
      </c>
      <c r="Y59" s="1024">
        <v>3</v>
      </c>
      <c r="Z59" s="56">
        <f t="shared" si="4"/>
        <v>1.5620155038759691</v>
      </c>
      <c r="AA59" s="23">
        <f t="shared" si="5"/>
        <v>1.2780126849894291</v>
      </c>
      <c r="AB59" s="1037">
        <v>3</v>
      </c>
    </row>
    <row r="60" spans="3:28" x14ac:dyDescent="0.3">
      <c r="C60" s="247">
        <v>1</v>
      </c>
      <c r="D60" s="42" t="s">
        <v>29</v>
      </c>
      <c r="E60" s="43" t="s">
        <v>29</v>
      </c>
      <c r="F60" s="43" t="s">
        <v>62</v>
      </c>
      <c r="G60" s="43" t="s">
        <v>62</v>
      </c>
      <c r="H60" s="43" t="s">
        <v>31</v>
      </c>
      <c r="I60" s="43" t="s">
        <v>41</v>
      </c>
      <c r="J60" s="257" t="s">
        <v>1</v>
      </c>
      <c r="K60" s="46" t="s">
        <v>0</v>
      </c>
      <c r="S60" s="52">
        <v>31.5</v>
      </c>
      <c r="T60" s="59">
        <f t="shared" si="0"/>
        <v>1.5872093023255813</v>
      </c>
      <c r="U60" s="23">
        <f t="shared" si="1"/>
        <v>1.2986257928118394</v>
      </c>
      <c r="V60" s="1025"/>
      <c r="W60" s="56">
        <f t="shared" si="2"/>
        <v>1.2986257928118394</v>
      </c>
      <c r="X60" s="23">
        <f t="shared" si="3"/>
        <v>1.5872093023255813</v>
      </c>
      <c r="Y60" s="1025"/>
      <c r="Z60" s="56">
        <f t="shared" si="4"/>
        <v>1.5872093023255813</v>
      </c>
      <c r="AA60" s="23">
        <f t="shared" si="5"/>
        <v>1.2986257928118394</v>
      </c>
      <c r="AB60" s="1038"/>
    </row>
    <row r="61" spans="3:28" x14ac:dyDescent="0.3">
      <c r="C61" s="248">
        <v>2</v>
      </c>
      <c r="D61" s="146" t="s">
        <v>29</v>
      </c>
      <c r="E61" s="147" t="s">
        <v>60</v>
      </c>
      <c r="F61" s="147" t="s">
        <v>108</v>
      </c>
      <c r="G61" s="147" t="s">
        <v>108</v>
      </c>
      <c r="H61" s="147" t="s">
        <v>31</v>
      </c>
      <c r="I61" s="147" t="s">
        <v>109</v>
      </c>
      <c r="J61" s="255" t="s">
        <v>1</v>
      </c>
      <c r="K61" s="7" t="s">
        <v>1</v>
      </c>
      <c r="L61" s="1" t="s">
        <v>111</v>
      </c>
      <c r="S61" s="52">
        <v>32</v>
      </c>
      <c r="T61" s="59">
        <f t="shared" si="0"/>
        <v>1.6124031007751938</v>
      </c>
      <c r="U61" s="23">
        <f t="shared" si="1"/>
        <v>1.3192389006342495</v>
      </c>
      <c r="V61" s="1025"/>
      <c r="W61" s="56">
        <f t="shared" si="2"/>
        <v>1.3192389006342495</v>
      </c>
      <c r="X61" s="23">
        <f t="shared" si="3"/>
        <v>1.6124031007751938</v>
      </c>
      <c r="Y61" s="1025"/>
      <c r="Z61" s="56">
        <f t="shared" si="4"/>
        <v>1.6124031007751938</v>
      </c>
      <c r="AA61" s="23">
        <f t="shared" si="5"/>
        <v>1.3192389006342495</v>
      </c>
      <c r="AB61" s="1038"/>
    </row>
    <row r="62" spans="3:28" x14ac:dyDescent="0.3">
      <c r="C62" s="248">
        <v>3</v>
      </c>
      <c r="D62" s="146" t="s">
        <v>60</v>
      </c>
      <c r="E62" s="147" t="s">
        <v>29</v>
      </c>
      <c r="F62" s="147" t="s">
        <v>108</v>
      </c>
      <c r="G62" s="147" t="s">
        <v>108</v>
      </c>
      <c r="H62" s="147" t="s">
        <v>31</v>
      </c>
      <c r="I62" s="147" t="s">
        <v>109</v>
      </c>
      <c r="J62" s="25" t="s">
        <v>0</v>
      </c>
      <c r="K62" s="256" t="s">
        <v>0</v>
      </c>
      <c r="L62" s="1" t="s">
        <v>112</v>
      </c>
      <c r="S62" s="52">
        <v>32.5</v>
      </c>
      <c r="T62" s="59">
        <f t="shared" si="0"/>
        <v>1.6375968992248062</v>
      </c>
      <c r="U62" s="23">
        <f t="shared" si="1"/>
        <v>1.3398520084566596</v>
      </c>
      <c r="V62" s="1025"/>
      <c r="W62" s="56">
        <f t="shared" si="2"/>
        <v>1.3398520084566596</v>
      </c>
      <c r="X62" s="23">
        <f t="shared" si="3"/>
        <v>1.6375968992248062</v>
      </c>
      <c r="Y62" s="1025"/>
      <c r="Z62" s="56">
        <f t="shared" si="4"/>
        <v>1.6375968992248062</v>
      </c>
      <c r="AA62" s="23">
        <f t="shared" si="5"/>
        <v>1.3398520084566596</v>
      </c>
      <c r="AB62" s="1038"/>
    </row>
    <row r="63" spans="3:28" ht="17.25" thickBot="1" x14ac:dyDescent="0.35">
      <c r="C63" s="249">
        <v>4</v>
      </c>
      <c r="D63" s="144" t="s">
        <v>60</v>
      </c>
      <c r="E63" s="145" t="s">
        <v>60</v>
      </c>
      <c r="F63" s="145" t="s">
        <v>21</v>
      </c>
      <c r="G63" s="145" t="s">
        <v>21</v>
      </c>
      <c r="H63" s="145" t="s">
        <v>36</v>
      </c>
      <c r="I63" s="145" t="s">
        <v>37</v>
      </c>
      <c r="J63" s="27" t="s">
        <v>0</v>
      </c>
      <c r="K63" s="45" t="s">
        <v>1</v>
      </c>
      <c r="L63" s="1" t="s">
        <v>110</v>
      </c>
      <c r="S63" s="53">
        <v>33</v>
      </c>
      <c r="T63" s="60">
        <f t="shared" si="0"/>
        <v>1.6627906976744187</v>
      </c>
      <c r="U63" s="50">
        <f t="shared" si="1"/>
        <v>1.3604651162790697</v>
      </c>
      <c r="V63" s="1036"/>
      <c r="W63" s="57">
        <f t="shared" si="2"/>
        <v>1.3604651162790697</v>
      </c>
      <c r="X63" s="50">
        <f t="shared" si="3"/>
        <v>1.6627906976744187</v>
      </c>
      <c r="Y63" s="1036"/>
      <c r="Z63" s="57">
        <f t="shared" si="4"/>
        <v>1.6627906976744187</v>
      </c>
      <c r="AA63" s="50">
        <f t="shared" si="5"/>
        <v>1.3604651162790697</v>
      </c>
      <c r="AB63" s="1041"/>
    </row>
    <row r="65" spans="3:33" x14ac:dyDescent="0.3">
      <c r="C65" s="22" t="s">
        <v>192</v>
      </c>
    </row>
    <row r="66" spans="3:33" ht="17.25" thickBot="1" x14ac:dyDescent="0.35">
      <c r="S66" s="21" t="s">
        <v>19</v>
      </c>
    </row>
    <row r="67" spans="3:33" ht="17.25" thickBot="1" x14ac:dyDescent="0.35">
      <c r="S67" s="20" t="s">
        <v>15</v>
      </c>
      <c r="T67" s="19">
        <v>28</v>
      </c>
      <c r="U67" s="18" t="s">
        <v>8</v>
      </c>
      <c r="W67" s="11" t="s">
        <v>70</v>
      </c>
      <c r="X67" s="8"/>
      <c r="AD67" s="1033" t="s">
        <v>7</v>
      </c>
      <c r="AE67" s="1034"/>
      <c r="AF67" s="1034"/>
      <c r="AG67" s="1035"/>
    </row>
    <row r="68" spans="3:33" ht="17.25" thickBot="1" x14ac:dyDescent="0.35">
      <c r="S68" s="16" t="s">
        <v>14</v>
      </c>
      <c r="T68" s="17">
        <v>90700</v>
      </c>
      <c r="U68" s="15" t="s">
        <v>11</v>
      </c>
      <c r="W68" s="24"/>
      <c r="X68" s="98" t="s">
        <v>73</v>
      </c>
      <c r="Y68" s="44" t="s">
        <v>74</v>
      </c>
      <c r="AA68" s="61" t="s">
        <v>6</v>
      </c>
      <c r="AB68" s="62" t="s">
        <v>5</v>
      </c>
      <c r="AC68" s="63" t="s">
        <v>4</v>
      </c>
      <c r="AD68" s="61" t="s">
        <v>5</v>
      </c>
      <c r="AE68" s="64" t="s">
        <v>4</v>
      </c>
      <c r="AF68" s="82" t="s">
        <v>3</v>
      </c>
      <c r="AG68" s="64" t="s">
        <v>2</v>
      </c>
    </row>
    <row r="69" spans="3:33" x14ac:dyDescent="0.3">
      <c r="S69" s="16" t="s">
        <v>13</v>
      </c>
      <c r="T69" s="17">
        <v>73500</v>
      </c>
      <c r="U69" s="15" t="s">
        <v>11</v>
      </c>
      <c r="W69" s="39" t="s">
        <v>71</v>
      </c>
      <c r="X69" s="99">
        <f>-(AA79-AA74)/AA79*100</f>
        <v>-8.9285714285714288</v>
      </c>
      <c r="Y69" s="100">
        <f>-(AA79-AA72)/AA79*100</f>
        <v>-12.5</v>
      </c>
      <c r="AA69" s="6">
        <v>23</v>
      </c>
      <c r="AB69" s="5">
        <f t="shared" ref="AB69:AB89" si="6">AA69*$T$70/($T$68+$T$70)</f>
        <v>0.94820295983086678</v>
      </c>
      <c r="AC69" s="65">
        <f t="shared" ref="AC69:AC89" si="7">AA69*$T$70/($T$69+$T$70)</f>
        <v>1.1589147286821706</v>
      </c>
      <c r="AD69" s="88"/>
      <c r="AE69" s="89"/>
      <c r="AF69" s="83"/>
      <c r="AG69" s="7"/>
    </row>
    <row r="70" spans="3:33" ht="17.25" thickBot="1" x14ac:dyDescent="0.35">
      <c r="S70" s="16" t="s">
        <v>12</v>
      </c>
      <c r="T70" s="17">
        <v>3900</v>
      </c>
      <c r="U70" s="15" t="s">
        <v>11</v>
      </c>
      <c r="W70" s="38" t="s">
        <v>72</v>
      </c>
      <c r="X70" s="101">
        <f>-(AA79-AA83)/AA79*100</f>
        <v>7.1428571428571423</v>
      </c>
      <c r="Y70" s="102">
        <f>-(AA79-AA83)/AA79*100</f>
        <v>7.1428571428571423</v>
      </c>
      <c r="AA70" s="6">
        <v>23.5</v>
      </c>
      <c r="AB70" s="5">
        <f t="shared" si="6"/>
        <v>0.96881606765327699</v>
      </c>
      <c r="AC70" s="65">
        <f t="shared" si="7"/>
        <v>1.1841085271317831</v>
      </c>
      <c r="AD70" s="88"/>
      <c r="AE70" s="89"/>
      <c r="AF70" s="83"/>
      <c r="AG70" s="7"/>
    </row>
    <row r="71" spans="3:33" ht="17.25" thickBot="1" x14ac:dyDescent="0.35">
      <c r="S71" s="16" t="s">
        <v>10</v>
      </c>
      <c r="T71" s="3">
        <f>T67*T70/(T68+T70)</f>
        <v>1.1543340380549683</v>
      </c>
      <c r="U71" s="15" t="s">
        <v>8</v>
      </c>
      <c r="W71" s="8"/>
      <c r="X71" s="8"/>
      <c r="AA71" s="66">
        <v>24</v>
      </c>
      <c r="AB71" s="67">
        <f t="shared" si="6"/>
        <v>0.98942917547568709</v>
      </c>
      <c r="AC71" s="68">
        <f t="shared" si="7"/>
        <v>1.2093023255813953</v>
      </c>
      <c r="AD71" s="90">
        <v>0.99</v>
      </c>
      <c r="AE71" s="91">
        <v>1.22</v>
      </c>
      <c r="AF71" s="84">
        <v>0.06</v>
      </c>
      <c r="AG71" s="69">
        <v>1.29</v>
      </c>
    </row>
    <row r="72" spans="3:33" ht="17.25" thickBot="1" x14ac:dyDescent="0.35">
      <c r="S72" s="14" t="s">
        <v>9</v>
      </c>
      <c r="T72" s="13">
        <f>T67*T70/(T69+T70)</f>
        <v>1.4108527131782946</v>
      </c>
      <c r="U72" s="12" t="s">
        <v>8</v>
      </c>
      <c r="W72" s="11" t="s">
        <v>75</v>
      </c>
      <c r="X72" s="8"/>
      <c r="AA72" s="73">
        <v>24.5</v>
      </c>
      <c r="AB72" s="74">
        <f t="shared" si="6"/>
        <v>1.0100422832980973</v>
      </c>
      <c r="AC72" s="75">
        <f t="shared" si="7"/>
        <v>1.2344961240310077</v>
      </c>
      <c r="AD72" s="92"/>
      <c r="AE72" s="93"/>
      <c r="AF72" s="85"/>
      <c r="AG72" s="76"/>
    </row>
    <row r="73" spans="3:33" x14ac:dyDescent="0.3">
      <c r="S73" s="11"/>
      <c r="T73" s="9"/>
      <c r="U73" s="8"/>
      <c r="V73" s="8"/>
      <c r="W73" s="1">
        <v>1.1499999999999999</v>
      </c>
      <c r="X73" s="8" t="s">
        <v>76</v>
      </c>
      <c r="AA73" s="6">
        <v>25</v>
      </c>
      <c r="AB73" s="5">
        <f t="shared" si="6"/>
        <v>1.0306553911205074</v>
      </c>
      <c r="AC73" s="65">
        <f t="shared" si="7"/>
        <v>1.2596899224806202</v>
      </c>
      <c r="AD73" s="88"/>
      <c r="AE73" s="89"/>
      <c r="AF73" s="83"/>
      <c r="AG73" s="7"/>
    </row>
    <row r="74" spans="3:33" x14ac:dyDescent="0.3">
      <c r="AA74" s="6">
        <v>25.5</v>
      </c>
      <c r="AB74" s="5">
        <f t="shared" si="6"/>
        <v>1.0512684989429175</v>
      </c>
      <c r="AC74" s="79">
        <f t="shared" si="7"/>
        <v>1.2848837209302326</v>
      </c>
      <c r="AD74" s="88"/>
      <c r="AE74" s="89"/>
      <c r="AF74" s="83"/>
      <c r="AG74" s="7"/>
    </row>
    <row r="75" spans="3:33" x14ac:dyDescent="0.3">
      <c r="AA75" s="6">
        <v>26</v>
      </c>
      <c r="AB75" s="5">
        <f t="shared" si="6"/>
        <v>1.0718816067653276</v>
      </c>
      <c r="AC75" s="79">
        <f t="shared" si="7"/>
        <v>1.3100775193798451</v>
      </c>
      <c r="AD75" s="88"/>
      <c r="AE75" s="89"/>
      <c r="AF75" s="83"/>
      <c r="AG75" s="7"/>
    </row>
    <row r="76" spans="3:33" x14ac:dyDescent="0.3">
      <c r="AA76" s="6">
        <v>26.5</v>
      </c>
      <c r="AB76" s="5">
        <f t="shared" si="6"/>
        <v>1.0924947145877379</v>
      </c>
      <c r="AC76" s="79">
        <f t="shared" si="7"/>
        <v>1.3352713178294573</v>
      </c>
      <c r="AD76" s="88"/>
      <c r="AE76" s="89"/>
      <c r="AF76" s="83"/>
      <c r="AG76" s="7"/>
    </row>
    <row r="77" spans="3:33" x14ac:dyDescent="0.3">
      <c r="AA77" s="6">
        <v>27</v>
      </c>
      <c r="AB77" s="5">
        <f t="shared" si="6"/>
        <v>1.1131078224101481</v>
      </c>
      <c r="AC77" s="79">
        <f t="shared" si="7"/>
        <v>1.3604651162790697</v>
      </c>
      <c r="AD77" s="88"/>
      <c r="AE77" s="89"/>
      <c r="AF77" s="83"/>
      <c r="AG77" s="7"/>
    </row>
    <row r="78" spans="3:33" x14ac:dyDescent="0.3">
      <c r="AA78" s="6">
        <v>27.5</v>
      </c>
      <c r="AB78" s="5">
        <f t="shared" si="6"/>
        <v>1.1337209302325582</v>
      </c>
      <c r="AC78" s="79">
        <f t="shared" si="7"/>
        <v>1.3856589147286822</v>
      </c>
      <c r="AD78" s="88"/>
      <c r="AE78" s="89"/>
      <c r="AF78" s="83"/>
      <c r="AG78" s="7"/>
    </row>
    <row r="79" spans="3:33" x14ac:dyDescent="0.3">
      <c r="AA79" s="6">
        <v>28</v>
      </c>
      <c r="AB79" s="5">
        <f t="shared" si="6"/>
        <v>1.1543340380549683</v>
      </c>
      <c r="AC79" s="79">
        <f t="shared" si="7"/>
        <v>1.4108527131782946</v>
      </c>
      <c r="AD79" s="88">
        <v>1.1599999999999999</v>
      </c>
      <c r="AE79" s="89">
        <v>1.43</v>
      </c>
      <c r="AF79" s="83">
        <v>0.06</v>
      </c>
      <c r="AG79" s="7">
        <v>0.06</v>
      </c>
    </row>
    <row r="80" spans="3:33" x14ac:dyDescent="0.3">
      <c r="AA80" s="6">
        <v>28.5</v>
      </c>
      <c r="AB80" s="5">
        <f t="shared" si="6"/>
        <v>1.1749471458773784</v>
      </c>
      <c r="AC80" s="79">
        <f t="shared" si="7"/>
        <v>1.4360465116279071</v>
      </c>
      <c r="AD80" s="88"/>
      <c r="AE80" s="89"/>
      <c r="AF80" s="83"/>
      <c r="AG80" s="7"/>
    </row>
    <row r="81" spans="3:33" x14ac:dyDescent="0.3">
      <c r="AA81" s="6">
        <v>29</v>
      </c>
      <c r="AB81" s="5">
        <f t="shared" si="6"/>
        <v>1.1955602536997887</v>
      </c>
      <c r="AC81" s="79">
        <f t="shared" si="7"/>
        <v>1.4612403100775193</v>
      </c>
      <c r="AD81" s="88"/>
      <c r="AE81" s="89"/>
      <c r="AF81" s="83"/>
      <c r="AG81" s="7"/>
    </row>
    <row r="82" spans="3:33" x14ac:dyDescent="0.3">
      <c r="AA82" s="6">
        <v>29.5</v>
      </c>
      <c r="AB82" s="5">
        <f t="shared" si="6"/>
        <v>1.2161733615221988</v>
      </c>
      <c r="AC82" s="79">
        <f t="shared" si="7"/>
        <v>1.4864341085271318</v>
      </c>
      <c r="AD82" s="88"/>
      <c r="AE82" s="89"/>
      <c r="AF82" s="83"/>
      <c r="AG82" s="7"/>
    </row>
    <row r="83" spans="3:33" ht="17.25" thickBot="1" x14ac:dyDescent="0.35">
      <c r="AA83" s="77">
        <v>30</v>
      </c>
      <c r="AB83" s="78">
        <f t="shared" si="6"/>
        <v>1.2367864693446089</v>
      </c>
      <c r="AC83" s="80">
        <f t="shared" si="7"/>
        <v>1.5116279069767442</v>
      </c>
      <c r="AD83" s="94"/>
      <c r="AE83" s="95"/>
      <c r="AF83" s="86"/>
      <c r="AG83" s="45"/>
    </row>
    <row r="84" spans="3:33" x14ac:dyDescent="0.3">
      <c r="AA84" s="70">
        <v>30.5</v>
      </c>
      <c r="AB84" s="71">
        <f t="shared" si="6"/>
        <v>1.257399577167019</v>
      </c>
      <c r="AC84" s="81">
        <f t="shared" si="7"/>
        <v>1.5368217054263567</v>
      </c>
      <c r="AD84" s="96">
        <v>1.26</v>
      </c>
      <c r="AE84" s="97">
        <v>1.56</v>
      </c>
      <c r="AF84" s="87">
        <v>1.25</v>
      </c>
      <c r="AG84" s="72">
        <v>7.0000000000000007E-2</v>
      </c>
    </row>
    <row r="85" spans="3:33" x14ac:dyDescent="0.3">
      <c r="AA85" s="6">
        <v>31</v>
      </c>
      <c r="AB85" s="4">
        <f t="shared" si="6"/>
        <v>1.2780126849894291</v>
      </c>
      <c r="AC85" s="79">
        <f t="shared" si="7"/>
        <v>1.5620155038759691</v>
      </c>
      <c r="AD85" s="88"/>
      <c r="AE85" s="89"/>
      <c r="AF85" s="83"/>
      <c r="AG85" s="7"/>
    </row>
    <row r="86" spans="3:33" x14ac:dyDescent="0.3">
      <c r="AA86" s="6">
        <v>31.5</v>
      </c>
      <c r="AB86" s="4">
        <f t="shared" si="6"/>
        <v>1.2986257928118394</v>
      </c>
      <c r="AC86" s="79">
        <f t="shared" si="7"/>
        <v>1.5872093023255813</v>
      </c>
      <c r="AD86" s="88"/>
      <c r="AE86" s="89"/>
      <c r="AF86" s="83"/>
      <c r="AG86" s="7"/>
    </row>
    <row r="87" spans="3:33" x14ac:dyDescent="0.3">
      <c r="AA87" s="6">
        <v>32</v>
      </c>
      <c r="AB87" s="4">
        <f t="shared" si="6"/>
        <v>1.3192389006342495</v>
      </c>
      <c r="AC87" s="79">
        <f t="shared" si="7"/>
        <v>1.6124031007751938</v>
      </c>
      <c r="AD87" s="88"/>
      <c r="AE87" s="89"/>
      <c r="AF87" s="83"/>
      <c r="AG87" s="7"/>
    </row>
    <row r="88" spans="3:33" x14ac:dyDescent="0.3">
      <c r="AA88" s="6">
        <v>32.5</v>
      </c>
      <c r="AB88" s="4">
        <f t="shared" si="6"/>
        <v>1.3398520084566596</v>
      </c>
      <c r="AC88" s="79">
        <f t="shared" si="7"/>
        <v>1.6375968992248062</v>
      </c>
      <c r="AD88" s="88"/>
      <c r="AE88" s="89"/>
      <c r="AF88" s="83"/>
      <c r="AG88" s="7"/>
    </row>
    <row r="89" spans="3:33" ht="17.25" thickBot="1" x14ac:dyDescent="0.35">
      <c r="AA89" s="77">
        <v>33</v>
      </c>
      <c r="AB89" s="49">
        <f t="shared" si="6"/>
        <v>1.3604651162790697</v>
      </c>
      <c r="AC89" s="80">
        <f t="shared" si="7"/>
        <v>1.6627906976744187</v>
      </c>
      <c r="AD89" s="94"/>
      <c r="AE89" s="95"/>
      <c r="AF89" s="86"/>
      <c r="AG89" s="45"/>
    </row>
    <row r="92" spans="3:33" x14ac:dyDescent="0.3">
      <c r="C92" s="22" t="s">
        <v>193</v>
      </c>
    </row>
    <row r="104" spans="3:64" x14ac:dyDescent="0.3">
      <c r="AR104" s="1">
        <v>2.5</v>
      </c>
      <c r="AS104" s="1">
        <v>5</v>
      </c>
      <c r="AT104" s="1">
        <v>10</v>
      </c>
    </row>
    <row r="105" spans="3:64" x14ac:dyDescent="0.3">
      <c r="AQ105" s="1">
        <v>28</v>
      </c>
      <c r="AR105" s="1">
        <f>$AQ105+$AQ105*AR104/100</f>
        <v>28.7</v>
      </c>
      <c r="AS105" s="1">
        <f>$AQ105+$AQ105*AS104/100</f>
        <v>29.4</v>
      </c>
      <c r="AT105" s="1">
        <f>$AQ105+$AQ105*AT104/100</f>
        <v>30.8</v>
      </c>
    </row>
    <row r="107" spans="3:64" x14ac:dyDescent="0.3">
      <c r="AA107" s="1" t="s">
        <v>977</v>
      </c>
      <c r="AI107" s="1" t="s">
        <v>976</v>
      </c>
      <c r="AQ107" s="1" t="s">
        <v>1335</v>
      </c>
      <c r="AY107" s="1" t="s">
        <v>1334</v>
      </c>
      <c r="BG107" s="1" t="s">
        <v>1336</v>
      </c>
    </row>
    <row r="108" spans="3:64" ht="17.25" thickBot="1" x14ac:dyDescent="0.35">
      <c r="C108" s="21" t="s">
        <v>19</v>
      </c>
      <c r="K108" s="21" t="s">
        <v>18</v>
      </c>
      <c r="S108" s="21" t="s">
        <v>17</v>
      </c>
      <c r="AA108" s="21" t="s">
        <v>16</v>
      </c>
      <c r="AI108" s="21" t="s">
        <v>16</v>
      </c>
      <c r="AQ108" s="21" t="s">
        <v>18</v>
      </c>
      <c r="AY108" s="21" t="s">
        <v>18</v>
      </c>
      <c r="BG108" s="21" t="s">
        <v>18</v>
      </c>
    </row>
    <row r="109" spans="3:64" ht="17.25" thickBot="1" x14ac:dyDescent="0.35">
      <c r="C109" s="20" t="s">
        <v>15</v>
      </c>
      <c r="D109" s="19">
        <v>28</v>
      </c>
      <c r="E109" s="18" t="s">
        <v>8</v>
      </c>
      <c r="G109" s="11" t="s">
        <v>70</v>
      </c>
      <c r="H109" s="8"/>
      <c r="K109" s="20" t="s">
        <v>15</v>
      </c>
      <c r="L109" s="19">
        <v>28</v>
      </c>
      <c r="M109" s="18" t="s">
        <v>8</v>
      </c>
      <c r="N109" s="8"/>
      <c r="O109" s="8"/>
      <c r="P109" s="8"/>
      <c r="S109" s="20" t="s">
        <v>15</v>
      </c>
      <c r="T109" s="19">
        <v>28</v>
      </c>
      <c r="U109" s="18" t="s">
        <v>8</v>
      </c>
      <c r="V109" s="8"/>
      <c r="W109" s="8"/>
      <c r="X109" s="8"/>
      <c r="AA109" s="20" t="s">
        <v>15</v>
      </c>
      <c r="AB109" s="19">
        <v>5</v>
      </c>
      <c r="AC109" s="18" t="s">
        <v>8</v>
      </c>
      <c r="AD109" s="8"/>
      <c r="AE109" s="11" t="s">
        <v>70</v>
      </c>
      <c r="AF109" s="8"/>
      <c r="AI109" s="20" t="s">
        <v>6</v>
      </c>
      <c r="AJ109" s="19">
        <v>5</v>
      </c>
      <c r="AK109" s="18" t="s">
        <v>8</v>
      </c>
      <c r="AL109" s="8"/>
      <c r="AM109" s="11" t="s">
        <v>70</v>
      </c>
      <c r="AN109" s="8"/>
      <c r="AQ109" s="20" t="s">
        <v>15</v>
      </c>
      <c r="AR109" s="19">
        <v>28</v>
      </c>
      <c r="AS109" s="18" t="s">
        <v>8</v>
      </c>
      <c r="AT109" s="8"/>
      <c r="AU109" s="8"/>
      <c r="AV109" s="8"/>
      <c r="AY109" s="20" t="s">
        <v>15</v>
      </c>
      <c r="AZ109" s="19">
        <v>28</v>
      </c>
      <c r="BA109" s="18" t="s">
        <v>8</v>
      </c>
      <c r="BB109" s="8"/>
      <c r="BC109" s="8"/>
      <c r="BD109" s="8"/>
      <c r="BG109" s="20" t="s">
        <v>6</v>
      </c>
      <c r="BH109" s="19">
        <v>28</v>
      </c>
      <c r="BI109" s="18" t="s">
        <v>8</v>
      </c>
      <c r="BJ109" s="8"/>
      <c r="BK109" s="8"/>
      <c r="BL109" s="8"/>
    </row>
    <row r="110" spans="3:64" x14ac:dyDescent="0.3">
      <c r="C110" s="16" t="s">
        <v>14</v>
      </c>
      <c r="D110" s="17">
        <v>73200</v>
      </c>
      <c r="E110" s="15" t="s">
        <v>11</v>
      </c>
      <c r="G110" s="24"/>
      <c r="H110" s="98" t="s">
        <v>73</v>
      </c>
      <c r="I110" s="44" t="s">
        <v>74</v>
      </c>
      <c r="K110" s="16" t="s">
        <v>14</v>
      </c>
      <c r="L110" s="17">
        <v>73200</v>
      </c>
      <c r="M110" s="15" t="s">
        <v>11</v>
      </c>
      <c r="N110" s="8"/>
      <c r="O110" s="8"/>
      <c r="P110" s="8"/>
      <c r="S110" s="16" t="s">
        <v>14</v>
      </c>
      <c r="T110" s="17">
        <v>73200</v>
      </c>
      <c r="U110" s="15" t="s">
        <v>11</v>
      </c>
      <c r="V110" s="8"/>
      <c r="W110" s="8"/>
      <c r="X110" s="8"/>
      <c r="AA110" s="16" t="s">
        <v>14</v>
      </c>
      <c r="AB110" s="17">
        <v>2800</v>
      </c>
      <c r="AC110" s="15" t="s">
        <v>11</v>
      </c>
      <c r="AD110" s="8"/>
      <c r="AE110" s="24"/>
      <c r="AF110" s="98" t="s">
        <v>73</v>
      </c>
      <c r="AG110" s="44" t="s">
        <v>74</v>
      </c>
      <c r="AI110" s="16" t="s">
        <v>14</v>
      </c>
      <c r="AJ110" s="17">
        <v>2800</v>
      </c>
      <c r="AK110" s="15" t="s">
        <v>11</v>
      </c>
      <c r="AL110" s="8"/>
      <c r="AM110" s="24"/>
      <c r="AN110" s="98" t="s">
        <v>73</v>
      </c>
      <c r="AO110" s="44" t="s">
        <v>74</v>
      </c>
      <c r="AQ110" s="16" t="s">
        <v>14</v>
      </c>
      <c r="AR110" s="17">
        <v>73200</v>
      </c>
      <c r="AS110" s="15" t="s">
        <v>11</v>
      </c>
      <c r="AT110" s="8"/>
      <c r="AU110" s="8"/>
      <c r="AV110" s="8"/>
      <c r="AY110" s="16" t="s">
        <v>14</v>
      </c>
      <c r="AZ110" s="17">
        <v>73200</v>
      </c>
      <c r="BA110" s="15" t="s">
        <v>11</v>
      </c>
      <c r="BB110" s="8"/>
      <c r="BC110" s="8"/>
      <c r="BD110" s="8"/>
      <c r="BG110" s="16" t="s">
        <v>14</v>
      </c>
      <c r="BH110" s="17">
        <v>56000</v>
      </c>
      <c r="BI110" s="15" t="s">
        <v>11</v>
      </c>
      <c r="BJ110" s="8"/>
      <c r="BK110" s="8"/>
      <c r="BL110" s="8"/>
    </row>
    <row r="111" spans="3:64" x14ac:dyDescent="0.3">
      <c r="C111" s="16" t="s">
        <v>13</v>
      </c>
      <c r="D111" s="17">
        <v>90900</v>
      </c>
      <c r="E111" s="15" t="s">
        <v>11</v>
      </c>
      <c r="G111" s="39" t="s">
        <v>71</v>
      </c>
      <c r="H111" s="99">
        <f>-(C127-C122)/C127*100</f>
        <v>-8.9285714285714288</v>
      </c>
      <c r="I111" s="100">
        <f>-(C127-C120)/C127*100</f>
        <v>-12.5</v>
      </c>
      <c r="K111" s="16" t="s">
        <v>13</v>
      </c>
      <c r="L111" s="17">
        <v>90900</v>
      </c>
      <c r="M111" s="15" t="s">
        <v>11</v>
      </c>
      <c r="N111" s="8"/>
      <c r="O111" s="8"/>
      <c r="P111" s="8"/>
      <c r="S111" s="16" t="s">
        <v>13</v>
      </c>
      <c r="T111" s="17">
        <v>90900</v>
      </c>
      <c r="U111" s="15" t="s">
        <v>11</v>
      </c>
      <c r="V111" s="8"/>
      <c r="W111" s="8"/>
      <c r="X111" s="8"/>
      <c r="AA111" s="16" t="s">
        <v>13</v>
      </c>
      <c r="AB111" s="17">
        <v>3740</v>
      </c>
      <c r="AC111" s="15" t="s">
        <v>11</v>
      </c>
      <c r="AD111" s="8"/>
      <c r="AE111" s="39" t="s">
        <v>71</v>
      </c>
      <c r="AF111" s="99">
        <f>-(AA127-AA122)/AA127*100</f>
        <v>-10</v>
      </c>
      <c r="AG111" s="100">
        <f>-(AA127-AA120)/AA127*100</f>
        <v>-14.000000000000004</v>
      </c>
      <c r="AI111" s="16" t="s">
        <v>13</v>
      </c>
      <c r="AJ111" s="697">
        <v>4020</v>
      </c>
      <c r="AK111" s="15" t="s">
        <v>11</v>
      </c>
      <c r="AL111" s="8"/>
      <c r="AM111" s="39" t="s">
        <v>71</v>
      </c>
      <c r="AN111" s="99">
        <f>-(AI127-AI122)/AI127*100</f>
        <v>-10</v>
      </c>
      <c r="AO111" s="100">
        <f>-(AI127-AI120)/AI127*100</f>
        <v>-14.000000000000004</v>
      </c>
      <c r="AQ111" s="16" t="s">
        <v>13</v>
      </c>
      <c r="AR111" s="17">
        <v>90900</v>
      </c>
      <c r="AS111" s="15" t="s">
        <v>11</v>
      </c>
      <c r="AT111" s="8"/>
      <c r="AU111" s="8"/>
      <c r="AV111" s="8"/>
      <c r="AY111" s="16" t="s">
        <v>13</v>
      </c>
      <c r="AZ111" s="17">
        <v>93000</v>
      </c>
      <c r="BA111" s="15" t="s">
        <v>11</v>
      </c>
      <c r="BB111" s="8"/>
      <c r="BC111" s="8"/>
      <c r="BD111" s="8"/>
      <c r="BG111" s="16" t="s">
        <v>13</v>
      </c>
      <c r="BH111" s="17">
        <v>93000</v>
      </c>
      <c r="BI111" s="15" t="s">
        <v>11</v>
      </c>
      <c r="BJ111" s="8"/>
      <c r="BK111" s="8"/>
      <c r="BL111" s="8"/>
    </row>
    <row r="112" spans="3:64" ht="17.25" thickBot="1" x14ac:dyDescent="0.35">
      <c r="C112" s="16" t="s">
        <v>12</v>
      </c>
      <c r="D112" s="17">
        <v>3900</v>
      </c>
      <c r="E112" s="15" t="s">
        <v>11</v>
      </c>
      <c r="G112" s="38" t="s">
        <v>72</v>
      </c>
      <c r="H112" s="101">
        <f>-(C127-C131)/C127*100</f>
        <v>7.1428571428571423</v>
      </c>
      <c r="I112" s="102">
        <f>-(C127-C131)/C127*100</f>
        <v>7.1428571428571423</v>
      </c>
      <c r="K112" s="16" t="s">
        <v>12</v>
      </c>
      <c r="L112" s="17">
        <v>3900</v>
      </c>
      <c r="M112" s="15" t="s">
        <v>11</v>
      </c>
      <c r="N112" s="8"/>
      <c r="O112" s="8"/>
      <c r="P112" s="8"/>
      <c r="S112" s="16" t="s">
        <v>12</v>
      </c>
      <c r="T112" s="17">
        <v>3900</v>
      </c>
      <c r="U112" s="15" t="s">
        <v>11</v>
      </c>
      <c r="V112" s="8"/>
      <c r="W112" s="8"/>
      <c r="X112" s="8"/>
      <c r="AA112" s="16" t="s">
        <v>12</v>
      </c>
      <c r="AB112" s="17">
        <v>1100</v>
      </c>
      <c r="AC112" s="15" t="s">
        <v>11</v>
      </c>
      <c r="AD112" s="8"/>
      <c r="AE112" s="38" t="s">
        <v>72</v>
      </c>
      <c r="AF112" s="101">
        <f>-(AA127-AA132)/AA127*100</f>
        <v>10</v>
      </c>
      <c r="AG112" s="102">
        <f>-(AA127-AA131)/AA127*100</f>
        <v>8.0000000000000071</v>
      </c>
      <c r="AI112" s="16" t="s">
        <v>12</v>
      </c>
      <c r="AJ112" s="17">
        <v>1100</v>
      </c>
      <c r="AK112" s="15" t="s">
        <v>11</v>
      </c>
      <c r="AL112" s="8"/>
      <c r="AM112" s="38" t="s">
        <v>72</v>
      </c>
      <c r="AN112" s="101">
        <f>-(AI127-AI132)/AI127*100</f>
        <v>10</v>
      </c>
      <c r="AO112" s="102">
        <f>-(AI127-AI131)/AI127*100</f>
        <v>8.0000000000000071</v>
      </c>
      <c r="AQ112" s="16" t="s">
        <v>12</v>
      </c>
      <c r="AR112" s="17">
        <v>3900</v>
      </c>
      <c r="AS112" s="15" t="s">
        <v>11</v>
      </c>
      <c r="AT112" s="8"/>
      <c r="AU112" s="8"/>
      <c r="AV112" s="8"/>
      <c r="AY112" s="16" t="s">
        <v>12</v>
      </c>
      <c r="AZ112" s="17">
        <v>3900</v>
      </c>
      <c r="BA112" s="15" t="s">
        <v>11</v>
      </c>
      <c r="BB112" s="8"/>
      <c r="BC112" s="8"/>
      <c r="BD112" s="8"/>
      <c r="BG112" s="16" t="s">
        <v>12</v>
      </c>
      <c r="BH112" s="17">
        <v>3900</v>
      </c>
      <c r="BI112" s="15" t="s">
        <v>11</v>
      </c>
      <c r="BJ112" s="8"/>
      <c r="BK112" s="8"/>
      <c r="BL112" s="8"/>
    </row>
    <row r="113" spans="3:65" x14ac:dyDescent="0.3">
      <c r="C113" s="16" t="s">
        <v>10</v>
      </c>
      <c r="D113" s="3">
        <f>D109*D112/(D110+D112)</f>
        <v>1.4163424124513619</v>
      </c>
      <c r="E113" s="15" t="s">
        <v>8</v>
      </c>
      <c r="G113" s="8"/>
      <c r="H113" s="8"/>
      <c r="K113" s="16" t="s">
        <v>10</v>
      </c>
      <c r="L113" s="3">
        <f>L109*L112/(L110+L112)</f>
        <v>1.4163424124513619</v>
      </c>
      <c r="M113" s="15" t="s">
        <v>8</v>
      </c>
      <c r="N113" s="8"/>
      <c r="O113" s="8"/>
      <c r="P113" s="8"/>
      <c r="S113" s="16" t="s">
        <v>10</v>
      </c>
      <c r="T113" s="3">
        <f>T109*T112/(T110+T112)</f>
        <v>1.4163424124513619</v>
      </c>
      <c r="U113" s="15" t="s">
        <v>8</v>
      </c>
      <c r="V113" s="8"/>
      <c r="W113" s="8"/>
      <c r="X113" s="8"/>
      <c r="AA113" s="16" t="s">
        <v>10</v>
      </c>
      <c r="AB113" s="3">
        <f>AB109*AB112/(AB110+AB112)</f>
        <v>1.4102564102564104</v>
      </c>
      <c r="AC113" s="15" t="s">
        <v>8</v>
      </c>
      <c r="AD113" s="8"/>
      <c r="AE113" s="8"/>
      <c r="AF113" s="8"/>
      <c r="AI113" s="16" t="s">
        <v>5</v>
      </c>
      <c r="AJ113" s="3">
        <f>AJ109*AJ112/(AJ110+AJ112)</f>
        <v>1.4102564102564104</v>
      </c>
      <c r="AK113" s="15" t="s">
        <v>8</v>
      </c>
      <c r="AL113" s="8"/>
      <c r="AM113" s="8"/>
      <c r="AN113" s="8"/>
      <c r="AQ113" s="16" t="s">
        <v>10</v>
      </c>
      <c r="AR113" s="3">
        <f>AR109*AR112/(AR110+AR112)</f>
        <v>1.4163424124513619</v>
      </c>
      <c r="AS113" s="15" t="s">
        <v>8</v>
      </c>
      <c r="AT113" s="8"/>
      <c r="AU113" s="8"/>
      <c r="AV113" s="8"/>
      <c r="AY113" s="16" t="s">
        <v>10</v>
      </c>
      <c r="AZ113" s="3">
        <f>AZ109*AZ112/(AZ110+AZ112)</f>
        <v>1.4163424124513619</v>
      </c>
      <c r="BA113" s="15" t="s">
        <v>8</v>
      </c>
      <c r="BB113" s="8"/>
      <c r="BC113" s="8"/>
      <c r="BD113" s="8"/>
      <c r="BG113" s="16" t="s">
        <v>5</v>
      </c>
      <c r="BH113" s="3">
        <f>BH109*BH112/(BH110+BH112)</f>
        <v>1.8230383973288815</v>
      </c>
      <c r="BI113" s="15" t="s">
        <v>8</v>
      </c>
      <c r="BJ113" s="8"/>
      <c r="BK113" s="8"/>
      <c r="BL113" s="8"/>
    </row>
    <row r="114" spans="3:65" ht="17.25" thickBot="1" x14ac:dyDescent="0.35">
      <c r="C114" s="14" t="s">
        <v>9</v>
      </c>
      <c r="D114" s="13">
        <f>D109*D112/(D111+D112)</f>
        <v>1.1518987341772151</v>
      </c>
      <c r="E114" s="12" t="s">
        <v>8</v>
      </c>
      <c r="G114" s="11"/>
      <c r="H114" s="8"/>
      <c r="K114" s="14" t="s">
        <v>9</v>
      </c>
      <c r="L114" s="13">
        <f>L109*L112/(L111+L112)</f>
        <v>1.1518987341772151</v>
      </c>
      <c r="M114" s="12" t="s">
        <v>8</v>
      </c>
      <c r="N114" s="8"/>
      <c r="O114" s="11"/>
      <c r="P114" s="8"/>
      <c r="S114" s="14" t="s">
        <v>4</v>
      </c>
      <c r="T114" s="13">
        <f>T109*T112/(T111+T112)</f>
        <v>1.1518987341772151</v>
      </c>
      <c r="U114" s="12" t="s">
        <v>8</v>
      </c>
      <c r="V114" s="8"/>
      <c r="W114" s="11"/>
      <c r="X114" s="8"/>
      <c r="AA114" s="14" t="s">
        <v>4</v>
      </c>
      <c r="AB114" s="13">
        <f>AB109*AB112/(AB111+AB112)</f>
        <v>1.1363636363636365</v>
      </c>
      <c r="AC114" s="12" t="s">
        <v>8</v>
      </c>
      <c r="AD114" s="8"/>
      <c r="AE114" s="11"/>
      <c r="AF114" s="8"/>
      <c r="AI114" s="14" t="s">
        <v>4</v>
      </c>
      <c r="AJ114" s="13">
        <f>AJ109*AJ112/(AJ111+AJ112)</f>
        <v>1.07421875</v>
      </c>
      <c r="AK114" s="12" t="s">
        <v>8</v>
      </c>
      <c r="AL114" s="8"/>
      <c r="AM114" s="11"/>
      <c r="AN114" s="8"/>
      <c r="AQ114" s="14" t="s">
        <v>4</v>
      </c>
      <c r="AR114" s="13">
        <f>AR109*AR112/(AR111+AR112)</f>
        <v>1.1518987341772151</v>
      </c>
      <c r="AS114" s="12" t="s">
        <v>8</v>
      </c>
      <c r="AT114" s="8"/>
      <c r="AU114" s="11"/>
      <c r="AV114" s="8"/>
      <c r="AY114" s="14" t="s">
        <v>4</v>
      </c>
      <c r="AZ114" s="13">
        <f>AZ109*AZ112/(AZ111+AZ112)</f>
        <v>1.1269349845201238</v>
      </c>
      <c r="BA114" s="12" t="s">
        <v>8</v>
      </c>
      <c r="BB114" s="8"/>
      <c r="BC114" s="11"/>
      <c r="BD114" s="8"/>
      <c r="BG114" s="14" t="s">
        <v>4</v>
      </c>
      <c r="BH114" s="13">
        <f>BH109*BH112/(BH111+BH112)</f>
        <v>1.1269349845201238</v>
      </c>
      <c r="BI114" s="12" t="s">
        <v>8</v>
      </c>
      <c r="BJ114" s="8"/>
      <c r="BK114" s="11"/>
      <c r="BL114" s="8"/>
    </row>
    <row r="115" spans="3:65" ht="17.25" thickBot="1" x14ac:dyDescent="0.35">
      <c r="C115" s="11"/>
      <c r="D115" s="9"/>
      <c r="E115" s="8"/>
      <c r="F115" s="8"/>
      <c r="H115" s="8"/>
      <c r="K115" s="10"/>
      <c r="L115" s="9"/>
      <c r="M115" s="8"/>
      <c r="N115" s="8"/>
      <c r="P115" s="8"/>
      <c r="S115" s="10"/>
      <c r="T115" s="9"/>
      <c r="U115" s="8"/>
      <c r="V115" s="8"/>
      <c r="X115" s="8"/>
      <c r="AA115" s="10"/>
      <c r="AB115" s="9"/>
      <c r="AC115" s="8"/>
      <c r="AD115" s="8"/>
      <c r="AE115" s="8"/>
      <c r="AF115" s="8"/>
      <c r="AI115" s="10"/>
      <c r="AJ115" s="9"/>
      <c r="AK115" s="8"/>
      <c r="AL115" s="8"/>
      <c r="AM115" s="8"/>
      <c r="AN115" s="8"/>
      <c r="AQ115" s="10"/>
      <c r="AR115" s="9"/>
      <c r="AS115" s="8"/>
      <c r="AT115" s="8"/>
      <c r="AV115" s="8"/>
      <c r="AY115" s="10"/>
      <c r="AZ115" s="9"/>
      <c r="BA115" s="8"/>
      <c r="BB115" s="8"/>
      <c r="BD115" s="8"/>
      <c r="BG115" s="10"/>
      <c r="BH115" s="9"/>
      <c r="BI115" s="8"/>
      <c r="BJ115" s="8"/>
      <c r="BL115" s="8"/>
    </row>
    <row r="116" spans="3:65" ht="17.25" thickBot="1" x14ac:dyDescent="0.35">
      <c r="F116" s="1033" t="s">
        <v>7</v>
      </c>
      <c r="G116" s="1034"/>
      <c r="H116" s="1034"/>
      <c r="I116" s="1035"/>
      <c r="N116" s="1033" t="s">
        <v>7</v>
      </c>
      <c r="O116" s="1034"/>
      <c r="P116" s="1034"/>
      <c r="Q116" s="1035"/>
      <c r="V116" s="1033" t="s">
        <v>7</v>
      </c>
      <c r="W116" s="1034"/>
      <c r="X116" s="1034"/>
      <c r="Y116" s="1035"/>
      <c r="AD116" s="1033" t="s">
        <v>7</v>
      </c>
      <c r="AE116" s="1034"/>
      <c r="AF116" s="1034"/>
      <c r="AG116" s="1035"/>
      <c r="AL116" s="1033" t="s">
        <v>7</v>
      </c>
      <c r="AM116" s="1034"/>
      <c r="AN116" s="1034"/>
      <c r="AO116" s="1035"/>
      <c r="AT116" s="1033" t="s">
        <v>7</v>
      </c>
      <c r="AU116" s="1034"/>
      <c r="AV116" s="1034"/>
      <c r="AW116" s="1035"/>
      <c r="BB116" s="1033" t="s">
        <v>7</v>
      </c>
      <c r="BC116" s="1034"/>
      <c r="BD116" s="1034"/>
      <c r="BE116" s="1035"/>
      <c r="BJ116" s="1033" t="s">
        <v>7</v>
      </c>
      <c r="BK116" s="1034"/>
      <c r="BL116" s="1034"/>
      <c r="BM116" s="1035"/>
    </row>
    <row r="117" spans="3:65" ht="17.25" thickBot="1" x14ac:dyDescent="0.35">
      <c r="C117" s="61" t="s">
        <v>6</v>
      </c>
      <c r="D117" s="62" t="s">
        <v>5</v>
      </c>
      <c r="E117" s="63" t="s">
        <v>4</v>
      </c>
      <c r="F117" s="61" t="s">
        <v>5</v>
      </c>
      <c r="G117" s="64" t="s">
        <v>4</v>
      </c>
      <c r="H117" s="82" t="s">
        <v>113</v>
      </c>
      <c r="I117" s="64" t="s">
        <v>114</v>
      </c>
      <c r="J117" s="2"/>
      <c r="K117" s="61" t="s">
        <v>6</v>
      </c>
      <c r="L117" s="62" t="s">
        <v>5</v>
      </c>
      <c r="M117" s="63" t="s">
        <v>4</v>
      </c>
      <c r="N117" s="61" t="s">
        <v>5</v>
      </c>
      <c r="O117" s="64" t="s">
        <v>4</v>
      </c>
      <c r="P117" s="82" t="s">
        <v>113</v>
      </c>
      <c r="Q117" s="64" t="s">
        <v>114</v>
      </c>
      <c r="R117" s="2"/>
      <c r="S117" s="61" t="s">
        <v>6</v>
      </c>
      <c r="T117" s="62" t="s">
        <v>5</v>
      </c>
      <c r="U117" s="63" t="s">
        <v>4</v>
      </c>
      <c r="V117" s="61" t="s">
        <v>5</v>
      </c>
      <c r="W117" s="64" t="s">
        <v>4</v>
      </c>
      <c r="X117" s="82" t="s">
        <v>113</v>
      </c>
      <c r="Y117" s="64" t="s">
        <v>114</v>
      </c>
      <c r="Z117" s="2"/>
      <c r="AA117" s="61" t="s">
        <v>6</v>
      </c>
      <c r="AB117" s="62" t="s">
        <v>5</v>
      </c>
      <c r="AC117" s="63" t="s">
        <v>4</v>
      </c>
      <c r="AD117" s="61" t="s">
        <v>5</v>
      </c>
      <c r="AE117" s="64" t="s">
        <v>4</v>
      </c>
      <c r="AF117" s="82" t="s">
        <v>113</v>
      </c>
      <c r="AG117" s="64" t="s">
        <v>114</v>
      </c>
      <c r="AI117" s="61" t="s">
        <v>6</v>
      </c>
      <c r="AJ117" s="62" t="s">
        <v>5</v>
      </c>
      <c r="AK117" s="63" t="s">
        <v>4</v>
      </c>
      <c r="AL117" s="61" t="s">
        <v>5</v>
      </c>
      <c r="AM117" s="64" t="s">
        <v>4</v>
      </c>
      <c r="AN117" s="82" t="s">
        <v>113</v>
      </c>
      <c r="AO117" s="64" t="s">
        <v>114</v>
      </c>
      <c r="AQ117" s="61" t="s">
        <v>6</v>
      </c>
      <c r="AR117" s="62" t="s">
        <v>5</v>
      </c>
      <c r="AS117" s="63" t="s">
        <v>4</v>
      </c>
      <c r="AT117" s="61" t="s">
        <v>5</v>
      </c>
      <c r="AU117" s="64" t="s">
        <v>4</v>
      </c>
      <c r="AV117" s="82" t="s">
        <v>113</v>
      </c>
      <c r="AW117" s="64" t="s">
        <v>114</v>
      </c>
      <c r="AY117" s="61" t="s">
        <v>6</v>
      </c>
      <c r="AZ117" s="62" t="s">
        <v>5</v>
      </c>
      <c r="BA117" s="63" t="s">
        <v>4</v>
      </c>
      <c r="BB117" s="61" t="s">
        <v>5</v>
      </c>
      <c r="BC117" s="64" t="s">
        <v>4</v>
      </c>
      <c r="BD117" s="82" t="s">
        <v>113</v>
      </c>
      <c r="BE117" s="64" t="s">
        <v>114</v>
      </c>
      <c r="BG117" s="61" t="s">
        <v>6</v>
      </c>
      <c r="BH117" s="62" t="s">
        <v>5</v>
      </c>
      <c r="BI117" s="63" t="s">
        <v>4</v>
      </c>
      <c r="BJ117" s="61" t="s">
        <v>5</v>
      </c>
      <c r="BK117" s="64" t="s">
        <v>4</v>
      </c>
      <c r="BL117" s="82" t="s">
        <v>113</v>
      </c>
      <c r="BM117" s="64" t="s">
        <v>114</v>
      </c>
    </row>
    <row r="118" spans="3:65" x14ac:dyDescent="0.3">
      <c r="C118" s="6">
        <v>23.5</v>
      </c>
      <c r="D118" s="5">
        <f t="shared" ref="D118:D135" si="8">C118*D$112/(D$110+D$112)</f>
        <v>1.188715953307393</v>
      </c>
      <c r="E118" s="65">
        <f t="shared" ref="E118:E135" si="9">C118*D$112/(D$111+D$112)</f>
        <v>0.96677215189873422</v>
      </c>
      <c r="F118" s="88"/>
      <c r="G118" s="89"/>
      <c r="H118" s="83"/>
      <c r="I118" s="7"/>
      <c r="J118" s="2"/>
      <c r="K118" s="6">
        <v>23.5</v>
      </c>
      <c r="L118" s="5">
        <f t="shared" ref="L118:L135" si="10">K118*L$112/(L$110+L$112)</f>
        <v>1.188715953307393</v>
      </c>
      <c r="M118" s="65">
        <f t="shared" ref="M118:M135" si="11">K118*L$112/(L$111+L$112)</f>
        <v>0.96677215189873422</v>
      </c>
      <c r="N118" s="88"/>
      <c r="O118" s="89"/>
      <c r="P118" s="83"/>
      <c r="Q118" s="7"/>
      <c r="R118" s="2"/>
      <c r="S118" s="6">
        <v>23.5</v>
      </c>
      <c r="T118" s="5">
        <f t="shared" ref="T118:T135" si="12">S118*T$112/(T$110+T$112)</f>
        <v>1.188715953307393</v>
      </c>
      <c r="U118" s="65">
        <f t="shared" ref="U118:U135" si="13">S118*T$112/(T$111+T$112)</f>
        <v>0.96677215189873422</v>
      </c>
      <c r="V118" s="88"/>
      <c r="W118" s="89"/>
      <c r="X118" s="83"/>
      <c r="Y118" s="7"/>
      <c r="Z118" s="2"/>
      <c r="AA118" s="6">
        <v>4.0999999999999996</v>
      </c>
      <c r="AB118" s="5">
        <f t="shared" ref="AB118:AB135" si="14">AA118*AB$112/(AB$110+AB$112)</f>
        <v>1.1564102564102565</v>
      </c>
      <c r="AC118" s="65">
        <f t="shared" ref="AC118:AC135" si="15">AA118*AB$112/(AB$111+AB$112)</f>
        <v>0.93181818181818177</v>
      </c>
      <c r="AD118" s="88"/>
      <c r="AE118" s="89"/>
      <c r="AF118" s="83"/>
      <c r="AG118" s="7"/>
      <c r="AI118" s="73">
        <v>4.0999999999999996</v>
      </c>
      <c r="AJ118" s="74">
        <f t="shared" ref="AJ118:AJ134" si="16">AI118*AJ$112/(AJ$110+AJ$112)</f>
        <v>1.1564102564102565</v>
      </c>
      <c r="AK118" s="75">
        <f t="shared" ref="AK118:AK134" si="17">AI118*AJ$112/(AJ$111+AJ$112)</f>
        <v>0.880859375</v>
      </c>
      <c r="AL118" s="92"/>
      <c r="AM118" s="93"/>
      <c r="AN118" s="85"/>
      <c r="AO118" s="76"/>
      <c r="AQ118" s="6">
        <v>23.5</v>
      </c>
      <c r="AR118" s="5">
        <f t="shared" ref="AR118:AR135" si="18">AQ118*AR$112/(AR$110+AR$112)</f>
        <v>1.188715953307393</v>
      </c>
      <c r="AS118" s="65">
        <f t="shared" ref="AS118:AS135" si="19">AQ118*AR$112/(AR$111+AR$112)</f>
        <v>0.96677215189873422</v>
      </c>
      <c r="AT118" s="88"/>
      <c r="AU118" s="89"/>
      <c r="AV118" s="83"/>
      <c r="AW118" s="7"/>
      <c r="AY118" s="6">
        <v>23.5</v>
      </c>
      <c r="AZ118" s="5">
        <f t="shared" ref="AZ118:AZ135" si="20">AY118*AZ$112/(AZ$110+AZ$112)</f>
        <v>1.188715953307393</v>
      </c>
      <c r="BA118" s="65">
        <f t="shared" ref="BA118:BA135" si="21">AY118*AZ$112/(AZ$111+AZ$112)</f>
        <v>0.94582043343653255</v>
      </c>
      <c r="BB118" s="88"/>
      <c r="BC118" s="89"/>
      <c r="BD118" s="83"/>
      <c r="BE118" s="7"/>
      <c r="BG118" s="6">
        <v>20</v>
      </c>
      <c r="BH118" s="67">
        <f t="shared" ref="BH118" si="22">BG118*BH$112/(BH$110+BH$112)</f>
        <v>1.3021702838063438</v>
      </c>
      <c r="BI118" s="68">
        <f t="shared" ref="BI118" si="23">BG118*BH$112/(BH$111+BH$112)</f>
        <v>0.804953560371517</v>
      </c>
      <c r="BJ118" s="88"/>
      <c r="BK118" s="89"/>
      <c r="BL118" s="83"/>
      <c r="BM118" s="7"/>
    </row>
    <row r="119" spans="3:65" ht="17.25" thickBot="1" x14ac:dyDescent="0.35">
      <c r="C119" s="66">
        <v>24</v>
      </c>
      <c r="D119" s="67">
        <f t="shared" si="8"/>
        <v>1.2140077821011672</v>
      </c>
      <c r="E119" s="68">
        <f t="shared" si="9"/>
        <v>0.98734177215189878</v>
      </c>
      <c r="F119" s="90">
        <v>1.22</v>
      </c>
      <c r="G119" s="91">
        <v>1</v>
      </c>
      <c r="H119" s="84">
        <v>0.05</v>
      </c>
      <c r="I119" s="69">
        <v>24</v>
      </c>
      <c r="J119" s="2"/>
      <c r="K119" s="66">
        <v>24</v>
      </c>
      <c r="L119" s="67">
        <f t="shared" si="10"/>
        <v>1.2140077821011672</v>
      </c>
      <c r="M119" s="68">
        <f t="shared" si="11"/>
        <v>0.98734177215189878</v>
      </c>
      <c r="N119" s="90">
        <v>1.22</v>
      </c>
      <c r="O119" s="91">
        <v>0.99</v>
      </c>
      <c r="P119" s="84">
        <v>0.05</v>
      </c>
      <c r="Q119" s="69">
        <v>24</v>
      </c>
      <c r="R119" s="2"/>
      <c r="S119" s="66">
        <v>24</v>
      </c>
      <c r="T119" s="67">
        <f t="shared" si="12"/>
        <v>1.2140077821011672</v>
      </c>
      <c r="U119" s="68">
        <f t="shared" si="13"/>
        <v>0.98734177215189878</v>
      </c>
      <c r="V119" s="90">
        <v>1.22</v>
      </c>
      <c r="W119" s="91">
        <v>1</v>
      </c>
      <c r="X119" s="84">
        <v>0.05</v>
      </c>
      <c r="Y119" s="69">
        <v>24</v>
      </c>
      <c r="Z119" s="2"/>
      <c r="AA119" s="66">
        <v>4.2</v>
      </c>
      <c r="AB119" s="67">
        <f t="shared" si="14"/>
        <v>1.1846153846153846</v>
      </c>
      <c r="AC119" s="68">
        <f t="shared" si="15"/>
        <v>0.95454545454545459</v>
      </c>
      <c r="AD119" s="90">
        <v>1.21</v>
      </c>
      <c r="AE119" s="91">
        <v>0.97</v>
      </c>
      <c r="AF119" s="84">
        <v>0.06</v>
      </c>
      <c r="AG119" s="69">
        <v>4.28</v>
      </c>
      <c r="AI119" s="6">
        <v>4.2</v>
      </c>
      <c r="AJ119" s="5">
        <f t="shared" si="16"/>
        <v>1.1846153846153846</v>
      </c>
      <c r="AK119" s="65">
        <f t="shared" si="17"/>
        <v>0.90234375</v>
      </c>
      <c r="AL119" s="88"/>
      <c r="AM119" s="89"/>
      <c r="AN119" s="83"/>
      <c r="AO119" s="7"/>
      <c r="AQ119" s="66">
        <v>24</v>
      </c>
      <c r="AR119" s="67">
        <f t="shared" si="18"/>
        <v>1.2140077821011672</v>
      </c>
      <c r="AS119" s="68">
        <f t="shared" si="19"/>
        <v>0.98734177215189878</v>
      </c>
      <c r="AT119" s="90">
        <v>1.22</v>
      </c>
      <c r="AU119" s="91">
        <v>0.99</v>
      </c>
      <c r="AV119" s="84">
        <v>0.05</v>
      </c>
      <c r="AW119" s="69">
        <v>24</v>
      </c>
      <c r="AY119" s="66">
        <v>24</v>
      </c>
      <c r="AZ119" s="67">
        <f t="shared" si="20"/>
        <v>1.2140077821011672</v>
      </c>
      <c r="BA119" s="68">
        <f t="shared" si="21"/>
        <v>0.96594427244582048</v>
      </c>
      <c r="BB119" s="90">
        <v>1.22</v>
      </c>
      <c r="BC119" s="91">
        <v>0.99</v>
      </c>
      <c r="BD119" s="84">
        <v>0.05</v>
      </c>
      <c r="BE119" s="69">
        <v>24</v>
      </c>
      <c r="BG119" s="66">
        <v>24</v>
      </c>
      <c r="BH119" s="67">
        <f t="shared" ref="BH119:BH135" si="24">BG119*BH$112/(BH$110+BH$112)</f>
        <v>1.5626043405676127</v>
      </c>
      <c r="BI119" s="68">
        <f t="shared" ref="BI119:BI135" si="25">BG119*BH$112/(BH$111+BH$112)</f>
        <v>0.96594427244582048</v>
      </c>
      <c r="BJ119" s="90">
        <v>1.22</v>
      </c>
      <c r="BK119" s="91">
        <v>0.99</v>
      </c>
      <c r="BL119" s="84">
        <v>0.05</v>
      </c>
      <c r="BM119" s="69">
        <v>24</v>
      </c>
    </row>
    <row r="120" spans="3:65" x14ac:dyDescent="0.3">
      <c r="C120" s="73">
        <v>24.5</v>
      </c>
      <c r="D120" s="74">
        <f t="shared" si="8"/>
        <v>1.2392996108949417</v>
      </c>
      <c r="E120" s="75">
        <f t="shared" si="9"/>
        <v>1.0079113924050633</v>
      </c>
      <c r="F120" s="92">
        <v>1.25</v>
      </c>
      <c r="G120" s="93">
        <v>1.02</v>
      </c>
      <c r="H120" s="151">
        <v>1.29</v>
      </c>
      <c r="I120" s="76">
        <v>1.1599999999999999</v>
      </c>
      <c r="J120" s="2"/>
      <c r="K120" s="73">
        <v>24.5</v>
      </c>
      <c r="L120" s="74">
        <f t="shared" si="10"/>
        <v>1.2392996108949417</v>
      </c>
      <c r="M120" s="75">
        <f t="shared" si="11"/>
        <v>1.0079113924050633</v>
      </c>
      <c r="N120" s="92">
        <v>1.25</v>
      </c>
      <c r="O120" s="93">
        <v>1.02</v>
      </c>
      <c r="P120" s="151">
        <v>1.29</v>
      </c>
      <c r="Q120" s="76">
        <v>1.1599999999999999</v>
      </c>
      <c r="R120" s="2"/>
      <c r="S120" s="73">
        <v>24.5</v>
      </c>
      <c r="T120" s="74">
        <f t="shared" si="12"/>
        <v>1.2392996108949417</v>
      </c>
      <c r="U120" s="75">
        <f t="shared" si="13"/>
        <v>1.0079113924050633</v>
      </c>
      <c r="V120" s="92">
        <v>1.25</v>
      </c>
      <c r="W120" s="93">
        <v>1.02</v>
      </c>
      <c r="X120" s="151">
        <v>1.29</v>
      </c>
      <c r="Y120" s="76">
        <v>1.1599999999999999</v>
      </c>
      <c r="Z120" s="2"/>
      <c r="AA120" s="73">
        <v>4.3</v>
      </c>
      <c r="AB120" s="74">
        <f t="shared" si="14"/>
        <v>1.2128205128205127</v>
      </c>
      <c r="AC120" s="75">
        <f t="shared" si="15"/>
        <v>0.97727272727272729</v>
      </c>
      <c r="AD120" s="92">
        <v>1.24</v>
      </c>
      <c r="AE120" s="93">
        <v>1</v>
      </c>
      <c r="AF120" s="151">
        <v>1.3</v>
      </c>
      <c r="AG120" s="76">
        <v>1.2</v>
      </c>
      <c r="AI120" s="6">
        <v>4.3</v>
      </c>
      <c r="AJ120" s="5">
        <f t="shared" si="16"/>
        <v>1.2128205128205127</v>
      </c>
      <c r="AK120" s="65">
        <f t="shared" si="17"/>
        <v>0.923828125</v>
      </c>
      <c r="AL120" s="88"/>
      <c r="AM120" s="89"/>
      <c r="AN120" s="83"/>
      <c r="AO120" s="7"/>
      <c r="AQ120" s="73">
        <v>24.5</v>
      </c>
      <c r="AR120" s="74">
        <f t="shared" si="18"/>
        <v>1.2392996108949417</v>
      </c>
      <c r="AS120" s="75">
        <f t="shared" si="19"/>
        <v>1.0079113924050633</v>
      </c>
      <c r="AT120" s="92">
        <v>1.25</v>
      </c>
      <c r="AU120" s="93">
        <v>1.02</v>
      </c>
      <c r="AV120" s="151">
        <v>1.29</v>
      </c>
      <c r="AW120" s="76">
        <v>1.1599999999999999</v>
      </c>
      <c r="AY120" s="73">
        <v>24.5</v>
      </c>
      <c r="AZ120" s="74">
        <f t="shared" si="20"/>
        <v>1.2392996108949417</v>
      </c>
      <c r="BA120" s="75">
        <f t="shared" si="21"/>
        <v>0.98606811145510831</v>
      </c>
      <c r="BB120" s="92">
        <v>1.25</v>
      </c>
      <c r="BC120" s="93">
        <v>1.02</v>
      </c>
      <c r="BD120" s="151">
        <v>1.29</v>
      </c>
      <c r="BE120" s="76">
        <v>1.1599999999999999</v>
      </c>
      <c r="BG120" s="73">
        <v>24.5</v>
      </c>
      <c r="BH120" s="74">
        <f t="shared" si="24"/>
        <v>1.5951585976627713</v>
      </c>
      <c r="BI120" s="75">
        <f t="shared" si="25"/>
        <v>0.98606811145510831</v>
      </c>
      <c r="BJ120" s="92">
        <v>1.25</v>
      </c>
      <c r="BK120" s="93">
        <v>1.02</v>
      </c>
      <c r="BL120" s="151">
        <v>1.29</v>
      </c>
      <c r="BM120" s="76">
        <v>1.1599999999999999</v>
      </c>
    </row>
    <row r="121" spans="3:65" ht="17.25" thickBot="1" x14ac:dyDescent="0.35">
      <c r="C121" s="6">
        <v>25</v>
      </c>
      <c r="D121" s="5">
        <f t="shared" si="8"/>
        <v>1.2645914396887159</v>
      </c>
      <c r="E121" s="65">
        <f t="shared" si="9"/>
        <v>1.0284810126582278</v>
      </c>
      <c r="F121" s="88"/>
      <c r="G121" s="89"/>
      <c r="H121" s="152"/>
      <c r="I121" s="7"/>
      <c r="J121" s="2"/>
      <c r="K121" s="6">
        <v>25</v>
      </c>
      <c r="L121" s="5">
        <f t="shared" si="10"/>
        <v>1.2645914396887159</v>
      </c>
      <c r="M121" s="65">
        <f t="shared" si="11"/>
        <v>1.0284810126582278</v>
      </c>
      <c r="N121" s="88"/>
      <c r="O121" s="89"/>
      <c r="P121" s="152"/>
      <c r="Q121" s="7"/>
      <c r="R121" s="2"/>
      <c r="S121" s="6">
        <v>25</v>
      </c>
      <c r="T121" s="5">
        <f t="shared" si="12"/>
        <v>1.2645914396887159</v>
      </c>
      <c r="U121" s="65">
        <f t="shared" si="13"/>
        <v>1.0284810126582278</v>
      </c>
      <c r="V121" s="88"/>
      <c r="W121" s="89"/>
      <c r="X121" s="152"/>
      <c r="Y121" s="7"/>
      <c r="Z121" s="2"/>
      <c r="AA121" s="6">
        <v>4.4000000000000004</v>
      </c>
      <c r="AB121" s="5">
        <f t="shared" si="14"/>
        <v>1.2410256410256411</v>
      </c>
      <c r="AC121" s="65">
        <f t="shared" si="15"/>
        <v>1</v>
      </c>
      <c r="AD121" s="88"/>
      <c r="AE121" s="89"/>
      <c r="AF121" s="152"/>
      <c r="AG121" s="7"/>
      <c r="AI121" s="77">
        <v>4.4000000000000004</v>
      </c>
      <c r="AJ121" s="78">
        <f t="shared" si="16"/>
        <v>1.2410256410256411</v>
      </c>
      <c r="AK121" s="149">
        <f t="shared" si="17"/>
        <v>0.9453125</v>
      </c>
      <c r="AL121" s="94"/>
      <c r="AM121" s="95"/>
      <c r="AN121" s="86"/>
      <c r="AO121" s="45"/>
      <c r="AQ121" s="6">
        <v>25</v>
      </c>
      <c r="AR121" s="5">
        <f t="shared" si="18"/>
        <v>1.2645914396887159</v>
      </c>
      <c r="AS121" s="65">
        <f t="shared" si="19"/>
        <v>1.0284810126582278</v>
      </c>
      <c r="AT121" s="88"/>
      <c r="AU121" s="89"/>
      <c r="AV121" s="152"/>
      <c r="AW121" s="7"/>
      <c r="AY121" s="6">
        <v>25</v>
      </c>
      <c r="AZ121" s="5">
        <f t="shared" si="20"/>
        <v>1.2645914396887159</v>
      </c>
      <c r="BA121" s="65">
        <f t="shared" si="21"/>
        <v>1.0061919504643964</v>
      </c>
      <c r="BB121" s="88"/>
      <c r="BC121" s="89"/>
      <c r="BD121" s="152"/>
      <c r="BE121" s="7"/>
      <c r="BG121" s="6">
        <v>25</v>
      </c>
      <c r="BH121" s="5">
        <f t="shared" si="24"/>
        <v>1.6277128547579298</v>
      </c>
      <c r="BI121" s="65">
        <f t="shared" si="25"/>
        <v>1.0061919504643964</v>
      </c>
      <c r="BJ121" s="88"/>
      <c r="BK121" s="89"/>
      <c r="BL121" s="152"/>
      <c r="BM121" s="7"/>
    </row>
    <row r="122" spans="3:65" x14ac:dyDescent="0.3">
      <c r="C122" s="6">
        <v>25.5</v>
      </c>
      <c r="D122" s="4">
        <f t="shared" si="8"/>
        <v>1.2898832684824904</v>
      </c>
      <c r="E122" s="65">
        <f t="shared" si="9"/>
        <v>1.0490506329113924</v>
      </c>
      <c r="F122" s="88"/>
      <c r="G122" s="89"/>
      <c r="H122" s="152"/>
      <c r="I122" s="7"/>
      <c r="J122" s="2"/>
      <c r="K122" s="6">
        <v>25.5</v>
      </c>
      <c r="L122" s="4">
        <f t="shared" si="10"/>
        <v>1.2898832684824904</v>
      </c>
      <c r="M122" s="65">
        <f t="shared" si="11"/>
        <v>1.0490506329113924</v>
      </c>
      <c r="N122" s="88"/>
      <c r="O122" s="89"/>
      <c r="P122" s="152"/>
      <c r="Q122" s="7"/>
      <c r="R122" s="2"/>
      <c r="S122" s="6">
        <v>25.5</v>
      </c>
      <c r="T122" s="4">
        <f t="shared" si="12"/>
        <v>1.2898832684824904</v>
      </c>
      <c r="U122" s="65">
        <f t="shared" si="13"/>
        <v>1.0490506329113924</v>
      </c>
      <c r="V122" s="88"/>
      <c r="W122" s="89"/>
      <c r="X122" s="152"/>
      <c r="Y122" s="7"/>
      <c r="Z122" s="2"/>
      <c r="AA122" s="6">
        <v>4.5</v>
      </c>
      <c r="AB122" s="4">
        <f t="shared" si="14"/>
        <v>1.2692307692307692</v>
      </c>
      <c r="AC122" s="65">
        <f t="shared" si="15"/>
        <v>1.0227272727272727</v>
      </c>
      <c r="AD122" s="88"/>
      <c r="AE122" s="89"/>
      <c r="AF122" s="152"/>
      <c r="AG122" s="7"/>
      <c r="AI122" s="73">
        <v>4.5</v>
      </c>
      <c r="AJ122" s="687">
        <f t="shared" si="16"/>
        <v>1.2692307692307692</v>
      </c>
      <c r="AK122" s="75">
        <f t="shared" si="17"/>
        <v>0.966796875</v>
      </c>
      <c r="AL122" s="92"/>
      <c r="AM122" s="93"/>
      <c r="AN122" s="85"/>
      <c r="AO122" s="76"/>
      <c r="AQ122" s="6">
        <v>25.5</v>
      </c>
      <c r="AR122" s="4">
        <f t="shared" si="18"/>
        <v>1.2898832684824904</v>
      </c>
      <c r="AS122" s="65">
        <f t="shared" si="19"/>
        <v>1.0490506329113924</v>
      </c>
      <c r="AT122" s="88"/>
      <c r="AU122" s="89"/>
      <c r="AV122" s="152"/>
      <c r="AW122" s="7"/>
      <c r="AY122" s="6">
        <v>25.5</v>
      </c>
      <c r="AZ122" s="4">
        <f t="shared" si="20"/>
        <v>1.2898832684824904</v>
      </c>
      <c r="BA122" s="65">
        <f t="shared" si="21"/>
        <v>1.0263157894736843</v>
      </c>
      <c r="BB122" s="88"/>
      <c r="BC122" s="89"/>
      <c r="BD122" s="152"/>
      <c r="BE122" s="7"/>
      <c r="BG122" s="6">
        <v>25.5</v>
      </c>
      <c r="BH122" s="4">
        <f t="shared" si="24"/>
        <v>1.6602671118530885</v>
      </c>
      <c r="BI122" s="65">
        <f t="shared" si="25"/>
        <v>1.0263157894736843</v>
      </c>
      <c r="BJ122" s="88"/>
      <c r="BK122" s="89"/>
      <c r="BL122" s="152"/>
      <c r="BM122" s="7"/>
    </row>
    <row r="123" spans="3:65" x14ac:dyDescent="0.3">
      <c r="C123" s="6">
        <v>26</v>
      </c>
      <c r="D123" s="4">
        <f t="shared" si="8"/>
        <v>1.3151750972762646</v>
      </c>
      <c r="E123" s="65">
        <f t="shared" si="9"/>
        <v>1.0696202531645569</v>
      </c>
      <c r="F123" s="88"/>
      <c r="G123" s="89"/>
      <c r="H123" s="152"/>
      <c r="I123" s="7"/>
      <c r="J123" s="2"/>
      <c r="K123" s="6">
        <v>26</v>
      </c>
      <c r="L123" s="4">
        <f t="shared" si="10"/>
        <v>1.3151750972762646</v>
      </c>
      <c r="M123" s="65">
        <f t="shared" si="11"/>
        <v>1.0696202531645569</v>
      </c>
      <c r="N123" s="88"/>
      <c r="O123" s="89"/>
      <c r="P123" s="152"/>
      <c r="Q123" s="7"/>
      <c r="R123" s="2"/>
      <c r="S123" s="6">
        <v>26</v>
      </c>
      <c r="T123" s="4">
        <f t="shared" si="12"/>
        <v>1.3151750972762646</v>
      </c>
      <c r="U123" s="65">
        <f t="shared" si="13"/>
        <v>1.0696202531645569</v>
      </c>
      <c r="V123" s="88"/>
      <c r="W123" s="89"/>
      <c r="X123" s="152"/>
      <c r="Y123" s="7"/>
      <c r="Z123" s="2"/>
      <c r="AA123" s="6">
        <v>4.5999999999999996</v>
      </c>
      <c r="AB123" s="4">
        <f t="shared" si="14"/>
        <v>1.2974358974358975</v>
      </c>
      <c r="AC123" s="65">
        <f t="shared" si="15"/>
        <v>1.0454545454545454</v>
      </c>
      <c r="AD123" s="88"/>
      <c r="AE123" s="89"/>
      <c r="AF123" s="152"/>
      <c r="AG123" s="7"/>
      <c r="AI123" s="6">
        <v>4.5999999999999996</v>
      </c>
      <c r="AJ123" s="4">
        <f t="shared" si="16"/>
        <v>1.2974358974358975</v>
      </c>
      <c r="AK123" s="65">
        <f t="shared" si="17"/>
        <v>0.98828125</v>
      </c>
      <c r="AL123" s="88"/>
      <c r="AM123" s="89"/>
      <c r="AN123" s="83"/>
      <c r="AO123" s="7"/>
      <c r="AQ123" s="6">
        <v>26</v>
      </c>
      <c r="AR123" s="4">
        <f t="shared" si="18"/>
        <v>1.3151750972762646</v>
      </c>
      <c r="AS123" s="65">
        <f t="shared" si="19"/>
        <v>1.0696202531645569</v>
      </c>
      <c r="AT123" s="88"/>
      <c r="AU123" s="89"/>
      <c r="AV123" s="152"/>
      <c r="AW123" s="7"/>
      <c r="AY123" s="6">
        <v>26</v>
      </c>
      <c r="AZ123" s="4">
        <f t="shared" si="20"/>
        <v>1.3151750972762646</v>
      </c>
      <c r="BA123" s="65">
        <f t="shared" si="21"/>
        <v>1.0464396284829722</v>
      </c>
      <c r="BB123" s="88"/>
      <c r="BC123" s="89"/>
      <c r="BD123" s="152"/>
      <c r="BE123" s="7"/>
      <c r="BG123" s="6">
        <v>26</v>
      </c>
      <c r="BH123" s="4">
        <f t="shared" si="24"/>
        <v>1.692821368948247</v>
      </c>
      <c r="BI123" s="65">
        <f t="shared" si="25"/>
        <v>1.0464396284829722</v>
      </c>
      <c r="BJ123" s="88"/>
      <c r="BK123" s="89"/>
      <c r="BL123" s="152"/>
      <c r="BM123" s="7"/>
    </row>
    <row r="124" spans="3:65" x14ac:dyDescent="0.3">
      <c r="C124" s="6">
        <v>26.5</v>
      </c>
      <c r="D124" s="4">
        <f t="shared" si="8"/>
        <v>1.3404669260700388</v>
      </c>
      <c r="E124" s="65">
        <f t="shared" si="9"/>
        <v>1.0901898734177216</v>
      </c>
      <c r="F124" s="88"/>
      <c r="G124" s="89"/>
      <c r="H124" s="152"/>
      <c r="I124" s="7"/>
      <c r="J124" s="2"/>
      <c r="K124" s="6">
        <v>26.5</v>
      </c>
      <c r="L124" s="4">
        <f t="shared" si="10"/>
        <v>1.3404669260700388</v>
      </c>
      <c r="M124" s="65">
        <f t="shared" si="11"/>
        <v>1.0901898734177216</v>
      </c>
      <c r="N124" s="88"/>
      <c r="O124" s="89"/>
      <c r="P124" s="152"/>
      <c r="Q124" s="7"/>
      <c r="R124" s="2"/>
      <c r="S124" s="6">
        <v>26.5</v>
      </c>
      <c r="T124" s="4">
        <f t="shared" si="12"/>
        <v>1.3404669260700388</v>
      </c>
      <c r="U124" s="65">
        <f t="shared" si="13"/>
        <v>1.0901898734177216</v>
      </c>
      <c r="V124" s="88"/>
      <c r="W124" s="89"/>
      <c r="X124" s="152"/>
      <c r="Y124" s="7"/>
      <c r="Z124" s="2"/>
      <c r="AA124" s="6">
        <v>4.7</v>
      </c>
      <c r="AB124" s="4">
        <f t="shared" si="14"/>
        <v>1.3256410256410256</v>
      </c>
      <c r="AC124" s="65">
        <f t="shared" si="15"/>
        <v>1.0681818181818181</v>
      </c>
      <c r="AD124" s="88"/>
      <c r="AE124" s="89"/>
      <c r="AF124" s="152"/>
      <c r="AG124" s="7"/>
      <c r="AI124" s="6">
        <v>4.7</v>
      </c>
      <c r="AJ124" s="4">
        <f t="shared" si="16"/>
        <v>1.3256410256410256</v>
      </c>
      <c r="AK124" s="65">
        <f t="shared" si="17"/>
        <v>1.009765625</v>
      </c>
      <c r="AL124" s="88"/>
      <c r="AM124" s="89"/>
      <c r="AN124" s="83"/>
      <c r="AO124" s="7"/>
      <c r="AQ124" s="6">
        <v>26.5</v>
      </c>
      <c r="AR124" s="4">
        <f t="shared" si="18"/>
        <v>1.3404669260700388</v>
      </c>
      <c r="AS124" s="65">
        <f t="shared" si="19"/>
        <v>1.0901898734177216</v>
      </c>
      <c r="AT124" s="88"/>
      <c r="AU124" s="89"/>
      <c r="AV124" s="152"/>
      <c r="AW124" s="7"/>
      <c r="AY124" s="6">
        <v>26.5</v>
      </c>
      <c r="AZ124" s="4">
        <f t="shared" si="20"/>
        <v>1.3404669260700388</v>
      </c>
      <c r="BA124" s="65">
        <f t="shared" si="21"/>
        <v>1.0665634674922602</v>
      </c>
      <c r="BB124" s="88"/>
      <c r="BC124" s="89"/>
      <c r="BD124" s="152"/>
      <c r="BE124" s="7"/>
      <c r="BG124" s="6">
        <v>26.5</v>
      </c>
      <c r="BH124" s="4">
        <f t="shared" si="24"/>
        <v>1.7253756260434057</v>
      </c>
      <c r="BI124" s="65">
        <f t="shared" si="25"/>
        <v>1.0665634674922602</v>
      </c>
      <c r="BJ124" s="88"/>
      <c r="BK124" s="89"/>
      <c r="BL124" s="152"/>
      <c r="BM124" s="7"/>
    </row>
    <row r="125" spans="3:65" x14ac:dyDescent="0.3">
      <c r="C125" s="6">
        <v>27</v>
      </c>
      <c r="D125" s="4">
        <f t="shared" si="8"/>
        <v>1.3657587548638133</v>
      </c>
      <c r="E125" s="65">
        <f t="shared" si="9"/>
        <v>1.110759493670886</v>
      </c>
      <c r="F125" s="88"/>
      <c r="G125" s="89"/>
      <c r="H125" s="152"/>
      <c r="I125" s="7"/>
      <c r="J125" s="2"/>
      <c r="K125" s="6">
        <v>27</v>
      </c>
      <c r="L125" s="4">
        <f t="shared" si="10"/>
        <v>1.3657587548638133</v>
      </c>
      <c r="M125" s="65">
        <f t="shared" si="11"/>
        <v>1.110759493670886</v>
      </c>
      <c r="N125" s="88"/>
      <c r="O125" s="89"/>
      <c r="P125" s="152"/>
      <c r="Q125" s="7"/>
      <c r="R125" s="2"/>
      <c r="S125" s="6">
        <v>27</v>
      </c>
      <c r="T125" s="4">
        <f t="shared" si="12"/>
        <v>1.3657587548638133</v>
      </c>
      <c r="U125" s="65">
        <f t="shared" si="13"/>
        <v>1.110759493670886</v>
      </c>
      <c r="V125" s="88"/>
      <c r="W125" s="89"/>
      <c r="X125" s="152"/>
      <c r="Y125" s="7"/>
      <c r="Z125" s="2"/>
      <c r="AA125" s="6">
        <v>4.8</v>
      </c>
      <c r="AB125" s="4">
        <f t="shared" si="14"/>
        <v>1.3538461538461539</v>
      </c>
      <c r="AC125" s="65">
        <f t="shared" si="15"/>
        <v>1.0909090909090908</v>
      </c>
      <c r="AD125" s="88"/>
      <c r="AE125" s="89"/>
      <c r="AF125" s="152"/>
      <c r="AG125" s="7"/>
      <c r="AI125" s="6">
        <v>4.8</v>
      </c>
      <c r="AJ125" s="4">
        <f t="shared" si="16"/>
        <v>1.3538461538461539</v>
      </c>
      <c r="AK125" s="65">
        <f t="shared" si="17"/>
        <v>1.03125</v>
      </c>
      <c r="AL125" s="88"/>
      <c r="AM125" s="89"/>
      <c r="AN125" s="83"/>
      <c r="AO125" s="7"/>
      <c r="AQ125" s="6">
        <v>27</v>
      </c>
      <c r="AR125" s="4">
        <f t="shared" si="18"/>
        <v>1.3657587548638133</v>
      </c>
      <c r="AS125" s="65">
        <f t="shared" si="19"/>
        <v>1.110759493670886</v>
      </c>
      <c r="AT125" s="88"/>
      <c r="AU125" s="89"/>
      <c r="AV125" s="152"/>
      <c r="AW125" s="7"/>
      <c r="AY125" s="6">
        <v>27</v>
      </c>
      <c r="AZ125" s="4">
        <f t="shared" si="20"/>
        <v>1.3657587548638133</v>
      </c>
      <c r="BA125" s="65">
        <f t="shared" si="21"/>
        <v>1.0866873065015479</v>
      </c>
      <c r="BB125" s="88"/>
      <c r="BC125" s="89"/>
      <c r="BD125" s="152"/>
      <c r="BE125" s="7"/>
      <c r="BG125" s="6">
        <v>27</v>
      </c>
      <c r="BH125" s="4">
        <f t="shared" si="24"/>
        <v>1.7579298831385644</v>
      </c>
      <c r="BI125" s="65">
        <f t="shared" si="25"/>
        <v>1.0866873065015479</v>
      </c>
      <c r="BJ125" s="88"/>
      <c r="BK125" s="89"/>
      <c r="BL125" s="152"/>
      <c r="BM125" s="7"/>
    </row>
    <row r="126" spans="3:65" x14ac:dyDescent="0.3">
      <c r="C126" s="6">
        <v>27.5</v>
      </c>
      <c r="D126" s="4">
        <f t="shared" si="8"/>
        <v>1.3910505836575875</v>
      </c>
      <c r="E126" s="65">
        <f t="shared" si="9"/>
        <v>1.1313291139240507</v>
      </c>
      <c r="F126" s="88"/>
      <c r="G126" s="89"/>
      <c r="H126" s="152"/>
      <c r="I126" s="7"/>
      <c r="J126" s="2"/>
      <c r="K126" s="6">
        <v>27.5</v>
      </c>
      <c r="L126" s="4">
        <f t="shared" si="10"/>
        <v>1.3910505836575875</v>
      </c>
      <c r="M126" s="65">
        <f t="shared" si="11"/>
        <v>1.1313291139240507</v>
      </c>
      <c r="N126" s="88"/>
      <c r="O126" s="89"/>
      <c r="P126" s="152"/>
      <c r="Q126" s="7"/>
      <c r="R126" s="2"/>
      <c r="S126" s="6">
        <v>27.5</v>
      </c>
      <c r="T126" s="4">
        <f t="shared" si="12"/>
        <v>1.3910505836575875</v>
      </c>
      <c r="U126" s="65">
        <f t="shared" si="13"/>
        <v>1.1313291139240507</v>
      </c>
      <c r="V126" s="88"/>
      <c r="W126" s="89"/>
      <c r="X126" s="152"/>
      <c r="Y126" s="7"/>
      <c r="Z126" s="2"/>
      <c r="AA126" s="6">
        <v>4.9000000000000004</v>
      </c>
      <c r="AB126" s="4">
        <f t="shared" si="14"/>
        <v>1.382051282051282</v>
      </c>
      <c r="AC126" s="65">
        <f t="shared" si="15"/>
        <v>1.1136363636363635</v>
      </c>
      <c r="AD126" s="88"/>
      <c r="AE126" s="89"/>
      <c r="AF126" s="152"/>
      <c r="AG126" s="7"/>
      <c r="AI126" s="6">
        <v>4.9000000000000004</v>
      </c>
      <c r="AJ126" s="4">
        <f t="shared" si="16"/>
        <v>1.382051282051282</v>
      </c>
      <c r="AK126" s="65">
        <f t="shared" si="17"/>
        <v>1.052734375</v>
      </c>
      <c r="AL126" s="88"/>
      <c r="AM126" s="89"/>
      <c r="AN126" s="83"/>
      <c r="AO126" s="7"/>
      <c r="AQ126" s="6">
        <v>27.5</v>
      </c>
      <c r="AR126" s="4">
        <f t="shared" si="18"/>
        <v>1.3910505836575875</v>
      </c>
      <c r="AS126" s="65">
        <f t="shared" si="19"/>
        <v>1.1313291139240507</v>
      </c>
      <c r="AT126" s="88"/>
      <c r="AU126" s="89"/>
      <c r="AV126" s="152"/>
      <c r="AW126" s="7"/>
      <c r="AY126" s="6">
        <v>27.5</v>
      </c>
      <c r="AZ126" s="4">
        <f t="shared" si="20"/>
        <v>1.3910505836575875</v>
      </c>
      <c r="BA126" s="65">
        <f t="shared" si="21"/>
        <v>1.1068111455108358</v>
      </c>
      <c r="BB126" s="88"/>
      <c r="BC126" s="89"/>
      <c r="BD126" s="152"/>
      <c r="BE126" s="7"/>
      <c r="BG126" s="6">
        <v>27.5</v>
      </c>
      <c r="BH126" s="4">
        <f t="shared" si="24"/>
        <v>1.7904841402337228</v>
      </c>
      <c r="BI126" s="65">
        <f t="shared" si="25"/>
        <v>1.1068111455108358</v>
      </c>
      <c r="BJ126" s="88"/>
      <c r="BK126" s="89"/>
      <c r="BL126" s="152"/>
      <c r="BM126" s="7"/>
    </row>
    <row r="127" spans="3:65" x14ac:dyDescent="0.3">
      <c r="C127" s="6">
        <v>28</v>
      </c>
      <c r="D127" s="4">
        <f t="shared" si="8"/>
        <v>1.4163424124513619</v>
      </c>
      <c r="E127" s="65">
        <f t="shared" si="9"/>
        <v>1.1518987341772151</v>
      </c>
      <c r="F127" s="88">
        <v>1.42</v>
      </c>
      <c r="G127" s="89">
        <v>1.1599999999999999</v>
      </c>
      <c r="H127" s="152">
        <v>1.27</v>
      </c>
      <c r="I127" s="7">
        <v>1.1599999999999999</v>
      </c>
      <c r="J127" s="2"/>
      <c r="K127" s="6">
        <v>28</v>
      </c>
      <c r="L127" s="4">
        <f t="shared" si="10"/>
        <v>1.4163424124513619</v>
      </c>
      <c r="M127" s="65">
        <f t="shared" si="11"/>
        <v>1.1518987341772151</v>
      </c>
      <c r="N127" s="88">
        <v>1.42</v>
      </c>
      <c r="O127" s="89">
        <v>1.1599999999999999</v>
      </c>
      <c r="P127" s="152">
        <v>1.26</v>
      </c>
      <c r="Q127" s="7">
        <v>1.1499999999999999</v>
      </c>
      <c r="R127" s="2"/>
      <c r="S127" s="6">
        <v>28</v>
      </c>
      <c r="T127" s="4">
        <f t="shared" si="12"/>
        <v>1.4163424124513619</v>
      </c>
      <c r="U127" s="65">
        <f t="shared" si="13"/>
        <v>1.1518987341772151</v>
      </c>
      <c r="V127" s="88">
        <v>1.42</v>
      </c>
      <c r="W127" s="89">
        <v>1.1599999999999999</v>
      </c>
      <c r="X127" s="152">
        <v>1.28</v>
      </c>
      <c r="Y127" s="7">
        <v>1.1599999999999999</v>
      </c>
      <c r="Z127" s="2"/>
      <c r="AA127" s="6">
        <v>5</v>
      </c>
      <c r="AB127" s="4">
        <f t="shared" si="14"/>
        <v>1.4102564102564104</v>
      </c>
      <c r="AC127" s="65">
        <f t="shared" si="15"/>
        <v>1.1363636363636365</v>
      </c>
      <c r="AD127" s="88">
        <v>1.44</v>
      </c>
      <c r="AE127" s="89">
        <v>1.1599999999999999</v>
      </c>
      <c r="AF127" s="152">
        <v>1.31</v>
      </c>
      <c r="AG127" s="7">
        <v>1.2</v>
      </c>
      <c r="AI127" s="6">
        <v>5</v>
      </c>
      <c r="AJ127" s="4">
        <f t="shared" si="16"/>
        <v>1.4102564102564104</v>
      </c>
      <c r="AK127" s="65">
        <f t="shared" si="17"/>
        <v>1.07421875</v>
      </c>
      <c r="AL127" s="88"/>
      <c r="AM127" s="89"/>
      <c r="AN127" s="83"/>
      <c r="AO127" s="7"/>
      <c r="AQ127" s="6">
        <v>28</v>
      </c>
      <c r="AR127" s="4">
        <f t="shared" si="18"/>
        <v>1.4163424124513619</v>
      </c>
      <c r="AS127" s="65">
        <f t="shared" si="19"/>
        <v>1.1518987341772151</v>
      </c>
      <c r="AT127" s="88">
        <v>1.42</v>
      </c>
      <c r="AU127" s="89">
        <v>1.1599999999999999</v>
      </c>
      <c r="AV127" s="152">
        <v>1.26</v>
      </c>
      <c r="AW127" s="7">
        <v>1.1499999999999999</v>
      </c>
      <c r="AY127" s="6">
        <v>28</v>
      </c>
      <c r="AZ127" s="4">
        <f t="shared" si="20"/>
        <v>1.4163424124513619</v>
      </c>
      <c r="BA127" s="65">
        <f t="shared" si="21"/>
        <v>1.1269349845201238</v>
      </c>
      <c r="BB127" s="88">
        <v>1.42</v>
      </c>
      <c r="BC127" s="89">
        <v>1.1599999999999999</v>
      </c>
      <c r="BD127" s="152">
        <v>1.26</v>
      </c>
      <c r="BE127" s="7">
        <v>1.1499999999999999</v>
      </c>
      <c r="BG127" s="6">
        <v>28</v>
      </c>
      <c r="BH127" s="4">
        <f t="shared" si="24"/>
        <v>1.8230383973288815</v>
      </c>
      <c r="BI127" s="65">
        <f t="shared" si="25"/>
        <v>1.1269349845201238</v>
      </c>
      <c r="BJ127" s="88">
        <v>1.42</v>
      </c>
      <c r="BK127" s="89">
        <v>1.1599999999999999</v>
      </c>
      <c r="BL127" s="152">
        <v>1.26</v>
      </c>
      <c r="BM127" s="7">
        <v>1.1499999999999999</v>
      </c>
    </row>
    <row r="128" spans="3:65" x14ac:dyDescent="0.3">
      <c r="C128" s="6">
        <v>28.5</v>
      </c>
      <c r="D128" s="4">
        <f t="shared" si="8"/>
        <v>1.4416342412451362</v>
      </c>
      <c r="E128" s="65">
        <f t="shared" si="9"/>
        <v>1.1724683544303798</v>
      </c>
      <c r="F128" s="88"/>
      <c r="G128" s="89"/>
      <c r="H128" s="152"/>
      <c r="I128" s="7"/>
      <c r="J128" s="2"/>
      <c r="K128" s="6">
        <v>28.5</v>
      </c>
      <c r="L128" s="4">
        <f t="shared" si="10"/>
        <v>1.4416342412451362</v>
      </c>
      <c r="M128" s="65">
        <f t="shared" si="11"/>
        <v>1.1724683544303798</v>
      </c>
      <c r="N128" s="88"/>
      <c r="O128" s="89"/>
      <c r="P128" s="152"/>
      <c r="Q128" s="7"/>
      <c r="R128" s="2"/>
      <c r="S128" s="6">
        <v>28.5</v>
      </c>
      <c r="T128" s="4">
        <f t="shared" si="12"/>
        <v>1.4416342412451362</v>
      </c>
      <c r="U128" s="65">
        <f t="shared" si="13"/>
        <v>1.1724683544303798</v>
      </c>
      <c r="V128" s="88"/>
      <c r="W128" s="89"/>
      <c r="X128" s="152"/>
      <c r="Y128" s="7"/>
      <c r="Z128" s="2"/>
      <c r="AA128" s="6">
        <v>5.0999999999999996</v>
      </c>
      <c r="AB128" s="4">
        <f t="shared" si="14"/>
        <v>1.4384615384615385</v>
      </c>
      <c r="AC128" s="65">
        <f t="shared" si="15"/>
        <v>1.1590909090909092</v>
      </c>
      <c r="AD128" s="88"/>
      <c r="AE128" s="89"/>
      <c r="AF128" s="152"/>
      <c r="AG128" s="7"/>
      <c r="AI128" s="6">
        <v>5.0999999999999996</v>
      </c>
      <c r="AJ128" s="4">
        <f t="shared" si="16"/>
        <v>1.4384615384615385</v>
      </c>
      <c r="AK128" s="65">
        <f t="shared" si="17"/>
        <v>1.095703125</v>
      </c>
      <c r="AL128" s="88"/>
      <c r="AM128" s="89"/>
      <c r="AN128" s="83"/>
      <c r="AO128" s="7"/>
      <c r="AQ128" s="6">
        <v>28.5</v>
      </c>
      <c r="AR128" s="4">
        <f t="shared" si="18"/>
        <v>1.4416342412451362</v>
      </c>
      <c r="AS128" s="65">
        <f t="shared" si="19"/>
        <v>1.1724683544303798</v>
      </c>
      <c r="AT128" s="88"/>
      <c r="AU128" s="89"/>
      <c r="AV128" s="152"/>
      <c r="AW128" s="7"/>
      <c r="AY128" s="6">
        <v>28.5</v>
      </c>
      <c r="AZ128" s="4">
        <f t="shared" si="20"/>
        <v>1.4416342412451362</v>
      </c>
      <c r="BA128" s="65">
        <f t="shared" si="21"/>
        <v>1.1470588235294117</v>
      </c>
      <c r="BB128" s="88"/>
      <c r="BC128" s="89"/>
      <c r="BD128" s="152"/>
      <c r="BE128" s="7"/>
      <c r="BG128" s="6">
        <v>28.5</v>
      </c>
      <c r="BH128" s="4">
        <f t="shared" si="24"/>
        <v>1.85559265442404</v>
      </c>
      <c r="BI128" s="65">
        <f t="shared" si="25"/>
        <v>1.1470588235294117</v>
      </c>
      <c r="BJ128" s="88"/>
      <c r="BK128" s="89"/>
      <c r="BL128" s="152"/>
      <c r="BM128" s="7"/>
    </row>
    <row r="129" spans="3:65" x14ac:dyDescent="0.3">
      <c r="C129" s="6">
        <v>29</v>
      </c>
      <c r="D129" s="4">
        <f t="shared" si="8"/>
        <v>1.4669260700389104</v>
      </c>
      <c r="E129" s="65">
        <f t="shared" si="9"/>
        <v>1.1930379746835442</v>
      </c>
      <c r="F129" s="88"/>
      <c r="G129" s="89"/>
      <c r="H129" s="152"/>
      <c r="I129" s="7"/>
      <c r="J129" s="2"/>
      <c r="K129" s="6">
        <v>29</v>
      </c>
      <c r="L129" s="4">
        <f t="shared" si="10"/>
        <v>1.4669260700389104</v>
      </c>
      <c r="M129" s="65">
        <f t="shared" si="11"/>
        <v>1.1930379746835442</v>
      </c>
      <c r="N129" s="88"/>
      <c r="O129" s="89"/>
      <c r="P129" s="152"/>
      <c r="Q129" s="7"/>
      <c r="R129" s="2"/>
      <c r="S129" s="6">
        <v>29</v>
      </c>
      <c r="T129" s="4">
        <f t="shared" si="12"/>
        <v>1.4669260700389104</v>
      </c>
      <c r="U129" s="65">
        <f t="shared" si="13"/>
        <v>1.1930379746835442</v>
      </c>
      <c r="V129" s="88"/>
      <c r="W129" s="89"/>
      <c r="X129" s="152"/>
      <c r="Y129" s="7"/>
      <c r="Z129" s="2"/>
      <c r="AA129" s="6">
        <v>5.2</v>
      </c>
      <c r="AB129" s="4">
        <f t="shared" si="14"/>
        <v>1.4666666666666666</v>
      </c>
      <c r="AC129" s="65">
        <f t="shared" si="15"/>
        <v>1.1818181818181819</v>
      </c>
      <c r="AD129" s="88"/>
      <c r="AE129" s="89"/>
      <c r="AF129" s="152"/>
      <c r="AG129" s="7"/>
      <c r="AI129" s="6">
        <v>5.2</v>
      </c>
      <c r="AJ129" s="4">
        <f t="shared" si="16"/>
        <v>1.4666666666666666</v>
      </c>
      <c r="AK129" s="65">
        <f t="shared" si="17"/>
        <v>1.1171875</v>
      </c>
      <c r="AL129" s="88"/>
      <c r="AM129" s="89"/>
      <c r="AN129" s="83"/>
      <c r="AO129" s="7"/>
      <c r="AQ129" s="6">
        <v>29</v>
      </c>
      <c r="AR129" s="4">
        <f t="shared" si="18"/>
        <v>1.4669260700389104</v>
      </c>
      <c r="AS129" s="65">
        <f t="shared" si="19"/>
        <v>1.1930379746835442</v>
      </c>
      <c r="AT129" s="88"/>
      <c r="AU129" s="89"/>
      <c r="AV129" s="152"/>
      <c r="AW129" s="7"/>
      <c r="AY129" s="6">
        <v>29</v>
      </c>
      <c r="AZ129" s="4">
        <f t="shared" si="20"/>
        <v>1.4669260700389104</v>
      </c>
      <c r="BA129" s="65">
        <f t="shared" si="21"/>
        <v>1.1671826625386996</v>
      </c>
      <c r="BB129" s="88"/>
      <c r="BC129" s="89"/>
      <c r="BD129" s="152"/>
      <c r="BE129" s="7"/>
      <c r="BG129" s="6">
        <v>29</v>
      </c>
      <c r="BH129" s="4">
        <f t="shared" si="24"/>
        <v>1.8881469115191987</v>
      </c>
      <c r="BI129" s="65">
        <f t="shared" si="25"/>
        <v>1.1671826625386996</v>
      </c>
      <c r="BJ129" s="88"/>
      <c r="BK129" s="89"/>
      <c r="BL129" s="152"/>
      <c r="BM129" s="7"/>
    </row>
    <row r="130" spans="3:65" x14ac:dyDescent="0.3">
      <c r="C130" s="6">
        <v>29.5</v>
      </c>
      <c r="D130" s="4">
        <f t="shared" si="8"/>
        <v>1.4922178988326849</v>
      </c>
      <c r="E130" s="65">
        <f t="shared" si="9"/>
        <v>1.2136075949367089</v>
      </c>
      <c r="F130" s="88"/>
      <c r="G130" s="89"/>
      <c r="H130" s="152"/>
      <c r="I130" s="7"/>
      <c r="J130" s="2"/>
      <c r="K130" s="6">
        <v>29.5</v>
      </c>
      <c r="L130" s="4">
        <f t="shared" si="10"/>
        <v>1.4922178988326849</v>
      </c>
      <c r="M130" s="65">
        <f t="shared" si="11"/>
        <v>1.2136075949367089</v>
      </c>
      <c r="N130" s="88"/>
      <c r="O130" s="89"/>
      <c r="P130" s="152"/>
      <c r="Q130" s="7"/>
      <c r="R130" s="2"/>
      <c r="S130" s="6">
        <v>29.5</v>
      </c>
      <c r="T130" s="4">
        <f t="shared" si="12"/>
        <v>1.4922178988326849</v>
      </c>
      <c r="U130" s="65">
        <f t="shared" si="13"/>
        <v>1.2136075949367089</v>
      </c>
      <c r="V130" s="88"/>
      <c r="W130" s="89"/>
      <c r="X130" s="152"/>
      <c r="Y130" s="7"/>
      <c r="Z130" s="2"/>
      <c r="AA130" s="6">
        <v>5.3</v>
      </c>
      <c r="AB130" s="4">
        <f t="shared" si="14"/>
        <v>1.4948717948717949</v>
      </c>
      <c r="AC130" s="65">
        <f t="shared" si="15"/>
        <v>1.2045454545454546</v>
      </c>
      <c r="AD130" s="88"/>
      <c r="AE130" s="89"/>
      <c r="AF130" s="152"/>
      <c r="AG130" s="7"/>
      <c r="AI130" s="6">
        <v>5.3</v>
      </c>
      <c r="AJ130" s="4">
        <f t="shared" si="16"/>
        <v>1.4948717948717949</v>
      </c>
      <c r="AK130" s="65">
        <f t="shared" si="17"/>
        <v>1.138671875</v>
      </c>
      <c r="AL130" s="88"/>
      <c r="AM130" s="89"/>
      <c r="AN130" s="83"/>
      <c r="AO130" s="7"/>
      <c r="AQ130" s="6">
        <v>29.5</v>
      </c>
      <c r="AR130" s="4">
        <f t="shared" si="18"/>
        <v>1.4922178988326849</v>
      </c>
      <c r="AS130" s="65">
        <f t="shared" si="19"/>
        <v>1.2136075949367089</v>
      </c>
      <c r="AT130" s="88"/>
      <c r="AU130" s="89"/>
      <c r="AV130" s="152"/>
      <c r="AW130" s="7"/>
      <c r="AY130" s="6">
        <v>29.5</v>
      </c>
      <c r="AZ130" s="4">
        <f t="shared" si="20"/>
        <v>1.4922178988326849</v>
      </c>
      <c r="BA130" s="65">
        <f t="shared" si="21"/>
        <v>1.1873065015479876</v>
      </c>
      <c r="BB130" s="88"/>
      <c r="BC130" s="89"/>
      <c r="BD130" s="152"/>
      <c r="BE130" s="7"/>
      <c r="BG130" s="6">
        <v>29.5</v>
      </c>
      <c r="BH130" s="4">
        <f t="shared" si="24"/>
        <v>1.9207011686143574</v>
      </c>
      <c r="BI130" s="65">
        <f t="shared" si="25"/>
        <v>1.1873065015479876</v>
      </c>
      <c r="BJ130" s="88"/>
      <c r="BK130" s="89"/>
      <c r="BL130" s="152"/>
      <c r="BM130" s="7"/>
    </row>
    <row r="131" spans="3:65" ht="17.25" thickBot="1" x14ac:dyDescent="0.35">
      <c r="C131" s="77">
        <v>30</v>
      </c>
      <c r="D131" s="49">
        <f t="shared" si="8"/>
        <v>1.5175097276264591</v>
      </c>
      <c r="E131" s="149">
        <f t="shared" si="9"/>
        <v>1.2341772151898733</v>
      </c>
      <c r="F131" s="94">
        <v>1.53</v>
      </c>
      <c r="G131" s="95">
        <v>1.24</v>
      </c>
      <c r="H131" s="153">
        <v>1.3</v>
      </c>
      <c r="I131" s="45">
        <v>1.1599999999999999</v>
      </c>
      <c r="J131" s="2"/>
      <c r="K131" s="77">
        <v>30</v>
      </c>
      <c r="L131" s="49">
        <f t="shared" si="10"/>
        <v>1.5175097276264591</v>
      </c>
      <c r="M131" s="149">
        <f t="shared" si="11"/>
        <v>1.2341772151898733</v>
      </c>
      <c r="N131" s="94">
        <v>1.53</v>
      </c>
      <c r="O131" s="95">
        <v>1.24</v>
      </c>
      <c r="P131" s="153">
        <v>1.3</v>
      </c>
      <c r="Q131" s="45">
        <v>1.1599999999999999</v>
      </c>
      <c r="R131" s="2"/>
      <c r="S131" s="77">
        <v>30</v>
      </c>
      <c r="T131" s="49">
        <f t="shared" si="12"/>
        <v>1.5175097276264591</v>
      </c>
      <c r="U131" s="149">
        <f t="shared" si="13"/>
        <v>1.2341772151898733</v>
      </c>
      <c r="V131" s="94">
        <v>1.53</v>
      </c>
      <c r="W131" s="95">
        <v>1.24</v>
      </c>
      <c r="X131" s="153">
        <v>1.3</v>
      </c>
      <c r="Y131" s="45">
        <v>1.1599999999999999</v>
      </c>
      <c r="Z131" s="2"/>
      <c r="AA131" s="77">
        <v>5.4</v>
      </c>
      <c r="AB131" s="49">
        <f t="shared" si="14"/>
        <v>1.523076923076923</v>
      </c>
      <c r="AC131" s="149">
        <f t="shared" si="15"/>
        <v>1.2272727272727273</v>
      </c>
      <c r="AD131" s="94">
        <v>1.55</v>
      </c>
      <c r="AE131" s="95">
        <v>1.25</v>
      </c>
      <c r="AF131" s="153">
        <v>1.3</v>
      </c>
      <c r="AG131" s="45">
        <v>1.2</v>
      </c>
      <c r="AI131" s="6">
        <v>5.4</v>
      </c>
      <c r="AJ131" s="4">
        <f t="shared" si="16"/>
        <v>1.523076923076923</v>
      </c>
      <c r="AK131" s="65">
        <f t="shared" si="17"/>
        <v>1.16015625</v>
      </c>
      <c r="AL131" s="88"/>
      <c r="AM131" s="89"/>
      <c r="AN131" s="83"/>
      <c r="AO131" s="7"/>
      <c r="AQ131" s="77">
        <v>30</v>
      </c>
      <c r="AR131" s="49">
        <f t="shared" si="18"/>
        <v>1.5175097276264591</v>
      </c>
      <c r="AS131" s="149">
        <f t="shared" si="19"/>
        <v>1.2341772151898733</v>
      </c>
      <c r="AT131" s="94">
        <v>1.53</v>
      </c>
      <c r="AU131" s="95">
        <v>1.24</v>
      </c>
      <c r="AV131" s="153">
        <v>1.3</v>
      </c>
      <c r="AW131" s="45">
        <v>1.1599999999999999</v>
      </c>
      <c r="AY131" s="77">
        <v>30</v>
      </c>
      <c r="AZ131" s="49">
        <f t="shared" si="20"/>
        <v>1.5175097276264591</v>
      </c>
      <c r="BA131" s="149">
        <f t="shared" si="21"/>
        <v>1.2074303405572755</v>
      </c>
      <c r="BB131" s="94">
        <v>1.53</v>
      </c>
      <c r="BC131" s="95">
        <v>1.24</v>
      </c>
      <c r="BD131" s="153">
        <v>1.3</v>
      </c>
      <c r="BE131" s="45">
        <v>1.1599999999999999</v>
      </c>
      <c r="BG131" s="77">
        <v>30</v>
      </c>
      <c r="BH131" s="49">
        <f t="shared" si="24"/>
        <v>1.9532554257095158</v>
      </c>
      <c r="BI131" s="149">
        <f t="shared" si="25"/>
        <v>1.2074303405572755</v>
      </c>
      <c r="BJ131" s="94">
        <v>1.53</v>
      </c>
      <c r="BK131" s="95">
        <v>1.24</v>
      </c>
      <c r="BL131" s="153">
        <v>1.3</v>
      </c>
      <c r="BM131" s="45">
        <v>1.1599999999999999</v>
      </c>
    </row>
    <row r="132" spans="3:65" x14ac:dyDescent="0.3">
      <c r="C132" s="70">
        <v>30.5</v>
      </c>
      <c r="D132" s="148">
        <f t="shared" si="8"/>
        <v>1.5428015564202335</v>
      </c>
      <c r="E132" s="150">
        <f t="shared" si="9"/>
        <v>1.254746835443038</v>
      </c>
      <c r="F132" s="96">
        <v>1.55</v>
      </c>
      <c r="G132" s="97">
        <v>1.26</v>
      </c>
      <c r="H132" s="87">
        <v>0.05</v>
      </c>
      <c r="I132" s="72">
        <v>30.5</v>
      </c>
      <c r="J132" s="2"/>
      <c r="K132" s="70">
        <v>30.5</v>
      </c>
      <c r="L132" s="148">
        <f t="shared" si="10"/>
        <v>1.5428015564202335</v>
      </c>
      <c r="M132" s="150">
        <f t="shared" si="11"/>
        <v>1.254746835443038</v>
      </c>
      <c r="N132" s="96">
        <v>1.55</v>
      </c>
      <c r="O132" s="97">
        <v>1.26</v>
      </c>
      <c r="P132" s="87">
        <v>0.05</v>
      </c>
      <c r="Q132" s="72">
        <v>30.5</v>
      </c>
      <c r="R132" s="2"/>
      <c r="S132" s="70">
        <v>30.5</v>
      </c>
      <c r="T132" s="148">
        <f t="shared" si="12"/>
        <v>1.5428015564202335</v>
      </c>
      <c r="U132" s="150">
        <f t="shared" si="13"/>
        <v>1.254746835443038</v>
      </c>
      <c r="V132" s="96">
        <v>1.55</v>
      </c>
      <c r="W132" s="97">
        <v>1.26</v>
      </c>
      <c r="X132" s="87">
        <v>0.05</v>
      </c>
      <c r="Y132" s="72">
        <v>30.5</v>
      </c>
      <c r="Z132" s="2"/>
      <c r="AA132" s="70">
        <v>5.5</v>
      </c>
      <c r="AB132" s="148">
        <f t="shared" si="14"/>
        <v>1.5512820512820513</v>
      </c>
      <c r="AC132" s="150">
        <f t="shared" si="15"/>
        <v>1.25</v>
      </c>
      <c r="AD132" s="96">
        <v>1.58</v>
      </c>
      <c r="AE132" s="97">
        <v>1.27</v>
      </c>
      <c r="AF132" s="87">
        <v>0.06</v>
      </c>
      <c r="AG132" s="72">
        <v>5.6</v>
      </c>
      <c r="AI132" s="6">
        <v>5.5</v>
      </c>
      <c r="AJ132" s="4">
        <f t="shared" si="16"/>
        <v>1.5512820512820513</v>
      </c>
      <c r="AK132" s="65">
        <f t="shared" si="17"/>
        <v>1.181640625</v>
      </c>
      <c r="AL132" s="88"/>
      <c r="AM132" s="89">
        <v>1.179</v>
      </c>
      <c r="AN132" s="83"/>
      <c r="AO132" s="7"/>
      <c r="AQ132" s="70">
        <v>30.5</v>
      </c>
      <c r="AR132" s="148">
        <f t="shared" si="18"/>
        <v>1.5428015564202335</v>
      </c>
      <c r="AS132" s="150">
        <f t="shared" si="19"/>
        <v>1.254746835443038</v>
      </c>
      <c r="AT132" s="96">
        <v>1.55</v>
      </c>
      <c r="AU132" s="97">
        <v>1.26</v>
      </c>
      <c r="AV132" s="87">
        <v>0.05</v>
      </c>
      <c r="AW132" s="72">
        <v>30.5</v>
      </c>
      <c r="AY132" s="70">
        <v>30.5</v>
      </c>
      <c r="AZ132" s="148">
        <f t="shared" si="20"/>
        <v>1.5428015564202335</v>
      </c>
      <c r="BA132" s="150">
        <f t="shared" si="21"/>
        <v>1.2275541795665634</v>
      </c>
      <c r="BB132" s="96">
        <v>1.55</v>
      </c>
      <c r="BC132" s="97">
        <v>1.26</v>
      </c>
      <c r="BD132" s="87">
        <v>0.05</v>
      </c>
      <c r="BE132" s="72">
        <v>30.5</v>
      </c>
      <c r="BG132" s="70">
        <v>30.5</v>
      </c>
      <c r="BH132" s="148">
        <f t="shared" si="24"/>
        <v>1.9858096828046745</v>
      </c>
      <c r="BI132" s="150">
        <f t="shared" si="25"/>
        <v>1.2275541795665634</v>
      </c>
      <c r="BJ132" s="96">
        <v>1.55</v>
      </c>
      <c r="BK132" s="97">
        <v>1.26</v>
      </c>
      <c r="BL132" s="87">
        <v>0.05</v>
      </c>
      <c r="BM132" s="72">
        <v>30.5</v>
      </c>
    </row>
    <row r="133" spans="3:65" x14ac:dyDescent="0.3">
      <c r="C133" s="6">
        <v>31</v>
      </c>
      <c r="D133" s="4">
        <f t="shared" si="8"/>
        <v>1.5680933852140078</v>
      </c>
      <c r="E133" s="79">
        <f t="shared" si="9"/>
        <v>1.2753164556962024</v>
      </c>
      <c r="F133" s="88"/>
      <c r="G133" s="89"/>
      <c r="H133" s="83"/>
      <c r="I133" s="7"/>
      <c r="J133" s="2"/>
      <c r="K133" s="6">
        <v>31</v>
      </c>
      <c r="L133" s="4">
        <f t="shared" si="10"/>
        <v>1.5680933852140078</v>
      </c>
      <c r="M133" s="79">
        <f t="shared" si="11"/>
        <v>1.2753164556962024</v>
      </c>
      <c r="N133" s="88"/>
      <c r="O133" s="89"/>
      <c r="P133" s="83"/>
      <c r="Q133" s="7"/>
      <c r="R133" s="2"/>
      <c r="S133" s="6">
        <v>31</v>
      </c>
      <c r="T133" s="4">
        <f t="shared" si="12"/>
        <v>1.5680933852140078</v>
      </c>
      <c r="U133" s="79">
        <f t="shared" si="13"/>
        <v>1.2753164556962024</v>
      </c>
      <c r="V133" s="88"/>
      <c r="W133" s="89"/>
      <c r="X133" s="83"/>
      <c r="Y133" s="7"/>
      <c r="Z133" s="2"/>
      <c r="AA133" s="6">
        <v>5.6</v>
      </c>
      <c r="AB133" s="4">
        <f t="shared" si="14"/>
        <v>1.5794871794871794</v>
      </c>
      <c r="AC133" s="79">
        <f t="shared" si="15"/>
        <v>1.2727272727272727</v>
      </c>
      <c r="AD133" s="88"/>
      <c r="AE133" s="89"/>
      <c r="AF133" s="83"/>
      <c r="AG133" s="7"/>
      <c r="AI133" s="6">
        <v>5.6</v>
      </c>
      <c r="AJ133" s="4">
        <f t="shared" si="16"/>
        <v>1.5794871794871794</v>
      </c>
      <c r="AK133" s="65">
        <f t="shared" si="17"/>
        <v>1.203125</v>
      </c>
      <c r="AL133" s="88"/>
      <c r="AM133" s="89"/>
      <c r="AN133" s="83"/>
      <c r="AO133" s="7"/>
      <c r="AQ133" s="6">
        <v>31</v>
      </c>
      <c r="AR133" s="4">
        <f t="shared" si="18"/>
        <v>1.5680933852140078</v>
      </c>
      <c r="AS133" s="79">
        <f t="shared" si="19"/>
        <v>1.2753164556962024</v>
      </c>
      <c r="AT133" s="88"/>
      <c r="AU133" s="89"/>
      <c r="AV133" s="83"/>
      <c r="AW133" s="7"/>
      <c r="AY133" s="6">
        <v>31</v>
      </c>
      <c r="AZ133" s="4">
        <f t="shared" si="20"/>
        <v>1.5680933852140078</v>
      </c>
      <c r="BA133" s="65">
        <f t="shared" si="21"/>
        <v>1.2476780185758514</v>
      </c>
      <c r="BB133" s="88"/>
      <c r="BC133" s="89"/>
      <c r="BD133" s="83"/>
      <c r="BE133" s="7"/>
      <c r="BG133" s="6">
        <v>31</v>
      </c>
      <c r="BH133" s="4">
        <f t="shared" si="24"/>
        <v>2.018363939899833</v>
      </c>
      <c r="BI133" s="65">
        <f t="shared" si="25"/>
        <v>1.2476780185758514</v>
      </c>
      <c r="BJ133" s="88"/>
      <c r="BK133" s="89"/>
      <c r="BL133" s="83"/>
      <c r="BM133" s="7"/>
    </row>
    <row r="134" spans="3:65" x14ac:dyDescent="0.3">
      <c r="C134" s="6">
        <v>31.5</v>
      </c>
      <c r="D134" s="4">
        <f t="shared" si="8"/>
        <v>1.593385214007782</v>
      </c>
      <c r="E134" s="79">
        <f t="shared" si="9"/>
        <v>1.2958860759493671</v>
      </c>
      <c r="F134" s="88"/>
      <c r="G134" s="89"/>
      <c r="H134" s="83"/>
      <c r="I134" s="7"/>
      <c r="J134" s="2"/>
      <c r="K134" s="6">
        <v>31.5</v>
      </c>
      <c r="L134" s="4">
        <f t="shared" si="10"/>
        <v>1.593385214007782</v>
      </c>
      <c r="M134" s="79">
        <f t="shared" si="11"/>
        <v>1.2958860759493671</v>
      </c>
      <c r="N134" s="88"/>
      <c r="O134" s="89"/>
      <c r="P134" s="83"/>
      <c r="Q134" s="7"/>
      <c r="R134" s="2"/>
      <c r="S134" s="6">
        <v>31.5</v>
      </c>
      <c r="T134" s="4">
        <f t="shared" si="12"/>
        <v>1.593385214007782</v>
      </c>
      <c r="U134" s="79">
        <f t="shared" si="13"/>
        <v>1.2958860759493671</v>
      </c>
      <c r="V134" s="88"/>
      <c r="W134" s="89"/>
      <c r="X134" s="83"/>
      <c r="Y134" s="7"/>
      <c r="Z134" s="2"/>
      <c r="AA134" s="6">
        <v>5.7</v>
      </c>
      <c r="AB134" s="4">
        <f t="shared" si="14"/>
        <v>1.6076923076923078</v>
      </c>
      <c r="AC134" s="79">
        <f t="shared" si="15"/>
        <v>1.2954545454545454</v>
      </c>
      <c r="AD134" s="88"/>
      <c r="AE134" s="89"/>
      <c r="AF134" s="83"/>
      <c r="AG134" s="7"/>
      <c r="AI134" s="6">
        <v>5.7</v>
      </c>
      <c r="AJ134" s="4">
        <f t="shared" si="16"/>
        <v>1.6076923076923078</v>
      </c>
      <c r="AK134" s="65">
        <f t="shared" si="17"/>
        <v>1.224609375</v>
      </c>
      <c r="AL134" s="88"/>
      <c r="AM134" s="89"/>
      <c r="AN134" s="83"/>
      <c r="AO134" s="7"/>
      <c r="AQ134" s="6">
        <v>31.5</v>
      </c>
      <c r="AR134" s="4">
        <f t="shared" si="18"/>
        <v>1.593385214007782</v>
      </c>
      <c r="AS134" s="79">
        <f t="shared" si="19"/>
        <v>1.2958860759493671</v>
      </c>
      <c r="AT134" s="88"/>
      <c r="AU134" s="89"/>
      <c r="AV134" s="83"/>
      <c r="AW134" s="7"/>
      <c r="AY134" s="6">
        <v>31.5</v>
      </c>
      <c r="AZ134" s="4">
        <f t="shared" si="20"/>
        <v>1.593385214007782</v>
      </c>
      <c r="BA134" s="79">
        <f t="shared" si="21"/>
        <v>1.2678018575851393</v>
      </c>
      <c r="BB134" s="88"/>
      <c r="BC134" s="89"/>
      <c r="BD134" s="83"/>
      <c r="BE134" s="7"/>
      <c r="BG134" s="6">
        <v>31.5</v>
      </c>
      <c r="BH134" s="4">
        <f t="shared" si="24"/>
        <v>2.0509181969949917</v>
      </c>
      <c r="BI134" s="79">
        <f t="shared" si="25"/>
        <v>1.2678018575851393</v>
      </c>
      <c r="BJ134" s="88"/>
      <c r="BK134" s="89"/>
      <c r="BL134" s="83"/>
      <c r="BM134" s="7"/>
    </row>
    <row r="135" spans="3:65" ht="17.25" thickBot="1" x14ac:dyDescent="0.35">
      <c r="C135" s="77">
        <v>32</v>
      </c>
      <c r="D135" s="49">
        <f t="shared" si="8"/>
        <v>1.6186770428015564</v>
      </c>
      <c r="E135" s="80">
        <f t="shared" si="9"/>
        <v>1.3164556962025316</v>
      </c>
      <c r="F135" s="94"/>
      <c r="G135" s="95"/>
      <c r="H135" s="86"/>
      <c r="I135" s="45"/>
      <c r="J135" s="2"/>
      <c r="K135" s="77">
        <v>32</v>
      </c>
      <c r="L135" s="49">
        <f t="shared" si="10"/>
        <v>1.6186770428015564</v>
      </c>
      <c r="M135" s="80">
        <f t="shared" si="11"/>
        <v>1.3164556962025316</v>
      </c>
      <c r="N135" s="94"/>
      <c r="O135" s="95"/>
      <c r="P135" s="86"/>
      <c r="Q135" s="45"/>
      <c r="R135" s="2"/>
      <c r="S135" s="77">
        <v>32</v>
      </c>
      <c r="T135" s="49">
        <f t="shared" si="12"/>
        <v>1.6186770428015564</v>
      </c>
      <c r="U135" s="80">
        <f t="shared" si="13"/>
        <v>1.3164556962025316</v>
      </c>
      <c r="V135" s="94"/>
      <c r="W135" s="95"/>
      <c r="X135" s="86"/>
      <c r="Y135" s="45"/>
      <c r="Z135" s="2"/>
      <c r="AA135" s="77">
        <v>5.8</v>
      </c>
      <c r="AB135" s="49">
        <f t="shared" si="14"/>
        <v>1.6358974358974359</v>
      </c>
      <c r="AC135" s="80">
        <f t="shared" si="15"/>
        <v>1.3181818181818181</v>
      </c>
      <c r="AD135" s="94"/>
      <c r="AE135" s="95"/>
      <c r="AF135" s="86"/>
      <c r="AG135" s="45"/>
      <c r="AI135" s="77">
        <v>5.8</v>
      </c>
      <c r="AJ135" s="49">
        <f>AI135*AJ$112/(AJ$110+AJ$112)</f>
        <v>1.6358974358974359</v>
      </c>
      <c r="AK135" s="149">
        <f>AI135*AJ$112/(AJ$111+AJ$112)</f>
        <v>1.24609375</v>
      </c>
      <c r="AL135" s="94"/>
      <c r="AM135" s="95"/>
      <c r="AN135" s="86"/>
      <c r="AO135" s="45"/>
      <c r="AQ135" s="77">
        <v>32</v>
      </c>
      <c r="AR135" s="49">
        <f t="shared" si="18"/>
        <v>1.6186770428015564</v>
      </c>
      <c r="AS135" s="80">
        <f t="shared" si="19"/>
        <v>1.3164556962025316</v>
      </c>
      <c r="AT135" s="94"/>
      <c r="AU135" s="95"/>
      <c r="AV135" s="86"/>
      <c r="AW135" s="45"/>
      <c r="AY135" s="77">
        <v>32</v>
      </c>
      <c r="AZ135" s="49">
        <f t="shared" si="20"/>
        <v>1.6186770428015564</v>
      </c>
      <c r="BA135" s="80">
        <f t="shared" si="21"/>
        <v>1.2879256965944272</v>
      </c>
      <c r="BB135" s="94"/>
      <c r="BC135" s="95"/>
      <c r="BD135" s="86"/>
      <c r="BE135" s="45"/>
      <c r="BG135" s="77">
        <v>32</v>
      </c>
      <c r="BH135" s="49">
        <f t="shared" si="24"/>
        <v>2.0834724540901504</v>
      </c>
      <c r="BI135" s="80">
        <f t="shared" si="25"/>
        <v>1.2879256965944272</v>
      </c>
      <c r="BJ135" s="94"/>
      <c r="BK135" s="95"/>
      <c r="BL135" s="86"/>
      <c r="BM135" s="45"/>
    </row>
    <row r="136" spans="3:65" x14ac:dyDescent="0.3">
      <c r="AI136" s="70">
        <v>5.9</v>
      </c>
      <c r="AJ136" s="148">
        <f>AI136*AJ$112/(AJ$110+AJ$112)</f>
        <v>1.6641025641025642</v>
      </c>
      <c r="AK136" s="81">
        <f>AI136*AJ$112/(AJ$111+AJ$112)</f>
        <v>1.267578125</v>
      </c>
      <c r="AL136" s="96"/>
      <c r="AM136" s="97"/>
      <c r="AN136" s="87"/>
      <c r="AO136" s="72"/>
    </row>
    <row r="137" spans="3:65" ht="17.25" thickBot="1" x14ac:dyDescent="0.35">
      <c r="AI137" s="77">
        <v>6</v>
      </c>
      <c r="AJ137" s="4">
        <f>AI137*AJ$112/(AJ$110+AJ$112)</f>
        <v>1.6923076923076923</v>
      </c>
      <c r="AK137" s="79">
        <f>AI137*AJ$112/(AJ$111+AJ$112)</f>
        <v>1.2890625</v>
      </c>
      <c r="AL137" s="88"/>
      <c r="AM137" s="89"/>
      <c r="AN137" s="83"/>
      <c r="AO137" s="7"/>
    </row>
  </sheetData>
  <mergeCells count="32">
    <mergeCell ref="BJ116:BM116"/>
    <mergeCell ref="AL116:AO116"/>
    <mergeCell ref="F116:I116"/>
    <mergeCell ref="N116:Q116"/>
    <mergeCell ref="V116:Y116"/>
    <mergeCell ref="AD116:AG116"/>
    <mergeCell ref="BB116:BE116"/>
    <mergeCell ref="AT116:AW116"/>
    <mergeCell ref="AA36:AB36"/>
    <mergeCell ref="AB43:AB47"/>
    <mergeCell ref="AB48:AB58"/>
    <mergeCell ref="AB59:AB63"/>
    <mergeCell ref="X36:Y36"/>
    <mergeCell ref="AD67:AG67"/>
    <mergeCell ref="V59:V63"/>
    <mergeCell ref="Y43:Y47"/>
    <mergeCell ref="Y48:Y58"/>
    <mergeCell ref="Y59:Y63"/>
    <mergeCell ref="H59:I59"/>
    <mergeCell ref="J8:K8"/>
    <mergeCell ref="J14:K14"/>
    <mergeCell ref="H50:I50"/>
    <mergeCell ref="V43:V47"/>
    <mergeCell ref="V48:V58"/>
    <mergeCell ref="U36:V36"/>
    <mergeCell ref="G8:H8"/>
    <mergeCell ref="G9:H9"/>
    <mergeCell ref="G10:H10"/>
    <mergeCell ref="G14:H14"/>
    <mergeCell ref="G15:H15"/>
    <mergeCell ref="G16:H16"/>
    <mergeCell ref="H41:I41"/>
  </mergeCells>
  <phoneticPr fontId="2" type="noConversion"/>
  <pageMargins left="0.7" right="0.7" top="0.75" bottom="0.75" header="0.3" footer="0.3"/>
  <pageSetup paperSize="9" scale="21" orientation="landscape" r:id="rId1"/>
  <rowBreaks count="3" manualBreakCount="3">
    <brk id="19" max="16383" man="1"/>
    <brk id="35" max="16383" man="1"/>
    <brk id="107" max="3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7"/>
  <sheetViews>
    <sheetView zoomScaleNormal="100" workbookViewId="0">
      <selection activeCell="V27" sqref="V27"/>
    </sheetView>
  </sheetViews>
  <sheetFormatPr defaultRowHeight="16.5" x14ac:dyDescent="0.3"/>
  <cols>
    <col min="1" max="1" width="1.375" customWidth="1"/>
    <col min="2" max="2" width="2.875" style="103" customWidth="1"/>
    <col min="3" max="3" width="4.875" customWidth="1"/>
    <col min="4" max="4" width="14.375" customWidth="1"/>
    <col min="10" max="10" width="10.75" bestFit="1" customWidth="1"/>
    <col min="11" max="11" width="3.25" customWidth="1"/>
  </cols>
  <sheetData>
    <row r="1" spans="2:13" x14ac:dyDescent="0.3">
      <c r="B1" s="103" t="s">
        <v>239</v>
      </c>
    </row>
    <row r="2" spans="2:13" ht="17.25" thickBot="1" x14ac:dyDescent="0.35">
      <c r="C2" s="103" t="s">
        <v>147</v>
      </c>
    </row>
    <row r="3" spans="2:13" ht="17.25" thickBot="1" x14ac:dyDescent="0.35">
      <c r="C3" s="103"/>
      <c r="D3" s="385" t="s">
        <v>240</v>
      </c>
      <c r="E3" s="386" t="s">
        <v>149</v>
      </c>
      <c r="F3" s="386" t="s">
        <v>150</v>
      </c>
      <c r="G3" s="386" t="s">
        <v>151</v>
      </c>
      <c r="H3" s="387" t="s">
        <v>152</v>
      </c>
    </row>
    <row r="4" spans="2:13" x14ac:dyDescent="0.3">
      <c r="C4" s="103"/>
      <c r="D4" s="220" t="s">
        <v>148</v>
      </c>
      <c r="E4" s="183">
        <v>178</v>
      </c>
      <c r="F4" s="183">
        <v>185</v>
      </c>
      <c r="G4" s="183">
        <v>190</v>
      </c>
      <c r="H4" s="225" t="s">
        <v>153</v>
      </c>
    </row>
    <row r="5" spans="2:13" ht="17.25" thickBot="1" x14ac:dyDescent="0.35">
      <c r="C5" s="103"/>
      <c r="D5" s="108" t="s">
        <v>171</v>
      </c>
      <c r="E5" s="109">
        <v>25</v>
      </c>
      <c r="F5" s="109">
        <v>100</v>
      </c>
      <c r="G5" s="109"/>
      <c r="H5" s="226" t="s">
        <v>172</v>
      </c>
    </row>
    <row r="6" spans="2:13" x14ac:dyDescent="0.3">
      <c r="C6" s="103"/>
    </row>
    <row r="14" spans="2:13" x14ac:dyDescent="0.3">
      <c r="L14" t="s">
        <v>259</v>
      </c>
    </row>
    <row r="15" spans="2:13" x14ac:dyDescent="0.3">
      <c r="M15" t="s">
        <v>260</v>
      </c>
    </row>
    <row r="16" spans="2:13" x14ac:dyDescent="0.3">
      <c r="M16" t="s">
        <v>261</v>
      </c>
    </row>
    <row r="18" spans="3:17" ht="17.25" thickBot="1" x14ac:dyDescent="0.35">
      <c r="K18" s="103" t="s">
        <v>158</v>
      </c>
    </row>
    <row r="19" spans="3:17" ht="17.25" thickBot="1" x14ac:dyDescent="0.35">
      <c r="L19" s="399"/>
      <c r="M19" s="400"/>
      <c r="N19" s="127" t="s">
        <v>169</v>
      </c>
      <c r="O19" s="127" t="s">
        <v>170</v>
      </c>
      <c r="P19" s="127" t="s">
        <v>250</v>
      </c>
      <c r="Q19" s="401"/>
    </row>
    <row r="20" spans="3:17" ht="17.25" thickBot="1" x14ac:dyDescent="0.35">
      <c r="D20" s="388"/>
      <c r="E20" s="323" t="s">
        <v>251</v>
      </c>
      <c r="F20" s="323" t="s">
        <v>241</v>
      </c>
      <c r="G20" s="323" t="s">
        <v>242</v>
      </c>
      <c r="H20" s="325" t="s">
        <v>243</v>
      </c>
      <c r="L20" s="1042" t="s">
        <v>252</v>
      </c>
      <c r="M20" s="220" t="s">
        <v>159</v>
      </c>
      <c r="N20" s="183">
        <v>5</v>
      </c>
      <c r="O20" s="183">
        <v>5</v>
      </c>
      <c r="P20" s="183">
        <v>5</v>
      </c>
      <c r="Q20" s="119" t="s">
        <v>163</v>
      </c>
    </row>
    <row r="21" spans="3:17" ht="17.25" thickBot="1" x14ac:dyDescent="0.35">
      <c r="D21" s="105" t="s">
        <v>148</v>
      </c>
      <c r="E21" s="106">
        <v>185</v>
      </c>
      <c r="F21" s="106">
        <v>185</v>
      </c>
      <c r="G21" s="106">
        <v>185</v>
      </c>
      <c r="H21" s="107" t="s">
        <v>153</v>
      </c>
      <c r="L21" s="1043"/>
      <c r="M21" s="105" t="s">
        <v>160</v>
      </c>
      <c r="N21" s="106">
        <v>100</v>
      </c>
      <c r="O21" s="106">
        <v>33</v>
      </c>
      <c r="P21" s="106">
        <v>33</v>
      </c>
      <c r="Q21" s="107" t="s">
        <v>162</v>
      </c>
    </row>
    <row r="22" spans="3:17" ht="17.25" thickBot="1" x14ac:dyDescent="0.35">
      <c r="D22" s="105" t="s">
        <v>154</v>
      </c>
      <c r="E22" s="106">
        <v>2.5</v>
      </c>
      <c r="F22" s="112">
        <f>F23/F21</f>
        <v>2.7027027027027026</v>
      </c>
      <c r="G22" s="106">
        <v>2.5</v>
      </c>
      <c r="H22" s="107" t="s">
        <v>155</v>
      </c>
      <c r="L22" s="1043"/>
      <c r="M22" s="105" t="s">
        <v>164</v>
      </c>
      <c r="N22" s="106">
        <v>0.25</v>
      </c>
      <c r="O22" s="106">
        <v>0.25</v>
      </c>
      <c r="P22" s="112">
        <v>0.7</v>
      </c>
      <c r="Q22" s="107" t="s">
        <v>76</v>
      </c>
    </row>
    <row r="23" spans="3:17" ht="17.25" thickBot="1" x14ac:dyDescent="0.35">
      <c r="D23" s="108" t="s">
        <v>156</v>
      </c>
      <c r="E23" s="109">
        <f>E21*E22</f>
        <v>462.5</v>
      </c>
      <c r="F23" s="392">
        <v>500</v>
      </c>
      <c r="G23" s="109">
        <v>1000</v>
      </c>
      <c r="H23" s="110" t="s">
        <v>157</v>
      </c>
      <c r="L23" s="1043"/>
      <c r="M23" s="402" t="s">
        <v>161</v>
      </c>
      <c r="N23" s="403">
        <f>N21*N22/(N20-N22)</f>
        <v>5.2631578947368425</v>
      </c>
      <c r="O23" s="403">
        <f>O21*O22/(O20-O22)</f>
        <v>1.736842105263158</v>
      </c>
      <c r="P23" s="403">
        <f>P21*P22/(P20-P22)</f>
        <v>5.3720930232558137</v>
      </c>
      <c r="Q23" s="404" t="s">
        <v>162</v>
      </c>
    </row>
    <row r="24" spans="3:17" ht="17.25" thickBot="1" x14ac:dyDescent="0.35">
      <c r="D24" s="391" t="s">
        <v>244</v>
      </c>
      <c r="L24" s="1042" t="s">
        <v>253</v>
      </c>
      <c r="M24" s="220" t="s">
        <v>159</v>
      </c>
      <c r="N24" s="183">
        <v>5</v>
      </c>
      <c r="O24" s="183">
        <v>5</v>
      </c>
      <c r="P24" s="183">
        <v>5</v>
      </c>
      <c r="Q24" s="119" t="s">
        <v>163</v>
      </c>
    </row>
    <row r="25" spans="3:17" ht="17.25" thickBot="1" x14ac:dyDescent="0.35">
      <c r="D25" s="391" t="s">
        <v>245</v>
      </c>
      <c r="L25" s="1043"/>
      <c r="M25" s="105" t="s">
        <v>160</v>
      </c>
      <c r="N25" s="106">
        <v>33</v>
      </c>
      <c r="O25" s="106">
        <v>33</v>
      </c>
      <c r="P25" s="106">
        <v>33</v>
      </c>
      <c r="Q25" s="107" t="s">
        <v>162</v>
      </c>
    </row>
    <row r="26" spans="3:17" ht="17.25" thickBot="1" x14ac:dyDescent="0.35">
      <c r="L26" s="1043"/>
      <c r="M26" s="105" t="s">
        <v>161</v>
      </c>
      <c r="N26" s="227">
        <v>100</v>
      </c>
      <c r="O26" s="227">
        <v>1.69</v>
      </c>
      <c r="P26" s="227">
        <v>5.36</v>
      </c>
      <c r="Q26" s="107" t="s">
        <v>162</v>
      </c>
    </row>
    <row r="27" spans="3:17" ht="17.25" thickBot="1" x14ac:dyDescent="0.35">
      <c r="C27" s="103" t="s">
        <v>168</v>
      </c>
      <c r="L27" s="1043"/>
      <c r="M27" s="187" t="s">
        <v>164</v>
      </c>
      <c r="N27" s="405">
        <f>N24*N26/(N25+N26)</f>
        <v>3.7593984962406015</v>
      </c>
      <c r="O27" s="405">
        <f>O24*O26/(O25+O26)</f>
        <v>0.24358604785240703</v>
      </c>
      <c r="P27" s="405">
        <f>P24*P26/(P25+P26)</f>
        <v>0.69864442127215853</v>
      </c>
      <c r="Q27" s="406" t="s">
        <v>165</v>
      </c>
    </row>
    <row r="28" spans="3:17" ht="17.25" thickBot="1" x14ac:dyDescent="0.35">
      <c r="C28" s="103"/>
      <c r="D28" s="126" t="s">
        <v>248</v>
      </c>
      <c r="E28" s="389">
        <v>1</v>
      </c>
      <c r="F28" s="389">
        <v>2</v>
      </c>
      <c r="G28" s="389">
        <v>3</v>
      </c>
      <c r="H28" s="325" t="s">
        <v>243</v>
      </c>
      <c r="L28" s="1043"/>
      <c r="M28" s="221" t="s">
        <v>166</v>
      </c>
      <c r="N28" s="222">
        <f>(N24-N27)/N25</f>
        <v>3.7593984962406013E-2</v>
      </c>
      <c r="O28" s="222">
        <f>(O24-O27)/O25</f>
        <v>0.14413375612568463</v>
      </c>
      <c r="P28" s="222">
        <f>(P24-P27)/P25</f>
        <v>0.13034410844629823</v>
      </c>
      <c r="Q28" s="223" t="s">
        <v>167</v>
      </c>
    </row>
    <row r="29" spans="3:17" x14ac:dyDescent="0.3">
      <c r="C29" s="103"/>
      <c r="D29" s="220" t="s">
        <v>148</v>
      </c>
      <c r="E29" s="183">
        <v>185</v>
      </c>
      <c r="F29" s="183">
        <v>185</v>
      </c>
      <c r="G29" s="183">
        <v>185</v>
      </c>
      <c r="H29" s="119" t="s">
        <v>153</v>
      </c>
    </row>
    <row r="30" spans="3:17" ht="17.25" thickBot="1" x14ac:dyDescent="0.35">
      <c r="C30" s="103"/>
      <c r="D30" s="105" t="s">
        <v>154</v>
      </c>
      <c r="E30" s="106">
        <v>2.5</v>
      </c>
      <c r="F30" s="106">
        <v>1.4</v>
      </c>
      <c r="G30" s="106">
        <v>2.1</v>
      </c>
      <c r="H30" s="107" t="s">
        <v>155</v>
      </c>
      <c r="K30" s="103" t="s">
        <v>262</v>
      </c>
      <c r="L30" s="103"/>
    </row>
    <row r="31" spans="3:17" ht="17.25" thickBot="1" x14ac:dyDescent="0.35">
      <c r="C31" s="103"/>
      <c r="D31" s="108" t="s">
        <v>156</v>
      </c>
      <c r="E31" s="109">
        <f>E29*E30</f>
        <v>462.5</v>
      </c>
      <c r="F31" s="109">
        <f>F29*F30</f>
        <v>259</v>
      </c>
      <c r="G31" s="109">
        <f>G29*G30</f>
        <v>388.5</v>
      </c>
      <c r="H31" s="110" t="s">
        <v>157</v>
      </c>
      <c r="L31" s="397"/>
      <c r="M31" s="398" t="s">
        <v>241</v>
      </c>
      <c r="N31" s="128" t="s">
        <v>242</v>
      </c>
    </row>
    <row r="32" spans="3:17" x14ac:dyDescent="0.3">
      <c r="C32" s="103"/>
      <c r="D32" s="220" t="s">
        <v>246</v>
      </c>
      <c r="E32" s="183">
        <v>500</v>
      </c>
      <c r="F32" s="183">
        <v>500</v>
      </c>
      <c r="G32" s="183">
        <v>500</v>
      </c>
      <c r="H32" s="119"/>
      <c r="L32" s="319" t="s">
        <v>254</v>
      </c>
      <c r="M32" s="394">
        <v>0.7</v>
      </c>
      <c r="N32" s="231">
        <v>0.7</v>
      </c>
    </row>
    <row r="33" spans="3:14" ht="17.25" thickBot="1" x14ac:dyDescent="0.35">
      <c r="C33" s="103"/>
      <c r="D33" s="108" t="s">
        <v>156</v>
      </c>
      <c r="E33" s="109">
        <f>E31+E32</f>
        <v>962.5</v>
      </c>
      <c r="F33" s="109">
        <f>F31+F32</f>
        <v>759</v>
      </c>
      <c r="G33" s="109">
        <f>G31+G32</f>
        <v>888.5</v>
      </c>
      <c r="H33" s="110" t="s">
        <v>157</v>
      </c>
      <c r="L33" s="316" t="s">
        <v>255</v>
      </c>
      <c r="M33" s="395">
        <v>0.5</v>
      </c>
      <c r="N33" s="393">
        <v>1</v>
      </c>
    </row>
    <row r="34" spans="3:14" x14ac:dyDescent="0.3">
      <c r="D34" s="391" t="s">
        <v>247</v>
      </c>
      <c r="L34" s="1044" t="s">
        <v>256</v>
      </c>
      <c r="M34" s="395">
        <v>5</v>
      </c>
      <c r="N34" s="393">
        <v>0</v>
      </c>
    </row>
    <row r="35" spans="3:14" ht="17.25" thickBot="1" x14ac:dyDescent="0.35">
      <c r="D35" s="390" t="s">
        <v>249</v>
      </c>
      <c r="L35" s="1045"/>
      <c r="M35" s="396" t="s">
        <v>257</v>
      </c>
      <c r="N35" s="226" t="s">
        <v>258</v>
      </c>
    </row>
    <row r="37" spans="3:14" x14ac:dyDescent="0.3">
      <c r="K37" s="103" t="s">
        <v>263</v>
      </c>
    </row>
    <row r="38" spans="3:14" x14ac:dyDescent="0.3">
      <c r="L38" t="s">
        <v>264</v>
      </c>
    </row>
    <row r="46" spans="3:14" x14ac:dyDescent="0.3">
      <c r="L46" t="s">
        <v>1582</v>
      </c>
    </row>
    <row r="47" spans="3:14" x14ac:dyDescent="0.3">
      <c r="L47" t="s">
        <v>1583</v>
      </c>
    </row>
  </sheetData>
  <mergeCells count="3">
    <mergeCell ref="L20:L23"/>
    <mergeCell ref="L24:L28"/>
    <mergeCell ref="L34:L3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122" r:id="rId4">
          <objectPr defaultSize="0" autoPict="0" r:id="rId5">
            <anchor moveWithCells="1">
              <from>
                <xdr:col>14</xdr:col>
                <xdr:colOff>590550</xdr:colOff>
                <xdr:row>43</xdr:row>
                <xdr:rowOff>104775</xdr:rowOff>
              </from>
              <to>
                <xdr:col>24</xdr:col>
                <xdr:colOff>209550</xdr:colOff>
                <xdr:row>58</xdr:row>
                <xdr:rowOff>123825</xdr:rowOff>
              </to>
            </anchor>
          </objectPr>
        </oleObject>
      </mc:Choice>
      <mc:Fallback>
        <oleObject progId="Visio.Drawing.11" shapeId="5122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4"/>
  <sheetViews>
    <sheetView topLeftCell="A64" workbookViewId="0">
      <selection activeCell="C68" sqref="C68:H71"/>
    </sheetView>
  </sheetViews>
  <sheetFormatPr defaultRowHeight="16.5" x14ac:dyDescent="0.3"/>
  <cols>
    <col min="1" max="1" width="3.125" customWidth="1"/>
    <col min="2" max="2" width="3.625" customWidth="1"/>
  </cols>
  <sheetData>
    <row r="2" spans="2:2" x14ac:dyDescent="0.3">
      <c r="B2" s="103" t="s">
        <v>361</v>
      </c>
    </row>
    <row r="18" spans="3:12" x14ac:dyDescent="0.3">
      <c r="C18" s="103" t="s">
        <v>368</v>
      </c>
    </row>
    <row r="19" spans="3:12" x14ac:dyDescent="0.3">
      <c r="C19" t="s">
        <v>367</v>
      </c>
    </row>
    <row r="20" spans="3:12" x14ac:dyDescent="0.3">
      <c r="C20" s="103" t="s">
        <v>369</v>
      </c>
    </row>
    <row r="21" spans="3:12" x14ac:dyDescent="0.3">
      <c r="C21" t="s">
        <v>365</v>
      </c>
    </row>
    <row r="23" spans="3:12" x14ac:dyDescent="0.3">
      <c r="C23" s="103" t="s">
        <v>370</v>
      </c>
    </row>
    <row r="24" spans="3:12" x14ac:dyDescent="0.3">
      <c r="C24" t="s">
        <v>366</v>
      </c>
    </row>
    <row r="26" spans="3:12" ht="17.25" thickBot="1" x14ac:dyDescent="0.35">
      <c r="C26" s="103" t="s">
        <v>360</v>
      </c>
      <c r="J26" s="103" t="s">
        <v>362</v>
      </c>
    </row>
    <row r="27" spans="3:12" x14ac:dyDescent="0.3">
      <c r="D27" s="407" t="s">
        <v>347</v>
      </c>
      <c r="E27" s="409" t="s">
        <v>358</v>
      </c>
      <c r="F27" s="409" t="s">
        <v>358</v>
      </c>
      <c r="G27" s="408" t="s">
        <v>349</v>
      </c>
      <c r="J27" s="440" t="s">
        <v>364</v>
      </c>
      <c r="K27" s="183">
        <v>5</v>
      </c>
      <c r="L27" s="119" t="s">
        <v>76</v>
      </c>
    </row>
    <row r="28" spans="3:12" x14ac:dyDescent="0.3">
      <c r="D28" s="416" t="s">
        <v>31</v>
      </c>
      <c r="E28" s="412" t="s">
        <v>348</v>
      </c>
      <c r="F28" s="412">
        <v>2.4</v>
      </c>
      <c r="G28" s="439">
        <v>2.4</v>
      </c>
      <c r="J28" s="416" t="s">
        <v>351</v>
      </c>
      <c r="K28" s="106">
        <v>10</v>
      </c>
      <c r="L28" s="107" t="s">
        <v>86</v>
      </c>
    </row>
    <row r="29" spans="3:12" x14ac:dyDescent="0.3">
      <c r="D29" s="416" t="s">
        <v>31</v>
      </c>
      <c r="E29" s="412">
        <v>0</v>
      </c>
      <c r="F29" s="412"/>
      <c r="G29" s="439">
        <v>2.4</v>
      </c>
      <c r="J29" s="416" t="s">
        <v>353</v>
      </c>
      <c r="K29" s="106">
        <v>2500</v>
      </c>
      <c r="L29" s="107" t="s">
        <v>86</v>
      </c>
    </row>
    <row r="30" spans="3:12" ht="17.25" thickBot="1" x14ac:dyDescent="0.35">
      <c r="D30" s="416" t="s">
        <v>350</v>
      </c>
      <c r="E30" s="412">
        <v>0</v>
      </c>
      <c r="F30" s="412"/>
      <c r="G30" s="393">
        <v>5</v>
      </c>
      <c r="J30" s="232" t="s">
        <v>354</v>
      </c>
      <c r="K30" s="109">
        <f>K27*K29/(K28+K29)</f>
        <v>4.9800796812749004</v>
      </c>
      <c r="L30" s="110" t="s">
        <v>76</v>
      </c>
    </row>
    <row r="31" spans="3:12" ht="17.25" thickBot="1" x14ac:dyDescent="0.35">
      <c r="D31" s="232" t="s">
        <v>36</v>
      </c>
      <c r="E31" s="411">
        <v>5</v>
      </c>
      <c r="F31" s="411"/>
      <c r="G31" s="226">
        <v>0</v>
      </c>
    </row>
    <row r="32" spans="3:12" ht="17.25" thickBot="1" x14ac:dyDescent="0.35">
      <c r="J32" s="103" t="s">
        <v>363</v>
      </c>
    </row>
    <row r="33" spans="2:12" ht="17.25" thickBot="1" x14ac:dyDescent="0.35">
      <c r="C33" s="103" t="s">
        <v>359</v>
      </c>
      <c r="J33" s="440" t="s">
        <v>364</v>
      </c>
      <c r="K33" s="183">
        <v>5</v>
      </c>
      <c r="L33" s="119" t="s">
        <v>76</v>
      </c>
    </row>
    <row r="34" spans="2:12" x14ac:dyDescent="0.3">
      <c r="D34" s="407" t="s">
        <v>347</v>
      </c>
      <c r="E34" s="409" t="s">
        <v>358</v>
      </c>
      <c r="F34" s="409" t="s">
        <v>349</v>
      </c>
      <c r="G34" s="408" t="s">
        <v>349</v>
      </c>
      <c r="J34" s="416" t="s">
        <v>351</v>
      </c>
      <c r="K34" s="106">
        <v>2500</v>
      </c>
      <c r="L34" s="107" t="s">
        <v>357</v>
      </c>
    </row>
    <row r="35" spans="2:12" x14ac:dyDescent="0.3">
      <c r="D35" s="436" t="s">
        <v>31</v>
      </c>
      <c r="E35" s="437" t="s">
        <v>31</v>
      </c>
      <c r="F35" s="437" t="s">
        <v>31</v>
      </c>
      <c r="G35" s="438">
        <v>5</v>
      </c>
      <c r="J35" s="416" t="s">
        <v>353</v>
      </c>
      <c r="K35" s="106">
        <v>2500</v>
      </c>
      <c r="L35" s="107" t="s">
        <v>357</v>
      </c>
    </row>
    <row r="36" spans="2:12" x14ac:dyDescent="0.3">
      <c r="D36" s="416" t="s">
        <v>31</v>
      </c>
      <c r="E36" s="412" t="s">
        <v>36</v>
      </c>
      <c r="F36" s="412" t="s">
        <v>31</v>
      </c>
      <c r="G36" s="393">
        <v>5</v>
      </c>
      <c r="J36" s="416" t="s">
        <v>355</v>
      </c>
      <c r="K36" s="106">
        <v>10</v>
      </c>
      <c r="L36" s="107" t="s">
        <v>357</v>
      </c>
    </row>
    <row r="37" spans="2:12" x14ac:dyDescent="0.3">
      <c r="D37" s="416" t="s">
        <v>31</v>
      </c>
      <c r="E37" s="412" t="s">
        <v>348</v>
      </c>
      <c r="F37" s="412" t="s">
        <v>31</v>
      </c>
      <c r="G37" s="393">
        <v>5</v>
      </c>
      <c r="J37" s="416" t="s">
        <v>356</v>
      </c>
      <c r="K37" s="106">
        <f>(K35*K36)/(K35+K36)</f>
        <v>9.9601593625498008</v>
      </c>
      <c r="L37" s="107" t="s">
        <v>357</v>
      </c>
    </row>
    <row r="38" spans="2:12" ht="17.25" thickBot="1" x14ac:dyDescent="0.35">
      <c r="D38" s="436" t="s">
        <v>36</v>
      </c>
      <c r="E38" s="437" t="s">
        <v>31</v>
      </c>
      <c r="F38" s="437" t="s">
        <v>36</v>
      </c>
      <c r="G38" s="438">
        <v>0</v>
      </c>
      <c r="J38" s="232" t="s">
        <v>354</v>
      </c>
      <c r="K38" s="109">
        <f>K33*K37/(K34+K37)</f>
        <v>1.9841269841269844E-2</v>
      </c>
      <c r="L38" s="110" t="s">
        <v>352</v>
      </c>
    </row>
    <row r="39" spans="2:12" ht="17.25" thickBot="1" x14ac:dyDescent="0.35">
      <c r="D39" s="232" t="s">
        <v>36</v>
      </c>
      <c r="E39" s="411" t="s">
        <v>36</v>
      </c>
      <c r="F39" s="411" t="s">
        <v>31</v>
      </c>
      <c r="G39" s="226">
        <v>5</v>
      </c>
    </row>
    <row r="40" spans="2:12" x14ac:dyDescent="0.3">
      <c r="D40" s="450" t="s">
        <v>417</v>
      </c>
    </row>
    <row r="42" spans="2:12" x14ac:dyDescent="0.3">
      <c r="B42" s="103" t="s">
        <v>393</v>
      </c>
    </row>
    <row r="43" spans="2:12" x14ac:dyDescent="0.3">
      <c r="C43" t="s">
        <v>375</v>
      </c>
    </row>
    <row r="58" spans="3:13" ht="17.25" thickBot="1" x14ac:dyDescent="0.35"/>
    <row r="59" spans="3:13" ht="17.25" thickBot="1" x14ac:dyDescent="0.35">
      <c r="C59" s="400"/>
      <c r="D59" s="127" t="s">
        <v>389</v>
      </c>
      <c r="E59" s="127" t="s">
        <v>390</v>
      </c>
      <c r="F59" s="127" t="s">
        <v>391</v>
      </c>
      <c r="G59" s="127" t="s">
        <v>390</v>
      </c>
      <c r="H59" s="127" t="s">
        <v>394</v>
      </c>
      <c r="I59" s="127" t="s">
        <v>390</v>
      </c>
      <c r="J59" s="127" t="s">
        <v>397</v>
      </c>
      <c r="K59" s="127" t="s">
        <v>390</v>
      </c>
      <c r="L59" s="128" t="s">
        <v>392</v>
      </c>
    </row>
    <row r="60" spans="3:13" x14ac:dyDescent="0.3">
      <c r="C60" s="414" t="s">
        <v>383</v>
      </c>
      <c r="D60" s="116">
        <v>1</v>
      </c>
      <c r="E60" s="116"/>
      <c r="F60" s="441">
        <v>20</v>
      </c>
      <c r="G60" s="116"/>
      <c r="H60" s="441">
        <v>1</v>
      </c>
      <c r="I60" s="116"/>
      <c r="J60" s="444">
        <v>1</v>
      </c>
      <c r="K60" s="116"/>
      <c r="L60" s="117" t="s">
        <v>379</v>
      </c>
    </row>
    <row r="61" spans="3:13" x14ac:dyDescent="0.3">
      <c r="C61" s="413" t="s">
        <v>384</v>
      </c>
      <c r="D61" s="106">
        <v>1</v>
      </c>
      <c r="E61" s="106"/>
      <c r="F61" s="206">
        <v>20</v>
      </c>
      <c r="G61" s="106"/>
      <c r="H61" s="206">
        <v>20</v>
      </c>
      <c r="I61" s="106"/>
      <c r="J61" s="445">
        <v>36</v>
      </c>
      <c r="K61" s="106"/>
      <c r="L61" s="107" t="s">
        <v>379</v>
      </c>
    </row>
    <row r="62" spans="3:13" x14ac:dyDescent="0.3">
      <c r="C62" s="413" t="s">
        <v>376</v>
      </c>
      <c r="D62" s="106">
        <v>10</v>
      </c>
      <c r="E62" s="106"/>
      <c r="F62" s="206">
        <v>10</v>
      </c>
      <c r="G62" s="106"/>
      <c r="H62" s="206">
        <v>10</v>
      </c>
      <c r="I62" s="106"/>
      <c r="J62" s="445">
        <v>10</v>
      </c>
      <c r="K62" s="106"/>
      <c r="L62" s="107" t="s">
        <v>380</v>
      </c>
    </row>
    <row r="63" spans="3:13" x14ac:dyDescent="0.3">
      <c r="C63" s="413" t="s">
        <v>385</v>
      </c>
      <c r="D63" s="228">
        <f>D62*(D60+D61)*0.693</f>
        <v>13.86</v>
      </c>
      <c r="E63" s="228">
        <f>E65-E64</f>
        <v>14</v>
      </c>
      <c r="F63" s="442">
        <f>F62*(F60+F61)*0.693</f>
        <v>277.2</v>
      </c>
      <c r="G63" s="228">
        <f>G65-G64</f>
        <v>280</v>
      </c>
      <c r="H63" s="442">
        <f>H62*(H60+H61)*0.693</f>
        <v>145.53</v>
      </c>
      <c r="I63" s="228">
        <v>148</v>
      </c>
      <c r="J63" s="446">
        <f>J62*(J60+J61)*0.693</f>
        <v>256.40999999999997</v>
      </c>
      <c r="K63" s="228">
        <v>262</v>
      </c>
      <c r="L63" s="107" t="s">
        <v>388</v>
      </c>
      <c r="M63" t="s">
        <v>395</v>
      </c>
    </row>
    <row r="64" spans="3:13" x14ac:dyDescent="0.3">
      <c r="C64" s="413" t="s">
        <v>386</v>
      </c>
      <c r="D64" s="228">
        <f>D62*D61*0.693</f>
        <v>6.93</v>
      </c>
      <c r="E64" s="228">
        <v>7</v>
      </c>
      <c r="F64" s="442">
        <f>F62*F61*0.693</f>
        <v>138.6</v>
      </c>
      <c r="G64" s="228">
        <v>140</v>
      </c>
      <c r="H64" s="442">
        <f>H62*H61*0.693</f>
        <v>138.6</v>
      </c>
      <c r="I64" s="228">
        <v>142</v>
      </c>
      <c r="J64" s="446">
        <f>J62*J61*0.693</f>
        <v>249.48</v>
      </c>
      <c r="K64" s="228">
        <v>262</v>
      </c>
      <c r="L64" s="107" t="s">
        <v>388</v>
      </c>
      <c r="M64" t="s">
        <v>396</v>
      </c>
    </row>
    <row r="65" spans="3:12" ht="17.25" thickBot="1" x14ac:dyDescent="0.35">
      <c r="C65" s="410" t="s">
        <v>387</v>
      </c>
      <c r="D65" s="113">
        <f>D63+D64</f>
        <v>20.79</v>
      </c>
      <c r="E65" s="113">
        <v>21</v>
      </c>
      <c r="F65" s="443">
        <f>F63+F64</f>
        <v>415.79999999999995</v>
      </c>
      <c r="G65" s="113">
        <v>420</v>
      </c>
      <c r="H65" s="443">
        <f>H63+H64</f>
        <v>284.13</v>
      </c>
      <c r="I65" s="113">
        <f>I63+I64</f>
        <v>290</v>
      </c>
      <c r="J65" s="185">
        <f>J63+J64</f>
        <v>505.89</v>
      </c>
      <c r="K65" s="113">
        <v>524</v>
      </c>
      <c r="L65" s="110" t="s">
        <v>388</v>
      </c>
    </row>
    <row r="66" spans="3:12" x14ac:dyDescent="0.3">
      <c r="H66" s="177">
        <f>H63-H64</f>
        <v>6.9300000000000068</v>
      </c>
      <c r="I66" s="177">
        <f>I63-I64</f>
        <v>6</v>
      </c>
      <c r="J66" s="177">
        <f>J63-J64</f>
        <v>6.9299999999999784</v>
      </c>
    </row>
    <row r="68" spans="3:12" x14ac:dyDescent="0.3">
      <c r="C68" t="s">
        <v>377</v>
      </c>
      <c r="D68">
        <v>1</v>
      </c>
      <c r="E68">
        <v>200</v>
      </c>
      <c r="F68">
        <v>36</v>
      </c>
      <c r="G68" t="s">
        <v>379</v>
      </c>
    </row>
    <row r="69" spans="3:12" x14ac:dyDescent="0.3">
      <c r="C69" t="s">
        <v>378</v>
      </c>
      <c r="D69">
        <v>10</v>
      </c>
      <c r="E69">
        <v>22</v>
      </c>
      <c r="F69">
        <v>10</v>
      </c>
      <c r="G69" t="s">
        <v>380</v>
      </c>
    </row>
    <row r="70" spans="3:12" x14ac:dyDescent="0.3">
      <c r="C70" t="s">
        <v>381</v>
      </c>
      <c r="D70">
        <f>D68*D69/1000</f>
        <v>0.01</v>
      </c>
      <c r="E70">
        <f>E68*E69/1000</f>
        <v>4.4000000000000004</v>
      </c>
      <c r="F70">
        <f>F68*F69/1000</f>
        <v>0.36</v>
      </c>
      <c r="G70" t="s">
        <v>382</v>
      </c>
      <c r="H70">
        <f>1/F70</f>
        <v>2.7777777777777777</v>
      </c>
    </row>
    <row r="71" spans="3:12" ht="17.25" thickBot="1" x14ac:dyDescent="0.35">
      <c r="C71" t="s">
        <v>1059</v>
      </c>
      <c r="F71">
        <f>F70*0.7</f>
        <v>0.252</v>
      </c>
      <c r="G71" t="s">
        <v>382</v>
      </c>
    </row>
    <row r="72" spans="3:12" ht="17.25" thickBot="1" x14ac:dyDescent="0.35">
      <c r="C72" s="1049"/>
      <c r="D72" s="1050"/>
      <c r="E72" s="1050" t="s">
        <v>398</v>
      </c>
      <c r="F72" s="1050"/>
      <c r="G72" s="224" t="s">
        <v>402</v>
      </c>
      <c r="H72" s="224" t="s">
        <v>405</v>
      </c>
      <c r="I72" s="1050" t="s">
        <v>407</v>
      </c>
      <c r="J72" s="1050"/>
      <c r="K72" s="1050" t="s">
        <v>410</v>
      </c>
      <c r="L72" s="1051"/>
    </row>
    <row r="73" spans="3:12" x14ac:dyDescent="0.3">
      <c r="C73" s="972" t="s">
        <v>399</v>
      </c>
      <c r="D73" s="1058"/>
      <c r="E73" s="1052" t="s">
        <v>400</v>
      </c>
      <c r="F73" s="1052"/>
      <c r="G73" s="448" t="s">
        <v>403</v>
      </c>
      <c r="H73" s="448" t="s">
        <v>403</v>
      </c>
      <c r="I73" s="1052" t="s">
        <v>408</v>
      </c>
      <c r="J73" s="1052"/>
      <c r="K73" s="1054" t="s">
        <v>411</v>
      </c>
      <c r="L73" s="1055"/>
    </row>
    <row r="74" spans="3:12" x14ac:dyDescent="0.3">
      <c r="C74" s="960" t="s">
        <v>396</v>
      </c>
      <c r="D74" s="1059"/>
      <c r="E74" s="967" t="s">
        <v>400</v>
      </c>
      <c r="F74" s="967"/>
      <c r="G74" s="412" t="s">
        <v>403</v>
      </c>
      <c r="H74" s="412" t="s">
        <v>403</v>
      </c>
      <c r="I74" s="967" t="s">
        <v>408</v>
      </c>
      <c r="J74" s="967"/>
      <c r="K74" s="967" t="s">
        <v>412</v>
      </c>
      <c r="L74" s="1056"/>
    </row>
    <row r="75" spans="3:12" ht="17.25" thickBot="1" x14ac:dyDescent="0.35">
      <c r="C75" s="968" t="s">
        <v>401</v>
      </c>
      <c r="D75" s="1046"/>
      <c r="E75" s="969" t="s">
        <v>400</v>
      </c>
      <c r="F75" s="969"/>
      <c r="G75" s="411" t="s">
        <v>404</v>
      </c>
      <c r="H75" s="447" t="s">
        <v>406</v>
      </c>
      <c r="I75" s="1053" t="s">
        <v>409</v>
      </c>
      <c r="J75" s="1053"/>
      <c r="K75" s="1053" t="s">
        <v>413</v>
      </c>
      <c r="L75" s="1057"/>
    </row>
    <row r="77" spans="3:12" ht="17.25" thickBot="1" x14ac:dyDescent="0.35">
      <c r="C77" s="103" t="s">
        <v>416</v>
      </c>
    </row>
    <row r="78" spans="3:12" ht="17.25" thickBot="1" x14ac:dyDescent="0.35">
      <c r="C78" s="1049"/>
      <c r="D78" s="1050"/>
      <c r="E78" s="1050" t="s">
        <v>398</v>
      </c>
      <c r="F78" s="1050"/>
      <c r="G78" s="224" t="s">
        <v>402</v>
      </c>
      <c r="H78" s="224" t="s">
        <v>405</v>
      </c>
      <c r="I78" s="1050" t="s">
        <v>407</v>
      </c>
      <c r="J78" s="1050"/>
      <c r="K78" s="1050" t="s">
        <v>410</v>
      </c>
      <c r="L78" s="1051"/>
    </row>
    <row r="79" spans="3:12" ht="17.25" thickBot="1" x14ac:dyDescent="0.35">
      <c r="C79" s="968" t="s">
        <v>401</v>
      </c>
      <c r="D79" s="1046"/>
      <c r="E79" s="969" t="s">
        <v>400</v>
      </c>
      <c r="F79" s="969"/>
      <c r="G79" s="411" t="s">
        <v>404</v>
      </c>
      <c r="H79" s="449" t="s">
        <v>404</v>
      </c>
      <c r="I79" s="1047" t="s">
        <v>414</v>
      </c>
      <c r="J79" s="1047"/>
      <c r="K79" s="1047" t="s">
        <v>415</v>
      </c>
      <c r="L79" s="1048"/>
    </row>
    <row r="91" spans="16:19" x14ac:dyDescent="0.3">
      <c r="P91">
        <v>100</v>
      </c>
      <c r="Q91" t="s">
        <v>379</v>
      </c>
    </row>
    <row r="92" spans="16:19" x14ac:dyDescent="0.3">
      <c r="P92">
        <v>0.2</v>
      </c>
      <c r="Q92" t="s">
        <v>380</v>
      </c>
    </row>
    <row r="93" spans="16:19" x14ac:dyDescent="0.3">
      <c r="P93">
        <f>P91*P92/1000</f>
        <v>0.02</v>
      </c>
      <c r="Q93" t="s">
        <v>382</v>
      </c>
      <c r="R93">
        <f>1/P93</f>
        <v>50</v>
      </c>
      <c r="S93" t="s">
        <v>1096</v>
      </c>
    </row>
    <row r="94" spans="16:19" x14ac:dyDescent="0.3">
      <c r="P94">
        <f>P93*0.7</f>
        <v>1.3999999999999999E-2</v>
      </c>
      <c r="Q94" t="s">
        <v>382</v>
      </c>
    </row>
  </sheetData>
  <mergeCells count="24">
    <mergeCell ref="E72:F72"/>
    <mergeCell ref="E73:F73"/>
    <mergeCell ref="C72:D72"/>
    <mergeCell ref="C73:D73"/>
    <mergeCell ref="C75:D75"/>
    <mergeCell ref="E75:F75"/>
    <mergeCell ref="C74:D74"/>
    <mergeCell ref="E74:F74"/>
    <mergeCell ref="I72:J72"/>
    <mergeCell ref="I73:J73"/>
    <mergeCell ref="I74:J74"/>
    <mergeCell ref="I75:J75"/>
    <mergeCell ref="K72:L72"/>
    <mergeCell ref="K73:L73"/>
    <mergeCell ref="K74:L74"/>
    <mergeCell ref="K75:L75"/>
    <mergeCell ref="C79:D79"/>
    <mergeCell ref="E79:F79"/>
    <mergeCell ref="I79:J79"/>
    <mergeCell ref="K79:L79"/>
    <mergeCell ref="C78:D78"/>
    <mergeCell ref="E78:F78"/>
    <mergeCell ref="I78:J78"/>
    <mergeCell ref="K78:L7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E21" sqref="E21"/>
    </sheetView>
  </sheetViews>
  <sheetFormatPr defaultRowHeight="16.5" x14ac:dyDescent="0.3"/>
  <cols>
    <col min="2" max="2" width="12.25" customWidth="1"/>
  </cols>
  <sheetData>
    <row r="1" spans="2:5" x14ac:dyDescent="0.3">
      <c r="B1" s="103" t="s">
        <v>1380</v>
      </c>
    </row>
    <row r="2" spans="2:5" x14ac:dyDescent="0.3">
      <c r="C2" t="s">
        <v>1377</v>
      </c>
      <c r="D2" t="s">
        <v>1378</v>
      </c>
    </row>
    <row r="3" spans="2:5" x14ac:dyDescent="0.3">
      <c r="B3" t="s">
        <v>377</v>
      </c>
      <c r="C3">
        <v>15</v>
      </c>
      <c r="D3">
        <v>15</v>
      </c>
      <c r="E3" t="s">
        <v>86</v>
      </c>
    </row>
    <row r="4" spans="2:5" x14ac:dyDescent="0.3">
      <c r="B4" t="s">
        <v>378</v>
      </c>
      <c r="C4">
        <v>10</v>
      </c>
      <c r="D4">
        <v>22</v>
      </c>
      <c r="E4" t="s">
        <v>380</v>
      </c>
    </row>
    <row r="5" spans="2:5" x14ac:dyDescent="0.3">
      <c r="B5" t="s">
        <v>381</v>
      </c>
      <c r="C5">
        <f>C3*C4/1000</f>
        <v>0.15</v>
      </c>
      <c r="D5">
        <f>D3*D4/1000</f>
        <v>0.33</v>
      </c>
      <c r="E5" t="s">
        <v>382</v>
      </c>
    </row>
    <row r="6" spans="2:5" x14ac:dyDescent="0.3">
      <c r="B6" t="s">
        <v>1059</v>
      </c>
      <c r="C6">
        <f>C5*0.7</f>
        <v>0.105</v>
      </c>
      <c r="D6">
        <f>D5*0.7</f>
        <v>0.23099999999999998</v>
      </c>
      <c r="E6" t="s">
        <v>382</v>
      </c>
    </row>
    <row r="9" spans="2:5" x14ac:dyDescent="0.3">
      <c r="B9" t="s">
        <v>1379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2"/>
  <sheetViews>
    <sheetView workbookViewId="0">
      <selection activeCell="N34" sqref="N34"/>
    </sheetView>
  </sheetViews>
  <sheetFormatPr defaultRowHeight="16.5" x14ac:dyDescent="0.3"/>
  <cols>
    <col min="1" max="1" width="2.75" customWidth="1"/>
    <col min="2" max="2" width="4.75" customWidth="1"/>
    <col min="3" max="3" width="8.5" customWidth="1"/>
    <col min="4" max="4" width="8.375" customWidth="1"/>
    <col min="5" max="5" width="10.5" customWidth="1"/>
    <col min="6" max="6" width="8.375" customWidth="1"/>
    <col min="7" max="7" width="8.875" bestFit="1" customWidth="1"/>
    <col min="8" max="8" width="9" customWidth="1"/>
    <col min="9" max="9" width="7.375" customWidth="1"/>
    <col min="10" max="11" width="6.625" customWidth="1"/>
    <col min="12" max="12" width="7" customWidth="1"/>
    <col min="13" max="13" width="7.5" customWidth="1"/>
    <col min="14" max="14" width="8.5" bestFit="1" customWidth="1"/>
    <col min="15" max="15" width="7.875" customWidth="1"/>
    <col min="16" max="16" width="8.125" customWidth="1"/>
    <col min="17" max="17" width="7.625" bestFit="1" customWidth="1"/>
    <col min="18" max="18" width="9.75" customWidth="1"/>
    <col min="19" max="19" width="10.75" bestFit="1" customWidth="1"/>
    <col min="20" max="20" width="7.625" bestFit="1" customWidth="1"/>
    <col min="21" max="21" width="8.5" bestFit="1" customWidth="1"/>
  </cols>
  <sheetData>
    <row r="2" spans="2:19" x14ac:dyDescent="0.3">
      <c r="B2" s="103" t="s">
        <v>100</v>
      </c>
      <c r="L2" s="125"/>
    </row>
    <row r="3" spans="2:19" x14ac:dyDescent="0.3">
      <c r="C3" s="103" t="s">
        <v>180</v>
      </c>
      <c r="L3" s="125"/>
    </row>
    <row r="4" spans="2:19" x14ac:dyDescent="0.3">
      <c r="C4" t="s">
        <v>101</v>
      </c>
      <c r="L4" s="125"/>
    </row>
    <row r="5" spans="2:19" x14ac:dyDescent="0.3">
      <c r="C5" t="s">
        <v>104</v>
      </c>
    </row>
    <row r="6" spans="2:19" ht="17.25" thickBot="1" x14ac:dyDescent="0.35">
      <c r="C6" t="s">
        <v>102</v>
      </c>
    </row>
    <row r="7" spans="2:19" x14ac:dyDescent="0.3">
      <c r="C7" t="s">
        <v>103</v>
      </c>
      <c r="O7" s="1060" t="s">
        <v>177</v>
      </c>
      <c r="P7" s="1061"/>
      <c r="Q7" s="1062" t="s">
        <v>174</v>
      </c>
      <c r="R7" s="1063"/>
      <c r="S7" s="170" t="s">
        <v>178</v>
      </c>
    </row>
    <row r="8" spans="2:19" ht="17.25" thickBot="1" x14ac:dyDescent="0.35">
      <c r="C8" s="142" t="s">
        <v>173</v>
      </c>
      <c r="O8" s="236" t="s">
        <v>89</v>
      </c>
      <c r="P8" s="237" t="s">
        <v>90</v>
      </c>
      <c r="Q8" s="238" t="s">
        <v>176</v>
      </c>
      <c r="R8" s="239" t="s">
        <v>175</v>
      </c>
      <c r="S8" s="237" t="s">
        <v>179</v>
      </c>
    </row>
    <row r="9" spans="2:19" ht="17.25" thickTop="1" x14ac:dyDescent="0.3">
      <c r="O9" s="230" t="s">
        <v>91</v>
      </c>
      <c r="P9" s="231" t="s">
        <v>91</v>
      </c>
      <c r="Q9" s="164">
        <v>0.26</v>
      </c>
      <c r="R9" s="115">
        <f>Q9*220</f>
        <v>57.2</v>
      </c>
      <c r="S9" s="235">
        <f>R9/5</f>
        <v>11.440000000000001</v>
      </c>
    </row>
    <row r="10" spans="2:19" ht="17.25" thickBot="1" x14ac:dyDescent="0.35">
      <c r="O10" s="232" t="s">
        <v>92</v>
      </c>
      <c r="P10" s="226" t="s">
        <v>93</v>
      </c>
      <c r="Q10" s="234">
        <v>0.5</v>
      </c>
      <c r="R10" s="113">
        <f>Q10*220</f>
        <v>110</v>
      </c>
      <c r="S10" s="229">
        <f>R10/5</f>
        <v>22</v>
      </c>
    </row>
    <row r="25" spans="3:3" x14ac:dyDescent="0.3">
      <c r="C25" s="103" t="s">
        <v>181</v>
      </c>
    </row>
    <row r="26" spans="3:3" x14ac:dyDescent="0.3">
      <c r="C26" t="s">
        <v>182</v>
      </c>
    </row>
    <row r="27" spans="3:3" x14ac:dyDescent="0.3">
      <c r="C27" t="s">
        <v>184</v>
      </c>
    </row>
    <row r="28" spans="3:3" x14ac:dyDescent="0.3">
      <c r="C28" t="s">
        <v>105</v>
      </c>
    </row>
    <row r="30" spans="3:3" x14ac:dyDescent="0.3">
      <c r="C30" s="103" t="s">
        <v>183</v>
      </c>
    </row>
    <row r="31" spans="3:3" x14ac:dyDescent="0.3">
      <c r="C31" t="s">
        <v>237</v>
      </c>
    </row>
    <row r="32" spans="3:3" x14ac:dyDescent="0.3">
      <c r="C32" t="s">
        <v>238</v>
      </c>
    </row>
  </sheetData>
  <mergeCells count="2">
    <mergeCell ref="O7:P7"/>
    <mergeCell ref="Q7:R7"/>
  </mergeCells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3"/>
  <sheetViews>
    <sheetView topLeftCell="A10" zoomScaleNormal="100" workbookViewId="0">
      <selection activeCell="M67" sqref="M67"/>
    </sheetView>
  </sheetViews>
  <sheetFormatPr defaultRowHeight="16.5" x14ac:dyDescent="0.3"/>
  <cols>
    <col min="1" max="1" width="2.875" customWidth="1"/>
    <col min="2" max="2" width="4.375" customWidth="1"/>
    <col min="3" max="3" width="4.75" customWidth="1"/>
    <col min="6" max="6" width="9" customWidth="1"/>
    <col min="14" max="14" width="9" customWidth="1"/>
  </cols>
  <sheetData>
    <row r="2" spans="2:14" x14ac:dyDescent="0.3">
      <c r="B2" s="103" t="s">
        <v>272</v>
      </c>
      <c r="N2" s="103" t="s">
        <v>293</v>
      </c>
    </row>
    <row r="21" spans="2:26" x14ac:dyDescent="0.3">
      <c r="C21" t="s">
        <v>273</v>
      </c>
      <c r="N21" s="103" t="s">
        <v>271</v>
      </c>
      <c r="T21" s="103" t="s">
        <v>280</v>
      </c>
    </row>
    <row r="22" spans="2:26" x14ac:dyDescent="0.3">
      <c r="D22" t="s">
        <v>274</v>
      </c>
      <c r="O22" t="s">
        <v>276</v>
      </c>
    </row>
    <row r="23" spans="2:26" x14ac:dyDescent="0.3">
      <c r="D23" t="s">
        <v>275</v>
      </c>
    </row>
    <row r="24" spans="2:26" x14ac:dyDescent="0.3">
      <c r="N24" s="103" t="s">
        <v>300</v>
      </c>
    </row>
    <row r="25" spans="2:26" ht="17.25" thickBot="1" x14ac:dyDescent="0.35">
      <c r="C25" s="103" t="s">
        <v>297</v>
      </c>
      <c r="O25" s="106"/>
      <c r="P25" s="420" t="s">
        <v>133</v>
      </c>
      <c r="Q25" s="420" t="s">
        <v>266</v>
      </c>
    </row>
    <row r="26" spans="2:26" ht="17.25" thickBot="1" x14ac:dyDescent="0.35">
      <c r="D26" s="400"/>
      <c r="E26" s="419"/>
      <c r="F26" s="128" t="s">
        <v>290</v>
      </c>
      <c r="O26" s="420" t="s">
        <v>270</v>
      </c>
      <c r="P26" s="106">
        <v>8</v>
      </c>
      <c r="Q26" s="106">
        <f>P26/12</f>
        <v>0.66666666666666663</v>
      </c>
    </row>
    <row r="27" spans="2:26" ht="17.25" thickBot="1" x14ac:dyDescent="0.35">
      <c r="D27" s="327" t="s">
        <v>163</v>
      </c>
      <c r="E27" s="116">
        <v>12</v>
      </c>
      <c r="F27" s="117" t="s">
        <v>294</v>
      </c>
      <c r="O27" s="421" t="s">
        <v>301</v>
      </c>
    </row>
    <row r="28" spans="2:26" ht="17.25" thickBot="1" x14ac:dyDescent="0.35">
      <c r="D28" s="328" t="s">
        <v>277</v>
      </c>
      <c r="E28" s="106">
        <v>53.6</v>
      </c>
      <c r="F28" s="107" t="s">
        <v>295</v>
      </c>
      <c r="U28" s="400"/>
      <c r="V28" s="127" t="s">
        <v>291</v>
      </c>
      <c r="W28" s="127" t="s">
        <v>292</v>
      </c>
      <c r="X28" s="127" t="s">
        <v>346</v>
      </c>
      <c r="Y28" s="127" t="s">
        <v>346</v>
      </c>
      <c r="Z28" s="128" t="s">
        <v>88</v>
      </c>
    </row>
    <row r="29" spans="2:26" x14ac:dyDescent="0.3">
      <c r="D29" s="328" t="s">
        <v>278</v>
      </c>
      <c r="E29" s="106">
        <v>6.19</v>
      </c>
      <c r="F29" s="107" t="s">
        <v>295</v>
      </c>
      <c r="N29" s="103" t="s">
        <v>454</v>
      </c>
      <c r="U29" s="230" t="s">
        <v>281</v>
      </c>
      <c r="V29" s="116">
        <v>4.8</v>
      </c>
      <c r="W29" s="116">
        <v>4.8</v>
      </c>
      <c r="X29" s="116">
        <v>4.8</v>
      </c>
      <c r="Y29" s="116">
        <v>4.5999999999999996</v>
      </c>
      <c r="Z29" s="117" t="s">
        <v>76</v>
      </c>
    </row>
    <row r="30" spans="2:26" ht="17.25" thickBot="1" x14ac:dyDescent="0.35">
      <c r="D30" s="359" t="s">
        <v>279</v>
      </c>
      <c r="E30" s="361">
        <f>E27*E29/(E28+E29)</f>
        <v>1.24234821876568</v>
      </c>
      <c r="F30" s="110" t="s">
        <v>296</v>
      </c>
      <c r="O30" t="s">
        <v>456</v>
      </c>
      <c r="Q30" t="s">
        <v>455</v>
      </c>
      <c r="U30" s="416" t="s">
        <v>282</v>
      </c>
      <c r="V30" s="106">
        <v>12</v>
      </c>
      <c r="W30" s="106">
        <v>12</v>
      </c>
      <c r="X30" s="106">
        <v>12</v>
      </c>
      <c r="Y30" s="106">
        <v>12</v>
      </c>
      <c r="Z30" s="107" t="s">
        <v>76</v>
      </c>
    </row>
    <row r="31" spans="2:26" x14ac:dyDescent="0.3">
      <c r="O31" t="s">
        <v>457</v>
      </c>
      <c r="Q31" t="s">
        <v>458</v>
      </c>
      <c r="U31" s="416" t="s">
        <v>283</v>
      </c>
      <c r="V31" s="106">
        <v>2</v>
      </c>
      <c r="W31" s="106">
        <v>2</v>
      </c>
      <c r="X31" s="106">
        <v>2</v>
      </c>
      <c r="Y31" s="106">
        <v>1</v>
      </c>
      <c r="Z31" s="107" t="s">
        <v>155</v>
      </c>
    </row>
    <row r="32" spans="2:26" x14ac:dyDescent="0.3">
      <c r="B32" s="103" t="s">
        <v>298</v>
      </c>
      <c r="U32" s="416" t="s">
        <v>284</v>
      </c>
      <c r="V32" s="106">
        <v>0.5</v>
      </c>
      <c r="W32" s="106">
        <v>0.5</v>
      </c>
      <c r="X32" s="106">
        <v>0.5</v>
      </c>
      <c r="Y32" s="106">
        <v>0.5</v>
      </c>
      <c r="Z32" s="107" t="s">
        <v>289</v>
      </c>
    </row>
    <row r="33" spans="3:26" ht="17.25" thickBot="1" x14ac:dyDescent="0.35">
      <c r="J33" s="103" t="s">
        <v>302</v>
      </c>
      <c r="N33" s="103" t="s">
        <v>493</v>
      </c>
      <c r="U33" s="416" t="s">
        <v>285</v>
      </c>
      <c r="V33" s="106">
        <v>10</v>
      </c>
      <c r="W33" s="106">
        <v>4.7</v>
      </c>
      <c r="X33" s="106">
        <v>2.2000000000000002</v>
      </c>
      <c r="Y33" s="106">
        <v>2.2000000000000002</v>
      </c>
      <c r="Z33" s="107" t="s">
        <v>288</v>
      </c>
    </row>
    <row r="34" spans="3:26" ht="17.25" thickBot="1" x14ac:dyDescent="0.35">
      <c r="J34" s="326" t="s">
        <v>307</v>
      </c>
      <c r="K34" s="183">
        <v>12</v>
      </c>
      <c r="L34" s="225" t="s">
        <v>306</v>
      </c>
      <c r="N34" s="400"/>
      <c r="O34" s="127" t="s">
        <v>506</v>
      </c>
      <c r="P34" s="128" t="s">
        <v>507</v>
      </c>
      <c r="U34" s="232" t="s">
        <v>286</v>
      </c>
      <c r="V34" s="109">
        <f>V31*(V30/V29)+(V29*(V30-V29))/(2*V32*V33*V30)</f>
        <v>5.2880000000000003</v>
      </c>
      <c r="W34" s="361">
        <f>W31*(W30/W29)+(W29*(W30-W29))/(2*W32*W33*W30)</f>
        <v>5.6127659574468085</v>
      </c>
      <c r="X34" s="361">
        <f>X31*(X30/X29)+(X29*(X30-X29))/(2*X32*X33*X30)</f>
        <v>6.3090909090909086</v>
      </c>
      <c r="Y34" s="361">
        <f>Y31*(Y30/Y29)+(Y29*(Y30-Y29))/(2*Y32*Y33*Y30)</f>
        <v>3.8980895915678522</v>
      </c>
      <c r="Z34" s="110" t="s">
        <v>155</v>
      </c>
    </row>
    <row r="35" spans="3:26" x14ac:dyDescent="0.3">
      <c r="J35" s="328" t="s">
        <v>303</v>
      </c>
      <c r="K35" s="106">
        <v>0.5</v>
      </c>
      <c r="L35" s="393" t="s">
        <v>304</v>
      </c>
      <c r="N35" s="139" t="s">
        <v>494</v>
      </c>
      <c r="O35" s="116">
        <v>1.2450000000000001</v>
      </c>
      <c r="P35" s="117" t="s">
        <v>495</v>
      </c>
    </row>
    <row r="36" spans="3:26" ht="17.25" thickBot="1" x14ac:dyDescent="0.35">
      <c r="J36" s="359" t="s">
        <v>305</v>
      </c>
      <c r="K36" s="109">
        <v>8.5</v>
      </c>
      <c r="L36" s="226" t="s">
        <v>306</v>
      </c>
      <c r="N36" s="104" t="s">
        <v>498</v>
      </c>
      <c r="O36" s="106">
        <v>12</v>
      </c>
      <c r="P36" s="107" t="s">
        <v>495</v>
      </c>
    </row>
    <row r="37" spans="3:26" x14ac:dyDescent="0.3">
      <c r="N37" s="104" t="s">
        <v>496</v>
      </c>
      <c r="O37" s="106">
        <v>53.6</v>
      </c>
      <c r="P37" s="107" t="s">
        <v>499</v>
      </c>
    </row>
    <row r="38" spans="3:26" x14ac:dyDescent="0.3">
      <c r="N38" s="104" t="s">
        <v>497</v>
      </c>
      <c r="O38" s="106">
        <v>6.19</v>
      </c>
      <c r="P38" s="107" t="s">
        <v>499</v>
      </c>
    </row>
    <row r="39" spans="3:26" ht="17.25" thickBot="1" x14ac:dyDescent="0.35">
      <c r="N39" s="118" t="s">
        <v>494</v>
      </c>
      <c r="O39" s="109">
        <f>O36*O38/(O37+O38)</f>
        <v>1.24234821876568</v>
      </c>
      <c r="P39" s="110" t="s">
        <v>495</v>
      </c>
    </row>
    <row r="48" spans="3:26" ht="17.25" thickBot="1" x14ac:dyDescent="0.35">
      <c r="C48" s="103" t="s">
        <v>314</v>
      </c>
    </row>
    <row r="49" spans="4:15" ht="17.25" thickBot="1" x14ac:dyDescent="0.35">
      <c r="D49" s="417"/>
      <c r="E49" s="418"/>
      <c r="F49" s="418"/>
      <c r="G49" s="418"/>
      <c r="H49" s="418"/>
      <c r="I49" s="418"/>
      <c r="J49" s="418"/>
      <c r="K49" s="418"/>
      <c r="L49" s="128" t="s">
        <v>290</v>
      </c>
    </row>
    <row r="50" spans="4:15" x14ac:dyDescent="0.3">
      <c r="D50" s="327" t="s">
        <v>310</v>
      </c>
      <c r="E50" s="116">
        <v>0.01</v>
      </c>
      <c r="F50" s="116">
        <v>0.01</v>
      </c>
      <c r="G50" s="116">
        <v>0.01</v>
      </c>
      <c r="H50" s="116">
        <v>0.02</v>
      </c>
      <c r="I50" s="116">
        <v>0.02</v>
      </c>
      <c r="J50" s="116">
        <v>2.5000000000000001E-2</v>
      </c>
      <c r="K50" s="116">
        <v>0.02</v>
      </c>
      <c r="L50" s="117" t="s">
        <v>313</v>
      </c>
    </row>
    <row r="51" spans="4:15" x14ac:dyDescent="0.3">
      <c r="D51" s="328" t="s">
        <v>311</v>
      </c>
      <c r="E51" s="106">
        <v>2</v>
      </c>
      <c r="F51" s="106">
        <v>6</v>
      </c>
      <c r="G51" s="106">
        <v>6.5</v>
      </c>
      <c r="H51" s="106">
        <v>6</v>
      </c>
      <c r="I51" s="106">
        <v>3.25</v>
      </c>
      <c r="J51" s="106">
        <v>2</v>
      </c>
      <c r="K51" s="106">
        <v>3.25</v>
      </c>
      <c r="L51" s="107" t="s">
        <v>287</v>
      </c>
    </row>
    <row r="52" spans="4:15" x14ac:dyDescent="0.3">
      <c r="D52" s="328" t="s">
        <v>312</v>
      </c>
      <c r="E52" s="106">
        <f t="shared" ref="E52:K52" si="0">E50*E51*1000</f>
        <v>20</v>
      </c>
      <c r="F52" s="106">
        <f t="shared" si="0"/>
        <v>60</v>
      </c>
      <c r="G52" s="106">
        <f t="shared" si="0"/>
        <v>65</v>
      </c>
      <c r="H52" s="106">
        <f t="shared" si="0"/>
        <v>120</v>
      </c>
      <c r="I52" s="106">
        <f t="shared" si="0"/>
        <v>65</v>
      </c>
      <c r="J52" s="106">
        <f t="shared" si="0"/>
        <v>50</v>
      </c>
      <c r="K52" s="106">
        <f t="shared" si="0"/>
        <v>65</v>
      </c>
      <c r="L52" s="107" t="s">
        <v>309</v>
      </c>
    </row>
    <row r="53" spans="4:15" x14ac:dyDescent="0.3">
      <c r="D53" s="328" t="s">
        <v>308</v>
      </c>
      <c r="E53" s="106">
        <v>65</v>
      </c>
      <c r="F53" s="106">
        <v>65</v>
      </c>
      <c r="G53" s="106">
        <v>65</v>
      </c>
      <c r="H53" s="106">
        <v>65</v>
      </c>
      <c r="I53" s="106">
        <v>65</v>
      </c>
      <c r="J53" s="106">
        <v>65</v>
      </c>
      <c r="K53" s="106">
        <v>65</v>
      </c>
      <c r="L53" s="107" t="s">
        <v>309</v>
      </c>
    </row>
    <row r="54" spans="4:15" ht="17.25" thickBot="1" x14ac:dyDescent="0.35">
      <c r="D54" s="359" t="s">
        <v>305</v>
      </c>
      <c r="E54" s="360" t="str">
        <f t="shared" ref="E54:K54" si="1">IF(E52&gt;=E53,"LOW","HIGH")</f>
        <v>HIGH</v>
      </c>
      <c r="F54" s="360" t="str">
        <f t="shared" si="1"/>
        <v>HIGH</v>
      </c>
      <c r="G54" s="360" t="str">
        <f t="shared" si="1"/>
        <v>LOW</v>
      </c>
      <c r="H54" s="360" t="str">
        <f t="shared" si="1"/>
        <v>LOW</v>
      </c>
      <c r="I54" s="360" t="str">
        <f t="shared" si="1"/>
        <v>LOW</v>
      </c>
      <c r="J54" s="360" t="str">
        <f t="shared" si="1"/>
        <v>HIGH</v>
      </c>
      <c r="K54" s="360" t="str">
        <f t="shared" si="1"/>
        <v>LOW</v>
      </c>
      <c r="L54" s="110"/>
    </row>
    <row r="56" spans="4:15" ht="17.25" thickBot="1" x14ac:dyDescent="0.35">
      <c r="D56" s="422" t="s">
        <v>316</v>
      </c>
    </row>
    <row r="57" spans="4:15" x14ac:dyDescent="0.3">
      <c r="E57" s="326" t="s">
        <v>317</v>
      </c>
      <c r="F57" s="183">
        <v>50</v>
      </c>
      <c r="G57" s="183">
        <v>50</v>
      </c>
      <c r="H57" s="183">
        <v>50</v>
      </c>
      <c r="I57" s="119" t="s">
        <v>309</v>
      </c>
      <c r="K57" s="468" t="s">
        <v>317</v>
      </c>
      <c r="L57" s="183">
        <v>50</v>
      </c>
      <c r="M57" s="119" t="s">
        <v>157</v>
      </c>
    </row>
    <row r="58" spans="4:15" x14ac:dyDescent="0.3">
      <c r="E58" s="328" t="s">
        <v>315</v>
      </c>
      <c r="F58" s="106">
        <v>2</v>
      </c>
      <c r="G58" s="106">
        <v>1.3</v>
      </c>
      <c r="H58" s="203">
        <f>H57/H59/1000</f>
        <v>1</v>
      </c>
      <c r="I58" s="107" t="s">
        <v>318</v>
      </c>
      <c r="K58" s="467" t="s">
        <v>310</v>
      </c>
      <c r="L58" s="106">
        <v>0.02</v>
      </c>
      <c r="M58" s="107" t="s">
        <v>313</v>
      </c>
    </row>
    <row r="59" spans="4:15" ht="17.25" thickBot="1" x14ac:dyDescent="0.35">
      <c r="E59" s="359" t="s">
        <v>310</v>
      </c>
      <c r="F59" s="477">
        <f>F57/F58/1000</f>
        <v>2.5000000000000001E-2</v>
      </c>
      <c r="G59" s="477">
        <f>G57/G58/1000</f>
        <v>3.8461538461538457E-2</v>
      </c>
      <c r="H59" s="109">
        <v>0.05</v>
      </c>
      <c r="I59" s="110" t="s">
        <v>313</v>
      </c>
      <c r="K59" s="464" t="s">
        <v>315</v>
      </c>
      <c r="L59" s="109">
        <f>L57/L58/1000</f>
        <v>2.5</v>
      </c>
      <c r="M59" s="110" t="s">
        <v>155</v>
      </c>
    </row>
    <row r="60" spans="4:15" x14ac:dyDescent="0.3">
      <c r="K60" s="525" t="s">
        <v>734</v>
      </c>
      <c r="L60">
        <f>L59^2*L58</f>
        <v>0.125</v>
      </c>
    </row>
    <row r="61" spans="4:15" ht="17.25" thickBot="1" x14ac:dyDescent="0.35">
      <c r="D61" s="103" t="s">
        <v>299</v>
      </c>
    </row>
    <row r="62" spans="4:15" ht="17.25" thickBot="1" x14ac:dyDescent="0.35">
      <c r="E62" s="400"/>
      <c r="F62" s="127" t="s">
        <v>133</v>
      </c>
      <c r="G62" s="127" t="s">
        <v>267</v>
      </c>
      <c r="H62" s="128" t="s">
        <v>266</v>
      </c>
      <c r="O62" t="s">
        <v>757</v>
      </c>
    </row>
    <row r="63" spans="4:15" x14ac:dyDescent="0.3">
      <c r="E63" s="139" t="s">
        <v>265</v>
      </c>
      <c r="F63" s="116">
        <v>0.5</v>
      </c>
      <c r="G63" s="116">
        <v>0.02</v>
      </c>
      <c r="H63" s="117">
        <f>(F63/G63)^(1/2)</f>
        <v>5</v>
      </c>
      <c r="O63" t="s">
        <v>735</v>
      </c>
    </row>
    <row r="64" spans="4:15" x14ac:dyDescent="0.3">
      <c r="E64" s="104" t="s">
        <v>269</v>
      </c>
      <c r="F64" s="106">
        <v>1</v>
      </c>
      <c r="G64" s="106">
        <v>0.01</v>
      </c>
      <c r="H64" s="107">
        <f>(F64/G64)^(1/2)</f>
        <v>10</v>
      </c>
      <c r="I64" t="s">
        <v>268</v>
      </c>
    </row>
    <row r="65" spans="3:9" ht="17.25" thickBot="1" x14ac:dyDescent="0.35">
      <c r="E65" s="118" t="s">
        <v>269</v>
      </c>
      <c r="F65" s="109">
        <v>1</v>
      </c>
      <c r="G65" s="109">
        <v>0.02</v>
      </c>
      <c r="H65" s="478">
        <f>(F65/G65)^(1/2)</f>
        <v>7.0710678118654755</v>
      </c>
      <c r="I65" s="103" t="s">
        <v>733</v>
      </c>
    </row>
    <row r="67" spans="3:9" x14ac:dyDescent="0.3">
      <c r="C67" s="103" t="s">
        <v>508</v>
      </c>
    </row>
    <row r="68" spans="3:9" x14ac:dyDescent="0.3">
      <c r="D68" t="s">
        <v>509</v>
      </c>
      <c r="E68" t="s">
        <v>510</v>
      </c>
    </row>
    <row r="69" spans="3:9" x14ac:dyDescent="0.3">
      <c r="D69" t="s">
        <v>505</v>
      </c>
      <c r="E69" t="s">
        <v>511</v>
      </c>
    </row>
    <row r="70" spans="3:9" x14ac:dyDescent="0.3">
      <c r="D70" t="s">
        <v>520</v>
      </c>
    </row>
    <row r="71" spans="3:9" ht="17.25" thickBot="1" x14ac:dyDescent="0.35">
      <c r="D71" t="s">
        <v>519</v>
      </c>
    </row>
    <row r="72" spans="3:9" ht="17.25" thickBot="1" x14ac:dyDescent="0.35">
      <c r="D72" s="126"/>
      <c r="E72" s="479"/>
      <c r="F72" s="479"/>
      <c r="G72" s="128" t="s">
        <v>507</v>
      </c>
    </row>
    <row r="73" spans="3:9" x14ac:dyDescent="0.3">
      <c r="D73" s="139" t="s">
        <v>512</v>
      </c>
      <c r="E73" s="116">
        <v>5</v>
      </c>
      <c r="F73" s="116">
        <v>5</v>
      </c>
      <c r="G73" s="465" t="s">
        <v>500</v>
      </c>
    </row>
    <row r="74" spans="3:9" x14ac:dyDescent="0.3">
      <c r="D74" s="104" t="s">
        <v>513</v>
      </c>
      <c r="E74" s="106">
        <v>3.1</v>
      </c>
      <c r="F74" s="106">
        <v>2.7</v>
      </c>
      <c r="G74" s="466" t="s">
        <v>501</v>
      </c>
    </row>
    <row r="75" spans="3:9" x14ac:dyDescent="0.3">
      <c r="D75" s="104" t="s">
        <v>514</v>
      </c>
      <c r="E75" s="106">
        <f>E73*E74</f>
        <v>15.5</v>
      </c>
      <c r="F75" s="106">
        <f>F73*F74</f>
        <v>13.5</v>
      </c>
      <c r="G75" s="466" t="s">
        <v>502</v>
      </c>
    </row>
    <row r="76" spans="3:9" x14ac:dyDescent="0.3">
      <c r="D76" s="104" t="s">
        <v>498</v>
      </c>
      <c r="E76" s="106">
        <v>12</v>
      </c>
      <c r="F76" s="106">
        <v>12</v>
      </c>
      <c r="G76" s="466" t="s">
        <v>500</v>
      </c>
    </row>
    <row r="77" spans="3:9" x14ac:dyDescent="0.3">
      <c r="D77" s="104" t="s">
        <v>515</v>
      </c>
      <c r="E77" s="106">
        <f>E75/E76</f>
        <v>1.2916666666666667</v>
      </c>
      <c r="F77" s="106">
        <f>F75/F76</f>
        <v>1.125</v>
      </c>
      <c r="G77" s="466" t="s">
        <v>501</v>
      </c>
    </row>
    <row r="78" spans="3:9" x14ac:dyDescent="0.3">
      <c r="D78" s="104" t="s">
        <v>503</v>
      </c>
      <c r="E78" s="106">
        <v>0.93</v>
      </c>
      <c r="F78" s="106">
        <v>0.82499999999999996</v>
      </c>
      <c r="G78" s="466" t="s">
        <v>501</v>
      </c>
    </row>
    <row r="79" spans="3:9" x14ac:dyDescent="0.3">
      <c r="D79" s="104" t="s">
        <v>516</v>
      </c>
      <c r="E79" s="106">
        <f>(E76*E78)/E75*100</f>
        <v>72</v>
      </c>
      <c r="F79" s="228">
        <f>(F76*F78)/F75*100</f>
        <v>73.333333333333329</v>
      </c>
      <c r="G79" s="466" t="s">
        <v>517</v>
      </c>
    </row>
    <row r="80" spans="3:9" x14ac:dyDescent="0.3">
      <c r="D80" s="104" t="s">
        <v>504</v>
      </c>
      <c r="E80" s="106">
        <v>3.1E-2</v>
      </c>
      <c r="F80" s="106">
        <v>2.8000000000000001E-2</v>
      </c>
      <c r="G80" s="466" t="s">
        <v>500</v>
      </c>
    </row>
    <row r="81" spans="4:7" ht="17.25" thickBot="1" x14ac:dyDescent="0.35">
      <c r="D81" s="118" t="s">
        <v>505</v>
      </c>
      <c r="E81" s="361">
        <f>E80/E78</f>
        <v>3.3333333333333333E-2</v>
      </c>
      <c r="F81" s="361">
        <f>F80/F78</f>
        <v>3.3939393939393943E-2</v>
      </c>
      <c r="G81" s="473" t="s">
        <v>518</v>
      </c>
    </row>
    <row r="83" spans="4:7" x14ac:dyDescent="0.3">
      <c r="D83" t="s">
        <v>521</v>
      </c>
    </row>
  </sheetData>
  <phoneticPr fontId="2" type="noConversion"/>
  <pageMargins left="0.7" right="0.7" top="0.75" bottom="0.75" header="0.3" footer="0.3"/>
  <pageSetup paperSize="9" orientation="landscape" r:id="rId1"/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86"/>
  <sheetViews>
    <sheetView topLeftCell="A52" zoomScaleNormal="100" workbookViewId="0">
      <selection activeCell="J24" sqref="J24"/>
    </sheetView>
  </sheetViews>
  <sheetFormatPr defaultRowHeight="16.5" x14ac:dyDescent="0.3"/>
  <cols>
    <col min="1" max="1" width="3" style="125" customWidth="1"/>
    <col min="2" max="2" width="5.625" style="125" customWidth="1"/>
    <col min="3" max="16384" width="9" style="125"/>
  </cols>
  <sheetData>
    <row r="1" spans="2:9" x14ac:dyDescent="0.3">
      <c r="D1" s="469"/>
    </row>
    <row r="2" spans="2:9" x14ac:dyDescent="0.3">
      <c r="B2" s="471" t="s">
        <v>459</v>
      </c>
    </row>
    <row r="3" spans="2:9" x14ac:dyDescent="0.3">
      <c r="C3" s="470" t="s">
        <v>460</v>
      </c>
    </row>
    <row r="4" spans="2:9" x14ac:dyDescent="0.3">
      <c r="C4" s="470"/>
    </row>
    <row r="5" spans="2:9" x14ac:dyDescent="0.3">
      <c r="C5" s="458" t="s">
        <v>461</v>
      </c>
      <c r="D5" s="458" t="s">
        <v>463</v>
      </c>
      <c r="E5" s="458" t="s">
        <v>468</v>
      </c>
    </row>
    <row r="6" spans="2:9" x14ac:dyDescent="0.3">
      <c r="C6" s="459" t="s">
        <v>462</v>
      </c>
      <c r="D6" s="459" t="s">
        <v>464</v>
      </c>
      <c r="E6" s="459" t="s">
        <v>466</v>
      </c>
    </row>
    <row r="7" spans="2:9" x14ac:dyDescent="0.3">
      <c r="C7" s="472" t="s">
        <v>31</v>
      </c>
      <c r="D7" s="459" t="s">
        <v>465</v>
      </c>
      <c r="E7" s="459" t="s">
        <v>467</v>
      </c>
    </row>
    <row r="9" spans="2:9" ht="17.25" thickBot="1" x14ac:dyDescent="0.35">
      <c r="B9" s="474" t="s">
        <v>484</v>
      </c>
    </row>
    <row r="10" spans="2:9" x14ac:dyDescent="0.3">
      <c r="C10" s="463" t="s">
        <v>482</v>
      </c>
      <c r="D10" s="985" t="s">
        <v>478</v>
      </c>
      <c r="E10" s="985"/>
      <c r="F10" s="985" t="s">
        <v>479</v>
      </c>
      <c r="G10" s="985"/>
      <c r="H10" s="985" t="s">
        <v>480</v>
      </c>
      <c r="I10" s="991"/>
    </row>
    <row r="11" spans="2:9" ht="17.25" thickBot="1" x14ac:dyDescent="0.35">
      <c r="C11" s="132" t="s">
        <v>481</v>
      </c>
      <c r="D11" s="1066" t="s">
        <v>470</v>
      </c>
      <c r="E11" s="1066"/>
      <c r="F11" s="1066" t="s">
        <v>473</v>
      </c>
      <c r="G11" s="1066"/>
      <c r="H11" s="1066" t="s">
        <v>474</v>
      </c>
      <c r="I11" s="1067"/>
    </row>
    <row r="12" spans="2:9" x14ac:dyDescent="0.3">
      <c r="C12" s="139" t="s">
        <v>475</v>
      </c>
      <c r="D12" s="1052" t="s">
        <v>477</v>
      </c>
      <c r="E12" s="1052"/>
      <c r="F12" s="1052" t="s">
        <v>31</v>
      </c>
      <c r="G12" s="1052"/>
      <c r="H12" s="1052" t="s">
        <v>29</v>
      </c>
      <c r="I12" s="1055"/>
    </row>
    <row r="13" spans="2:9" ht="17.25" thickBot="1" x14ac:dyDescent="0.35">
      <c r="C13" s="118" t="s">
        <v>476</v>
      </c>
      <c r="D13" s="969" t="s">
        <v>483</v>
      </c>
      <c r="E13" s="969"/>
      <c r="F13" s="969" t="s">
        <v>29</v>
      </c>
      <c r="G13" s="969"/>
      <c r="H13" s="969" t="s">
        <v>31</v>
      </c>
      <c r="I13" s="1068"/>
    </row>
    <row r="16" spans="2:9" x14ac:dyDescent="0.3">
      <c r="C16" s="474" t="s">
        <v>469</v>
      </c>
    </row>
    <row r="17" spans="3:5" ht="17.25" thickBot="1" x14ac:dyDescent="0.35">
      <c r="C17" s="476" t="s">
        <v>485</v>
      </c>
    </row>
    <row r="18" spans="3:5" x14ac:dyDescent="0.3">
      <c r="C18" s="461" t="s">
        <v>470</v>
      </c>
      <c r="D18" s="462" t="s">
        <v>471</v>
      </c>
    </row>
    <row r="19" spans="3:5" x14ac:dyDescent="0.3">
      <c r="C19" s="416" t="s">
        <v>31</v>
      </c>
      <c r="D19" s="460" t="s">
        <v>29</v>
      </c>
    </row>
    <row r="20" spans="3:5" ht="17.25" thickBot="1" x14ac:dyDescent="0.35">
      <c r="C20" s="232" t="s">
        <v>472</v>
      </c>
      <c r="D20" s="226" t="s">
        <v>31</v>
      </c>
    </row>
    <row r="21" spans="3:5" ht="17.25" thickBot="1" x14ac:dyDescent="0.35"/>
    <row r="22" spans="3:5" ht="17.25" thickBot="1" x14ac:dyDescent="0.35">
      <c r="C22" s="400"/>
      <c r="D22" s="127" t="s">
        <v>389</v>
      </c>
      <c r="E22" s="128" t="s">
        <v>392</v>
      </c>
    </row>
    <row r="23" spans="3:5" x14ac:dyDescent="0.3">
      <c r="C23" s="455" t="s">
        <v>383</v>
      </c>
      <c r="D23" s="116">
        <v>10</v>
      </c>
      <c r="E23" s="117" t="s">
        <v>379</v>
      </c>
    </row>
    <row r="24" spans="3:5" x14ac:dyDescent="0.3">
      <c r="C24" s="457" t="s">
        <v>384</v>
      </c>
      <c r="D24" s="106">
        <v>0</v>
      </c>
      <c r="E24" s="107" t="s">
        <v>379</v>
      </c>
    </row>
    <row r="25" spans="3:5" x14ac:dyDescent="0.3">
      <c r="C25" s="457" t="s">
        <v>376</v>
      </c>
      <c r="D25" s="106">
        <v>10</v>
      </c>
      <c r="E25" s="107" t="s">
        <v>380</v>
      </c>
    </row>
    <row r="26" spans="3:5" x14ac:dyDescent="0.3">
      <c r="C26" s="457" t="s">
        <v>385</v>
      </c>
      <c r="D26" s="228">
        <f>D25*(D23+D24)*0.693</f>
        <v>69.3</v>
      </c>
      <c r="E26" s="107" t="s">
        <v>388</v>
      </c>
    </row>
    <row r="27" spans="3:5" x14ac:dyDescent="0.3">
      <c r="C27" s="457" t="s">
        <v>386</v>
      </c>
      <c r="D27" s="228">
        <f>D25*D24*0.693</f>
        <v>0</v>
      </c>
      <c r="E27" s="107" t="s">
        <v>388</v>
      </c>
    </row>
    <row r="28" spans="3:5" ht="17.25" thickBot="1" x14ac:dyDescent="0.35">
      <c r="C28" s="456" t="s">
        <v>387</v>
      </c>
      <c r="D28" s="113">
        <f>D26+D27</f>
        <v>69.3</v>
      </c>
      <c r="E28" s="110" t="s">
        <v>388</v>
      </c>
    </row>
    <row r="31" spans="3:5" x14ac:dyDescent="0.3">
      <c r="C31" s="474" t="s">
        <v>486</v>
      </c>
    </row>
    <row r="32" spans="3:5" x14ac:dyDescent="0.3">
      <c r="C32" s="125" t="s">
        <v>490</v>
      </c>
    </row>
    <row r="34" spans="3:16" ht="17.25" thickBot="1" x14ac:dyDescent="0.35"/>
    <row r="35" spans="3:16" x14ac:dyDescent="0.3">
      <c r="J35" s="463" t="s">
        <v>482</v>
      </c>
      <c r="K35" s="985" t="s">
        <v>491</v>
      </c>
      <c r="L35" s="985"/>
      <c r="M35" s="985" t="s">
        <v>492</v>
      </c>
      <c r="N35" s="985"/>
      <c r="O35" s="985" t="s">
        <v>480</v>
      </c>
      <c r="P35" s="991"/>
    </row>
    <row r="36" spans="3:16" ht="17.25" thickBot="1" x14ac:dyDescent="0.35">
      <c r="J36" s="132" t="s">
        <v>481</v>
      </c>
      <c r="K36" s="1066" t="s">
        <v>470</v>
      </c>
      <c r="L36" s="1066"/>
      <c r="M36" s="1066" t="s">
        <v>473</v>
      </c>
      <c r="N36" s="1066"/>
      <c r="O36" s="1066" t="s">
        <v>474</v>
      </c>
      <c r="P36" s="1067"/>
    </row>
    <row r="37" spans="3:16" x14ac:dyDescent="0.3">
      <c r="J37" s="139" t="s">
        <v>475</v>
      </c>
      <c r="K37" s="1052" t="s">
        <v>477</v>
      </c>
      <c r="L37" s="1052"/>
      <c r="M37" s="1052" t="s">
        <v>31</v>
      </c>
      <c r="N37" s="1052"/>
      <c r="O37" s="1052" t="s">
        <v>29</v>
      </c>
      <c r="P37" s="1055"/>
    </row>
    <row r="38" spans="3:16" ht="17.25" thickBot="1" x14ac:dyDescent="0.35">
      <c r="J38" s="118" t="s">
        <v>476</v>
      </c>
      <c r="K38" s="969" t="s">
        <v>29</v>
      </c>
      <c r="L38" s="969"/>
      <c r="M38" s="969" t="s">
        <v>535</v>
      </c>
      <c r="N38" s="969"/>
      <c r="O38" s="969" t="s">
        <v>536</v>
      </c>
      <c r="P38" s="1068"/>
    </row>
    <row r="39" spans="3:16" x14ac:dyDescent="0.3">
      <c r="J39" s="493" t="s">
        <v>537</v>
      </c>
    </row>
    <row r="45" spans="3:16" x14ac:dyDescent="0.3">
      <c r="C45" s="475" t="s">
        <v>487</v>
      </c>
    </row>
    <row r="46" spans="3:16" x14ac:dyDescent="0.3">
      <c r="C46" s="475" t="s">
        <v>488</v>
      </c>
    </row>
    <row r="47" spans="3:16" x14ac:dyDescent="0.3">
      <c r="C47" s="475" t="s">
        <v>489</v>
      </c>
    </row>
    <row r="50" spans="3:13" x14ac:dyDescent="0.3">
      <c r="M50" s="125" t="s">
        <v>1087</v>
      </c>
    </row>
    <row r="51" spans="3:13" x14ac:dyDescent="0.3">
      <c r="M51" s="125" t="s">
        <v>1088</v>
      </c>
    </row>
    <row r="64" spans="3:13" x14ac:dyDescent="0.3">
      <c r="C64" s="474" t="s">
        <v>538</v>
      </c>
    </row>
    <row r="65" spans="3:24" ht="17.25" thickBot="1" x14ac:dyDescent="0.35"/>
    <row r="66" spans="3:24" x14ac:dyDescent="0.3">
      <c r="C66" s="485" t="s">
        <v>522</v>
      </c>
      <c r="D66" s="483" t="s">
        <v>523</v>
      </c>
      <c r="E66" s="483" t="s">
        <v>524</v>
      </c>
      <c r="F66" s="483" t="s">
        <v>525</v>
      </c>
      <c r="G66" s="483" t="s">
        <v>526</v>
      </c>
      <c r="H66" s="484" t="s">
        <v>527</v>
      </c>
    </row>
    <row r="67" spans="3:24" ht="17.25" thickBot="1" x14ac:dyDescent="0.35">
      <c r="C67" s="497" t="s">
        <v>539</v>
      </c>
      <c r="D67" s="498" t="s">
        <v>540</v>
      </c>
      <c r="E67" s="498" t="s">
        <v>540</v>
      </c>
      <c r="F67" s="499" t="s">
        <v>541</v>
      </c>
      <c r="G67" s="499"/>
      <c r="H67" s="500"/>
    </row>
    <row r="68" spans="3:24" x14ac:dyDescent="0.3">
      <c r="C68" s="501" t="s">
        <v>528</v>
      </c>
      <c r="D68" s="502" t="s">
        <v>529</v>
      </c>
      <c r="E68" s="502" t="s">
        <v>530</v>
      </c>
      <c r="F68" s="503" t="s">
        <v>530</v>
      </c>
      <c r="G68" s="503" t="s">
        <v>528</v>
      </c>
      <c r="H68" s="481" t="s">
        <v>529</v>
      </c>
      <c r="I68" s="125" t="s">
        <v>543</v>
      </c>
    </row>
    <row r="69" spans="3:24" x14ac:dyDescent="0.3">
      <c r="C69" s="416" t="s">
        <v>529</v>
      </c>
      <c r="D69" s="480" t="s">
        <v>528</v>
      </c>
      <c r="E69" s="480" t="s">
        <v>530</v>
      </c>
      <c r="F69" s="480" t="s">
        <v>530</v>
      </c>
      <c r="G69" s="480" t="s">
        <v>529</v>
      </c>
      <c r="H69" s="482" t="s">
        <v>528</v>
      </c>
    </row>
    <row r="70" spans="3:24" x14ac:dyDescent="0.3">
      <c r="C70" s="416" t="s">
        <v>528</v>
      </c>
      <c r="D70" s="480" t="s">
        <v>528</v>
      </c>
      <c r="E70" s="480" t="s">
        <v>530</v>
      </c>
      <c r="F70" s="480" t="s">
        <v>530</v>
      </c>
      <c r="G70" s="480" t="s">
        <v>529</v>
      </c>
      <c r="H70" s="482" t="s">
        <v>529</v>
      </c>
    </row>
    <row r="71" spans="3:24" x14ac:dyDescent="0.3">
      <c r="C71" s="416" t="s">
        <v>529</v>
      </c>
      <c r="D71" s="480" t="s">
        <v>529</v>
      </c>
      <c r="E71" s="480" t="s">
        <v>528</v>
      </c>
      <c r="F71" s="495" t="s">
        <v>531</v>
      </c>
      <c r="G71" s="472" t="s">
        <v>528</v>
      </c>
      <c r="H71" s="482" t="s">
        <v>529</v>
      </c>
    </row>
    <row r="72" spans="3:24" x14ac:dyDescent="0.3">
      <c r="C72" s="436" t="s">
        <v>529</v>
      </c>
      <c r="D72" s="494" t="s">
        <v>529</v>
      </c>
      <c r="E72" s="494" t="s">
        <v>529</v>
      </c>
      <c r="F72" s="496" t="s">
        <v>531</v>
      </c>
      <c r="G72" s="437" t="s">
        <v>529</v>
      </c>
      <c r="H72" s="482" t="s">
        <v>528</v>
      </c>
      <c r="I72" s="125" t="s">
        <v>542</v>
      </c>
    </row>
    <row r="73" spans="3:24" ht="17.25" thickBot="1" x14ac:dyDescent="0.35">
      <c r="C73" s="504" t="s">
        <v>529</v>
      </c>
      <c r="D73" s="505" t="s">
        <v>529</v>
      </c>
      <c r="E73" s="505" t="s">
        <v>530</v>
      </c>
      <c r="F73" s="506" t="s">
        <v>532</v>
      </c>
      <c r="G73" s="507" t="s">
        <v>533</v>
      </c>
      <c r="H73" s="486" t="s">
        <v>534</v>
      </c>
      <c r="I73" s="125" t="s">
        <v>544</v>
      </c>
    </row>
    <row r="74" spans="3:24" ht="17.25" thickBot="1" x14ac:dyDescent="0.35"/>
    <row r="75" spans="3:24" x14ac:dyDescent="0.3">
      <c r="Q75" s="728"/>
      <c r="R75" s="714" t="s">
        <v>522</v>
      </c>
      <c r="S75" s="714" t="s">
        <v>523</v>
      </c>
      <c r="T75" s="714" t="s">
        <v>524</v>
      </c>
      <c r="U75" s="714" t="s">
        <v>525</v>
      </c>
      <c r="V75" s="714" t="s">
        <v>526</v>
      </c>
      <c r="W75" s="715" t="s">
        <v>527</v>
      </c>
    </row>
    <row r="76" spans="3:24" ht="17.25" thickBot="1" x14ac:dyDescent="0.35">
      <c r="Q76" s="729"/>
      <c r="R76" s="709" t="s">
        <v>1091</v>
      </c>
      <c r="S76" s="709" t="s">
        <v>419</v>
      </c>
      <c r="T76" s="709" t="s">
        <v>419</v>
      </c>
      <c r="U76" s="709" t="s">
        <v>470</v>
      </c>
      <c r="V76" s="726" t="s">
        <v>473</v>
      </c>
      <c r="W76" s="727"/>
    </row>
    <row r="77" spans="3:24" x14ac:dyDescent="0.3">
      <c r="C77" s="717" t="s">
        <v>522</v>
      </c>
      <c r="D77" s="714" t="s">
        <v>523</v>
      </c>
      <c r="E77" s="714" t="s">
        <v>524</v>
      </c>
      <c r="F77" s="714" t="s">
        <v>525</v>
      </c>
      <c r="G77" s="714" t="s">
        <v>526</v>
      </c>
      <c r="H77" s="715" t="s">
        <v>527</v>
      </c>
      <c r="Q77" s="1064" t="s">
        <v>1089</v>
      </c>
      <c r="R77" s="711" t="s">
        <v>31</v>
      </c>
      <c r="S77" s="711" t="s">
        <v>31</v>
      </c>
      <c r="T77" s="711" t="s">
        <v>31</v>
      </c>
      <c r="U77" s="496" t="s">
        <v>531</v>
      </c>
      <c r="V77" s="711" t="s">
        <v>31</v>
      </c>
      <c r="W77" s="107"/>
    </row>
    <row r="78" spans="3:24" ht="17.25" thickBot="1" x14ac:dyDescent="0.35">
      <c r="C78" s="497" t="s">
        <v>1090</v>
      </c>
      <c r="D78" s="498" t="s">
        <v>419</v>
      </c>
      <c r="E78" s="498" t="s">
        <v>419</v>
      </c>
      <c r="F78" s="497" t="s">
        <v>470</v>
      </c>
      <c r="G78" s="499" t="s">
        <v>473</v>
      </c>
      <c r="H78" s="500"/>
      <c r="Q78" s="1065"/>
      <c r="R78" s="711" t="s">
        <v>31</v>
      </c>
      <c r="S78" s="711" t="s">
        <v>31</v>
      </c>
      <c r="T78" s="721" t="s">
        <v>31</v>
      </c>
      <c r="U78" s="722" t="s">
        <v>532</v>
      </c>
      <c r="V78" s="723" t="s">
        <v>533</v>
      </c>
      <c r="W78" s="107"/>
      <c r="X78" s="125" t="s">
        <v>1093</v>
      </c>
    </row>
    <row r="79" spans="3:24" x14ac:dyDescent="0.3">
      <c r="C79" s="501" t="s">
        <v>36</v>
      </c>
      <c r="D79" s="502" t="s">
        <v>31</v>
      </c>
      <c r="E79" s="502" t="s">
        <v>530</v>
      </c>
      <c r="F79" s="503" t="s">
        <v>530</v>
      </c>
      <c r="G79" s="503" t="s">
        <v>36</v>
      </c>
      <c r="H79" s="712" t="s">
        <v>31</v>
      </c>
      <c r="I79" s="125" t="s">
        <v>543</v>
      </c>
      <c r="Q79" s="1044" t="s">
        <v>1092</v>
      </c>
      <c r="R79" s="472" t="s">
        <v>36</v>
      </c>
      <c r="S79" s="711" t="s">
        <v>31</v>
      </c>
      <c r="T79" s="721" t="s">
        <v>31</v>
      </c>
      <c r="U79" s="721" t="s">
        <v>36</v>
      </c>
      <c r="V79" s="711" t="s">
        <v>36</v>
      </c>
      <c r="W79" s="107"/>
    </row>
    <row r="80" spans="3:24" ht="17.25" thickBot="1" x14ac:dyDescent="0.35">
      <c r="C80" s="718" t="s">
        <v>31</v>
      </c>
      <c r="D80" s="711" t="s">
        <v>36</v>
      </c>
      <c r="E80" s="711" t="s">
        <v>530</v>
      </c>
      <c r="F80" s="711" t="s">
        <v>530</v>
      </c>
      <c r="G80" s="711" t="s">
        <v>31</v>
      </c>
      <c r="H80" s="713" t="s">
        <v>36</v>
      </c>
      <c r="Q80" s="1045"/>
      <c r="R80" s="710" t="s">
        <v>31</v>
      </c>
      <c r="S80" s="710" t="s">
        <v>31</v>
      </c>
      <c r="T80" s="710" t="s">
        <v>31</v>
      </c>
      <c r="U80" s="724" t="s">
        <v>36</v>
      </c>
      <c r="V80" s="725" t="s">
        <v>1094</v>
      </c>
      <c r="W80" s="110"/>
      <c r="X80" s="720" t="s">
        <v>1095</v>
      </c>
    </row>
    <row r="81" spans="3:9" x14ac:dyDescent="0.3">
      <c r="C81" s="718" t="s">
        <v>36</v>
      </c>
      <c r="D81" s="711" t="s">
        <v>36</v>
      </c>
      <c r="E81" s="711" t="s">
        <v>530</v>
      </c>
      <c r="F81" s="711" t="s">
        <v>530</v>
      </c>
      <c r="G81" s="711" t="s">
        <v>31</v>
      </c>
      <c r="H81" s="713" t="s">
        <v>31</v>
      </c>
    </row>
    <row r="82" spans="3:9" x14ac:dyDescent="0.3">
      <c r="C82" s="718" t="s">
        <v>31</v>
      </c>
      <c r="D82" s="711" t="s">
        <v>31</v>
      </c>
      <c r="E82" s="711" t="s">
        <v>36</v>
      </c>
      <c r="F82" s="495" t="s">
        <v>531</v>
      </c>
      <c r="G82" s="472" t="s">
        <v>36</v>
      </c>
      <c r="H82" s="713" t="s">
        <v>31</v>
      </c>
    </row>
    <row r="83" spans="3:9" x14ac:dyDescent="0.3">
      <c r="C83" s="436" t="s">
        <v>31</v>
      </c>
      <c r="D83" s="494" t="s">
        <v>31</v>
      </c>
      <c r="E83" s="494" t="s">
        <v>31</v>
      </c>
      <c r="F83" s="496" t="s">
        <v>531</v>
      </c>
      <c r="G83" s="437" t="s">
        <v>31</v>
      </c>
      <c r="H83" s="713" t="s">
        <v>36</v>
      </c>
      <c r="I83" s="125" t="s">
        <v>542</v>
      </c>
    </row>
    <row r="84" spans="3:9" ht="17.25" thickBot="1" x14ac:dyDescent="0.35">
      <c r="C84" s="504" t="s">
        <v>31</v>
      </c>
      <c r="D84" s="505" t="s">
        <v>31</v>
      </c>
      <c r="E84" s="505" t="s">
        <v>530</v>
      </c>
      <c r="F84" s="506" t="s">
        <v>532</v>
      </c>
      <c r="G84" s="507" t="s">
        <v>533</v>
      </c>
      <c r="H84" s="716" t="s">
        <v>534</v>
      </c>
      <c r="I84" s="125" t="s">
        <v>544</v>
      </c>
    </row>
    <row r="85" spans="3:9" x14ac:dyDescent="0.3">
      <c r="C85" s="469"/>
      <c r="D85" s="469"/>
      <c r="E85" s="469"/>
      <c r="F85" s="469"/>
      <c r="G85" s="469"/>
      <c r="H85" s="469"/>
    </row>
    <row r="86" spans="3:9" x14ac:dyDescent="0.3">
      <c r="C86" s="469"/>
      <c r="D86" s="469"/>
      <c r="E86" s="469"/>
      <c r="F86" s="469"/>
      <c r="G86" s="469"/>
      <c r="H86" s="469"/>
    </row>
  </sheetData>
  <mergeCells count="26">
    <mergeCell ref="K38:L38"/>
    <mergeCell ref="M38:N38"/>
    <mergeCell ref="O38:P38"/>
    <mergeCell ref="O35:P35"/>
    <mergeCell ref="K36:L36"/>
    <mergeCell ref="M36:N36"/>
    <mergeCell ref="O36:P36"/>
    <mergeCell ref="K37:L37"/>
    <mergeCell ref="M37:N37"/>
    <mergeCell ref="O37:P37"/>
    <mergeCell ref="Q79:Q80"/>
    <mergeCell ref="Q77:Q78"/>
    <mergeCell ref="D10:E10"/>
    <mergeCell ref="D11:E11"/>
    <mergeCell ref="F10:G10"/>
    <mergeCell ref="F11:G11"/>
    <mergeCell ref="H11:I11"/>
    <mergeCell ref="H10:I10"/>
    <mergeCell ref="H12:I12"/>
    <mergeCell ref="H13:I13"/>
    <mergeCell ref="F12:G12"/>
    <mergeCell ref="F13:G13"/>
    <mergeCell ref="D13:E13"/>
    <mergeCell ref="D12:E12"/>
    <mergeCell ref="K35:L35"/>
    <mergeCell ref="M35:N35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6145" r:id="rId4">
          <objectPr defaultSize="0" autoPict="0" r:id="rId5">
            <anchor moveWithCells="1">
              <from>
                <xdr:col>13</xdr:col>
                <xdr:colOff>504825</xdr:colOff>
                <xdr:row>53</xdr:row>
                <xdr:rowOff>76200</xdr:rowOff>
              </from>
              <to>
                <xdr:col>22</xdr:col>
                <xdr:colOff>0</xdr:colOff>
                <xdr:row>60</xdr:row>
                <xdr:rowOff>161925</xdr:rowOff>
              </to>
            </anchor>
          </objectPr>
        </oleObject>
      </mc:Choice>
      <mc:Fallback>
        <oleObject progId="Visio.Drawing.11" shapeId="6145" r:id="rId4"/>
      </mc:Fallback>
    </mc:AlternateContent>
    <mc:AlternateContent xmlns:mc="http://schemas.openxmlformats.org/markup-compatibility/2006">
      <mc:Choice Requires="x14">
        <oleObject progId="Visio.Drawing.11" shapeId="6146" r:id="rId6">
          <objectPr defaultSize="0" autoPict="0" r:id="rId7">
            <anchor moveWithCells="1">
              <from>
                <xdr:col>13</xdr:col>
                <xdr:colOff>504825</xdr:colOff>
                <xdr:row>61</xdr:row>
                <xdr:rowOff>123825</xdr:rowOff>
              </from>
              <to>
                <xdr:col>22</xdr:col>
                <xdr:colOff>9525</xdr:colOff>
                <xdr:row>68</xdr:row>
                <xdr:rowOff>19050</xdr:rowOff>
              </to>
            </anchor>
          </objectPr>
        </oleObject>
      </mc:Choice>
      <mc:Fallback>
        <oleObject progId="Visio.Drawing.11" shapeId="614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24</vt:i4>
      </vt:variant>
      <vt:variant>
        <vt:lpstr>이름이 지정된 범위</vt:lpstr>
      </vt:variant>
      <vt:variant>
        <vt:i4>5</vt:i4>
      </vt:variant>
    </vt:vector>
  </HeadingPairs>
  <TitlesOfParts>
    <vt:vector size="29" baseType="lpstr">
      <vt:lpstr>VHDL</vt:lpstr>
      <vt:lpstr>DC-DC converter_전압조정</vt:lpstr>
      <vt:lpstr>Voltage Monitor</vt:lpstr>
      <vt:lpstr>Current Sensor</vt:lpstr>
      <vt:lpstr>SEL_LED</vt:lpstr>
      <vt:lpstr>nLRESET</vt:lpstr>
      <vt:lpstr>5V DC-DC converter</vt:lpstr>
      <vt:lpstr>LCD_DC-DC Protect Cir</vt:lpstr>
      <vt:lpstr>LCD_Timer 교체</vt:lpstr>
      <vt:lpstr>OR-ing</vt:lpstr>
      <vt:lpstr>Opto-coupler</vt:lpstr>
      <vt:lpstr>납품</vt:lpstr>
      <vt:lpstr>전원반</vt:lpstr>
      <vt:lpstr>28V2 timer</vt:lpstr>
      <vt:lpstr>Motor deriver</vt:lpstr>
      <vt:lpstr>누수센서 PWR</vt:lpstr>
      <vt:lpstr>Backlight Ctrl</vt:lpstr>
      <vt:lpstr>Power Calc</vt:lpstr>
      <vt:lpstr>Motor Test board</vt:lpstr>
      <vt:lpstr>IShare</vt:lpstr>
      <vt:lpstr>truth Table</vt:lpstr>
      <vt:lpstr>Sel SW</vt:lpstr>
      <vt:lpstr>DIOB</vt:lpstr>
      <vt:lpstr>LCD</vt:lpstr>
      <vt:lpstr>'Current Sensor'!Print_Area</vt:lpstr>
      <vt:lpstr>DIOB!Print_Area</vt:lpstr>
      <vt:lpstr>'truth Table'!Print_Area</vt:lpstr>
      <vt:lpstr>'Voltage Monitor'!Print_Area</vt:lpstr>
      <vt:lpstr>납품!Print_Area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IGJoung</dc:creator>
  <cp:lastModifiedBy>SWEND066</cp:lastModifiedBy>
  <cp:lastPrinted>2017-03-03T07:34:11Z</cp:lastPrinted>
  <dcterms:created xsi:type="dcterms:W3CDTF">2015-01-14T11:06:11Z</dcterms:created>
  <dcterms:modified xsi:type="dcterms:W3CDTF">2017-09-01T09:09:07Z</dcterms:modified>
</cp:coreProperties>
</file>