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E34" i="2" l="1"/>
  <c r="E31" i="2"/>
  <c r="E17" i="2"/>
  <c r="E14" i="2"/>
  <c r="E15" i="2" s="1"/>
  <c r="E30" i="2"/>
  <c r="D30" i="2"/>
  <c r="D7" i="2" l="1"/>
  <c r="E7" i="2"/>
  <c r="E9" i="2" s="1"/>
  <c r="N20" i="1"/>
  <c r="D32" i="1"/>
  <c r="D31" i="1"/>
  <c r="I18" i="1"/>
  <c r="J13" i="1"/>
  <c r="J12" i="1"/>
  <c r="I13" i="1"/>
  <c r="P15" i="1"/>
  <c r="E11" i="2" l="1"/>
  <c r="F11" i="2" s="1"/>
  <c r="L27" i="1"/>
  <c r="L29" i="1"/>
  <c r="K29" i="1"/>
  <c r="O18" i="1"/>
  <c r="R24" i="1"/>
  <c r="K12" i="1" l="1"/>
  <c r="K13" i="1" s="1"/>
  <c r="L12" i="1"/>
  <c r="L13" i="1"/>
  <c r="L31" i="1" s="1"/>
  <c r="L28" i="1"/>
  <c r="D26" i="1"/>
  <c r="R21" i="1"/>
  <c r="R23" i="1" s="1"/>
  <c r="R25" i="1" s="1"/>
  <c r="L34" i="1" l="1"/>
  <c r="L44" i="1"/>
  <c r="O10" i="1"/>
  <c r="U11" i="1" l="1"/>
  <c r="U13" i="1" s="1"/>
  <c r="D16" i="1" l="1"/>
  <c r="D15" i="1"/>
  <c r="R11" i="1"/>
  <c r="R10" i="1"/>
  <c r="K28" i="1" l="1"/>
  <c r="K31" i="1" s="1"/>
  <c r="O29" i="1"/>
  <c r="D9" i="1"/>
  <c r="D6" i="1"/>
  <c r="K34" i="1" l="1"/>
</calcChain>
</file>

<file path=xl/sharedStrings.xml><?xml version="1.0" encoding="utf-8"?>
<sst xmlns="http://schemas.openxmlformats.org/spreadsheetml/2006/main" count="127" uniqueCount="103">
  <si>
    <t>2016 연말정산</t>
    <phoneticPr fontId="2" type="noConversion"/>
  </si>
  <si>
    <t>총급여</t>
    <phoneticPr fontId="2" type="noConversion"/>
  </si>
  <si>
    <t>월급여</t>
    <phoneticPr fontId="2" type="noConversion"/>
  </si>
  <si>
    <t>2017,6월 급여</t>
    <phoneticPr fontId="2" type="noConversion"/>
  </si>
  <si>
    <t>2017 연말정산</t>
    <phoneticPr fontId="2" type="noConversion"/>
  </si>
  <si>
    <t>과세급여</t>
    <phoneticPr fontId="2" type="noConversion"/>
  </si>
  <si>
    <t>체불임금</t>
    <phoneticPr fontId="2" type="noConversion"/>
  </si>
  <si>
    <t>년도</t>
    <phoneticPr fontId="2" type="noConversion"/>
  </si>
  <si>
    <t>월</t>
    <phoneticPr fontId="2" type="noConversion"/>
  </si>
  <si>
    <t>2017,3월 급여분</t>
    <phoneticPr fontId="2" type="noConversion"/>
  </si>
  <si>
    <t>소득공제 및 국민연금요율변경</t>
    <phoneticPr fontId="2" type="noConversion"/>
  </si>
  <si>
    <t>소득공제 환급</t>
    <phoneticPr fontId="2" type="noConversion"/>
  </si>
  <si>
    <t>총액</t>
    <phoneticPr fontId="2" type="noConversion"/>
  </si>
  <si>
    <t>퇴직금</t>
    <phoneticPr fontId="2" type="noConversion"/>
  </si>
  <si>
    <t>입사일</t>
    <phoneticPr fontId="2" type="noConversion"/>
  </si>
  <si>
    <t>현재</t>
    <phoneticPr fontId="2" type="noConversion"/>
  </si>
  <si>
    <t>재직일수</t>
    <phoneticPr fontId="2" type="noConversion"/>
  </si>
  <si>
    <t>일</t>
    <phoneticPr fontId="2" type="noConversion"/>
  </si>
  <si>
    <t>평균임금</t>
    <phoneticPr fontId="2" type="noConversion"/>
  </si>
  <si>
    <t>원</t>
    <phoneticPr fontId="2" type="noConversion"/>
  </si>
  <si>
    <t>3개월 총액</t>
    <phoneticPr fontId="2" type="noConversion"/>
  </si>
  <si>
    <t>총일수</t>
    <phoneticPr fontId="2" type="noConversion"/>
  </si>
  <si>
    <t>1일 평균임금</t>
    <phoneticPr fontId="2" type="noConversion"/>
  </si>
  <si>
    <t>일반체당금</t>
    <phoneticPr fontId="2" type="noConversion"/>
  </si>
  <si>
    <t>손해액</t>
    <phoneticPr fontId="2" type="noConversion"/>
  </si>
  <si>
    <t>고용보험</t>
    <phoneticPr fontId="2" type="noConversion"/>
  </si>
  <si>
    <t>가입</t>
    <phoneticPr fontId="2" type="noConversion"/>
  </si>
  <si>
    <t>2014.12.15</t>
    <phoneticPr fontId="2" type="noConversion"/>
  </si>
  <si>
    <t>실업급여</t>
    <phoneticPr fontId="2" type="noConversion"/>
  </si>
  <si>
    <t>1일</t>
    <phoneticPr fontId="2" type="noConversion"/>
  </si>
  <si>
    <t>지급일 수</t>
    <phoneticPr fontId="2" type="noConversion"/>
  </si>
  <si>
    <t>개월</t>
    <phoneticPr fontId="2" type="noConversion"/>
  </si>
  <si>
    <t>과세급여 기준</t>
    <phoneticPr fontId="2" type="noConversion"/>
  </si>
  <si>
    <t>과세총급여</t>
    <phoneticPr fontId="2" type="noConversion"/>
  </si>
  <si>
    <t>지급합계</t>
    <phoneticPr fontId="2" type="noConversion"/>
  </si>
  <si>
    <t>과세총지급급여</t>
    <phoneticPr fontId="2" type="noConversion"/>
  </si>
  <si>
    <t>Date</t>
    <phoneticPr fontId="2" type="noConversion"/>
  </si>
  <si>
    <t>기간</t>
    <phoneticPr fontId="2" type="noConversion"/>
  </si>
  <si>
    <t>Total</t>
    <phoneticPr fontId="2" type="noConversion"/>
  </si>
  <si>
    <t>잔여일</t>
    <phoneticPr fontId="2" type="noConversion"/>
  </si>
  <si>
    <t>합계</t>
    <phoneticPr fontId="2" type="noConversion"/>
  </si>
  <si>
    <t>년차 휴가</t>
    <phoneticPr fontId="2" type="noConversion"/>
  </si>
  <si>
    <t>출장비 미지급금</t>
    <phoneticPr fontId="2" type="noConversion"/>
  </si>
  <si>
    <t>작성일</t>
    <phoneticPr fontId="2" type="noConversion"/>
  </si>
  <si>
    <t>금액</t>
    <phoneticPr fontId="2" type="noConversion"/>
  </si>
  <si>
    <t>2017 연말정산 미지급금</t>
    <phoneticPr fontId="2" type="noConversion"/>
  </si>
  <si>
    <t>소득세</t>
    <phoneticPr fontId="2" type="noConversion"/>
  </si>
  <si>
    <t>지방세</t>
    <phoneticPr fontId="2" type="noConversion"/>
  </si>
  <si>
    <t>2018-03 체불임금에 반영됨</t>
    <phoneticPr fontId="2" type="noConversion"/>
  </si>
  <si>
    <t>2014.12.15</t>
    <phoneticPr fontId="2" type="noConversion"/>
  </si>
  <si>
    <t>2018.05.09</t>
    <phoneticPr fontId="2" type="noConversion"/>
  </si>
  <si>
    <t>통상임금</t>
    <phoneticPr fontId="2" type="noConversion"/>
  </si>
  <si>
    <t>잔여연차</t>
    <phoneticPr fontId="2" type="noConversion"/>
  </si>
  <si>
    <t>일</t>
    <phoneticPr fontId="2" type="noConversion"/>
  </si>
  <si>
    <t>통상임금 시급</t>
    <phoneticPr fontId="2" type="noConversion"/>
  </si>
  <si>
    <t>연차수당 1일</t>
    <phoneticPr fontId="2" type="noConversion"/>
  </si>
  <si>
    <t>금액_Max</t>
    <phoneticPr fontId="2" type="noConversion"/>
  </si>
  <si>
    <t>금액_6일/연차x</t>
    <phoneticPr fontId="2" type="noConversion"/>
  </si>
  <si>
    <t>출장비</t>
    <phoneticPr fontId="2" type="noConversion"/>
  </si>
  <si>
    <t>급여</t>
    <phoneticPr fontId="2" type="noConversion"/>
  </si>
  <si>
    <t>연차수당</t>
    <phoneticPr fontId="2" type="noConversion"/>
  </si>
  <si>
    <t>연차수당 제외</t>
    <phoneticPr fontId="2" type="noConversion"/>
  </si>
  <si>
    <t xml:space="preserve">출장비 </t>
    <phoneticPr fontId="2" type="noConversion"/>
  </si>
  <si>
    <t>진정서 신청번호</t>
    <phoneticPr fontId="2" type="noConversion"/>
  </si>
  <si>
    <t>신우자료 5/30</t>
    <phoneticPr fontId="2" type="noConversion"/>
  </si>
  <si>
    <t>1일 평균임금 = 퇴직일 이전 3개월간에 지급받은 임금 총액 (A+B+C)/퇴직일 이전 3개월간의 총 일수</t>
    <phoneticPr fontId="2" type="noConversion"/>
  </si>
  <si>
    <t>급여총액</t>
    <phoneticPr fontId="2" type="noConversion"/>
  </si>
  <si>
    <t>퇴직금 계산</t>
    <phoneticPr fontId="2" type="noConversion"/>
  </si>
  <si>
    <t>2월 급여</t>
    <phoneticPr fontId="2" type="noConversion"/>
  </si>
  <si>
    <t>3월 급여</t>
    <phoneticPr fontId="2" type="noConversion"/>
  </si>
  <si>
    <t>4월 급여</t>
    <phoneticPr fontId="2" type="noConversion"/>
  </si>
  <si>
    <t>근무일수</t>
    <phoneticPr fontId="2" type="noConversion"/>
  </si>
  <si>
    <t>1일 평균임금</t>
    <phoneticPr fontId="2" type="noConversion"/>
  </si>
  <si>
    <t>퇴직금</t>
    <phoneticPr fontId="2" type="noConversion"/>
  </si>
  <si>
    <t>3년 145일</t>
    <phoneticPr fontId="2" type="noConversion"/>
  </si>
  <si>
    <t>퇴직금 = 1일 평균임금 × 30(일) × (재직일수/365)</t>
    <phoneticPr fontId="2" type="noConversion"/>
  </si>
  <si>
    <t>잔여 연차</t>
    <phoneticPr fontId="2" type="noConversion"/>
  </si>
  <si>
    <t>연차수당</t>
    <phoneticPr fontId="2" type="noConversion"/>
  </si>
  <si>
    <t>체불임금</t>
    <phoneticPr fontId="2" type="noConversion"/>
  </si>
  <si>
    <t>2017.10</t>
    <phoneticPr fontId="2" type="noConversion"/>
  </si>
  <si>
    <t>2017.12</t>
    <phoneticPr fontId="2" type="noConversion"/>
  </si>
  <si>
    <t>2018.01</t>
    <phoneticPr fontId="2" type="noConversion"/>
  </si>
  <si>
    <t>2018.02</t>
    <phoneticPr fontId="2" type="noConversion"/>
  </si>
  <si>
    <t>2018.03</t>
    <phoneticPr fontId="2" type="noConversion"/>
  </si>
  <si>
    <t>2018.04</t>
    <phoneticPr fontId="2" type="noConversion"/>
  </si>
  <si>
    <t>2018.05</t>
    <phoneticPr fontId="2" type="noConversion"/>
  </si>
  <si>
    <t>국민연금</t>
    <phoneticPr fontId="2" type="noConversion"/>
  </si>
  <si>
    <t>고용보험</t>
    <phoneticPr fontId="2" type="noConversion"/>
  </si>
  <si>
    <t>의료보험</t>
    <phoneticPr fontId="2" type="noConversion"/>
  </si>
  <si>
    <t>임금총액</t>
    <phoneticPr fontId="2" type="noConversion"/>
  </si>
  <si>
    <t>출장비</t>
    <phoneticPr fontId="2" type="noConversion"/>
  </si>
  <si>
    <t>신우</t>
    <phoneticPr fontId="2" type="noConversion"/>
  </si>
  <si>
    <t>노동청 계산기</t>
    <phoneticPr fontId="2" type="noConversion"/>
  </si>
  <si>
    <t>월기본 급여</t>
    <phoneticPr fontId="2" type="noConversion"/>
  </si>
  <si>
    <t>시급</t>
    <phoneticPr fontId="2" type="noConversion"/>
  </si>
  <si>
    <t>1일 연차수당</t>
    <phoneticPr fontId="2" type="noConversion"/>
  </si>
  <si>
    <t>시급 = 월기본급여 / 209(총근무시간 : 8시간 주 5일 근무)</t>
    <phoneticPr fontId="2" type="noConversion"/>
  </si>
  <si>
    <t>1일 수당 = 시급 x 8(시간)</t>
    <phoneticPr fontId="2" type="noConversion"/>
  </si>
  <si>
    <t>연차수당 계산</t>
    <phoneticPr fontId="2" type="noConversion"/>
  </si>
  <si>
    <t>진정서 총액</t>
    <phoneticPr fontId="2" type="noConversion"/>
  </si>
  <si>
    <t>민사 총액</t>
    <phoneticPr fontId="2" type="noConversion"/>
  </si>
  <si>
    <t>비용은 노동청에서 보호하는 범위를 벗어남-민사에서 진행해야 함</t>
    <phoneticPr fontId="2" type="noConversion"/>
  </si>
  <si>
    <t>소득세 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</si>
</sst>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-* #,##0.0_-;\-* #,##0.0_-;_-* &quot;-&quot;_-;_-@_-"/>
    <numFmt numFmtId="178" formatCode="_-* #,##0.00_-;\-* #,##0.00_-;_-* &quot;-&quot;_-;_-@_-"/>
    <numFmt numFmtId="179" formatCode="#,##0.000000000_ 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41" fontId="0" fillId="0" borderId="0" xfId="1" applyFont="1" applyAlignment="1"/>
    <xf numFmtId="41" fontId="0" fillId="0" borderId="0" xfId="0" applyNumberFormat="1"/>
    <xf numFmtId="0" fontId="3" fillId="0" borderId="0" xfId="0" applyFont="1"/>
    <xf numFmtId="41" fontId="3" fillId="0" borderId="0" xfId="1" applyFont="1" applyAlignment="1"/>
    <xf numFmtId="41" fontId="3" fillId="0" borderId="0" xfId="0" applyNumberFormat="1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5" xfId="0" applyNumberForma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0" fillId="0" borderId="9" xfId="0" applyBorder="1"/>
    <xf numFmtId="14" fontId="0" fillId="0" borderId="1" xfId="0" applyNumberFormat="1" applyBorder="1"/>
    <xf numFmtId="176" fontId="0" fillId="0" borderId="2" xfId="0" applyNumberFormat="1" applyBorder="1"/>
    <xf numFmtId="41" fontId="3" fillId="0" borderId="2" xfId="1" applyFont="1" applyBorder="1" applyAlignment="1">
      <alignment horizontal="center"/>
    </xf>
    <xf numFmtId="41" fontId="3" fillId="0" borderId="9" xfId="1" applyFont="1" applyBorder="1" applyAlignment="1"/>
    <xf numFmtId="17" fontId="0" fillId="0" borderId="0" xfId="0" applyNumberFormat="1"/>
    <xf numFmtId="4" fontId="0" fillId="0" borderId="0" xfId="0" applyNumberFormat="1"/>
    <xf numFmtId="179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41" fontId="0" fillId="0" borderId="11" xfId="1" applyFont="1" applyBorder="1" applyAlignment="1"/>
    <xf numFmtId="41" fontId="0" fillId="0" borderId="6" xfId="1" applyFont="1" applyBorder="1" applyAlignment="1"/>
    <xf numFmtId="0" fontId="3" fillId="0" borderId="7" xfId="0" applyFont="1" applyBorder="1"/>
    <xf numFmtId="0" fontId="3" fillId="0" borderId="12" xfId="0" applyFont="1" applyBorder="1"/>
    <xf numFmtId="41" fontId="3" fillId="0" borderId="12" xfId="1" applyFont="1" applyBorder="1" applyAlignment="1"/>
    <xf numFmtId="41" fontId="3" fillId="0" borderId="8" xfId="1" applyFont="1" applyBorder="1" applyAlignment="1"/>
    <xf numFmtId="0" fontId="3" fillId="0" borderId="3" xfId="0" applyFont="1" applyBorder="1"/>
    <xf numFmtId="0" fontId="0" fillId="0" borderId="10" xfId="0" applyBorder="1"/>
    <xf numFmtId="41" fontId="0" fillId="0" borderId="10" xfId="1" applyFont="1" applyBorder="1" applyAlignment="1"/>
    <xf numFmtId="41" fontId="0" fillId="0" borderId="4" xfId="1" applyFont="1" applyBorder="1" applyAlignment="1"/>
    <xf numFmtId="41" fontId="0" fillId="0" borderId="11" xfId="0" applyNumberFormat="1" applyBorder="1"/>
    <xf numFmtId="41" fontId="0" fillId="0" borderId="6" xfId="0" applyNumberFormat="1" applyBorder="1"/>
    <xf numFmtId="178" fontId="0" fillId="0" borderId="11" xfId="0" applyNumberFormat="1" applyBorder="1"/>
    <xf numFmtId="178" fontId="0" fillId="0" borderId="6" xfId="0" applyNumberFormat="1" applyBorder="1"/>
    <xf numFmtId="0" fontId="3" fillId="0" borderId="11" xfId="0" applyFont="1" applyBorder="1"/>
    <xf numFmtId="177" fontId="3" fillId="0" borderId="11" xfId="1" applyNumberFormat="1" applyFont="1" applyBorder="1" applyAlignment="1"/>
    <xf numFmtId="177" fontId="3" fillId="0" borderId="6" xfId="1" applyNumberFormat="1" applyFont="1" applyBorder="1" applyAlignment="1"/>
    <xf numFmtId="0" fontId="3" fillId="0" borderId="11" xfId="0" applyFont="1" applyBorder="1" applyAlignment="1">
      <alignment horizontal="center"/>
    </xf>
    <xf numFmtId="41" fontId="3" fillId="0" borderId="11" xfId="1" applyFont="1" applyBorder="1" applyAlignment="1"/>
    <xf numFmtId="41" fontId="3" fillId="0" borderId="6" xfId="1" applyFont="1" applyBorder="1" applyAlignment="1"/>
    <xf numFmtId="0" fontId="3" fillId="0" borderId="12" xfId="0" applyFont="1" applyBorder="1" applyAlignment="1">
      <alignment horizontal="center"/>
    </xf>
    <xf numFmtId="41" fontId="3" fillId="0" borderId="12" xfId="0" applyNumberFormat="1" applyFont="1" applyBorder="1"/>
    <xf numFmtId="41" fontId="3" fillId="0" borderId="8" xfId="0" applyNumberFormat="1" applyFont="1" applyBorder="1"/>
    <xf numFmtId="0" fontId="3" fillId="0" borderId="13" xfId="0" applyFont="1" applyBorder="1" applyAlignment="1">
      <alignment horizontal="center"/>
    </xf>
    <xf numFmtId="14" fontId="0" fillId="0" borderId="13" xfId="0" applyNumberFormat="1" applyBorder="1"/>
    <xf numFmtId="177" fontId="0" fillId="0" borderId="0" xfId="1" applyNumberFormat="1" applyFont="1" applyAlignment="1"/>
    <xf numFmtId="43" fontId="3" fillId="0" borderId="0" xfId="1" applyNumberFormat="1" applyFont="1" applyAlignment="1"/>
    <xf numFmtId="43" fontId="3" fillId="0" borderId="0" xfId="0" applyNumberFormat="1" applyFont="1"/>
    <xf numFmtId="0" fontId="0" fillId="0" borderId="0" xfId="0" quotePrefix="1" applyAlignment="1">
      <alignment horizontal="center"/>
    </xf>
    <xf numFmtId="41" fontId="0" fillId="0" borderId="0" xfId="0" applyNumberFormat="1" applyFill="1" applyBorder="1"/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9</xdr:row>
      <xdr:rowOff>180975</xdr:rowOff>
    </xdr:from>
    <xdr:to>
      <xdr:col>21</xdr:col>
      <xdr:colOff>629628</xdr:colOff>
      <xdr:row>36</xdr:row>
      <xdr:rowOff>29344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2066925"/>
          <a:ext cx="7001853" cy="5506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48"/>
  <sheetViews>
    <sheetView topLeftCell="A10" workbookViewId="0">
      <selection activeCell="L30" sqref="L30"/>
    </sheetView>
  </sheetViews>
  <sheetFormatPr defaultRowHeight="16.5" x14ac:dyDescent="0.3"/>
  <cols>
    <col min="2" max="2" width="5.625" style="3" customWidth="1"/>
    <col min="4" max="4" width="18.75" bestFit="1" customWidth="1"/>
    <col min="8" max="8" width="12.75" bestFit="1" customWidth="1"/>
    <col min="9" max="9" width="14.5" bestFit="1" customWidth="1"/>
    <col min="10" max="10" width="14.5" customWidth="1"/>
    <col min="11" max="11" width="15.375" bestFit="1" customWidth="1"/>
    <col min="12" max="12" width="15.25" customWidth="1"/>
    <col min="13" max="13" width="10.875" bestFit="1" customWidth="1"/>
    <col min="14" max="14" width="11.875" bestFit="1" customWidth="1"/>
    <col min="15" max="15" width="13.75" bestFit="1" customWidth="1"/>
    <col min="18" max="18" width="10.875" bestFit="1" customWidth="1"/>
    <col min="20" max="20" width="11.125" bestFit="1" customWidth="1"/>
  </cols>
  <sheetData>
    <row r="4" spans="2:21" ht="17.25" thickBot="1" x14ac:dyDescent="0.35">
      <c r="B4" s="3" t="s">
        <v>0</v>
      </c>
      <c r="G4" s="3" t="s">
        <v>6</v>
      </c>
      <c r="P4" t="s">
        <v>25</v>
      </c>
      <c r="T4" s="3" t="s">
        <v>41</v>
      </c>
    </row>
    <row r="5" spans="2:21" ht="17.25" thickBot="1" x14ac:dyDescent="0.35">
      <c r="C5" t="s">
        <v>1</v>
      </c>
      <c r="D5" s="1">
        <v>49473900</v>
      </c>
      <c r="G5" s="27" t="s">
        <v>7</v>
      </c>
      <c r="H5" s="28" t="s">
        <v>8</v>
      </c>
      <c r="I5" s="28" t="s">
        <v>64</v>
      </c>
      <c r="J5" s="28"/>
      <c r="K5" s="28" t="s">
        <v>56</v>
      </c>
      <c r="L5" s="29" t="s">
        <v>57</v>
      </c>
      <c r="P5" t="s">
        <v>26</v>
      </c>
      <c r="Q5" t="s">
        <v>27</v>
      </c>
      <c r="T5" s="7" t="s">
        <v>36</v>
      </c>
      <c r="U5" s="8" t="s">
        <v>37</v>
      </c>
    </row>
    <row r="6" spans="2:21" x14ac:dyDescent="0.3">
      <c r="C6" t="s">
        <v>2</v>
      </c>
      <c r="D6" s="2">
        <f>D5/12</f>
        <v>4122825</v>
      </c>
      <c r="G6" s="30">
        <v>2017</v>
      </c>
      <c r="H6" s="31">
        <v>10</v>
      </c>
      <c r="I6" s="32">
        <v>3937950</v>
      </c>
      <c r="J6" s="32">
        <v>3937950</v>
      </c>
      <c r="K6" s="32">
        <v>3937950</v>
      </c>
      <c r="L6" s="33">
        <v>3937950</v>
      </c>
      <c r="T6" s="9">
        <v>43111</v>
      </c>
      <c r="U6" s="10">
        <v>0.5</v>
      </c>
    </row>
    <row r="7" spans="2:21" x14ac:dyDescent="0.3">
      <c r="B7" s="3" t="s">
        <v>4</v>
      </c>
      <c r="G7" s="30"/>
      <c r="H7" s="31">
        <v>12</v>
      </c>
      <c r="I7" s="32">
        <v>3813895</v>
      </c>
      <c r="J7" s="32">
        <v>3813895</v>
      </c>
      <c r="K7" s="32">
        <v>3813895</v>
      </c>
      <c r="L7" s="33">
        <v>3813895</v>
      </c>
      <c r="M7" t="s">
        <v>9</v>
      </c>
      <c r="P7" t="s">
        <v>28</v>
      </c>
      <c r="T7" s="11">
        <v>43112</v>
      </c>
      <c r="U7" s="12">
        <v>1</v>
      </c>
    </row>
    <row r="8" spans="2:21" x14ac:dyDescent="0.3">
      <c r="C8" t="s">
        <v>1</v>
      </c>
      <c r="D8" s="1">
        <v>49638800</v>
      </c>
      <c r="G8" s="30">
        <v>2018</v>
      </c>
      <c r="H8" s="31">
        <v>1</v>
      </c>
      <c r="I8" s="32">
        <v>3937950</v>
      </c>
      <c r="J8" s="32">
        <v>3937950</v>
      </c>
      <c r="K8" s="32">
        <v>3937950</v>
      </c>
      <c r="L8" s="33">
        <v>3937950</v>
      </c>
      <c r="Q8" t="s">
        <v>29</v>
      </c>
      <c r="R8" s="1">
        <v>60000</v>
      </c>
      <c r="S8" s="1" t="s">
        <v>19</v>
      </c>
      <c r="T8" s="11">
        <v>43119</v>
      </c>
      <c r="U8" s="12">
        <v>0.5</v>
      </c>
    </row>
    <row r="9" spans="2:21" x14ac:dyDescent="0.3">
      <c r="C9" t="s">
        <v>2</v>
      </c>
      <c r="D9" s="2">
        <f>D8/12</f>
        <v>4136566.6666666665</v>
      </c>
      <c r="G9" s="30"/>
      <c r="H9" s="31">
        <v>2</v>
      </c>
      <c r="I9" s="32">
        <v>3937950</v>
      </c>
      <c r="J9" s="32">
        <v>3937950</v>
      </c>
      <c r="K9" s="32">
        <v>3937950</v>
      </c>
      <c r="L9" s="33">
        <v>3937950</v>
      </c>
      <c r="Q9" t="s">
        <v>30</v>
      </c>
      <c r="R9" s="1">
        <v>150</v>
      </c>
      <c r="S9" s="1" t="s">
        <v>17</v>
      </c>
      <c r="T9" s="11">
        <v>43164</v>
      </c>
      <c r="U9" s="12">
        <v>4</v>
      </c>
    </row>
    <row r="10" spans="2:21" x14ac:dyDescent="0.3">
      <c r="G10" s="30"/>
      <c r="H10" s="31">
        <v>3</v>
      </c>
      <c r="I10" s="32">
        <v>4045580</v>
      </c>
      <c r="J10" s="32">
        <v>4045580</v>
      </c>
      <c r="K10" s="32">
        <v>4045580</v>
      </c>
      <c r="L10" s="33">
        <v>4045580</v>
      </c>
      <c r="M10" t="s">
        <v>10</v>
      </c>
      <c r="O10" s="2">
        <f>K10-K9</f>
        <v>107630</v>
      </c>
      <c r="R10" s="2">
        <f>R9/30</f>
        <v>5</v>
      </c>
      <c r="S10" t="s">
        <v>31</v>
      </c>
      <c r="T10" s="11">
        <v>43203</v>
      </c>
      <c r="U10" s="12">
        <v>1</v>
      </c>
    </row>
    <row r="11" spans="2:21" x14ac:dyDescent="0.3">
      <c r="B11" s="3" t="s">
        <v>3</v>
      </c>
      <c r="G11" s="30"/>
      <c r="H11" s="31">
        <v>4</v>
      </c>
      <c r="I11" s="32">
        <v>5168270</v>
      </c>
      <c r="J11" s="32">
        <v>3937950</v>
      </c>
      <c r="K11" s="32">
        <v>4334900</v>
      </c>
      <c r="L11" s="33">
        <v>4334900</v>
      </c>
      <c r="R11" s="2">
        <f>R8*30</f>
        <v>1800000</v>
      </c>
      <c r="S11" s="1" t="s">
        <v>19</v>
      </c>
      <c r="T11" s="13" t="s">
        <v>40</v>
      </c>
      <c r="U11" s="12">
        <f>SUM(U6:U10)</f>
        <v>7</v>
      </c>
    </row>
    <row r="12" spans="2:21" x14ac:dyDescent="0.3">
      <c r="C12" t="s">
        <v>5</v>
      </c>
      <c r="D12" s="1">
        <v>4134900</v>
      </c>
      <c r="G12" s="30"/>
      <c r="H12" s="31">
        <v>5</v>
      </c>
      <c r="I12" s="42"/>
      <c r="J12" s="42">
        <f>J9*9/30</f>
        <v>1181385</v>
      </c>
      <c r="K12" s="32">
        <f>K27*9</f>
        <v>1319276.8800000001</v>
      </c>
      <c r="L12" s="33">
        <f>L27*6</f>
        <v>876721.34831460682</v>
      </c>
      <c r="T12" s="13" t="s">
        <v>38</v>
      </c>
      <c r="U12" s="12">
        <v>16</v>
      </c>
    </row>
    <row r="13" spans="2:21" ht="17.25" thickBot="1" x14ac:dyDescent="0.35">
      <c r="C13" t="s">
        <v>34</v>
      </c>
      <c r="D13" s="1">
        <v>4334900</v>
      </c>
      <c r="G13" s="34" t="s">
        <v>12</v>
      </c>
      <c r="H13" s="35" t="s">
        <v>59</v>
      </c>
      <c r="I13" s="36">
        <f>SUM(I6:I12)</f>
        <v>24841595</v>
      </c>
      <c r="J13" s="36">
        <f>SUM(J6:J12)</f>
        <v>24792660</v>
      </c>
      <c r="K13" s="36">
        <f>SUM(K6:K12)</f>
        <v>25327501.879999999</v>
      </c>
      <c r="L13" s="37">
        <f>SUM(L6:L12)</f>
        <v>24884946.348314606</v>
      </c>
      <c r="M13" t="s">
        <v>11</v>
      </c>
      <c r="T13" s="14" t="s">
        <v>39</v>
      </c>
      <c r="U13" s="15">
        <f>U12-U11</f>
        <v>9</v>
      </c>
    </row>
    <row r="14" spans="2:21" ht="17.25" thickBot="1" x14ac:dyDescent="0.35">
      <c r="K14" s="1"/>
      <c r="L14" s="2"/>
      <c r="M14" s="2">
        <v>111350</v>
      </c>
      <c r="P14">
        <v>1285470</v>
      </c>
      <c r="T14" s="6"/>
    </row>
    <row r="15" spans="2:21" x14ac:dyDescent="0.3">
      <c r="C15" t="s">
        <v>33</v>
      </c>
      <c r="D15" s="2">
        <f>D12*12</f>
        <v>49618800</v>
      </c>
      <c r="G15" s="38" t="s">
        <v>13</v>
      </c>
      <c r="H15" s="39"/>
      <c r="I15" s="39"/>
      <c r="J15" s="39"/>
      <c r="K15" s="40"/>
      <c r="L15" s="41"/>
      <c r="P15">
        <f>P14/9</f>
        <v>142830</v>
      </c>
      <c r="T15" s="6"/>
    </row>
    <row r="16" spans="2:21" x14ac:dyDescent="0.3">
      <c r="C16" t="s">
        <v>35</v>
      </c>
      <c r="D16" s="2">
        <f>D13*12</f>
        <v>52018800</v>
      </c>
      <c r="G16" s="30"/>
      <c r="H16" s="31" t="s">
        <v>14</v>
      </c>
      <c r="I16" s="31" t="s">
        <v>27</v>
      </c>
      <c r="J16" s="31"/>
      <c r="K16" s="31" t="s">
        <v>49</v>
      </c>
      <c r="L16" s="33"/>
      <c r="T16" s="6"/>
    </row>
    <row r="17" spans="4:20" x14ac:dyDescent="0.3">
      <c r="G17" s="30"/>
      <c r="H17" s="31" t="s">
        <v>15</v>
      </c>
      <c r="I17" s="31" t="s">
        <v>50</v>
      </c>
      <c r="J17" s="31"/>
      <c r="K17" s="31" t="s">
        <v>50</v>
      </c>
      <c r="L17" s="33"/>
      <c r="T17" s="6"/>
    </row>
    <row r="18" spans="4:20" x14ac:dyDescent="0.3">
      <c r="G18" s="30"/>
      <c r="H18" s="31" t="s">
        <v>16</v>
      </c>
      <c r="I18" s="31">
        <f>365*3+145</f>
        <v>1240</v>
      </c>
      <c r="J18" s="31"/>
      <c r="K18" s="32">
        <v>1241</v>
      </c>
      <c r="L18" s="33">
        <v>1241</v>
      </c>
      <c r="M18" s="1" t="s">
        <v>17</v>
      </c>
      <c r="O18" s="26">
        <f>K18/30</f>
        <v>41.366666666666667</v>
      </c>
      <c r="T18" s="6"/>
    </row>
    <row r="19" spans="4:20" x14ac:dyDescent="0.3">
      <c r="G19" s="30"/>
      <c r="H19" s="31" t="s">
        <v>18</v>
      </c>
      <c r="I19" s="31"/>
      <c r="J19" s="31"/>
      <c r="K19" s="32">
        <v>131265</v>
      </c>
      <c r="L19" s="33">
        <v>131265</v>
      </c>
      <c r="M19" s="1" t="s">
        <v>19</v>
      </c>
      <c r="T19" s="6"/>
    </row>
    <row r="20" spans="4:20" x14ac:dyDescent="0.3">
      <c r="D20" s="23">
        <v>146120.23000000001</v>
      </c>
      <c r="G20" s="30"/>
      <c r="H20" s="31" t="s">
        <v>51</v>
      </c>
      <c r="I20" s="31"/>
      <c r="J20" s="31"/>
      <c r="K20" s="32">
        <v>4334900</v>
      </c>
      <c r="L20" s="33">
        <v>4334900</v>
      </c>
      <c r="M20" s="1" t="s">
        <v>19</v>
      </c>
      <c r="N20" s="2">
        <f>L20-50000</f>
        <v>4284900</v>
      </c>
      <c r="Q20" s="25" t="s">
        <v>54</v>
      </c>
      <c r="R20" s="1">
        <v>20741</v>
      </c>
      <c r="T20" s="6"/>
    </row>
    <row r="21" spans="4:20" x14ac:dyDescent="0.3">
      <c r="D21" s="23">
        <v>14904263.460000001</v>
      </c>
      <c r="G21" s="30"/>
      <c r="H21" s="31" t="s">
        <v>52</v>
      </c>
      <c r="I21" s="31"/>
      <c r="J21" s="31"/>
      <c r="K21" s="32">
        <v>9</v>
      </c>
      <c r="L21" s="33">
        <v>9</v>
      </c>
      <c r="M21" s="1" t="s">
        <v>53</v>
      </c>
      <c r="R21" s="1">
        <f>R20*8</f>
        <v>165928</v>
      </c>
      <c r="T21" s="6"/>
    </row>
    <row r="22" spans="4:20" x14ac:dyDescent="0.3">
      <c r="G22" s="30"/>
      <c r="H22" s="31"/>
      <c r="I22" s="31"/>
      <c r="J22" s="31"/>
      <c r="K22" s="31"/>
      <c r="L22" s="12"/>
      <c r="M22" s="1"/>
      <c r="R22">
        <v>9</v>
      </c>
      <c r="T22" s="6"/>
    </row>
    <row r="23" spans="4:20" x14ac:dyDescent="0.3">
      <c r="D23" s="23">
        <v>150315.04</v>
      </c>
      <c r="G23" s="30"/>
      <c r="H23" s="31" t="s">
        <v>20</v>
      </c>
      <c r="I23" s="31"/>
      <c r="J23" s="31"/>
      <c r="K23" s="42">
        <v>13004700</v>
      </c>
      <c r="L23" s="43">
        <v>13004700</v>
      </c>
      <c r="M23" s="1" t="s">
        <v>19</v>
      </c>
      <c r="O23" t="s">
        <v>32</v>
      </c>
      <c r="R23" s="2">
        <f>R21*R22</f>
        <v>1493352</v>
      </c>
      <c r="T23" s="6"/>
    </row>
    <row r="24" spans="4:20" x14ac:dyDescent="0.3">
      <c r="D24" s="23">
        <v>15332134.08</v>
      </c>
      <c r="G24" s="30"/>
      <c r="H24" s="31" t="s">
        <v>55</v>
      </c>
      <c r="I24" s="31"/>
      <c r="J24" s="31"/>
      <c r="K24" s="42">
        <v>165928</v>
      </c>
      <c r="L24" s="43">
        <v>165928</v>
      </c>
      <c r="M24" s="1" t="s">
        <v>19</v>
      </c>
      <c r="Q24" t="s">
        <v>58</v>
      </c>
      <c r="R24" s="2">
        <f>L40</f>
        <v>165000</v>
      </c>
      <c r="T24" s="6"/>
    </row>
    <row r="25" spans="4:20" x14ac:dyDescent="0.3">
      <c r="G25" s="30"/>
      <c r="H25" s="31" t="s">
        <v>21</v>
      </c>
      <c r="I25" s="31"/>
      <c r="J25" s="31"/>
      <c r="K25" s="31">
        <v>89</v>
      </c>
      <c r="L25" s="12">
        <v>89</v>
      </c>
      <c r="M25" s="1" t="s">
        <v>17</v>
      </c>
      <c r="O25" s="1">
        <v>4134900</v>
      </c>
      <c r="R25" s="2">
        <f>SUM(R23:R24)</f>
        <v>1658352</v>
      </c>
      <c r="T25" s="6"/>
    </row>
    <row r="26" spans="4:20" x14ac:dyDescent="0.3">
      <c r="D26" s="24">
        <f>D24-D21</f>
        <v>427870.61999999918</v>
      </c>
      <c r="G26" s="30"/>
      <c r="H26" s="31"/>
      <c r="I26" s="31"/>
      <c r="J26" s="31"/>
      <c r="K26" s="31"/>
      <c r="L26" s="12"/>
      <c r="M26" s="1"/>
      <c r="O26" s="1"/>
    </row>
    <row r="27" spans="4:20" x14ac:dyDescent="0.3">
      <c r="G27" s="30"/>
      <c r="H27" s="31" t="s">
        <v>22</v>
      </c>
      <c r="I27" s="31"/>
      <c r="J27" s="31"/>
      <c r="K27" s="44">
        <v>146586.32</v>
      </c>
      <c r="L27" s="45">
        <f>(L23)/L25</f>
        <v>146120.22471910113</v>
      </c>
      <c r="M27" s="1" t="s">
        <v>19</v>
      </c>
      <c r="N27" t="s">
        <v>61</v>
      </c>
      <c r="O27" s="1">
        <v>4134900</v>
      </c>
    </row>
    <row r="28" spans="4:20" x14ac:dyDescent="0.3">
      <c r="G28" s="30"/>
      <c r="H28" s="46" t="s">
        <v>13</v>
      </c>
      <c r="I28" s="46"/>
      <c r="J28" s="46"/>
      <c r="K28" s="47">
        <f>K27*30*(K18/365)</f>
        <v>14951804.640000001</v>
      </c>
      <c r="L28" s="48">
        <f>L27*30*(L18/365)</f>
        <v>14904262.921348315</v>
      </c>
      <c r="M28" s="1" t="s">
        <v>19</v>
      </c>
      <c r="O28" s="1">
        <v>4134900</v>
      </c>
    </row>
    <row r="29" spans="4:20" x14ac:dyDescent="0.3">
      <c r="G29" s="64" t="s">
        <v>60</v>
      </c>
      <c r="H29" s="65"/>
      <c r="I29" s="49"/>
      <c r="J29" s="49"/>
      <c r="K29" s="50">
        <f>K21*K24</f>
        <v>1493352</v>
      </c>
      <c r="L29" s="51">
        <f>L21*L24</f>
        <v>1493352</v>
      </c>
      <c r="M29" s="1" t="s">
        <v>19</v>
      </c>
      <c r="O29" s="2">
        <f>SUM(O25:O28)</f>
        <v>12404700</v>
      </c>
    </row>
    <row r="30" spans="4:20" x14ac:dyDescent="0.3">
      <c r="D30" s="1">
        <v>4289900</v>
      </c>
      <c r="G30" s="64" t="s">
        <v>62</v>
      </c>
      <c r="H30" s="65"/>
      <c r="I30" s="49"/>
      <c r="J30" s="49"/>
      <c r="K30" s="50">
        <v>165000</v>
      </c>
      <c r="L30" s="51">
        <v>165000</v>
      </c>
      <c r="M30" s="1" t="s">
        <v>19</v>
      </c>
      <c r="O30" s="2"/>
    </row>
    <row r="31" spans="4:20" ht="17.25" thickBot="1" x14ac:dyDescent="0.35">
      <c r="D31" s="26">
        <f>D30/30</f>
        <v>142996.66666666666</v>
      </c>
      <c r="G31" s="62" t="s">
        <v>12</v>
      </c>
      <c r="H31" s="63"/>
      <c r="I31" s="52"/>
      <c r="J31" s="52"/>
      <c r="K31" s="53">
        <f>K13+K28+K29+K30</f>
        <v>41937658.519999996</v>
      </c>
      <c r="L31" s="54">
        <f>L13+L28+L29+L30</f>
        <v>41447561.269662917</v>
      </c>
      <c r="M31" s="1" t="s">
        <v>19</v>
      </c>
      <c r="O31" s="2">
        <v>12404700</v>
      </c>
    </row>
    <row r="32" spans="4:20" x14ac:dyDescent="0.3">
      <c r="D32" s="26">
        <f>D30*3/89</f>
        <v>144603.37078651684</v>
      </c>
      <c r="G32" s="3"/>
      <c r="K32" s="5"/>
      <c r="L32" s="5"/>
      <c r="M32" s="1"/>
      <c r="O32" s="2"/>
    </row>
    <row r="33" spans="7:13" x14ac:dyDescent="0.3">
      <c r="H33" s="3" t="s">
        <v>23</v>
      </c>
      <c r="I33" s="3"/>
      <c r="J33" s="3"/>
      <c r="K33" s="4">
        <v>18000000</v>
      </c>
      <c r="L33" s="4">
        <v>18000000</v>
      </c>
      <c r="M33" s="1" t="s">
        <v>19</v>
      </c>
    </row>
    <row r="34" spans="7:13" x14ac:dyDescent="0.3">
      <c r="H34" s="3" t="s">
        <v>24</v>
      </c>
      <c r="I34" s="3"/>
      <c r="J34" s="3"/>
      <c r="K34" s="5">
        <f>K31-K33</f>
        <v>23937658.519999996</v>
      </c>
      <c r="L34" s="5">
        <f>L31-L33</f>
        <v>23447561.269662917</v>
      </c>
      <c r="M34" s="1" t="s">
        <v>19</v>
      </c>
    </row>
    <row r="35" spans="7:13" x14ac:dyDescent="0.3">
      <c r="H35" s="3"/>
      <c r="I35" s="3"/>
      <c r="J35" s="3"/>
      <c r="K35" s="5"/>
      <c r="L35" s="5"/>
      <c r="M35" s="1"/>
    </row>
    <row r="36" spans="7:13" x14ac:dyDescent="0.3">
      <c r="H36" s="3"/>
      <c r="I36" s="3"/>
      <c r="J36" s="3"/>
      <c r="K36" s="5"/>
      <c r="L36" s="5"/>
      <c r="M36" s="1"/>
    </row>
    <row r="37" spans="7:13" x14ac:dyDescent="0.3">
      <c r="G37" t="s">
        <v>42</v>
      </c>
    </row>
    <row r="38" spans="7:13" ht="17.25" thickBot="1" x14ac:dyDescent="0.35"/>
    <row r="39" spans="7:13" ht="17.25" thickBot="1" x14ac:dyDescent="0.35">
      <c r="H39" s="7" t="s">
        <v>36</v>
      </c>
      <c r="I39" s="55"/>
      <c r="J39" s="55"/>
      <c r="K39" s="16" t="s">
        <v>37</v>
      </c>
      <c r="L39" s="16" t="s">
        <v>44</v>
      </c>
      <c r="M39" s="20" t="s">
        <v>43</v>
      </c>
    </row>
    <row r="40" spans="7:13" ht="17.25" thickBot="1" x14ac:dyDescent="0.35">
      <c r="H40" s="18">
        <v>43178</v>
      </c>
      <c r="I40" s="56"/>
      <c r="J40" s="56"/>
      <c r="K40" s="17">
        <v>2</v>
      </c>
      <c r="L40" s="21">
        <v>165000</v>
      </c>
      <c r="M40" s="19">
        <v>43180</v>
      </c>
    </row>
    <row r="41" spans="7:13" x14ac:dyDescent="0.3">
      <c r="G41" t="s">
        <v>45</v>
      </c>
    </row>
    <row r="42" spans="7:13" ht="17.25" thickBot="1" x14ac:dyDescent="0.35"/>
    <row r="43" spans="7:13" ht="17.25" thickBot="1" x14ac:dyDescent="0.35">
      <c r="H43" s="16" t="s">
        <v>46</v>
      </c>
      <c r="I43" s="16"/>
      <c r="J43" s="16"/>
      <c r="K43" s="16" t="s">
        <v>47</v>
      </c>
      <c r="L43" s="16" t="s">
        <v>44</v>
      </c>
    </row>
    <row r="44" spans="7:13" ht="17.25" thickBot="1" x14ac:dyDescent="0.35">
      <c r="H44" s="21">
        <v>101240</v>
      </c>
      <c r="I44" s="21"/>
      <c r="J44" s="21"/>
      <c r="K44" s="21">
        <v>10110</v>
      </c>
      <c r="L44" s="21">
        <f>H44+K44</f>
        <v>111350</v>
      </c>
    </row>
    <row r="45" spans="7:13" x14ac:dyDescent="0.3">
      <c r="H45" s="22" t="s">
        <v>48</v>
      </c>
      <c r="I45" s="22"/>
      <c r="J45" s="22"/>
    </row>
    <row r="48" spans="7:13" x14ac:dyDescent="0.3">
      <c r="H48" t="s">
        <v>63</v>
      </c>
      <c r="K48">
        <v>186448749</v>
      </c>
    </row>
  </sheetData>
  <mergeCells count="3">
    <mergeCell ref="G31:H31"/>
    <mergeCell ref="G30:H30"/>
    <mergeCell ref="G29:H2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4"/>
  <sheetViews>
    <sheetView tabSelected="1" workbookViewId="0">
      <selection activeCell="J22" sqref="J22"/>
    </sheetView>
  </sheetViews>
  <sheetFormatPr defaultRowHeight="16.5" x14ac:dyDescent="0.3"/>
  <cols>
    <col min="2" max="2" width="9" style="3"/>
    <col min="3" max="3" width="12.75" bestFit="1" customWidth="1"/>
    <col min="4" max="4" width="12.75" customWidth="1"/>
    <col min="5" max="5" width="16.625" bestFit="1" customWidth="1"/>
    <col min="6" max="6" width="16.375" customWidth="1"/>
    <col min="9" max="9" width="10.875" bestFit="1" customWidth="1"/>
  </cols>
  <sheetData>
    <row r="3" spans="2:9" x14ac:dyDescent="0.3">
      <c r="B3" s="3" t="s">
        <v>67</v>
      </c>
      <c r="D3" s="66" t="s">
        <v>91</v>
      </c>
      <c r="E3" s="66" t="s">
        <v>92</v>
      </c>
    </row>
    <row r="4" spans="2:9" x14ac:dyDescent="0.3">
      <c r="C4" t="s">
        <v>68</v>
      </c>
      <c r="D4" s="1">
        <v>4284900</v>
      </c>
      <c r="E4" s="1">
        <v>4284900</v>
      </c>
      <c r="F4" s="2"/>
    </row>
    <row r="5" spans="2:9" x14ac:dyDescent="0.3">
      <c r="C5" t="s">
        <v>69</v>
      </c>
      <c r="D5" s="1">
        <v>4284900</v>
      </c>
      <c r="E5" s="1">
        <v>4284900</v>
      </c>
    </row>
    <row r="6" spans="2:9" x14ac:dyDescent="0.3">
      <c r="C6" t="s">
        <v>70</v>
      </c>
      <c r="D6" s="1">
        <v>4284900</v>
      </c>
      <c r="E6" s="1">
        <v>4284900</v>
      </c>
    </row>
    <row r="7" spans="2:9" x14ac:dyDescent="0.3">
      <c r="C7" t="s">
        <v>66</v>
      </c>
      <c r="D7" s="2">
        <f>SUM(D4:D6)</f>
        <v>12854700</v>
      </c>
      <c r="E7" s="2">
        <f>SUM(E4:E6)</f>
        <v>12854700</v>
      </c>
    </row>
    <row r="8" spans="2:9" x14ac:dyDescent="0.3">
      <c r="C8" t="s">
        <v>71</v>
      </c>
      <c r="D8" s="2">
        <v>89</v>
      </c>
      <c r="E8" s="2">
        <v>89</v>
      </c>
    </row>
    <row r="9" spans="2:9" x14ac:dyDescent="0.3">
      <c r="C9" t="s">
        <v>72</v>
      </c>
      <c r="E9" s="57">
        <f>E7/E8</f>
        <v>144434.83146067415</v>
      </c>
      <c r="G9" t="s">
        <v>65</v>
      </c>
    </row>
    <row r="10" spans="2:9" x14ac:dyDescent="0.3">
      <c r="C10" t="s">
        <v>71</v>
      </c>
      <c r="D10" t="s">
        <v>74</v>
      </c>
      <c r="E10" s="2">
        <v>1241</v>
      </c>
    </row>
    <row r="11" spans="2:9" x14ac:dyDescent="0.3">
      <c r="C11" s="3" t="s">
        <v>73</v>
      </c>
      <c r="D11" s="4">
        <v>14556921</v>
      </c>
      <c r="E11" s="58">
        <f>E9*30*(E10/356)</f>
        <v>15104799.93056432</v>
      </c>
      <c r="F11" s="59">
        <f>E11-D11</f>
        <v>547878.93056431971</v>
      </c>
      <c r="G11" t="s">
        <v>75</v>
      </c>
    </row>
    <row r="12" spans="2:9" x14ac:dyDescent="0.3">
      <c r="B12" s="3" t="s">
        <v>98</v>
      </c>
    </row>
    <row r="13" spans="2:9" x14ac:dyDescent="0.3">
      <c r="C13" t="s">
        <v>93</v>
      </c>
      <c r="E13" s="1">
        <v>4284900</v>
      </c>
    </row>
    <row r="14" spans="2:9" x14ac:dyDescent="0.3">
      <c r="C14" t="s">
        <v>94</v>
      </c>
      <c r="E14" s="26">
        <f>E13/209</f>
        <v>20501.913875598086</v>
      </c>
      <c r="G14" t="s">
        <v>96</v>
      </c>
    </row>
    <row r="15" spans="2:9" x14ac:dyDescent="0.3">
      <c r="C15" t="s">
        <v>95</v>
      </c>
      <c r="E15" s="26">
        <f>E14*8</f>
        <v>164015.31100478469</v>
      </c>
      <c r="G15" t="s">
        <v>97</v>
      </c>
    </row>
    <row r="16" spans="2:9" x14ac:dyDescent="0.3">
      <c r="C16" t="s">
        <v>76</v>
      </c>
      <c r="D16">
        <v>9</v>
      </c>
      <c r="E16">
        <v>9</v>
      </c>
      <c r="I16" s="2"/>
    </row>
    <row r="17" spans="2:6" x14ac:dyDescent="0.3">
      <c r="C17" s="3" t="s">
        <v>77</v>
      </c>
      <c r="D17" s="3"/>
      <c r="E17" s="59">
        <f>E15*E16</f>
        <v>1476137.7990430621</v>
      </c>
    </row>
    <row r="19" spans="2:6" x14ac:dyDescent="0.3">
      <c r="B19" s="3" t="s">
        <v>78</v>
      </c>
    </row>
    <row r="20" spans="2:6" x14ac:dyDescent="0.3">
      <c r="C20" s="60" t="s">
        <v>79</v>
      </c>
      <c r="D20" s="32">
        <v>3937950</v>
      </c>
      <c r="E20" s="32">
        <v>3937950</v>
      </c>
    </row>
    <row r="21" spans="2:6" x14ac:dyDescent="0.3">
      <c r="C21" s="60" t="s">
        <v>80</v>
      </c>
      <c r="D21" s="32">
        <v>3813895</v>
      </c>
      <c r="E21" s="32">
        <v>3813895</v>
      </c>
    </row>
    <row r="22" spans="2:6" x14ac:dyDescent="0.3">
      <c r="C22" s="60" t="s">
        <v>81</v>
      </c>
      <c r="D22" s="32">
        <v>3937950</v>
      </c>
      <c r="E22" s="32">
        <v>3937950</v>
      </c>
    </row>
    <row r="23" spans="2:6" x14ac:dyDescent="0.3">
      <c r="C23" s="60" t="s">
        <v>82</v>
      </c>
      <c r="D23" s="32">
        <v>3937950</v>
      </c>
      <c r="E23" s="32">
        <v>3937950</v>
      </c>
    </row>
    <row r="24" spans="2:6" x14ac:dyDescent="0.3">
      <c r="C24" s="60" t="s">
        <v>83</v>
      </c>
      <c r="D24" s="32">
        <v>4045580</v>
      </c>
      <c r="E24" s="32">
        <v>4045580</v>
      </c>
    </row>
    <row r="25" spans="2:6" x14ac:dyDescent="0.3">
      <c r="C25" s="60" t="s">
        <v>84</v>
      </c>
      <c r="D25" s="32">
        <v>5168270</v>
      </c>
      <c r="E25" s="32">
        <v>3937950</v>
      </c>
    </row>
    <row r="26" spans="2:6" x14ac:dyDescent="0.3">
      <c r="C26" s="60" t="s">
        <v>85</v>
      </c>
      <c r="E26" s="2">
        <v>1285470</v>
      </c>
      <c r="F26" t="s">
        <v>102</v>
      </c>
    </row>
    <row r="27" spans="2:6" x14ac:dyDescent="0.3">
      <c r="E27" s="1">
        <v>-57820</v>
      </c>
      <c r="F27" t="s">
        <v>86</v>
      </c>
    </row>
    <row r="28" spans="2:6" x14ac:dyDescent="0.3">
      <c r="E28" s="1">
        <v>-8356</v>
      </c>
      <c r="F28" t="s">
        <v>87</v>
      </c>
    </row>
    <row r="29" spans="2:6" x14ac:dyDescent="0.3">
      <c r="E29" s="61">
        <v>-43050</v>
      </c>
      <c r="F29" t="s">
        <v>88</v>
      </c>
    </row>
    <row r="30" spans="2:6" x14ac:dyDescent="0.3">
      <c r="C30" s="3" t="s">
        <v>89</v>
      </c>
      <c r="D30" s="5">
        <f>SUM(D20:D29)</f>
        <v>24841595</v>
      </c>
      <c r="E30" s="5">
        <f>SUM(E20:E29)</f>
        <v>24787519</v>
      </c>
    </row>
    <row r="31" spans="2:6" x14ac:dyDescent="0.3">
      <c r="B31" s="3" t="s">
        <v>99</v>
      </c>
      <c r="E31" s="59">
        <f>E11+E17+E30</f>
        <v>41368456.729607381</v>
      </c>
    </row>
    <row r="33" spans="2:6" x14ac:dyDescent="0.3">
      <c r="C33" s="3" t="s">
        <v>90</v>
      </c>
      <c r="E33" s="51">
        <v>165000</v>
      </c>
      <c r="F33" t="s">
        <v>101</v>
      </c>
    </row>
    <row r="34" spans="2:6" x14ac:dyDescent="0.3">
      <c r="B34" s="3" t="s">
        <v>100</v>
      </c>
      <c r="E34" s="26">
        <f>E31+E33</f>
        <v>41533456.729607381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2018-05-30T08:42:23Z</dcterms:modified>
</cp:coreProperties>
</file>