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5188336B-C1FF-4A0A-B983-37A601B79990}" xr6:coauthVersionLast="45" xr6:coauthVersionMax="45" xr10:uidLastSave="{00000000-0000-0000-0000-000000000000}"/>
  <bookViews>
    <workbookView xWindow="-23148" yWindow="-108" windowWidth="23256" windowHeight="12576" activeTab="9" xr2:uid="{00000000-000D-0000-FFFF-FFFF00000000}"/>
  </bookViews>
  <sheets>
    <sheet name="RF" sheetId="2" r:id="rId1"/>
    <sheet name="Bias" sheetId="6" r:id="rId2"/>
    <sheet name="0215" sheetId="5" r:id="rId3"/>
    <sheet name="0216" sheetId="7" r:id="rId4"/>
    <sheet name="0223" sheetId="9" r:id="rId5"/>
    <sheet name="CORE" sheetId="3" r:id="rId6"/>
    <sheet name="FAN" sheetId="4" r:id="rId7"/>
    <sheet name="Sheet1" sheetId="8" r:id="rId8"/>
    <sheet name="Test sheet (2)" sheetId="10" r:id="rId9"/>
    <sheet name="Coupler" sheetId="11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2" i="11" l="1"/>
  <c r="G62" i="11"/>
  <c r="F62" i="11"/>
  <c r="E62" i="11"/>
  <c r="G56" i="11"/>
  <c r="G57" i="11" s="1"/>
  <c r="F56" i="11"/>
  <c r="F57" i="11" s="1"/>
  <c r="E56" i="11"/>
  <c r="E57" i="11"/>
  <c r="I46" i="11"/>
  <c r="I34" i="11"/>
  <c r="I33" i="11"/>
  <c r="E51" i="11"/>
  <c r="G51" i="11" s="1"/>
  <c r="H51" i="11" s="1"/>
  <c r="E50" i="11"/>
  <c r="F50" i="11" s="1"/>
  <c r="E49" i="11"/>
  <c r="E48" i="11"/>
  <c r="G48" i="11" s="1"/>
  <c r="E47" i="11"/>
  <c r="G47" i="11" s="1"/>
  <c r="H47" i="11" s="1"/>
  <c r="G46" i="11"/>
  <c r="H46" i="11" s="1"/>
  <c r="E46" i="11"/>
  <c r="F46" i="11" s="1"/>
  <c r="E45" i="11"/>
  <c r="E39" i="11"/>
  <c r="E38" i="11"/>
  <c r="I38" i="11" s="1"/>
  <c r="E37" i="11"/>
  <c r="E36" i="11"/>
  <c r="I36" i="11" s="1"/>
  <c r="E35" i="11"/>
  <c r="G35" i="11" s="1"/>
  <c r="H35" i="11" s="1"/>
  <c r="E34" i="11"/>
  <c r="G34" i="11" s="1"/>
  <c r="H34" i="11" s="1"/>
  <c r="E33" i="11"/>
  <c r="G33" i="11" s="1"/>
  <c r="H33" i="11" s="1"/>
  <c r="F25" i="11"/>
  <c r="F26" i="11" s="1"/>
  <c r="K18" i="11"/>
  <c r="K20" i="11" s="1"/>
  <c r="J18" i="11"/>
  <c r="J20" i="11" s="1"/>
  <c r="I18" i="11"/>
  <c r="I20" i="11" s="1"/>
  <c r="H18" i="11"/>
  <c r="H20" i="11" s="1"/>
  <c r="G18" i="11"/>
  <c r="G20" i="11" s="1"/>
  <c r="F18" i="11"/>
  <c r="F20" i="11" s="1"/>
  <c r="E12" i="11"/>
  <c r="I12" i="11" s="1"/>
  <c r="J12" i="11" s="1"/>
  <c r="E11" i="11"/>
  <c r="I11" i="11" s="1"/>
  <c r="J11" i="11" s="1"/>
  <c r="E10" i="11"/>
  <c r="G10" i="11" s="1"/>
  <c r="H10" i="11" s="1"/>
  <c r="E9" i="11"/>
  <c r="G9" i="11" s="1"/>
  <c r="H9" i="11" s="1"/>
  <c r="E8" i="11"/>
  <c r="I8" i="11" s="1"/>
  <c r="J8" i="11" s="1"/>
  <c r="H48" i="11" l="1"/>
  <c r="I48" i="11"/>
  <c r="I47" i="11"/>
  <c r="K46" i="11"/>
  <c r="J37" i="11"/>
  <c r="I35" i="11"/>
  <c r="J35" i="11" s="1"/>
  <c r="J39" i="11"/>
  <c r="I37" i="11"/>
  <c r="G50" i="11"/>
  <c r="I51" i="11"/>
  <c r="I39" i="11"/>
  <c r="N39" i="11" s="1"/>
  <c r="O39" i="11" s="1"/>
  <c r="J38" i="11"/>
  <c r="J36" i="11"/>
  <c r="J48" i="11"/>
  <c r="J47" i="11"/>
  <c r="F49" i="11"/>
  <c r="J51" i="11"/>
  <c r="G45" i="11"/>
  <c r="G49" i="11"/>
  <c r="J46" i="11"/>
  <c r="F48" i="11"/>
  <c r="F45" i="11"/>
  <c r="F47" i="11"/>
  <c r="F51" i="11"/>
  <c r="P39" i="11"/>
  <c r="K39" i="11"/>
  <c r="L39" i="11" s="1"/>
  <c r="M39" i="11" s="1"/>
  <c r="F39" i="11"/>
  <c r="G39" i="11"/>
  <c r="H39" i="11" s="1"/>
  <c r="K38" i="11"/>
  <c r="L38" i="11" s="1"/>
  <c r="M38" i="11" s="1"/>
  <c r="P38" i="11"/>
  <c r="N38" i="11"/>
  <c r="O38" i="11" s="1"/>
  <c r="G38" i="11"/>
  <c r="H38" i="11" s="1"/>
  <c r="F38" i="11"/>
  <c r="N37" i="11"/>
  <c r="O37" i="11" s="1"/>
  <c r="P37" i="11"/>
  <c r="K37" i="11"/>
  <c r="L37" i="11" s="1"/>
  <c r="M37" i="11" s="1"/>
  <c r="F37" i="11"/>
  <c r="G37" i="11"/>
  <c r="H37" i="11" s="1"/>
  <c r="K36" i="11"/>
  <c r="L36" i="11" s="1"/>
  <c r="M36" i="11" s="1"/>
  <c r="P36" i="11"/>
  <c r="N36" i="11"/>
  <c r="O36" i="11" s="1"/>
  <c r="F36" i="11"/>
  <c r="G36" i="11"/>
  <c r="H36" i="11" s="1"/>
  <c r="J34" i="11"/>
  <c r="J33" i="11"/>
  <c r="F34" i="11"/>
  <c r="F33" i="11"/>
  <c r="F35" i="11"/>
  <c r="G8" i="11"/>
  <c r="H8" i="11" s="1"/>
  <c r="G12" i="11"/>
  <c r="H12" i="11" s="1"/>
  <c r="G11" i="11"/>
  <c r="H11" i="11" s="1"/>
  <c r="F8" i="11"/>
  <c r="F9" i="11"/>
  <c r="F10" i="11"/>
  <c r="F11" i="11"/>
  <c r="F12" i="11"/>
  <c r="K8" i="11"/>
  <c r="L8" i="11" s="1"/>
  <c r="M8" i="11" s="1"/>
  <c r="K11" i="11"/>
  <c r="L11" i="11" s="1"/>
  <c r="M11" i="11" s="1"/>
  <c r="K12" i="11"/>
  <c r="L12" i="11" s="1"/>
  <c r="M12" i="11" s="1"/>
  <c r="I9" i="11"/>
  <c r="J9" i="11" s="1"/>
  <c r="I10" i="11"/>
  <c r="J10" i="11" s="1"/>
  <c r="J20" i="3"/>
  <c r="J19" i="3"/>
  <c r="J18" i="3"/>
  <c r="J17" i="3"/>
  <c r="J16" i="3"/>
  <c r="J15" i="3"/>
  <c r="J12" i="3"/>
  <c r="H49" i="11" l="1"/>
  <c r="I49" i="11"/>
  <c r="L46" i="11"/>
  <c r="N46" i="11"/>
  <c r="O46" i="11" s="1"/>
  <c r="P46" i="11"/>
  <c r="R46" i="11" s="1"/>
  <c r="K47" i="11"/>
  <c r="K51" i="11"/>
  <c r="K48" i="11"/>
  <c r="M48" i="11"/>
  <c r="H45" i="11"/>
  <c r="I45" i="11"/>
  <c r="H50" i="11"/>
  <c r="I50" i="11"/>
  <c r="M46" i="11"/>
  <c r="Q38" i="11"/>
  <c r="R38" i="11"/>
  <c r="Q37" i="11"/>
  <c r="R37" i="11"/>
  <c r="Q36" i="11"/>
  <c r="R36" i="11"/>
  <c r="Q39" i="11"/>
  <c r="R39" i="11"/>
  <c r="K35" i="11"/>
  <c r="L35" i="11" s="1"/>
  <c r="M35" i="11" s="1"/>
  <c r="N35" i="11"/>
  <c r="O35" i="11" s="1"/>
  <c r="P35" i="11"/>
  <c r="N34" i="11"/>
  <c r="O34" i="11" s="1"/>
  <c r="P34" i="11"/>
  <c r="K33" i="11"/>
  <c r="L33" i="11" s="1"/>
  <c r="M33" i="11" s="1"/>
  <c r="P33" i="11"/>
  <c r="N33" i="11"/>
  <c r="O33" i="11" s="1"/>
  <c r="K34" i="11"/>
  <c r="L34" i="11" s="1"/>
  <c r="M34" i="11" s="1"/>
  <c r="K9" i="11"/>
  <c r="L9" i="11" s="1"/>
  <c r="M9" i="11" s="1"/>
  <c r="K10" i="11"/>
  <c r="L10" i="11" s="1"/>
  <c r="M10" i="11" s="1"/>
  <c r="Z18" i="10"/>
  <c r="W18" i="10"/>
  <c r="I18" i="10"/>
  <c r="Z17" i="10"/>
  <c r="W17" i="10"/>
  <c r="I17" i="10"/>
  <c r="Z16" i="10"/>
  <c r="W16" i="10"/>
  <c r="I16" i="10"/>
  <c r="Z15" i="10"/>
  <c r="W15" i="10"/>
  <c r="I15" i="10"/>
  <c r="Z14" i="10"/>
  <c r="W14" i="10"/>
  <c r="I14" i="10"/>
  <c r="Z13" i="10"/>
  <c r="W13" i="10"/>
  <c r="I13" i="10"/>
  <c r="J13" i="10"/>
  <c r="Z12" i="10"/>
  <c r="W12" i="10"/>
  <c r="I12" i="10"/>
  <c r="Z11" i="10"/>
  <c r="W11" i="10"/>
  <c r="I11" i="10"/>
  <c r="Z10" i="10"/>
  <c r="W10" i="10"/>
  <c r="I10" i="10"/>
  <c r="Z9" i="10"/>
  <c r="W9" i="10"/>
  <c r="I9" i="10"/>
  <c r="J9" i="10" s="1"/>
  <c r="Z8" i="10"/>
  <c r="W8" i="10"/>
  <c r="I8" i="10"/>
  <c r="J8" i="10" s="1"/>
  <c r="Z7" i="10"/>
  <c r="W7" i="10"/>
  <c r="I7" i="10"/>
  <c r="J7" i="10" s="1"/>
  <c r="Z6" i="10"/>
  <c r="W6" i="10"/>
  <c r="I6" i="10"/>
  <c r="J6" i="10" s="1"/>
  <c r="L47" i="11" l="1"/>
  <c r="N47" i="11"/>
  <c r="O47" i="11" s="1"/>
  <c r="P47" i="11"/>
  <c r="K50" i="11"/>
  <c r="M50" i="11" s="1"/>
  <c r="J50" i="11"/>
  <c r="M47" i="11"/>
  <c r="P51" i="11"/>
  <c r="L51" i="11"/>
  <c r="N51" i="11"/>
  <c r="O51" i="11" s="1"/>
  <c r="K45" i="11"/>
  <c r="M45" i="11"/>
  <c r="J45" i="11"/>
  <c r="Q46" i="11"/>
  <c r="N48" i="11"/>
  <c r="O48" i="11" s="1"/>
  <c r="P48" i="11"/>
  <c r="L48" i="11"/>
  <c r="K49" i="11"/>
  <c r="M49" i="11" s="1"/>
  <c r="J49" i="11"/>
  <c r="M51" i="11"/>
  <c r="Q33" i="11"/>
  <c r="R33" i="11"/>
  <c r="Q35" i="11"/>
  <c r="R35" i="11"/>
  <c r="Q34" i="11"/>
  <c r="R34" i="11"/>
  <c r="G13" i="9"/>
  <c r="R48" i="11" l="1"/>
  <c r="Q48" i="11"/>
  <c r="R51" i="11"/>
  <c r="Q51" i="11"/>
  <c r="Q47" i="11"/>
  <c r="R47" i="11"/>
  <c r="N45" i="11"/>
  <c r="O45" i="11" s="1"/>
  <c r="L45" i="11"/>
  <c r="P45" i="11"/>
  <c r="N50" i="11"/>
  <c r="O50" i="11" s="1"/>
  <c r="L50" i="11"/>
  <c r="P50" i="11"/>
  <c r="P49" i="11"/>
  <c r="N49" i="11"/>
  <c r="O49" i="11" s="1"/>
  <c r="L49" i="11"/>
  <c r="G6" i="9"/>
  <c r="R49" i="11" l="1"/>
  <c r="Q49" i="11"/>
  <c r="R50" i="11"/>
  <c r="Q50" i="11"/>
  <c r="Q45" i="11"/>
  <c r="R45" i="11"/>
  <c r="W14" i="2"/>
  <c r="W13" i="2"/>
  <c r="AA18" i="9"/>
  <c r="AA17" i="9"/>
  <c r="AA16" i="9"/>
  <c r="AA15" i="9"/>
  <c r="AA14" i="9"/>
  <c r="AA13" i="9"/>
  <c r="AA12" i="9"/>
  <c r="AA11" i="9"/>
  <c r="AA10" i="9"/>
  <c r="AA9" i="9"/>
  <c r="AA8" i="9"/>
  <c r="AA7" i="9"/>
  <c r="X18" i="9"/>
  <c r="X17" i="9"/>
  <c r="X16" i="9"/>
  <c r="X15" i="9"/>
  <c r="X14" i="9"/>
  <c r="X13" i="9"/>
  <c r="X12" i="9"/>
  <c r="X11" i="9"/>
  <c r="X10" i="9"/>
  <c r="X9" i="9"/>
  <c r="X8" i="9"/>
  <c r="X7" i="9"/>
  <c r="AA6" i="9"/>
  <c r="X6" i="9"/>
  <c r="J18" i="9"/>
  <c r="J17" i="9"/>
  <c r="J16" i="9"/>
  <c r="J15" i="9"/>
  <c r="J14" i="9"/>
  <c r="J13" i="9"/>
  <c r="K13" i="9" s="1"/>
  <c r="J12" i="9"/>
  <c r="J11" i="9"/>
  <c r="J10" i="9"/>
  <c r="J9" i="9"/>
  <c r="K9" i="9" s="1"/>
  <c r="J8" i="9"/>
  <c r="K8" i="9" s="1"/>
  <c r="J7" i="9"/>
  <c r="K7" i="9" s="1"/>
  <c r="J6" i="9"/>
  <c r="K6" i="9" s="1"/>
  <c r="X14" i="2" l="1"/>
  <c r="C6" i="8"/>
  <c r="L8" i="7" l="1"/>
  <c r="H8" i="7"/>
  <c r="L13" i="7"/>
  <c r="L12" i="7"/>
  <c r="L11" i="7"/>
  <c r="L10" i="7"/>
  <c r="L9" i="7"/>
  <c r="H13" i="7"/>
  <c r="H12" i="7"/>
  <c r="H11" i="7"/>
  <c r="H10" i="7"/>
  <c r="H9" i="7"/>
  <c r="H7" i="7"/>
  <c r="L7" i="7"/>
  <c r="M7" i="7" s="1"/>
  <c r="L6" i="7"/>
  <c r="H6" i="7"/>
  <c r="H5" i="7"/>
  <c r="L5" i="7"/>
  <c r="M5" i="7" s="1"/>
  <c r="AI12" i="5"/>
  <c r="AI11" i="5"/>
  <c r="AI10" i="5"/>
  <c r="AI9" i="5"/>
  <c r="AI8" i="5"/>
  <c r="M6" i="7" l="1"/>
  <c r="M12" i="7"/>
  <c r="M10" i="7"/>
  <c r="M9" i="7"/>
  <c r="M11" i="7"/>
  <c r="M8" i="7"/>
  <c r="M13" i="7"/>
  <c r="G8" i="6"/>
  <c r="G7" i="6"/>
  <c r="X7" i="5"/>
  <c r="Y7" i="5" s="1"/>
  <c r="S7" i="5"/>
  <c r="V7" i="5" s="1"/>
  <c r="G7" i="5"/>
  <c r="K7" i="5" s="1"/>
  <c r="G6" i="6" l="1"/>
  <c r="G5" i="6"/>
  <c r="G4" i="6"/>
  <c r="X6" i="5" l="1"/>
  <c r="Y6" i="5" s="1"/>
  <c r="S6" i="5"/>
  <c r="V6" i="5" s="1"/>
  <c r="G6" i="5"/>
  <c r="K6" i="5" s="1"/>
  <c r="P25" i="2" l="1"/>
  <c r="Q25" i="2" s="1"/>
  <c r="J25" i="2"/>
  <c r="N25" i="2" s="1"/>
  <c r="J24" i="2"/>
  <c r="N24" i="2" s="1"/>
  <c r="J23" i="2"/>
  <c r="N23" i="2" s="1"/>
  <c r="H16" i="2"/>
  <c r="L16" i="2" s="1"/>
  <c r="P14" i="2"/>
  <c r="P15" i="2"/>
  <c r="N14" i="2"/>
  <c r="H14" i="2"/>
  <c r="L14" i="2" s="1"/>
  <c r="N15" i="2"/>
  <c r="H15" i="2"/>
  <c r="L15" i="2" s="1"/>
  <c r="P13" i="2"/>
  <c r="N13" i="2"/>
  <c r="H13" i="2"/>
  <c r="L13" i="2" s="1"/>
  <c r="H12" i="2"/>
  <c r="L12" i="2" s="1"/>
  <c r="N8" i="2"/>
  <c r="P8" i="2" s="1"/>
  <c r="P11" i="2"/>
  <c r="P9" i="2"/>
  <c r="N11" i="2"/>
  <c r="N9" i="2"/>
  <c r="H11" i="2"/>
  <c r="L11" i="2" s="1"/>
  <c r="H10" i="2"/>
  <c r="L10" i="2" s="1"/>
  <c r="H9" i="2"/>
  <c r="L9" i="2" s="1"/>
  <c r="P7" i="2"/>
  <c r="H8" i="2"/>
  <c r="L8" i="2" s="1"/>
  <c r="H7" i="2"/>
  <c r="L7" i="2" s="1"/>
  <c r="H6" i="2" l="1"/>
  <c r="L6" i="2" s="1"/>
  <c r="N6" i="2" s="1"/>
  <c r="P6" i="2" s="1"/>
</calcChain>
</file>

<file path=xl/sharedStrings.xml><?xml version="1.0" encoding="utf-8"?>
<sst xmlns="http://schemas.openxmlformats.org/spreadsheetml/2006/main" count="401" uniqueCount="206">
  <si>
    <t>CPU AD8051</t>
    <phoneticPr fontId="1" type="noConversion"/>
  </si>
  <si>
    <t>Gain</t>
    <phoneticPr fontId="1" type="noConversion"/>
  </si>
  <si>
    <t>R21</t>
    <phoneticPr fontId="1" type="noConversion"/>
  </si>
  <si>
    <t>R20</t>
    <phoneticPr fontId="1" type="noConversion"/>
  </si>
  <si>
    <t>Vout1</t>
    <phoneticPr fontId="1" type="noConversion"/>
  </si>
  <si>
    <t>R22</t>
    <phoneticPr fontId="1" type="noConversion"/>
  </si>
  <si>
    <t>R23</t>
    <phoneticPr fontId="1" type="noConversion"/>
  </si>
  <si>
    <t>IOUT_B1</t>
    <phoneticPr fontId="1" type="noConversion"/>
  </si>
  <si>
    <t>NC</t>
    <phoneticPr fontId="1" type="noConversion"/>
  </si>
  <si>
    <t>R24</t>
    <phoneticPr fontId="1" type="noConversion"/>
  </si>
  <si>
    <t>IOUTB</t>
    <phoneticPr fontId="1" type="noConversion"/>
  </si>
  <si>
    <t>Calcul</t>
    <phoneticPr fontId="1" type="noConversion"/>
  </si>
  <si>
    <t>SIG</t>
    <phoneticPr fontId="1" type="noConversion"/>
  </si>
  <si>
    <t>Gain이 안올라감</t>
    <phoneticPr fontId="1" type="noConversion"/>
  </si>
  <si>
    <t>cal</t>
    <phoneticPr fontId="1" type="noConversion"/>
  </si>
  <si>
    <t>meas</t>
    <phoneticPr fontId="1" type="noConversion"/>
  </si>
  <si>
    <t>P</t>
    <phoneticPr fontId="1" type="noConversion"/>
  </si>
  <si>
    <t>Tune2/8</t>
    <phoneticPr fontId="1" type="noConversion"/>
  </si>
  <si>
    <t>R24 NC 상태에서도 동일함</t>
    <phoneticPr fontId="1" type="noConversion"/>
  </si>
  <si>
    <t>PWR tune후 연결하여 Test할때 R24 NC 처리 여부 결정</t>
    <phoneticPr fontId="1" type="noConversion"/>
  </si>
  <si>
    <t>PWR LT1210CT7</t>
    <phoneticPr fontId="1" type="noConversion"/>
  </si>
  <si>
    <t>CPU</t>
    <phoneticPr fontId="1" type="noConversion"/>
  </si>
  <si>
    <t>C8/C11</t>
    <phoneticPr fontId="1" type="noConversion"/>
  </si>
  <si>
    <t>100nF</t>
    <phoneticPr fontId="1" type="noConversion"/>
  </si>
  <si>
    <t>R6</t>
    <phoneticPr fontId="1" type="noConversion"/>
  </si>
  <si>
    <t>C5</t>
    <phoneticPr fontId="1" type="noConversion"/>
  </si>
  <si>
    <t>R4</t>
    <phoneticPr fontId="1" type="noConversion"/>
  </si>
  <si>
    <t>R5</t>
    <phoneticPr fontId="1" type="noConversion"/>
  </si>
  <si>
    <t>C9/C10</t>
    <phoneticPr fontId="1" type="noConversion"/>
  </si>
  <si>
    <t>100pF</t>
    <phoneticPr fontId="1" type="noConversion"/>
  </si>
  <si>
    <t>10K</t>
    <phoneticPr fontId="1" type="noConversion"/>
  </si>
  <si>
    <t>IOUTB</t>
    <phoneticPr fontId="1" type="noConversion"/>
  </si>
  <si>
    <t>Gain</t>
    <phoneticPr fontId="1" type="noConversion"/>
  </si>
  <si>
    <t>R24</t>
    <phoneticPr fontId="1" type="noConversion"/>
  </si>
  <si>
    <t>RFIN</t>
    <phoneticPr fontId="1" type="noConversion"/>
  </si>
  <si>
    <t>무부하</t>
    <phoneticPr fontId="1" type="noConversion"/>
  </si>
  <si>
    <t>종단</t>
    <phoneticPr fontId="1" type="noConversion"/>
  </si>
  <si>
    <t>NC</t>
    <phoneticPr fontId="1" type="noConversion"/>
  </si>
  <si>
    <t>Iout</t>
    <phoneticPr fontId="1" type="noConversion"/>
  </si>
  <si>
    <t>OD</t>
    <phoneticPr fontId="1" type="noConversion"/>
  </si>
  <si>
    <t>ID</t>
    <phoneticPr fontId="1" type="noConversion"/>
  </si>
  <si>
    <t>Ht</t>
    <phoneticPr fontId="1" type="noConversion"/>
  </si>
  <si>
    <t>AL</t>
    <phoneticPr fontId="1" type="noConversion"/>
  </si>
  <si>
    <t>L[uH]</t>
    <phoneticPr fontId="1" type="noConversion"/>
  </si>
  <si>
    <t>Z[Ohm]</t>
    <phoneticPr fontId="1" type="noConversion"/>
  </si>
  <si>
    <t>Turn</t>
    <phoneticPr fontId="1" type="noConversion"/>
  </si>
  <si>
    <t>Freq</t>
    <phoneticPr fontId="1" type="noConversion"/>
  </si>
  <si>
    <t>FT140-43</t>
    <phoneticPr fontId="1" type="noConversion"/>
  </si>
  <si>
    <t>5~500MHz</t>
    <phoneticPr fontId="1" type="noConversion"/>
  </si>
  <si>
    <t>FT82-43</t>
    <phoneticPr fontId="1" type="noConversion"/>
  </si>
  <si>
    <t>T106-6</t>
    <phoneticPr fontId="1" type="noConversion"/>
  </si>
  <si>
    <t>3MHz ~ 40MHz</t>
    <phoneticPr fontId="1" type="noConversion"/>
  </si>
  <si>
    <t>T106-2</t>
    <phoneticPr fontId="1" type="noConversion"/>
  </si>
  <si>
    <t>250KHz ~ 10MHz</t>
    <phoneticPr fontId="1" type="noConversion"/>
  </si>
  <si>
    <t>T50-6</t>
    <phoneticPr fontId="1" type="noConversion"/>
  </si>
  <si>
    <t>PCB</t>
    <phoneticPr fontId="1" type="noConversion"/>
  </si>
  <si>
    <t>Ref</t>
    <phoneticPr fontId="1" type="noConversion"/>
  </si>
  <si>
    <t>RF</t>
    <phoneticPr fontId="1" type="noConversion"/>
  </si>
  <si>
    <t>L6</t>
    <phoneticPr fontId="1" type="noConversion"/>
  </si>
  <si>
    <t>Core</t>
    <phoneticPr fontId="1" type="noConversion"/>
  </si>
  <si>
    <t>L4,L5</t>
    <phoneticPr fontId="1" type="noConversion"/>
  </si>
  <si>
    <t>측정기가 기본적으로 0.3uH를 표시함, offset 감안하면 0.25uH로 유추 가능함</t>
    <phoneticPr fontId="1" type="noConversion"/>
  </si>
  <si>
    <r>
      <t>Wire[</t>
    </r>
    <r>
      <rPr>
        <b/>
        <sz val="11"/>
        <color theme="1"/>
        <rFont val="맑은 고딕"/>
        <family val="3"/>
        <charset val="129"/>
      </rPr>
      <t>Φ]</t>
    </r>
    <phoneticPr fontId="1" type="noConversion"/>
  </si>
  <si>
    <t>L7,L8,L9</t>
    <phoneticPr fontId="1" type="noConversion"/>
  </si>
  <si>
    <t>Coupler</t>
    <phoneticPr fontId="1" type="noConversion"/>
  </si>
  <si>
    <t>DELTA</t>
    <phoneticPr fontId="1" type="noConversion"/>
  </si>
  <si>
    <t>PN</t>
    <phoneticPr fontId="1" type="noConversion"/>
  </si>
  <si>
    <t>Vendor</t>
    <phoneticPr fontId="1" type="noConversion"/>
  </si>
  <si>
    <t>PRM</t>
    <phoneticPr fontId="1" type="noConversion"/>
  </si>
  <si>
    <t>V</t>
    <phoneticPr fontId="1" type="noConversion"/>
  </si>
  <si>
    <t>I</t>
    <phoneticPr fontId="1" type="noConversion"/>
  </si>
  <si>
    <t>12VDC</t>
    <phoneticPr fontId="1" type="noConversion"/>
  </si>
  <si>
    <t>CFM</t>
    <phoneticPr fontId="1" type="noConversion"/>
  </si>
  <si>
    <t>mmH2O</t>
    <phoneticPr fontId="1" type="noConversion"/>
  </si>
  <si>
    <t>Noise[dBA]</t>
    <phoneticPr fontId="1" type="noConversion"/>
  </si>
  <si>
    <t>AFB0912SH-A</t>
    <phoneticPr fontId="1" type="noConversion"/>
  </si>
  <si>
    <t>AFB0912VHD-F00</t>
    <phoneticPr fontId="1" type="noConversion"/>
  </si>
  <si>
    <t>Size</t>
    <phoneticPr fontId="1" type="noConversion"/>
  </si>
  <si>
    <t>92x92x20</t>
    <phoneticPr fontId="1" type="noConversion"/>
  </si>
  <si>
    <t>92x92x25.4</t>
    <phoneticPr fontId="1" type="noConversion"/>
  </si>
  <si>
    <t>#05</t>
    <phoneticPr fontId="1" type="noConversion"/>
  </si>
  <si>
    <t>POWER</t>
    <phoneticPr fontId="1" type="noConversion"/>
  </si>
  <si>
    <t>T1_OUT-</t>
    <phoneticPr fontId="1" type="noConversion"/>
  </si>
  <si>
    <t>T1_OUT+</t>
    <phoneticPr fontId="1" type="noConversion"/>
  </si>
  <si>
    <t>VIN</t>
    <phoneticPr fontId="1" type="noConversion"/>
  </si>
  <si>
    <t>VR</t>
    <phoneticPr fontId="1" type="noConversion"/>
  </si>
  <si>
    <t>R7</t>
    <phoneticPr fontId="1" type="noConversion"/>
  </si>
  <si>
    <t>Vbias</t>
    <phoneticPr fontId="1" type="noConversion"/>
  </si>
  <si>
    <t>R25</t>
    <phoneticPr fontId="1" type="noConversion"/>
  </si>
  <si>
    <t>Ibias</t>
    <phoneticPr fontId="1" type="noConversion"/>
  </si>
  <si>
    <t>Vbias</t>
    <phoneticPr fontId="1" type="noConversion"/>
  </si>
  <si>
    <t>RF PCB 동작하지 않음</t>
    <phoneticPr fontId="1" type="noConversion"/>
  </si>
  <si>
    <t>FET input까지는 문제 없지만, 출력이 20mV로 낮음</t>
    <phoneticPr fontId="1" type="noConversion"/>
  </si>
  <si>
    <t>전류도 0.1A 정도 흐름</t>
    <phoneticPr fontId="1" type="noConversion"/>
  </si>
  <si>
    <t>Bias를 9V까지 올려도 마찬가지임</t>
    <phoneticPr fontId="1" type="noConversion"/>
  </si>
  <si>
    <t>=&gt; TX2의 2pin 48V bias가 납땜이 안되어 있었음</t>
    <phoneticPr fontId="1" type="noConversion"/>
  </si>
  <si>
    <t>RFO</t>
    <phoneticPr fontId="1" type="noConversion"/>
  </si>
  <si>
    <t>Vpp</t>
    <phoneticPr fontId="1" type="noConversion"/>
  </si>
  <si>
    <t>Vrms</t>
    <phoneticPr fontId="1" type="noConversion"/>
  </si>
  <si>
    <t>P</t>
    <phoneticPr fontId="1" type="noConversion"/>
  </si>
  <si>
    <t>Load</t>
    <phoneticPr fontId="1" type="noConversion"/>
  </si>
  <si>
    <t>buck</t>
    <phoneticPr fontId="1" type="noConversion"/>
  </si>
  <si>
    <t>duty</t>
    <phoneticPr fontId="1" type="noConversion"/>
  </si>
  <si>
    <t>Vcc</t>
    <phoneticPr fontId="1" type="noConversion"/>
  </si>
  <si>
    <t>Icc</t>
    <phoneticPr fontId="1" type="noConversion"/>
  </si>
  <si>
    <t>NC</t>
    <phoneticPr fontId="1" type="noConversion"/>
  </si>
  <si>
    <t>Buck</t>
    <phoneticPr fontId="1" type="noConversion"/>
  </si>
  <si>
    <t>RF PCB에 SIGEN 직접 연결</t>
    <phoneticPr fontId="1" type="noConversion"/>
  </si>
  <si>
    <t>RF-800</t>
    <phoneticPr fontId="1" type="noConversion"/>
  </si>
  <si>
    <t>TX1</t>
    <phoneticPr fontId="1" type="noConversion"/>
  </si>
  <si>
    <t>Vbias[V]</t>
    <phoneticPr fontId="1" type="noConversion"/>
  </si>
  <si>
    <t>Icc[A]</t>
    <phoneticPr fontId="1" type="noConversion"/>
  </si>
  <si>
    <t>Vcc[V]</t>
    <phoneticPr fontId="1" type="noConversion"/>
  </si>
  <si>
    <t>Vpp[V]</t>
    <phoneticPr fontId="1" type="noConversion"/>
  </si>
  <si>
    <t>Vrms[V]</t>
    <phoneticPr fontId="1" type="noConversion"/>
  </si>
  <si>
    <t>P[W]</t>
    <phoneticPr fontId="1" type="noConversion"/>
  </si>
  <si>
    <t>eff[%]</t>
    <phoneticPr fontId="1" type="noConversion"/>
  </si>
  <si>
    <t>T1_OUT-</t>
    <phoneticPr fontId="1" type="noConversion"/>
  </si>
  <si>
    <t>[Vpp]</t>
    <phoneticPr fontId="1" type="noConversion"/>
  </si>
  <si>
    <t>RFIN Vpp가 낮아 효율이 안나오는 것으로 보임</t>
    <phoneticPr fontId="1" type="noConversion"/>
  </si>
  <si>
    <t>SMPS</t>
    <phoneticPr fontId="1" type="noConversion"/>
  </si>
  <si>
    <t>W</t>
    <phoneticPr fontId="1" type="noConversion"/>
  </si>
  <si>
    <t>V</t>
    <phoneticPr fontId="1" type="noConversion"/>
  </si>
  <si>
    <t>A</t>
    <phoneticPr fontId="1" type="noConversion"/>
  </si>
  <si>
    <t>Current Limit = 10A</t>
    <phoneticPr fontId="1" type="noConversion"/>
  </si>
  <si>
    <t>CPU</t>
    <phoneticPr fontId="1" type="noConversion"/>
  </si>
  <si>
    <t>SIGEN</t>
    <phoneticPr fontId="1" type="noConversion"/>
  </si>
  <si>
    <t>IOUT_B1</t>
    <phoneticPr fontId="1" type="noConversion"/>
  </si>
  <si>
    <t>IOUT_B2</t>
    <phoneticPr fontId="1" type="noConversion"/>
  </si>
  <si>
    <t>R24</t>
    <phoneticPr fontId="1" type="noConversion"/>
  </si>
  <si>
    <t>NC</t>
    <phoneticPr fontId="1" type="noConversion"/>
  </si>
  <si>
    <t>IOUTB</t>
    <phoneticPr fontId="1" type="noConversion"/>
  </si>
  <si>
    <t>POWER</t>
    <phoneticPr fontId="1" type="noConversion"/>
  </si>
  <si>
    <t>RFIN</t>
    <phoneticPr fontId="1" type="noConversion"/>
  </si>
  <si>
    <t>R6</t>
    <phoneticPr fontId="1" type="noConversion"/>
  </si>
  <si>
    <t>10K</t>
    <phoneticPr fontId="1" type="noConversion"/>
  </si>
  <si>
    <t>RFIN2</t>
    <phoneticPr fontId="1" type="noConversion"/>
  </si>
  <si>
    <t>RF</t>
    <phoneticPr fontId="1" type="noConversion"/>
  </si>
  <si>
    <t>R22</t>
    <phoneticPr fontId="1" type="noConversion"/>
  </si>
  <si>
    <t>T1_OUT-</t>
    <phoneticPr fontId="1" type="noConversion"/>
  </si>
  <si>
    <t>T1_OUT+</t>
    <phoneticPr fontId="1" type="noConversion"/>
  </si>
  <si>
    <t>Q2 IN</t>
    <phoneticPr fontId="1" type="noConversion"/>
  </si>
  <si>
    <t>Q2 OUT</t>
    <phoneticPr fontId="1" type="noConversion"/>
  </si>
  <si>
    <t>Load</t>
    <phoneticPr fontId="1" type="noConversion"/>
  </si>
  <si>
    <t>RFO</t>
    <phoneticPr fontId="1" type="noConversion"/>
  </si>
  <si>
    <t>Vpp</t>
    <phoneticPr fontId="1" type="noConversion"/>
  </si>
  <si>
    <t>Vrms</t>
    <phoneticPr fontId="1" type="noConversion"/>
  </si>
  <si>
    <t>P</t>
    <phoneticPr fontId="1" type="noConversion"/>
  </si>
  <si>
    <t>RF-1000</t>
    <phoneticPr fontId="1" type="noConversion"/>
  </si>
  <si>
    <t>TX2 - 1차</t>
    <phoneticPr fontId="1" type="noConversion"/>
  </si>
  <si>
    <t>TX2 - 2차</t>
    <phoneticPr fontId="1" type="noConversion"/>
  </si>
  <si>
    <t>1/2</t>
    <phoneticPr fontId="1" type="noConversion"/>
  </si>
  <si>
    <r>
      <t>Z[</t>
    </r>
    <r>
      <rPr>
        <b/>
        <sz val="11"/>
        <color theme="1"/>
        <rFont val="맑은 고딕"/>
        <family val="3"/>
        <charset val="129"/>
      </rPr>
      <t>Ω]</t>
    </r>
    <phoneticPr fontId="1" type="noConversion"/>
  </si>
  <si>
    <t>L6,L7,L8</t>
    <phoneticPr fontId="1" type="noConversion"/>
  </si>
  <si>
    <r>
      <t>AIR - 20</t>
    </r>
    <r>
      <rPr>
        <sz val="11"/>
        <color theme="1"/>
        <rFont val="맑은 고딕"/>
        <family val="3"/>
        <charset val="129"/>
      </rPr>
      <t>Φ</t>
    </r>
    <phoneticPr fontId="1" type="noConversion"/>
  </si>
  <si>
    <t>NC</t>
    <phoneticPr fontId="1" type="noConversion"/>
  </si>
  <si>
    <t>turn ratio 1:25의 동일한 Transformer 2ea 사용</t>
    <phoneticPr fontId="1" type="noConversion"/>
  </si>
  <si>
    <t>Irms[A]</t>
    <phoneticPr fontId="1" type="noConversion"/>
  </si>
  <si>
    <t>Long-wave SWR meter</t>
    <phoneticPr fontId="1" type="noConversion"/>
  </si>
  <si>
    <t>Circuit</t>
    <phoneticPr fontId="1" type="noConversion"/>
  </si>
  <si>
    <t>coupling 1:25</t>
    <phoneticPr fontId="1" type="noConversion"/>
  </si>
  <si>
    <t>FT114-43</t>
    <phoneticPr fontId="1" type="noConversion"/>
  </si>
  <si>
    <t>FT50-43</t>
    <phoneticPr fontId="1" type="noConversion"/>
  </si>
  <si>
    <t>Core OD</t>
    <phoneticPr fontId="1" type="noConversion"/>
  </si>
  <si>
    <t>mm</t>
    <phoneticPr fontId="1" type="noConversion"/>
  </si>
  <si>
    <t>uH for 25T</t>
    <phoneticPr fontId="1" type="noConversion"/>
  </si>
  <si>
    <t>uH</t>
    <phoneticPr fontId="1" type="noConversion"/>
  </si>
  <si>
    <t>Start frequency</t>
    <phoneticPr fontId="1" type="noConversion"/>
  </si>
  <si>
    <t>MHz</t>
    <phoneticPr fontId="1" type="noConversion"/>
  </si>
  <si>
    <t>2차측 impedance</t>
    <phoneticPr fontId="1" type="noConversion"/>
  </si>
  <si>
    <t>Ω</t>
    <phoneticPr fontId="1" type="noConversion"/>
  </si>
  <si>
    <t>2차측 권선 길이</t>
    <phoneticPr fontId="1" type="noConversion"/>
  </si>
  <si>
    <t>m</t>
    <phoneticPr fontId="1" type="noConversion"/>
  </si>
  <si>
    <r>
      <t>100</t>
    </r>
    <r>
      <rPr>
        <sz val="11"/>
        <color theme="1"/>
        <rFont val="맑은 고딕"/>
        <family val="3"/>
        <charset val="129"/>
      </rPr>
      <t>Ω</t>
    </r>
    <r>
      <rPr>
        <sz val="11"/>
        <color theme="1"/>
        <rFont val="맑은 고딕"/>
        <family val="2"/>
      </rPr>
      <t xml:space="preserve"> 2W 두개를 사용하여 50Ω 4W 설계</t>
    </r>
    <phoneticPr fontId="1" type="noConversion"/>
  </si>
  <si>
    <t>1) Transformer</t>
    <phoneticPr fontId="1" type="noConversion"/>
  </si>
  <si>
    <t>2차측 impedance가 Load impedance의 10배의 impedance를 가져야 한다.</t>
    <phoneticPr fontId="1" type="noConversion"/>
  </si>
  <si>
    <t>Ipp[A]</t>
    <phoneticPr fontId="1" type="noConversion"/>
  </si>
  <si>
    <t>RF-INPUT</t>
    <phoneticPr fontId="1" type="noConversion"/>
  </si>
  <si>
    <t>UNIT</t>
    <phoneticPr fontId="1" type="noConversion"/>
  </si>
  <si>
    <t>2차측 권선의 길이가 가장 짧은 파장의 1/10 이하 이어야 한다.</t>
    <phoneticPr fontId="1" type="noConversion"/>
  </si>
  <si>
    <t>End frequency</t>
    <phoneticPr fontId="1" type="noConversion"/>
  </si>
  <si>
    <t>파장</t>
    <phoneticPr fontId="1" type="noConversion"/>
  </si>
  <si>
    <t>2차측 권선 최대 길이</t>
    <phoneticPr fontId="1" type="noConversion"/>
  </si>
  <si>
    <t>R1</t>
    <phoneticPr fontId="1" type="noConversion"/>
  </si>
  <si>
    <t>KΩ</t>
    <phoneticPr fontId="1" type="noConversion"/>
  </si>
  <si>
    <t>R2</t>
    <phoneticPr fontId="1" type="noConversion"/>
  </si>
  <si>
    <t>2) rectified circuit</t>
    <phoneticPr fontId="1" type="noConversion"/>
  </si>
  <si>
    <t>1차</t>
    <phoneticPr fontId="1" type="noConversion"/>
  </si>
  <si>
    <t>2차</t>
    <phoneticPr fontId="1" type="noConversion"/>
  </si>
  <si>
    <t>R1[KΩ]</t>
    <phoneticPr fontId="1" type="noConversion"/>
  </si>
  <si>
    <t>R2[KΩ]</t>
  </si>
  <si>
    <t>R2[KΩ]</t>
    <phoneticPr fontId="1" type="noConversion"/>
  </si>
  <si>
    <t>VT Turn ratio</t>
    <phoneticPr fontId="1" type="noConversion"/>
  </si>
  <si>
    <t>CT Turn ratio</t>
    <phoneticPr fontId="1" type="noConversion"/>
  </si>
  <si>
    <t>VT - 1차측의 전류는 Load Z와 Trans Z로 계산해야 함.(Transformer 공식 사용하면 안됨)</t>
    <phoneticPr fontId="1" type="noConversion"/>
  </si>
  <si>
    <t>CT  - 1차측의 전압은 Load Z와 Trans Z로 계산해야 함.(Transformer 공식 사용하면 안됨)</t>
    <phoneticPr fontId="1" type="noConversion"/>
  </si>
  <si>
    <t>RC Filter 설계</t>
    <phoneticPr fontId="1" type="noConversion"/>
  </si>
  <si>
    <t>R</t>
    <phoneticPr fontId="1" type="noConversion"/>
  </si>
  <si>
    <t>C</t>
    <phoneticPr fontId="1" type="noConversion"/>
  </si>
  <si>
    <t>pF</t>
    <phoneticPr fontId="1" type="noConversion"/>
  </si>
  <si>
    <t>Fc</t>
    <phoneticPr fontId="1" type="noConversion"/>
  </si>
  <si>
    <t>KHz</t>
    <phoneticPr fontId="1" type="noConversion"/>
  </si>
  <si>
    <t>τ</t>
    <phoneticPr fontId="1" type="noConversion"/>
  </si>
  <si>
    <t>usec</t>
    <phoneticPr fontId="1" type="noConversion"/>
  </si>
  <si>
    <t>Bypass Cap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</si>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</sst>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9" formatCode="0.000"/>
  </numFmts>
  <fonts count="10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</font>
    <font>
      <b/>
      <sz val="1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9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2" fillId="0" borderId="2" xfId="0" applyFont="1" applyBorder="1"/>
    <xf numFmtId="0" fontId="0" fillId="3" borderId="3" xfId="0" applyFill="1" applyBorder="1"/>
    <xf numFmtId="0" fontId="0" fillId="0" borderId="3" xfId="0" applyFill="1" applyBorder="1"/>
    <xf numFmtId="0" fontId="0" fillId="0" borderId="0" xfId="0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" xfId="0" applyFill="1" applyBorder="1"/>
    <xf numFmtId="0" fontId="0" fillId="3" borderId="1" xfId="0" applyFill="1" applyBorder="1"/>
    <xf numFmtId="0" fontId="2" fillId="3" borderId="1" xfId="0" applyFont="1" applyFill="1" applyBorder="1"/>
    <xf numFmtId="176" fontId="0" fillId="3" borderId="1" xfId="0" applyNumberFormat="1" applyFill="1" applyBorder="1"/>
    <xf numFmtId="0" fontId="3" fillId="0" borderId="1" xfId="0" applyFont="1" applyFill="1" applyBorder="1"/>
    <xf numFmtId="0" fontId="2" fillId="0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2" fontId="0" fillId="0" borderId="4" xfId="0" applyNumberFormat="1" applyBorder="1"/>
    <xf numFmtId="0" fontId="2" fillId="0" borderId="5" xfId="0" applyFont="1" applyBorder="1"/>
    <xf numFmtId="0" fontId="0" fillId="3" borderId="5" xfId="0" applyFill="1" applyBorder="1"/>
    <xf numFmtId="0" fontId="3" fillId="3" borderId="1" xfId="0" applyFont="1" applyFill="1" applyBorder="1"/>
    <xf numFmtId="176" fontId="3" fillId="3" borderId="1" xfId="0" applyNumberFormat="1" applyFont="1" applyFill="1" applyBorder="1"/>
    <xf numFmtId="2" fontId="0" fillId="3" borderId="6" xfId="0" applyNumberFormat="1" applyFill="1" applyBorder="1"/>
    <xf numFmtId="0" fontId="2" fillId="4" borderId="3" xfId="0" applyFont="1" applyFill="1" applyBorder="1"/>
    <xf numFmtId="0" fontId="0" fillId="4" borderId="3" xfId="0" applyFill="1" applyBorder="1"/>
    <xf numFmtId="0" fontId="2" fillId="4" borderId="1" xfId="0" applyFont="1" applyFill="1" applyBorder="1"/>
    <xf numFmtId="0" fontId="0" fillId="4" borderId="1" xfId="0" applyFill="1" applyBorder="1"/>
    <xf numFmtId="176" fontId="0" fillId="4" borderId="1" xfId="0" applyNumberFormat="1" applyFill="1" applyBorder="1"/>
    <xf numFmtId="176" fontId="3" fillId="4" borderId="1" xfId="0" applyNumberFormat="1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176" fontId="5" fillId="2" borderId="1" xfId="0" applyNumberFormat="1" applyFont="1" applyFill="1" applyBorder="1"/>
    <xf numFmtId="0" fontId="0" fillId="2" borderId="6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0" fillId="3" borderId="2" xfId="0" applyFill="1" applyBorder="1"/>
    <xf numFmtId="176" fontId="3" fillId="4" borderId="3" xfId="0" applyNumberFormat="1" applyFont="1" applyFill="1" applyBorder="1"/>
    <xf numFmtId="0" fontId="2" fillId="0" borderId="15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5" fillId="2" borderId="3" xfId="0" applyFont="1" applyFill="1" applyBorder="1"/>
    <xf numFmtId="2" fontId="0" fillId="0" borderId="3" xfId="0" applyNumberFormat="1" applyBorder="1"/>
    <xf numFmtId="0" fontId="2" fillId="0" borderId="24" xfId="0" applyFont="1" applyBorder="1" applyAlignment="1">
      <alignment horizontal="center"/>
    </xf>
    <xf numFmtId="0" fontId="2" fillId="4" borderId="17" xfId="0" applyFont="1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2" fillId="0" borderId="26" xfId="0" applyFont="1" applyBorder="1" applyAlignment="1">
      <alignment horizontal="center"/>
    </xf>
    <xf numFmtId="0" fontId="0" fillId="0" borderId="18" xfId="0" applyBorder="1"/>
    <xf numFmtId="0" fontId="0" fillId="0" borderId="26" xfId="0" applyBorder="1"/>
    <xf numFmtId="0" fontId="2" fillId="0" borderId="7" xfId="0" applyFont="1" applyFill="1" applyBorder="1" applyAlignment="1">
      <alignment horizontal="center"/>
    </xf>
    <xf numFmtId="0" fontId="0" fillId="4" borderId="2" xfId="0" applyFill="1" applyBorder="1"/>
    <xf numFmtId="2" fontId="0" fillId="0" borderId="17" xfId="0" applyNumberFormat="1" applyBorder="1"/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10" xfId="0" applyBorder="1"/>
    <xf numFmtId="0" fontId="0" fillId="0" borderId="33" xfId="0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4" borderId="8" xfId="0" applyFill="1" applyBorder="1"/>
    <xf numFmtId="0" fontId="2" fillId="3" borderId="9" xfId="0" applyFont="1" applyFill="1" applyBorder="1" applyAlignment="1">
      <alignment horizontal="center"/>
    </xf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2" fillId="3" borderId="8" xfId="0" applyFont="1" applyFill="1" applyBorder="1" applyAlignment="1">
      <alignment horizontal="center"/>
    </xf>
    <xf numFmtId="0" fontId="0" fillId="3" borderId="25" xfId="0" applyFill="1" applyBorder="1"/>
    <xf numFmtId="0" fontId="0" fillId="3" borderId="26" xfId="0" applyFill="1" applyBorder="1"/>
    <xf numFmtId="0" fontId="0" fillId="3" borderId="8" xfId="0" applyFill="1" applyBorder="1"/>
    <xf numFmtId="0" fontId="2" fillId="3" borderId="0" xfId="0" applyFon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0" xfId="0" applyFill="1"/>
    <xf numFmtId="0" fontId="0" fillId="3" borderId="28" xfId="0" applyFill="1" applyBorder="1" applyAlignment="1">
      <alignment horizontal="center"/>
    </xf>
    <xf numFmtId="0" fontId="0" fillId="0" borderId="0" xfId="0" quotePrefix="1"/>
    <xf numFmtId="176" fontId="0" fillId="0" borderId="0" xfId="0" applyNumberFormat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4" borderId="37" xfId="0" applyFill="1" applyBorder="1"/>
    <xf numFmtId="0" fontId="0" fillId="3" borderId="15" xfId="0" applyFill="1" applyBorder="1"/>
    <xf numFmtId="0" fontId="0" fillId="0" borderId="38" xfId="0" applyBorder="1"/>
    <xf numFmtId="0" fontId="0" fillId="3" borderId="38" xfId="0" applyFill="1" applyBorder="1"/>
    <xf numFmtId="0" fontId="0" fillId="3" borderId="37" xfId="0" applyFill="1" applyBorder="1"/>
    <xf numFmtId="0" fontId="0" fillId="3" borderId="39" xfId="0" applyFill="1" applyBorder="1" applyAlignment="1">
      <alignment horizontal="center"/>
    </xf>
    <xf numFmtId="176" fontId="0" fillId="0" borderId="1" xfId="0" applyNumberFormat="1" applyBorder="1"/>
    <xf numFmtId="0" fontId="0" fillId="5" borderId="1" xfId="0" applyFill="1" applyBorder="1"/>
    <xf numFmtId="176" fontId="0" fillId="5" borderId="1" xfId="0" applyNumberFormat="1" applyFill="1" applyBorder="1"/>
    <xf numFmtId="176" fontId="0" fillId="0" borderId="20" xfId="0" applyNumberFormat="1" applyBorder="1"/>
    <xf numFmtId="0" fontId="2" fillId="0" borderId="7" xfId="0" applyFont="1" applyBorder="1" applyAlignment="1">
      <alignment horizontal="center"/>
    </xf>
    <xf numFmtId="176" fontId="0" fillId="0" borderId="6" xfId="0" applyNumberFormat="1" applyBorder="1"/>
    <xf numFmtId="176" fontId="0" fillId="5" borderId="6" xfId="0" applyNumberFormat="1" applyFill="1" applyBorder="1"/>
    <xf numFmtId="0" fontId="3" fillId="5" borderId="8" xfId="0" applyFont="1" applyFill="1" applyBorder="1"/>
    <xf numFmtId="176" fontId="3" fillId="5" borderId="8" xfId="0" applyNumberFormat="1" applyFont="1" applyFill="1" applyBorder="1"/>
    <xf numFmtId="176" fontId="3" fillId="5" borderId="9" xfId="0" applyNumberFormat="1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9" xfId="0" applyBorder="1"/>
    <xf numFmtId="176" fontId="0" fillId="0" borderId="21" xfId="0" applyNumberFormat="1" applyBorder="1"/>
    <xf numFmtId="176" fontId="3" fillId="4" borderId="8" xfId="0" applyNumberFormat="1" applyFont="1" applyFill="1" applyBorder="1"/>
    <xf numFmtId="0" fontId="2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76" fontId="0" fillId="4" borderId="3" xfId="0" applyNumberFormat="1" applyFill="1" applyBorder="1"/>
    <xf numFmtId="176" fontId="0" fillId="4" borderId="4" xfId="0" applyNumberFormat="1" applyFill="1" applyBorder="1"/>
    <xf numFmtId="176" fontId="0" fillId="4" borderId="6" xfId="0" applyNumberFormat="1" applyFill="1" applyBorder="1"/>
    <xf numFmtId="176" fontId="0" fillId="4" borderId="8" xfId="0" applyNumberFormat="1" applyFill="1" applyBorder="1"/>
    <xf numFmtId="176" fontId="0" fillId="4" borderId="9" xfId="0" applyNumberFormat="1" applyFill="1" applyBorder="1"/>
    <xf numFmtId="176" fontId="3" fillId="4" borderId="20" xfId="0" applyNumberFormat="1" applyFont="1" applyFill="1" applyBorder="1"/>
    <xf numFmtId="176" fontId="0" fillId="4" borderId="20" xfId="0" applyNumberFormat="1" applyFill="1" applyBorder="1"/>
    <xf numFmtId="176" fontId="0" fillId="4" borderId="21" xfId="0" applyNumberFormat="1" applyFill="1" applyBorder="1"/>
    <xf numFmtId="176" fontId="3" fillId="4" borderId="16" xfId="0" applyNumberFormat="1" applyFont="1" applyFill="1" applyBorder="1"/>
    <xf numFmtId="0" fontId="2" fillId="6" borderId="10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1" fontId="0" fillId="0" borderId="6" xfId="0" applyNumberFormat="1" applyBorder="1"/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/>
    </xf>
    <xf numFmtId="176" fontId="0" fillId="0" borderId="3" xfId="0" applyNumberFormat="1" applyBorder="1"/>
    <xf numFmtId="2" fontId="0" fillId="0" borderId="2" xfId="0" applyNumberFormat="1" applyBorder="1"/>
    <xf numFmtId="2" fontId="0" fillId="0" borderId="5" xfId="0" applyNumberFormat="1" applyBorder="1"/>
    <xf numFmtId="2" fontId="0" fillId="0" borderId="1" xfId="0" applyNumberFormat="1" applyBorder="1"/>
    <xf numFmtId="176" fontId="0" fillId="0" borderId="8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21" xfId="0" applyBorder="1"/>
    <xf numFmtId="176" fontId="0" fillId="0" borderId="5" xfId="0" applyNumberFormat="1" applyBorder="1"/>
    <xf numFmtId="0" fontId="7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7" fillId="0" borderId="9" xfId="0" applyFont="1" applyBorder="1"/>
    <xf numFmtId="0" fontId="2" fillId="0" borderId="1" xfId="0" applyFont="1" applyBorder="1" applyAlignment="1">
      <alignment horizontal="center"/>
    </xf>
    <xf numFmtId="176" fontId="0" fillId="0" borderId="4" xfId="0" applyNumberFormat="1" applyBorder="1"/>
    <xf numFmtId="176" fontId="0" fillId="0" borderId="9" xfId="0" applyNumberFormat="1" applyBorder="1"/>
    <xf numFmtId="176" fontId="0" fillId="3" borderId="6" xfId="0" applyNumberFormat="1" applyFill="1" applyBorder="1"/>
    <xf numFmtId="2" fontId="0" fillId="3" borderId="5" xfId="0" applyNumberFormat="1" applyFill="1" applyBorder="1"/>
    <xf numFmtId="2" fontId="0" fillId="3" borderId="1" xfId="0" applyNumberFormat="1" applyFill="1" applyBorder="1"/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6" borderId="35" xfId="0" applyFont="1" applyFill="1" applyBorder="1" applyAlignment="1">
      <alignment horizontal="center"/>
    </xf>
    <xf numFmtId="0" fontId="2" fillId="6" borderId="37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0" fillId="3" borderId="20" xfId="0" applyFill="1" applyBorder="1"/>
    <xf numFmtId="2" fontId="0" fillId="3" borderId="8" xfId="0" applyNumberFormat="1" applyFill="1" applyBorder="1"/>
    <xf numFmtId="0" fontId="2" fillId="0" borderId="8" xfId="0" applyFont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20" fontId="2" fillId="6" borderId="1" xfId="0" quotePrefix="1" applyNumberFormat="1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0" fillId="0" borderId="2" xfId="0" applyFill="1" applyBorder="1"/>
    <xf numFmtId="176" fontId="0" fillId="0" borderId="3" xfId="0" applyNumberFormat="1" applyFill="1" applyBorder="1"/>
    <xf numFmtId="176" fontId="0" fillId="0" borderId="4" xfId="0" applyNumberFormat="1" applyFill="1" applyBorder="1"/>
    <xf numFmtId="2" fontId="0" fillId="0" borderId="3" xfId="0" applyNumberFormat="1" applyFill="1" applyBorder="1"/>
    <xf numFmtId="179" fontId="0" fillId="0" borderId="3" xfId="0" applyNumberFormat="1" applyFill="1" applyBorder="1"/>
    <xf numFmtId="179" fontId="0" fillId="0" borderId="4" xfId="0" applyNumberFormat="1" applyFill="1" applyBorder="1"/>
    <xf numFmtId="0" fontId="0" fillId="0" borderId="5" xfId="0" applyFill="1" applyBorder="1"/>
    <xf numFmtId="176" fontId="0" fillId="0" borderId="1" xfId="0" applyNumberFormat="1" applyFill="1" applyBorder="1"/>
    <xf numFmtId="176" fontId="0" fillId="0" borderId="6" xfId="0" applyNumberFormat="1" applyFill="1" applyBorder="1"/>
    <xf numFmtId="2" fontId="0" fillId="0" borderId="1" xfId="0" applyNumberFormat="1" applyFill="1" applyBorder="1"/>
    <xf numFmtId="179" fontId="0" fillId="0" borderId="1" xfId="0" applyNumberFormat="1" applyFill="1" applyBorder="1"/>
    <xf numFmtId="179" fontId="0" fillId="0" borderId="6" xfId="0" applyNumberFormat="1" applyFill="1" applyBorder="1"/>
    <xf numFmtId="0" fontId="0" fillId="0" borderId="7" xfId="0" applyFill="1" applyBorder="1"/>
    <xf numFmtId="176" fontId="0" fillId="0" borderId="8" xfId="0" applyNumberFormat="1" applyFill="1" applyBorder="1"/>
    <xf numFmtId="176" fontId="0" fillId="0" borderId="9" xfId="0" applyNumberFormat="1" applyFill="1" applyBorder="1"/>
    <xf numFmtId="2" fontId="0" fillId="0" borderId="8" xfId="0" applyNumberFormat="1" applyFill="1" applyBorder="1"/>
    <xf numFmtId="179" fontId="0" fillId="0" borderId="8" xfId="0" applyNumberFormat="1" applyFill="1" applyBorder="1"/>
    <xf numFmtId="179" fontId="0" fillId="0" borderId="9" xfId="0" applyNumberFormat="1" applyFill="1" applyBorder="1"/>
    <xf numFmtId="0" fontId="2" fillId="6" borderId="17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176" fontId="0" fillId="0" borderId="20" xfId="0" applyNumberFormat="1" applyFill="1" applyBorder="1"/>
    <xf numFmtId="0" fontId="2" fillId="0" borderId="1" xfId="0" applyFont="1" applyFill="1" applyBorder="1"/>
    <xf numFmtId="0" fontId="2" fillId="0" borderId="6" xfId="0" applyFont="1" applyFill="1" applyBorder="1" applyAlignment="1">
      <alignment horizontal="center"/>
    </xf>
    <xf numFmtId="2" fontId="0" fillId="0" borderId="19" xfId="0" applyNumberFormat="1" applyFill="1" applyBorder="1"/>
    <xf numFmtId="2" fontId="0" fillId="0" borderId="5" xfId="0" applyNumberFormat="1" applyFill="1" applyBorder="1"/>
    <xf numFmtId="2" fontId="0" fillId="0" borderId="7" xfId="0" applyNumberFormat="1" applyFill="1" applyBorder="1"/>
    <xf numFmtId="176" fontId="0" fillId="0" borderId="41" xfId="0" applyNumberFormat="1" applyFill="1" applyBorder="1"/>
    <xf numFmtId="0" fontId="2" fillId="0" borderId="23" xfId="0" applyFont="1" applyFill="1" applyBorder="1"/>
    <xf numFmtId="179" fontId="0" fillId="0" borderId="30" xfId="0" applyNumberFormat="1" applyFill="1" applyBorder="1"/>
    <xf numFmtId="179" fontId="0" fillId="0" borderId="23" xfId="0" applyNumberFormat="1" applyFill="1" applyBorder="1"/>
    <xf numFmtId="179" fontId="0" fillId="0" borderId="24" xfId="0" applyNumberFormat="1" applyFill="1" applyBorder="1"/>
    <xf numFmtId="0" fontId="2" fillId="6" borderId="38" xfId="0" applyFont="1" applyFill="1" applyBorder="1" applyAlignment="1">
      <alignment horizontal="center"/>
    </xf>
    <xf numFmtId="2" fontId="0" fillId="0" borderId="2" xfId="0" applyNumberFormat="1" applyFill="1" applyBorder="1"/>
    <xf numFmtId="2" fontId="0" fillId="0" borderId="42" xfId="0" applyNumberFormat="1" applyFill="1" applyBorder="1"/>
    <xf numFmtId="176" fontId="0" fillId="0" borderId="17" xfId="0" applyNumberFormat="1" applyFill="1" applyBorder="1"/>
    <xf numFmtId="176" fontId="0" fillId="0" borderId="23" xfId="0" applyNumberFormat="1" applyFill="1" applyBorder="1"/>
    <xf numFmtId="176" fontId="0" fillId="0" borderId="24" xfId="0" applyNumberFormat="1" applyFill="1" applyBorder="1"/>
    <xf numFmtId="0" fontId="2" fillId="6" borderId="36" xfId="0" applyFont="1" applyFill="1" applyBorder="1" applyAlignment="1">
      <alignment horizontal="center"/>
    </xf>
    <xf numFmtId="0" fontId="0" fillId="0" borderId="0" xfId="0" applyFill="1" applyBorder="1"/>
    <xf numFmtId="176" fontId="0" fillId="0" borderId="0" xfId="0" applyNumberFormat="1" applyFill="1" applyBorder="1"/>
    <xf numFmtId="2" fontId="0" fillId="0" borderId="0" xfId="0" applyNumberFormat="1" applyFill="1" applyBorder="1"/>
    <xf numFmtId="179" fontId="0" fillId="0" borderId="0" xfId="0" applyNumberFormat="1" applyFill="1" applyBorder="1"/>
    <xf numFmtId="0" fontId="6" fillId="0" borderId="0" xfId="0" applyFont="1" applyFill="1" applyBorder="1" applyAlignment="1">
      <alignment horizontal="left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4" fillId="6" borderId="40" xfId="0" applyFont="1" applyFill="1" applyBorder="1" applyAlignment="1">
      <alignment horizontal="center"/>
    </xf>
    <xf numFmtId="0" fontId="4" fillId="6" borderId="43" xfId="0" applyFont="1" applyFill="1" applyBorder="1" applyAlignment="1">
      <alignment horizontal="center"/>
    </xf>
    <xf numFmtId="0" fontId="9" fillId="6" borderId="44" xfId="0" applyFont="1" applyFill="1" applyBorder="1" applyAlignment="1">
      <alignment horizontal="center"/>
    </xf>
    <xf numFmtId="0" fontId="4" fillId="6" borderId="44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167640</xdr:colOff>
      <xdr:row>22</xdr:row>
      <xdr:rowOff>160020</xdr:rowOff>
    </xdr:from>
    <xdr:to>
      <xdr:col>11</xdr:col>
      <xdr:colOff>171226</xdr:colOff>
      <xdr:row>25</xdr:row>
      <xdr:rowOff>132677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C6F77A9-FEA9-45DA-87D2-086B17683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2540" y="5067300"/>
          <a:ext cx="1344706" cy="643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388620</xdr:colOff>
      <xdr:row>0</xdr:row>
      <xdr:rowOff>213360</xdr:rowOff>
    </xdr:from>
    <xdr:to>
      <xdr:col>22</xdr:col>
      <xdr:colOff>354817</xdr:colOff>
      <xdr:row>25</xdr:row>
      <xdr:rowOff>84717</xdr:rowOff>
    </xdr:to>
    <xdr:pic>
      <xdr:nvPicPr>
        <xdr:cNvPr id="3" name="그림 2" descr="SWR 브리지의 회로도">
          <a:extLst>
            <a:ext uri="{FF2B5EF4-FFF2-40B4-BE49-F238E27FC236}">
              <a16:creationId xmlns:a16="http://schemas.microsoft.com/office/drawing/2014/main" id="{81C3430D-C091-4C50-9B59-A1931072C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5760" y="213360"/>
          <a:ext cx="6001237" cy="54491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365760</xdr:colOff>
      <xdr:row>29</xdr:row>
      <xdr:rowOff>167640</xdr:rowOff>
    </xdr:from>
    <xdr:to>
      <xdr:col>21</xdr:col>
      <xdr:colOff>205740</xdr:colOff>
      <xdr:row>38</xdr:row>
      <xdr:rowOff>60960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BCAF82E-D8D6-45E0-8C46-F0F1020E5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5700" y="11094720"/>
          <a:ext cx="1851660" cy="1889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304800</xdr:colOff>
      <xdr:row>53</xdr:row>
      <xdr:rowOff>45720</xdr:rowOff>
    </xdr:from>
    <xdr:to>
      <xdr:col>16</xdr:col>
      <xdr:colOff>342900</xdr:colOff>
      <xdr:row>59</xdr:row>
      <xdr:rowOff>184938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15DCCD1A-57BD-4EFE-8971-DB6743437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11871960"/>
          <a:ext cx="4732020" cy="1480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15240</xdr:colOff>
      <xdr:row>53</xdr:row>
      <xdr:rowOff>53340</xdr:rowOff>
    </xdr:from>
    <xdr:to>
      <xdr:col>19</xdr:col>
      <xdr:colOff>449580</xdr:colOff>
      <xdr:row>56</xdr:row>
      <xdr:rowOff>67705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B13674B6-96A0-4841-A4CF-5F1D17BB2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4620" y="11879580"/>
          <a:ext cx="1775460" cy="677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X31"/>
  <sheetViews>
    <sheetView workbookViewId="0">
      <selection activeCell="Q22" sqref="Q22"/>
    </sheetView>
  </sheetViews>
  <sheetFormatPr defaultRowHeight="17.399999999999999"/>
  <cols>
    <col min="1" max="2" width="6.59765625" customWidth="1"/>
    <col min="3" max="4" width="9.19921875" customWidth="1"/>
    <col min="5" max="5" width="9.5" bestFit="1" customWidth="1"/>
    <col min="6" max="6" width="6.59765625" customWidth="1"/>
  </cols>
  <sheetData>
    <row r="3" spans="2:24" ht="18" thickBot="1">
      <c r="B3" s="1" t="s">
        <v>0</v>
      </c>
      <c r="C3" s="1"/>
      <c r="D3" s="1"/>
    </row>
    <row r="4" spans="2:24" s="15" customFormat="1">
      <c r="C4" s="42"/>
      <c r="D4" s="43"/>
      <c r="E4" s="43"/>
      <c r="F4" s="43"/>
      <c r="G4" s="43"/>
      <c r="H4" s="43"/>
      <c r="I4" s="43"/>
      <c r="J4" s="43"/>
      <c r="K4" s="43"/>
      <c r="L4" s="143" t="s">
        <v>4</v>
      </c>
      <c r="M4" s="143"/>
      <c r="N4" s="143" t="s">
        <v>10</v>
      </c>
      <c r="O4" s="143"/>
      <c r="P4" s="44"/>
    </row>
    <row r="5" spans="2:24" s="15" customFormat="1" ht="18" thickBot="1">
      <c r="C5" s="45"/>
      <c r="D5" s="24" t="s">
        <v>12</v>
      </c>
      <c r="E5" s="23" t="s">
        <v>7</v>
      </c>
      <c r="F5" s="24" t="s">
        <v>2</v>
      </c>
      <c r="G5" s="24" t="s">
        <v>3</v>
      </c>
      <c r="H5" s="24" t="s">
        <v>1</v>
      </c>
      <c r="I5" s="23" t="s">
        <v>5</v>
      </c>
      <c r="J5" s="23" t="s">
        <v>6</v>
      </c>
      <c r="K5" s="23" t="s">
        <v>9</v>
      </c>
      <c r="L5" s="23" t="s">
        <v>14</v>
      </c>
      <c r="M5" s="23" t="s">
        <v>15</v>
      </c>
      <c r="N5" s="23" t="s">
        <v>14</v>
      </c>
      <c r="O5" s="23" t="s">
        <v>15</v>
      </c>
      <c r="P5" s="25" t="s">
        <v>16</v>
      </c>
    </row>
    <row r="6" spans="2:24">
      <c r="C6" s="12" t="s">
        <v>11</v>
      </c>
      <c r="D6" s="32"/>
      <c r="E6" s="33">
        <v>0.6</v>
      </c>
      <c r="F6" s="14">
        <v>470</v>
      </c>
      <c r="G6" s="14">
        <v>47</v>
      </c>
      <c r="H6" s="33">
        <f t="shared" ref="H6:H16" si="0">1+F6/G6</f>
        <v>11</v>
      </c>
      <c r="I6" s="14">
        <v>51</v>
      </c>
      <c r="J6" s="14" t="s">
        <v>8</v>
      </c>
      <c r="K6" s="14">
        <v>51</v>
      </c>
      <c r="L6" s="13">
        <f t="shared" ref="L6:L16" si="1">E6*H6</f>
        <v>6.6</v>
      </c>
      <c r="M6" s="10"/>
      <c r="N6" s="13">
        <f>L6*K6/(I6+K6)</f>
        <v>3.3</v>
      </c>
      <c r="O6" s="10"/>
      <c r="P6" s="26">
        <f>N6*N6/K6</f>
        <v>0.21352941176470586</v>
      </c>
    </row>
    <row r="7" spans="2:24">
      <c r="C7" s="27"/>
      <c r="D7" s="34">
        <v>0.6</v>
      </c>
      <c r="E7" s="35">
        <v>0.4</v>
      </c>
      <c r="F7" s="18">
        <v>470</v>
      </c>
      <c r="G7" s="18">
        <v>47</v>
      </c>
      <c r="H7" s="35">
        <f t="shared" si="0"/>
        <v>11</v>
      </c>
      <c r="I7" s="18">
        <v>51</v>
      </c>
      <c r="J7" s="18">
        <v>51</v>
      </c>
      <c r="K7" s="18">
        <v>51</v>
      </c>
      <c r="L7" s="19">
        <f t="shared" si="1"/>
        <v>4.4000000000000004</v>
      </c>
      <c r="M7" s="2"/>
      <c r="N7" s="19">
        <v>0.7</v>
      </c>
      <c r="O7" s="2"/>
      <c r="P7" s="6">
        <f>N7*N7/K7</f>
        <v>9.6078431372549015E-3</v>
      </c>
    </row>
    <row r="8" spans="2:24">
      <c r="C8" s="4"/>
      <c r="D8" s="34">
        <v>0.6</v>
      </c>
      <c r="E8" s="35">
        <v>0.4</v>
      </c>
      <c r="F8" s="18">
        <v>470</v>
      </c>
      <c r="G8" s="18">
        <v>47</v>
      </c>
      <c r="H8" s="35">
        <f t="shared" si="0"/>
        <v>11</v>
      </c>
      <c r="I8" s="18">
        <v>51</v>
      </c>
      <c r="J8" s="18" t="s">
        <v>8</v>
      </c>
      <c r="K8" s="18">
        <v>51</v>
      </c>
      <c r="L8" s="19">
        <f t="shared" si="1"/>
        <v>4.4000000000000004</v>
      </c>
      <c r="M8" s="2">
        <v>2.1</v>
      </c>
      <c r="N8" s="19">
        <f>M8*K8/(I8+K8)</f>
        <v>1.05</v>
      </c>
      <c r="O8" s="2">
        <v>0.88</v>
      </c>
      <c r="P8" s="6">
        <f>N8*N8/K8</f>
        <v>2.161764705882353E-2</v>
      </c>
    </row>
    <row r="9" spans="2:24">
      <c r="C9" s="27"/>
      <c r="D9" s="34">
        <v>0.9</v>
      </c>
      <c r="E9" s="35">
        <v>0.57999999999999996</v>
      </c>
      <c r="F9" s="18">
        <v>470</v>
      </c>
      <c r="G9" s="18">
        <v>47</v>
      </c>
      <c r="H9" s="35">
        <f t="shared" si="0"/>
        <v>11</v>
      </c>
      <c r="I9" s="18">
        <v>51</v>
      </c>
      <c r="J9" s="18" t="s">
        <v>8</v>
      </c>
      <c r="K9" s="18">
        <v>51</v>
      </c>
      <c r="L9" s="21">
        <f t="shared" si="1"/>
        <v>6.38</v>
      </c>
      <c r="M9" s="2">
        <v>2.9</v>
      </c>
      <c r="N9" s="19">
        <f>M9*K9/(I9+K9)</f>
        <v>1.45</v>
      </c>
      <c r="O9" s="2">
        <v>1.2</v>
      </c>
      <c r="P9" s="6">
        <f>O9*O9/K9</f>
        <v>2.8235294117647056E-2</v>
      </c>
    </row>
    <row r="10" spans="2:24">
      <c r="C10" s="27"/>
      <c r="D10" s="34">
        <v>0.9</v>
      </c>
      <c r="E10" s="35">
        <v>0.57999999999999996</v>
      </c>
      <c r="F10" s="18">
        <v>1000</v>
      </c>
      <c r="G10" s="18">
        <v>47</v>
      </c>
      <c r="H10" s="36">
        <f t="shared" si="0"/>
        <v>22.276595744680851</v>
      </c>
      <c r="I10" s="18" t="s">
        <v>13</v>
      </c>
      <c r="J10" s="18"/>
      <c r="K10" s="18"/>
      <c r="L10" s="21">
        <f t="shared" si="1"/>
        <v>12.920425531914892</v>
      </c>
      <c r="M10" s="2">
        <v>2.8</v>
      </c>
      <c r="N10" s="19"/>
      <c r="O10" s="2"/>
      <c r="P10" s="5"/>
    </row>
    <row r="11" spans="2:24">
      <c r="C11" s="4"/>
      <c r="D11" s="34">
        <v>0.9</v>
      </c>
      <c r="E11" s="35">
        <v>0.57999999999999996</v>
      </c>
      <c r="F11" s="22">
        <v>200</v>
      </c>
      <c r="G11" s="22">
        <v>47</v>
      </c>
      <c r="H11" s="37">
        <f t="shared" si="0"/>
        <v>5.2553191489361701</v>
      </c>
      <c r="I11" s="18">
        <v>51</v>
      </c>
      <c r="J11" s="18" t="s">
        <v>8</v>
      </c>
      <c r="K11" s="18">
        <v>51</v>
      </c>
      <c r="L11" s="21">
        <f t="shared" si="1"/>
        <v>3.0480851063829784</v>
      </c>
      <c r="M11" s="18">
        <v>2.4</v>
      </c>
      <c r="N11" s="19">
        <f>M11*K11/(I11+K11)</f>
        <v>1.2</v>
      </c>
      <c r="O11" s="2">
        <v>1.04</v>
      </c>
      <c r="P11" s="6">
        <f>O11*O11/K11</f>
        <v>2.1207843137254906E-2</v>
      </c>
    </row>
    <row r="12" spans="2:24">
      <c r="C12" s="4"/>
      <c r="D12" s="34">
        <v>0.9</v>
      </c>
      <c r="E12" s="35">
        <v>0.57999999999999996</v>
      </c>
      <c r="F12" s="22">
        <v>200</v>
      </c>
      <c r="G12" s="22">
        <v>47</v>
      </c>
      <c r="H12" s="37">
        <f t="shared" si="0"/>
        <v>5.2553191489361701</v>
      </c>
      <c r="I12" s="18">
        <v>51</v>
      </c>
      <c r="J12" s="18" t="s">
        <v>8</v>
      </c>
      <c r="K12" s="18" t="s">
        <v>8</v>
      </c>
      <c r="L12" s="21">
        <f t="shared" si="1"/>
        <v>3.0480851063829784</v>
      </c>
      <c r="M12" s="18">
        <v>2.64</v>
      </c>
      <c r="N12" s="19"/>
      <c r="O12" s="2"/>
      <c r="P12" s="5"/>
    </row>
    <row r="13" spans="2:24">
      <c r="C13" s="4"/>
      <c r="D13" s="34">
        <v>0.9</v>
      </c>
      <c r="E13" s="35">
        <v>0.57999999999999996</v>
      </c>
      <c r="F13" s="22">
        <v>200</v>
      </c>
      <c r="G13" s="22">
        <v>47</v>
      </c>
      <c r="H13" s="37">
        <f t="shared" si="0"/>
        <v>5.2553191489361701</v>
      </c>
      <c r="I13" s="18">
        <v>0</v>
      </c>
      <c r="J13" s="18" t="s">
        <v>8</v>
      </c>
      <c r="K13" s="18">
        <v>51</v>
      </c>
      <c r="L13" s="21">
        <f t="shared" si="1"/>
        <v>3.0480851063829784</v>
      </c>
      <c r="M13" s="18">
        <v>2.8</v>
      </c>
      <c r="N13" s="19">
        <f>M13*K13/(I13+K13)</f>
        <v>2.8</v>
      </c>
      <c r="O13" s="2">
        <v>3</v>
      </c>
      <c r="P13" s="6">
        <f>O13*O13/K13</f>
        <v>0.17647058823529413</v>
      </c>
      <c r="U13">
        <v>6</v>
      </c>
      <c r="V13">
        <v>50</v>
      </c>
      <c r="W13">
        <f>U13*U13/V13</f>
        <v>0.72</v>
      </c>
    </row>
    <row r="14" spans="2:24">
      <c r="C14" s="4"/>
      <c r="D14" s="34">
        <v>0.9</v>
      </c>
      <c r="E14" s="35">
        <v>0.57999999999999996</v>
      </c>
      <c r="F14" s="18">
        <v>270</v>
      </c>
      <c r="G14" s="22">
        <v>47</v>
      </c>
      <c r="H14" s="37">
        <f t="shared" si="0"/>
        <v>6.7446808510638299</v>
      </c>
      <c r="I14" s="18">
        <v>0</v>
      </c>
      <c r="J14" s="18" t="s">
        <v>8</v>
      </c>
      <c r="K14" s="18">
        <v>51</v>
      </c>
      <c r="L14" s="21">
        <f t="shared" si="1"/>
        <v>3.9119148936170212</v>
      </c>
      <c r="M14" s="18">
        <v>3.04</v>
      </c>
      <c r="N14" s="19">
        <f>M14*K14/(I14+K14)</f>
        <v>3.04</v>
      </c>
      <c r="O14" s="2">
        <v>3.32</v>
      </c>
      <c r="P14" s="6">
        <f>O14*O14/K14</f>
        <v>0.21612549019607841</v>
      </c>
      <c r="U14">
        <v>3</v>
      </c>
      <c r="V14">
        <v>50</v>
      </c>
      <c r="W14">
        <f>U14*U14/V14</f>
        <v>0.18</v>
      </c>
      <c r="X14">
        <f>W14/W13</f>
        <v>0.25</v>
      </c>
    </row>
    <row r="15" spans="2:24">
      <c r="C15" s="28" t="s">
        <v>17</v>
      </c>
      <c r="D15" s="20">
        <v>0.9</v>
      </c>
      <c r="E15" s="19">
        <v>0.57999999999999996</v>
      </c>
      <c r="F15" s="19">
        <v>470</v>
      </c>
      <c r="G15" s="29">
        <v>47</v>
      </c>
      <c r="H15" s="30">
        <f t="shared" si="0"/>
        <v>11</v>
      </c>
      <c r="I15" s="19">
        <v>0</v>
      </c>
      <c r="J15" s="19" t="s">
        <v>8</v>
      </c>
      <c r="K15" s="19">
        <v>51</v>
      </c>
      <c r="L15" s="21">
        <f t="shared" si="1"/>
        <v>6.38</v>
      </c>
      <c r="M15" s="19">
        <v>3.3</v>
      </c>
      <c r="N15" s="19">
        <f>M15*K15/(I15+K15)</f>
        <v>3.3</v>
      </c>
      <c r="O15" s="19">
        <v>3.6</v>
      </c>
      <c r="P15" s="31">
        <f>O15*O15/K15</f>
        <v>0.25411764705882356</v>
      </c>
    </row>
    <row r="16" spans="2:24">
      <c r="C16" s="4"/>
      <c r="D16" s="38">
        <v>0.9</v>
      </c>
      <c r="E16" s="39">
        <v>0.57999999999999996</v>
      </c>
      <c r="F16" s="39">
        <v>470</v>
      </c>
      <c r="G16" s="39">
        <v>47</v>
      </c>
      <c r="H16" s="40">
        <f t="shared" si="0"/>
        <v>11</v>
      </c>
      <c r="I16" s="39">
        <v>0</v>
      </c>
      <c r="J16" s="39" t="s">
        <v>8</v>
      </c>
      <c r="K16" s="39" t="s">
        <v>8</v>
      </c>
      <c r="L16" s="40">
        <f t="shared" si="1"/>
        <v>6.38</v>
      </c>
      <c r="M16" s="39">
        <v>3.32</v>
      </c>
      <c r="N16" s="39"/>
      <c r="O16" s="39">
        <v>3.64</v>
      </c>
      <c r="P16" s="41"/>
      <c r="Q16" t="s">
        <v>18</v>
      </c>
    </row>
    <row r="17" spans="2:17" ht="18" thickBot="1"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</row>
    <row r="18" spans="2:17">
      <c r="C18" t="s">
        <v>19</v>
      </c>
    </row>
    <row r="20" spans="2:17" ht="18" thickBot="1">
      <c r="B20" s="1" t="s">
        <v>20</v>
      </c>
    </row>
    <row r="21" spans="2:17" ht="18" thickBot="1">
      <c r="N21" s="144" t="s">
        <v>34</v>
      </c>
      <c r="O21" s="145"/>
    </row>
    <row r="22" spans="2:17" s="46" customFormat="1" ht="18" thickBot="1">
      <c r="C22" s="47" t="s">
        <v>21</v>
      </c>
      <c r="D22" s="17" t="s">
        <v>33</v>
      </c>
      <c r="E22" s="17" t="s">
        <v>22</v>
      </c>
      <c r="F22" s="17" t="s">
        <v>24</v>
      </c>
      <c r="G22" s="17" t="s">
        <v>25</v>
      </c>
      <c r="H22" s="17" t="s">
        <v>26</v>
      </c>
      <c r="I22" s="17" t="s">
        <v>27</v>
      </c>
      <c r="J22" s="17" t="s">
        <v>32</v>
      </c>
      <c r="K22" s="17" t="s">
        <v>28</v>
      </c>
      <c r="L22" s="17" t="s">
        <v>36</v>
      </c>
      <c r="M22" s="17" t="s">
        <v>31</v>
      </c>
      <c r="N22" s="16" t="s">
        <v>14</v>
      </c>
      <c r="O22" s="48" t="s">
        <v>15</v>
      </c>
      <c r="P22" s="51" t="s">
        <v>16</v>
      </c>
      <c r="Q22" s="46" t="s">
        <v>38</v>
      </c>
    </row>
    <row r="23" spans="2:17">
      <c r="C23" s="49" t="s">
        <v>17</v>
      </c>
      <c r="D23" s="10">
        <v>51</v>
      </c>
      <c r="E23" s="10" t="s">
        <v>23</v>
      </c>
      <c r="F23" s="10" t="s">
        <v>30</v>
      </c>
      <c r="G23" s="10" t="s">
        <v>29</v>
      </c>
      <c r="H23" s="10">
        <v>680</v>
      </c>
      <c r="I23" s="10">
        <v>680</v>
      </c>
      <c r="J23" s="50">
        <f>1+H23/I23</f>
        <v>2</v>
      </c>
      <c r="K23" s="10" t="s">
        <v>23</v>
      </c>
      <c r="L23" s="10" t="s">
        <v>35</v>
      </c>
      <c r="M23" s="10">
        <v>2.2000000000000002</v>
      </c>
      <c r="N23" s="10">
        <f>M23*J23</f>
        <v>4.4000000000000004</v>
      </c>
      <c r="O23" s="10">
        <v>4.4000000000000004</v>
      </c>
      <c r="P23" s="11"/>
    </row>
    <row r="24" spans="2:17">
      <c r="C24" s="4"/>
      <c r="D24" s="2" t="s">
        <v>37</v>
      </c>
      <c r="E24" s="2" t="s">
        <v>23</v>
      </c>
      <c r="F24" s="2" t="s">
        <v>30</v>
      </c>
      <c r="G24" s="2" t="s">
        <v>29</v>
      </c>
      <c r="H24" s="2">
        <v>680</v>
      </c>
      <c r="I24" s="2">
        <v>680</v>
      </c>
      <c r="J24" s="37">
        <f>1+H24/I24</f>
        <v>2</v>
      </c>
      <c r="K24" s="2" t="s">
        <v>23</v>
      </c>
      <c r="L24" s="2" t="s">
        <v>35</v>
      </c>
      <c r="M24" s="2">
        <v>3.3</v>
      </c>
      <c r="N24" s="2">
        <f>M24*J24</f>
        <v>6.6</v>
      </c>
      <c r="O24" s="2">
        <v>7.4</v>
      </c>
      <c r="P24" s="5"/>
    </row>
    <row r="25" spans="2:17">
      <c r="C25" s="4"/>
      <c r="D25" s="2" t="s">
        <v>37</v>
      </c>
      <c r="E25" s="2" t="s">
        <v>23</v>
      </c>
      <c r="F25" s="2" t="s">
        <v>30</v>
      </c>
      <c r="G25" s="2" t="s">
        <v>29</v>
      </c>
      <c r="H25" s="2">
        <v>680</v>
      </c>
      <c r="I25" s="2">
        <v>680</v>
      </c>
      <c r="J25" s="37">
        <f>1+H25/I25</f>
        <v>2</v>
      </c>
      <c r="K25" s="2" t="s">
        <v>23</v>
      </c>
      <c r="L25" s="2">
        <v>51</v>
      </c>
      <c r="M25" s="2">
        <v>3.36</v>
      </c>
      <c r="N25" s="2">
        <f>M25*J25</f>
        <v>6.72</v>
      </c>
      <c r="O25" s="2">
        <v>7.68</v>
      </c>
      <c r="P25" s="6">
        <f>O25*O25/L25</f>
        <v>1.1565176470588234</v>
      </c>
      <c r="Q25">
        <f>P25/O25</f>
        <v>0.15058823529411763</v>
      </c>
    </row>
    <row r="26" spans="2:17">
      <c r="C26" s="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5"/>
    </row>
    <row r="27" spans="2:17">
      <c r="C27" s="4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5"/>
    </row>
    <row r="28" spans="2:17">
      <c r="C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5"/>
    </row>
    <row r="29" spans="2:17">
      <c r="C29" s="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5"/>
    </row>
    <row r="30" spans="2:17">
      <c r="C30" s="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5"/>
    </row>
    <row r="31" spans="2:17" ht="18" thickBot="1"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9"/>
    </row>
  </sheetData>
  <mergeCells count="3">
    <mergeCell ref="L4:M4"/>
    <mergeCell ref="N4:O4"/>
    <mergeCell ref="N21:O2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61BE2-D52E-4F1A-A460-6E9EC3FBF46E}">
  <dimension ref="B1:R62"/>
  <sheetViews>
    <sheetView tabSelected="1" topLeftCell="A28" workbookViewId="0">
      <selection activeCell="T44" sqref="T44"/>
    </sheetView>
  </sheetViews>
  <sheetFormatPr defaultRowHeight="17.399999999999999"/>
  <cols>
    <col min="1" max="3" width="3.8984375" customWidth="1"/>
  </cols>
  <sheetData>
    <row r="1" spans="2:13">
      <c r="B1" s="1" t="s">
        <v>158</v>
      </c>
      <c r="C1" s="1"/>
    </row>
    <row r="2" spans="2:13">
      <c r="B2" s="1"/>
      <c r="C2" s="1" t="s">
        <v>159</v>
      </c>
    </row>
    <row r="3" spans="2:13">
      <c r="C3" s="1" t="s">
        <v>174</v>
      </c>
    </row>
    <row r="4" spans="2:13">
      <c r="C4" s="1"/>
      <c r="D4" t="s">
        <v>173</v>
      </c>
    </row>
    <row r="5" spans="2:13" ht="18" thickBot="1">
      <c r="C5" s="1"/>
      <c r="D5" t="s">
        <v>156</v>
      </c>
    </row>
    <row r="6" spans="2:13">
      <c r="C6" s="1"/>
      <c r="D6" s="190" t="s">
        <v>177</v>
      </c>
      <c r="E6" s="191"/>
      <c r="F6" s="191"/>
      <c r="G6" s="191"/>
      <c r="H6" s="192"/>
      <c r="I6" s="190" t="s">
        <v>160</v>
      </c>
      <c r="J6" s="191"/>
      <c r="K6" s="191"/>
      <c r="L6" s="191"/>
      <c r="M6" s="192"/>
    </row>
    <row r="7" spans="2:13" ht="18" thickBot="1">
      <c r="C7" s="1"/>
      <c r="D7" s="193" t="s">
        <v>115</v>
      </c>
      <c r="E7" s="194" t="s">
        <v>114</v>
      </c>
      <c r="F7" s="194" t="s">
        <v>113</v>
      </c>
      <c r="G7" s="194" t="s">
        <v>157</v>
      </c>
      <c r="H7" s="195" t="s">
        <v>176</v>
      </c>
      <c r="I7" s="200" t="s">
        <v>114</v>
      </c>
      <c r="J7" s="201" t="s">
        <v>113</v>
      </c>
      <c r="K7" s="201" t="s">
        <v>115</v>
      </c>
      <c r="L7" s="201" t="s">
        <v>157</v>
      </c>
      <c r="M7" s="202" t="s">
        <v>176</v>
      </c>
    </row>
    <row r="8" spans="2:13">
      <c r="C8" s="1"/>
      <c r="D8" s="3">
        <v>10</v>
      </c>
      <c r="E8" s="169">
        <f>(D8*50)^0.5</f>
        <v>22.360679774997898</v>
      </c>
      <c r="F8" s="169">
        <f>E8/0.707*2</f>
        <v>63.255105445538611</v>
      </c>
      <c r="G8" s="169">
        <f>D8/E8</f>
        <v>0.44721359549995793</v>
      </c>
      <c r="H8" s="185">
        <f>G8/0.707*2</f>
        <v>1.2651021089107721</v>
      </c>
      <c r="I8" s="170">
        <f>E8/25</f>
        <v>0.89442719099991597</v>
      </c>
      <c r="J8" s="169">
        <f>I8/0.707*2</f>
        <v>2.5302042178215447</v>
      </c>
      <c r="K8" s="56">
        <f>I8*I8/50</f>
        <v>1.6000000000000004E-2</v>
      </c>
      <c r="L8" s="56">
        <f>K8/I8</f>
        <v>1.7888543819998319E-2</v>
      </c>
      <c r="M8" s="185">
        <f>L8/0.707*2</f>
        <v>5.0604084356430892E-2</v>
      </c>
    </row>
    <row r="9" spans="2:13">
      <c r="C9" s="1"/>
      <c r="D9" s="4">
        <v>100</v>
      </c>
      <c r="E9" s="103">
        <f t="shared" ref="E9:E12" si="0">(D9*50)^0.5</f>
        <v>70.710678118654755</v>
      </c>
      <c r="F9" s="103">
        <f>E9/0.707*2</f>
        <v>200.03020684202195</v>
      </c>
      <c r="G9" s="103">
        <f t="shared" ref="G9:G12" si="1">D9/E9</f>
        <v>1.4142135623730949</v>
      </c>
      <c r="H9" s="108">
        <f t="shared" ref="H9:H12" si="2">G9/0.707*2</f>
        <v>4.0006041368404386</v>
      </c>
      <c r="I9" s="171">
        <f>E9/25</f>
        <v>2.8284271247461903</v>
      </c>
      <c r="J9" s="103">
        <f t="shared" ref="J9:J12" si="3">I9/0.707*2</f>
        <v>8.0012082736808789</v>
      </c>
      <c r="K9" s="172">
        <f t="shared" ref="K9:K12" si="4">I9*I9/50</f>
        <v>0.16000000000000003</v>
      </c>
      <c r="L9" s="172">
        <f t="shared" ref="L9:L12" si="5">K9/I9</f>
        <v>5.656854249492381E-2</v>
      </c>
      <c r="M9" s="108">
        <f>L9/0.707*2</f>
        <v>0.16002416547361759</v>
      </c>
    </row>
    <row r="10" spans="2:13">
      <c r="C10" s="1"/>
      <c r="D10" s="28">
        <v>300</v>
      </c>
      <c r="E10" s="21">
        <f t="shared" si="0"/>
        <v>122.47448713915891</v>
      </c>
      <c r="F10" s="21">
        <f>E10/0.707*2</f>
        <v>346.46248129889369</v>
      </c>
      <c r="G10" s="21">
        <f t="shared" si="1"/>
        <v>2.4494897427831779</v>
      </c>
      <c r="H10" s="187">
        <f t="shared" si="2"/>
        <v>6.9292496259778726</v>
      </c>
      <c r="I10" s="188">
        <f>E10/25</f>
        <v>4.8989794855663567</v>
      </c>
      <c r="J10" s="21">
        <f t="shared" si="3"/>
        <v>13.858499251955749</v>
      </c>
      <c r="K10" s="189">
        <f t="shared" si="4"/>
        <v>0.48000000000000009</v>
      </c>
      <c r="L10" s="189">
        <f t="shared" si="5"/>
        <v>9.7979589711327128E-2</v>
      </c>
      <c r="M10" s="187">
        <f t="shared" ref="M10:M12" si="6">L10/0.707*2</f>
        <v>0.27716998503911494</v>
      </c>
    </row>
    <row r="11" spans="2:13">
      <c r="C11" s="1"/>
      <c r="D11" s="4">
        <v>600</v>
      </c>
      <c r="E11" s="103">
        <f t="shared" si="0"/>
        <v>173.20508075688772</v>
      </c>
      <c r="F11" s="103">
        <f>E11/0.707*2</f>
        <v>489.97193990633025</v>
      </c>
      <c r="G11" s="103">
        <f t="shared" si="1"/>
        <v>3.4641016151377548</v>
      </c>
      <c r="H11" s="108">
        <f t="shared" si="2"/>
        <v>9.7994387981266051</v>
      </c>
      <c r="I11" s="171">
        <f>E11/25</f>
        <v>6.9282032302755088</v>
      </c>
      <c r="J11" s="103">
        <f t="shared" si="3"/>
        <v>19.598877596253207</v>
      </c>
      <c r="K11" s="172">
        <f t="shared" si="4"/>
        <v>0.95999999999999985</v>
      </c>
      <c r="L11" s="172">
        <f t="shared" si="5"/>
        <v>0.13856406460551016</v>
      </c>
      <c r="M11" s="108">
        <f t="shared" si="6"/>
        <v>0.39197755192506412</v>
      </c>
    </row>
    <row r="12" spans="2:13" ht="18" thickBot="1">
      <c r="C12" s="1"/>
      <c r="D12" s="7">
        <v>1000</v>
      </c>
      <c r="E12" s="173">
        <f t="shared" si="0"/>
        <v>223.60679774997897</v>
      </c>
      <c r="F12" s="173">
        <f>E12/0.707*2</f>
        <v>632.55105445538607</v>
      </c>
      <c r="G12" s="173">
        <f t="shared" si="1"/>
        <v>4.4721359549995796</v>
      </c>
      <c r="H12" s="186">
        <f t="shared" si="2"/>
        <v>12.651021089107722</v>
      </c>
      <c r="I12" s="174">
        <f>E12/25</f>
        <v>8.9442719099991592</v>
      </c>
      <c r="J12" s="173">
        <f t="shared" si="3"/>
        <v>25.302042178215444</v>
      </c>
      <c r="K12" s="175">
        <f t="shared" si="4"/>
        <v>1.6000000000000003</v>
      </c>
      <c r="L12" s="175">
        <f t="shared" si="5"/>
        <v>0.1788854381999832</v>
      </c>
      <c r="M12" s="186">
        <f t="shared" si="6"/>
        <v>0.5060408435643089</v>
      </c>
    </row>
    <row r="14" spans="2:13" ht="18" thickBot="1">
      <c r="D14" t="s">
        <v>175</v>
      </c>
    </row>
    <row r="15" spans="2:13" ht="18" thickBot="1">
      <c r="D15" s="144" t="s">
        <v>59</v>
      </c>
      <c r="E15" s="145"/>
      <c r="F15" s="140" t="s">
        <v>47</v>
      </c>
      <c r="G15" s="205" t="s">
        <v>161</v>
      </c>
      <c r="H15" s="142" t="s">
        <v>49</v>
      </c>
      <c r="I15" s="142" t="s">
        <v>162</v>
      </c>
      <c r="J15" s="205" t="s">
        <v>161</v>
      </c>
      <c r="K15" s="205" t="s">
        <v>161</v>
      </c>
      <c r="L15" s="141" t="s">
        <v>178</v>
      </c>
    </row>
    <row r="16" spans="2:13">
      <c r="D16" s="203" t="s">
        <v>163</v>
      </c>
      <c r="E16" s="204"/>
      <c r="F16" s="115">
        <v>35.549999999999997</v>
      </c>
      <c r="G16" s="206">
        <v>29</v>
      </c>
      <c r="H16" s="54">
        <v>21</v>
      </c>
      <c r="I16" s="54">
        <v>12.7</v>
      </c>
      <c r="J16" s="206">
        <v>29</v>
      </c>
      <c r="K16" s="206">
        <v>29</v>
      </c>
      <c r="L16" s="178" t="s">
        <v>164</v>
      </c>
    </row>
    <row r="17" spans="3:18">
      <c r="D17" s="176" t="s">
        <v>42</v>
      </c>
      <c r="E17" s="177"/>
      <c r="F17" s="4">
        <v>885</v>
      </c>
      <c r="G17" s="19">
        <v>510</v>
      </c>
      <c r="H17" s="2">
        <v>470</v>
      </c>
      <c r="I17" s="2">
        <v>440</v>
      </c>
      <c r="J17" s="19">
        <v>510</v>
      </c>
      <c r="K17" s="19">
        <v>510</v>
      </c>
      <c r="L17" s="5"/>
    </row>
    <row r="18" spans="3:18">
      <c r="D18" s="176" t="s">
        <v>165</v>
      </c>
      <c r="E18" s="177"/>
      <c r="F18" s="179">
        <f>F17*25^2/1000</f>
        <v>553.125</v>
      </c>
      <c r="G18" s="21">
        <f>G17*25^2/1000</f>
        <v>318.75</v>
      </c>
      <c r="H18" s="103">
        <f>H17*25^2/1000</f>
        <v>293.75</v>
      </c>
      <c r="I18" s="103">
        <f>I17*25^2/1000</f>
        <v>275</v>
      </c>
      <c r="J18" s="21">
        <f>J17*25^2/1000</f>
        <v>318.75</v>
      </c>
      <c r="K18" s="21">
        <f>K17*25^2/1000</f>
        <v>318.75</v>
      </c>
      <c r="L18" s="5" t="s">
        <v>166</v>
      </c>
    </row>
    <row r="19" spans="3:18">
      <c r="D19" s="176" t="s">
        <v>167</v>
      </c>
      <c r="E19" s="177"/>
      <c r="F19" s="4">
        <v>0.3</v>
      </c>
      <c r="G19" s="19">
        <v>0.3</v>
      </c>
      <c r="H19" s="2">
        <v>0.3</v>
      </c>
      <c r="I19" s="2">
        <v>0.3</v>
      </c>
      <c r="J19" s="19">
        <v>27.12</v>
      </c>
      <c r="K19" s="19">
        <v>13.65</v>
      </c>
      <c r="L19" s="5" t="s">
        <v>168</v>
      </c>
    </row>
    <row r="20" spans="3:18">
      <c r="D20" s="176" t="s">
        <v>169</v>
      </c>
      <c r="E20" s="177"/>
      <c r="F20" s="179">
        <f>2*3.14*F19*F18</f>
        <v>1042.0874999999999</v>
      </c>
      <c r="G20" s="21">
        <f>2*3.14*G19*G18</f>
        <v>600.52499999999998</v>
      </c>
      <c r="H20" s="103">
        <f>2*3.14*H19*H18</f>
        <v>553.42499999999995</v>
      </c>
      <c r="I20" s="103">
        <f>2*3.14*I19*I18</f>
        <v>518.1</v>
      </c>
      <c r="J20" s="21">
        <f>2*3.14*J19*J18</f>
        <v>54287.46</v>
      </c>
      <c r="K20" s="21">
        <f>2*3.14*K19*K18</f>
        <v>27323.887500000004</v>
      </c>
      <c r="L20" s="180" t="s">
        <v>170</v>
      </c>
    </row>
    <row r="21" spans="3:18" ht="18" thickBot="1">
      <c r="D21" s="181" t="s">
        <v>171</v>
      </c>
      <c r="E21" s="182"/>
      <c r="F21" s="174">
        <v>1.226</v>
      </c>
      <c r="G21" s="207">
        <v>0.78</v>
      </c>
      <c r="H21" s="175">
        <v>0.78</v>
      </c>
      <c r="I21" s="175">
        <v>0.78</v>
      </c>
      <c r="J21" s="207">
        <v>0.78</v>
      </c>
      <c r="K21" s="207">
        <v>0.78</v>
      </c>
      <c r="L21" s="183" t="s">
        <v>172</v>
      </c>
    </row>
    <row r="23" spans="3:18" ht="18" thickBot="1">
      <c r="D23" t="s">
        <v>179</v>
      </c>
    </row>
    <row r="24" spans="3:18">
      <c r="D24" s="168" t="s">
        <v>180</v>
      </c>
      <c r="E24" s="156"/>
      <c r="F24" s="10">
        <v>30</v>
      </c>
      <c r="G24" s="11" t="s">
        <v>168</v>
      </c>
    </row>
    <row r="25" spans="3:18">
      <c r="D25" s="176" t="s">
        <v>181</v>
      </c>
      <c r="E25" s="184"/>
      <c r="F25" s="2">
        <f>300/F24</f>
        <v>10</v>
      </c>
      <c r="G25" s="5" t="s">
        <v>172</v>
      </c>
    </row>
    <row r="26" spans="3:18" ht="18" thickBot="1">
      <c r="D26" s="181" t="s">
        <v>182</v>
      </c>
      <c r="E26" s="208"/>
      <c r="F26" s="8">
        <f>F25/10</f>
        <v>1</v>
      </c>
      <c r="G26" s="183" t="s">
        <v>172</v>
      </c>
    </row>
    <row r="28" spans="3:18">
      <c r="C28" s="1" t="s">
        <v>186</v>
      </c>
    </row>
    <row r="29" spans="3:18" ht="18" thickBot="1">
      <c r="C29" s="1"/>
      <c r="D29" t="s">
        <v>194</v>
      </c>
    </row>
    <row r="30" spans="3:18">
      <c r="D30" s="212" t="s">
        <v>177</v>
      </c>
      <c r="E30" s="213"/>
      <c r="F30" s="213"/>
      <c r="G30" s="213"/>
      <c r="H30" s="237"/>
      <c r="I30" s="212" t="s">
        <v>192</v>
      </c>
      <c r="J30" s="213"/>
      <c r="K30" s="213"/>
      <c r="L30" s="196" t="s">
        <v>187</v>
      </c>
      <c r="M30" s="197">
        <v>25</v>
      </c>
      <c r="N30" s="190" t="s">
        <v>183</v>
      </c>
      <c r="O30" s="198"/>
      <c r="P30" s="190" t="s">
        <v>185</v>
      </c>
      <c r="Q30" s="191"/>
      <c r="R30" s="192"/>
    </row>
    <row r="31" spans="3:18">
      <c r="D31" s="214"/>
      <c r="E31" s="210"/>
      <c r="F31" s="210"/>
      <c r="G31" s="210"/>
      <c r="H31" s="238"/>
      <c r="I31" s="214"/>
      <c r="J31" s="210"/>
      <c r="K31" s="210"/>
      <c r="L31" s="211" t="s">
        <v>188</v>
      </c>
      <c r="M31" s="241">
        <v>1</v>
      </c>
      <c r="N31" s="209" t="s">
        <v>189</v>
      </c>
      <c r="O31" s="246">
        <v>1</v>
      </c>
      <c r="P31" s="209" t="s">
        <v>191</v>
      </c>
      <c r="Q31" s="240">
        <v>1</v>
      </c>
      <c r="R31" s="5"/>
    </row>
    <row r="32" spans="3:18" ht="18" thickBot="1">
      <c r="D32" s="193" t="s">
        <v>115</v>
      </c>
      <c r="E32" s="194" t="s">
        <v>114</v>
      </c>
      <c r="F32" s="194" t="s">
        <v>113</v>
      </c>
      <c r="G32" s="194" t="s">
        <v>157</v>
      </c>
      <c r="H32" s="199" t="s">
        <v>176</v>
      </c>
      <c r="I32" s="193" t="s">
        <v>114</v>
      </c>
      <c r="J32" s="194" t="s">
        <v>113</v>
      </c>
      <c r="K32" s="194" t="s">
        <v>115</v>
      </c>
      <c r="L32" s="194" t="s">
        <v>157</v>
      </c>
      <c r="M32" s="195" t="s">
        <v>176</v>
      </c>
      <c r="N32" s="193" t="s">
        <v>114</v>
      </c>
      <c r="O32" s="199" t="s">
        <v>115</v>
      </c>
      <c r="P32" s="193" t="s">
        <v>114</v>
      </c>
      <c r="Q32" s="194" t="s">
        <v>115</v>
      </c>
      <c r="R32" s="195" t="s">
        <v>113</v>
      </c>
    </row>
    <row r="33" spans="4:18">
      <c r="D33" s="219">
        <v>50</v>
      </c>
      <c r="E33" s="220">
        <f>(D33*50)^0.5</f>
        <v>50</v>
      </c>
      <c r="F33" s="220">
        <f>E33/0.707*2</f>
        <v>141.44271570014146</v>
      </c>
      <c r="G33" s="220">
        <f>D33/E33</f>
        <v>1</v>
      </c>
      <c r="H33" s="221">
        <f>G33/0.707*2</f>
        <v>2.8288543140028288</v>
      </c>
      <c r="I33" s="251">
        <f>E33/M$30</f>
        <v>2</v>
      </c>
      <c r="J33" s="220">
        <f>I33/0.707*2</f>
        <v>5.6577086280056577</v>
      </c>
      <c r="K33" s="220">
        <f>I33*I33/50</f>
        <v>0.08</v>
      </c>
      <c r="L33" s="222">
        <f>K33/I33</f>
        <v>0.04</v>
      </c>
      <c r="M33" s="221">
        <f>L33/0.707*2</f>
        <v>0.11315417256011316</v>
      </c>
      <c r="N33" s="242">
        <f>I33*O$31/(O$31+Q$31)</f>
        <v>1</v>
      </c>
      <c r="O33" s="247">
        <f>N33*N33/(O$31*1000)</f>
        <v>1E-3</v>
      </c>
      <c r="P33" s="251">
        <f>I33*Q$31/(O$31+Q$31)</f>
        <v>1</v>
      </c>
      <c r="Q33" s="223">
        <f>P33*P33/(Q$31*1000)</f>
        <v>1E-3</v>
      </c>
      <c r="R33" s="221">
        <f>P33/0.707*2</f>
        <v>2.8288543140028288</v>
      </c>
    </row>
    <row r="34" spans="4:18">
      <c r="D34" s="225">
        <v>100</v>
      </c>
      <c r="E34" s="226">
        <f t="shared" ref="E34:E35" si="7">(D34*50)^0.5</f>
        <v>70.710678118654755</v>
      </c>
      <c r="F34" s="226">
        <f>E34/0.707*2</f>
        <v>200.03020684202195</v>
      </c>
      <c r="G34" s="226">
        <f t="shared" ref="G34:G35" si="8">D34/E34</f>
        <v>1.4142135623730949</v>
      </c>
      <c r="H34" s="227">
        <f t="shared" ref="H34:H39" si="9">G34/0.707*2</f>
        <v>4.0006041368404386</v>
      </c>
      <c r="I34" s="242">
        <f t="shared" ref="I34:I39" si="10">E34/M$30</f>
        <v>2.8284271247461903</v>
      </c>
      <c r="J34" s="239">
        <f t="shared" ref="J34:J39" si="11">I34/0.707*2</f>
        <v>8.0012082736808789</v>
      </c>
      <c r="K34" s="226">
        <f t="shared" ref="K34:K35" si="12">I34*I34/50</f>
        <v>0.16000000000000003</v>
      </c>
      <c r="L34" s="228">
        <f t="shared" ref="L34:L35" si="13">K34/I34</f>
        <v>5.656854249492381E-2</v>
      </c>
      <c r="M34" s="227">
        <f>L34/0.707*2</f>
        <v>0.16002416547361759</v>
      </c>
      <c r="N34" s="243">
        <f>I34*O$31/(O$31+Q$31)</f>
        <v>1.4142135623730951</v>
      </c>
      <c r="O34" s="248">
        <f>N34*N34/(O$31*1000)</f>
        <v>2.0000000000000005E-3</v>
      </c>
      <c r="P34" s="243">
        <f>I34*Q$31/(O$31+Q$31)</f>
        <v>1.4142135623730951</v>
      </c>
      <c r="Q34" s="229">
        <f>P34*P34/(Q$31*1000)</f>
        <v>2.0000000000000005E-3</v>
      </c>
      <c r="R34" s="227">
        <f t="shared" ref="R34:R39" si="14">P34/0.707*2</f>
        <v>4.0006041368404395</v>
      </c>
    </row>
    <row r="35" spans="4:18">
      <c r="D35" s="225">
        <v>150</v>
      </c>
      <c r="E35" s="226">
        <f t="shared" si="7"/>
        <v>86.602540378443862</v>
      </c>
      <c r="F35" s="226">
        <f>E35/0.707*2</f>
        <v>244.98596995316512</v>
      </c>
      <c r="G35" s="226">
        <f t="shared" si="8"/>
        <v>1.7320508075688774</v>
      </c>
      <c r="H35" s="227">
        <f t="shared" si="9"/>
        <v>4.8997193990633026</v>
      </c>
      <c r="I35" s="242">
        <f t="shared" si="10"/>
        <v>3.4641016151377544</v>
      </c>
      <c r="J35" s="239">
        <f t="shared" si="11"/>
        <v>9.7994387981266033</v>
      </c>
      <c r="K35" s="226">
        <f t="shared" si="12"/>
        <v>0.23999999999999996</v>
      </c>
      <c r="L35" s="228">
        <f t="shared" si="13"/>
        <v>6.9282032302755078E-2</v>
      </c>
      <c r="M35" s="227">
        <f t="shared" ref="M35:M39" si="15">L35/0.707*2</f>
        <v>0.19598877596253206</v>
      </c>
      <c r="N35" s="243">
        <f>I35*O$31/(O$31+Q$31)</f>
        <v>1.7320508075688772</v>
      </c>
      <c r="O35" s="248">
        <f>N35*N35/(O$31*1000)</f>
        <v>2.9999999999999996E-3</v>
      </c>
      <c r="P35" s="243">
        <f>I35*Q$31/(O$31+Q$31)</f>
        <v>1.7320508075688772</v>
      </c>
      <c r="Q35" s="229">
        <f>P35*P35/(Q$31*1000)</f>
        <v>2.9999999999999996E-3</v>
      </c>
      <c r="R35" s="227">
        <f t="shared" si="14"/>
        <v>4.8997193990633017</v>
      </c>
    </row>
    <row r="36" spans="4:18">
      <c r="D36" s="225">
        <v>200</v>
      </c>
      <c r="E36" s="226">
        <f t="shared" ref="E36" si="16">(D36*50)^0.5</f>
        <v>100</v>
      </c>
      <c r="F36" s="226">
        <f>E36/0.707*2</f>
        <v>282.88543140028293</v>
      </c>
      <c r="G36" s="226">
        <f t="shared" ref="G36" si="17">D36/E36</f>
        <v>2</v>
      </c>
      <c r="H36" s="227">
        <f t="shared" si="9"/>
        <v>5.6577086280056577</v>
      </c>
      <c r="I36" s="242">
        <f t="shared" si="10"/>
        <v>4</v>
      </c>
      <c r="J36" s="239">
        <f t="shared" si="11"/>
        <v>11.315417256011315</v>
      </c>
      <c r="K36" s="226">
        <f t="shared" ref="K36" si="18">I36*I36/50</f>
        <v>0.32</v>
      </c>
      <c r="L36" s="228">
        <f t="shared" ref="L36" si="19">K36/I36</f>
        <v>0.08</v>
      </c>
      <c r="M36" s="227">
        <f t="shared" si="15"/>
        <v>0.22630834512022632</v>
      </c>
      <c r="N36" s="243">
        <f>I36*O$31/(O$31+Q$31)</f>
        <v>2</v>
      </c>
      <c r="O36" s="248">
        <f>N36*N36/(O$31*1000)</f>
        <v>4.0000000000000001E-3</v>
      </c>
      <c r="P36" s="243">
        <f>I36*Q$31/(O$31+Q$31)</f>
        <v>2</v>
      </c>
      <c r="Q36" s="229">
        <f>P36*P36/(Q$31*1000)</f>
        <v>4.0000000000000001E-3</v>
      </c>
      <c r="R36" s="227">
        <f t="shared" si="14"/>
        <v>5.6577086280056577</v>
      </c>
    </row>
    <row r="37" spans="4:18">
      <c r="D37" s="225">
        <v>250</v>
      </c>
      <c r="E37" s="226">
        <f t="shared" ref="E37" si="20">(D37*50)^0.5</f>
        <v>111.80339887498948</v>
      </c>
      <c r="F37" s="226">
        <f>E37/0.707*2</f>
        <v>316.27552722769303</v>
      </c>
      <c r="G37" s="226">
        <f t="shared" ref="G37" si="21">D37/E37</f>
        <v>2.2360679774997898</v>
      </c>
      <c r="H37" s="227">
        <f t="shared" si="9"/>
        <v>6.3255105445538611</v>
      </c>
      <c r="I37" s="242">
        <f t="shared" si="10"/>
        <v>4.4721359549995796</v>
      </c>
      <c r="J37" s="239">
        <f t="shared" si="11"/>
        <v>12.651021089107722</v>
      </c>
      <c r="K37" s="226">
        <f t="shared" ref="K37" si="22">I37*I37/50</f>
        <v>0.40000000000000008</v>
      </c>
      <c r="L37" s="228">
        <f t="shared" ref="L37" si="23">K37/I37</f>
        <v>8.9442719099991602E-2</v>
      </c>
      <c r="M37" s="227">
        <f t="shared" si="15"/>
        <v>0.25302042178215445</v>
      </c>
      <c r="N37" s="243">
        <f>I37*O$31/(O$31+Q$31)</f>
        <v>2.2360679774997898</v>
      </c>
      <c r="O37" s="248">
        <f>N37*N37/(O$31*1000)</f>
        <v>5.000000000000001E-3</v>
      </c>
      <c r="P37" s="243">
        <f>I37*Q$31/(O$31+Q$31)</f>
        <v>2.2360679774997898</v>
      </c>
      <c r="Q37" s="229">
        <f>P37*P37/(Q$31*1000)</f>
        <v>5.000000000000001E-3</v>
      </c>
      <c r="R37" s="227">
        <f t="shared" si="14"/>
        <v>6.3255105445538611</v>
      </c>
    </row>
    <row r="38" spans="4:18">
      <c r="D38" s="225">
        <v>300</v>
      </c>
      <c r="E38" s="226">
        <f t="shared" ref="E38:E39" si="24">(D38*50)^0.5</f>
        <v>122.47448713915891</v>
      </c>
      <c r="F38" s="226">
        <f>E38/0.707*2</f>
        <v>346.46248129889369</v>
      </c>
      <c r="G38" s="226">
        <f t="shared" ref="G38:G39" si="25">D38/E38</f>
        <v>2.4494897427831779</v>
      </c>
      <c r="H38" s="227">
        <f t="shared" si="9"/>
        <v>6.9292496259778726</v>
      </c>
      <c r="I38" s="242">
        <f t="shared" si="10"/>
        <v>4.8989794855663567</v>
      </c>
      <c r="J38" s="239">
        <f t="shared" si="11"/>
        <v>13.858499251955749</v>
      </c>
      <c r="K38" s="226">
        <f t="shared" ref="K38:K39" si="26">I38*I38/50</f>
        <v>0.48000000000000009</v>
      </c>
      <c r="L38" s="228">
        <f t="shared" ref="L38:L39" si="27">K38/I38</f>
        <v>9.7979589711327128E-2</v>
      </c>
      <c r="M38" s="227">
        <f t="shared" si="15"/>
        <v>0.27716998503911494</v>
      </c>
      <c r="N38" s="243">
        <f>I38*O$31/(O$31+Q$31)</f>
        <v>2.4494897427831783</v>
      </c>
      <c r="O38" s="248">
        <f>N38*N38/(O$31*1000)</f>
        <v>6.000000000000001E-3</v>
      </c>
      <c r="P38" s="243">
        <f>I38*Q$31/(O$31+Q$31)</f>
        <v>2.4494897427831783</v>
      </c>
      <c r="Q38" s="229">
        <f>P38*P38/(Q$31*1000)</f>
        <v>6.000000000000001E-3</v>
      </c>
      <c r="R38" s="227">
        <f t="shared" si="14"/>
        <v>6.9292496259778744</v>
      </c>
    </row>
    <row r="39" spans="4:18" ht="18" thickBot="1">
      <c r="D39" s="231">
        <v>350</v>
      </c>
      <c r="E39" s="232">
        <f t="shared" si="24"/>
        <v>132.28756555322954</v>
      </c>
      <c r="F39" s="232">
        <f>E39/0.707*2</f>
        <v>374.22225050418541</v>
      </c>
      <c r="G39" s="232">
        <f t="shared" si="25"/>
        <v>2.6457513110645903</v>
      </c>
      <c r="H39" s="233">
        <f t="shared" si="9"/>
        <v>7.4844450100837072</v>
      </c>
      <c r="I39" s="252">
        <f t="shared" si="10"/>
        <v>5.2915026221291814</v>
      </c>
      <c r="J39" s="245">
        <f t="shared" si="11"/>
        <v>14.968890020167416</v>
      </c>
      <c r="K39" s="232">
        <f t="shared" si="26"/>
        <v>0.56000000000000005</v>
      </c>
      <c r="L39" s="234">
        <f t="shared" si="27"/>
        <v>0.10583005244258363</v>
      </c>
      <c r="M39" s="233">
        <f t="shared" si="15"/>
        <v>0.29937780040334833</v>
      </c>
      <c r="N39" s="244">
        <f>I39*O$31/(O$31+Q$31)</f>
        <v>2.6457513110645907</v>
      </c>
      <c r="O39" s="249">
        <f>N39*N39/(O$31*1000)</f>
        <v>7.000000000000001E-3</v>
      </c>
      <c r="P39" s="244">
        <f>I39*Q$31/(O$31+Q$31)</f>
        <v>2.6457513110645907</v>
      </c>
      <c r="Q39" s="235">
        <f>P39*P39/(Q$31*1000)</f>
        <v>7.000000000000001E-3</v>
      </c>
      <c r="R39" s="233">
        <f t="shared" si="14"/>
        <v>7.4844450100837081</v>
      </c>
    </row>
    <row r="40" spans="4:18">
      <c r="D40" s="257"/>
      <c r="E40" s="258"/>
      <c r="F40" s="258"/>
      <c r="G40" s="258"/>
      <c r="H40" s="258"/>
      <c r="I40" s="259"/>
      <c r="J40" s="258"/>
      <c r="K40" s="258"/>
      <c r="L40" s="259"/>
      <c r="M40" s="258"/>
      <c r="N40" s="259"/>
      <c r="O40" s="260"/>
      <c r="P40" s="259"/>
      <c r="Q40" s="260"/>
      <c r="R40" s="258"/>
    </row>
    <row r="41" spans="4:18" ht="18" thickBot="1">
      <c r="D41" t="s">
        <v>195</v>
      </c>
    </row>
    <row r="42" spans="4:18">
      <c r="D42" s="212" t="s">
        <v>177</v>
      </c>
      <c r="E42" s="213"/>
      <c r="F42" s="213"/>
      <c r="G42" s="213"/>
      <c r="H42" s="217"/>
      <c r="I42" s="215" t="s">
        <v>193</v>
      </c>
      <c r="J42" s="213"/>
      <c r="K42" s="213"/>
      <c r="L42" s="196" t="s">
        <v>187</v>
      </c>
      <c r="M42" s="197">
        <v>1</v>
      </c>
      <c r="N42" s="190" t="s">
        <v>183</v>
      </c>
      <c r="O42" s="198"/>
      <c r="P42" s="190" t="s">
        <v>185</v>
      </c>
      <c r="Q42" s="191"/>
      <c r="R42" s="192"/>
    </row>
    <row r="43" spans="4:18">
      <c r="D43" s="214"/>
      <c r="E43" s="210"/>
      <c r="F43" s="210"/>
      <c r="G43" s="210"/>
      <c r="H43" s="218"/>
      <c r="I43" s="216"/>
      <c r="J43" s="210"/>
      <c r="K43" s="210"/>
      <c r="L43" s="211" t="s">
        <v>188</v>
      </c>
      <c r="M43" s="241">
        <v>25</v>
      </c>
      <c r="N43" s="209" t="s">
        <v>189</v>
      </c>
      <c r="O43" s="246">
        <v>1</v>
      </c>
      <c r="P43" s="209" t="s">
        <v>190</v>
      </c>
      <c r="Q43" s="240">
        <v>1</v>
      </c>
      <c r="R43" s="5"/>
    </row>
    <row r="44" spans="4:18" ht="18" thickBot="1">
      <c r="D44" s="193" t="s">
        <v>115</v>
      </c>
      <c r="E44" s="194" t="s">
        <v>114</v>
      </c>
      <c r="F44" s="194" t="s">
        <v>113</v>
      </c>
      <c r="G44" s="194" t="s">
        <v>157</v>
      </c>
      <c r="H44" s="195" t="s">
        <v>176</v>
      </c>
      <c r="I44" s="250" t="s">
        <v>157</v>
      </c>
      <c r="J44" s="202" t="s">
        <v>176</v>
      </c>
      <c r="K44" s="200" t="s">
        <v>114</v>
      </c>
      <c r="L44" s="201" t="s">
        <v>113</v>
      </c>
      <c r="M44" s="201" t="s">
        <v>115</v>
      </c>
      <c r="N44" s="200" t="s">
        <v>114</v>
      </c>
      <c r="O44" s="256" t="s">
        <v>115</v>
      </c>
      <c r="P44" s="200" t="s">
        <v>114</v>
      </c>
      <c r="Q44" s="201" t="s">
        <v>115</v>
      </c>
      <c r="R44" s="202" t="s">
        <v>113</v>
      </c>
    </row>
    <row r="45" spans="4:18">
      <c r="D45" s="219">
        <v>50</v>
      </c>
      <c r="E45" s="220">
        <f>(D45*50)^0.5</f>
        <v>50</v>
      </c>
      <c r="F45" s="220">
        <f>E45/0.707*2</f>
        <v>141.44271570014146</v>
      </c>
      <c r="G45" s="220">
        <f>D45/E45</f>
        <v>1</v>
      </c>
      <c r="H45" s="253">
        <f>G45/0.707*2</f>
        <v>2.8288543140028288</v>
      </c>
      <c r="I45" s="251">
        <f>G45/M$43</f>
        <v>0.04</v>
      </c>
      <c r="J45" s="220">
        <f>I45/0.707*2</f>
        <v>0.11315417256011316</v>
      </c>
      <c r="K45" s="222">
        <f>I45*50</f>
        <v>2</v>
      </c>
      <c r="L45" s="220">
        <f>K45/0.707*2</f>
        <v>5.6577086280056577</v>
      </c>
      <c r="M45" s="221">
        <f>I45*K45</f>
        <v>0.08</v>
      </c>
      <c r="N45" s="251">
        <f>K45*O$31/(O$31+Q$31)</f>
        <v>1</v>
      </c>
      <c r="O45" s="224">
        <f>N45*N45/(O$31*1000)</f>
        <v>1E-3</v>
      </c>
      <c r="P45" s="251">
        <f>K45*Q$31/(O$31+Q$31)</f>
        <v>1</v>
      </c>
      <c r="Q45" s="223">
        <f>P45*P45/(Q$31*1000)</f>
        <v>1E-3</v>
      </c>
      <c r="R45" s="221">
        <f>P45/0.707*2</f>
        <v>2.8288543140028288</v>
      </c>
    </row>
    <row r="46" spans="4:18">
      <c r="D46" s="225">
        <v>100</v>
      </c>
      <c r="E46" s="226">
        <f t="shared" ref="E46:E51" si="28">(D46*50)^0.5</f>
        <v>70.710678118654755</v>
      </c>
      <c r="F46" s="226">
        <f>E46/0.707*2</f>
        <v>200.03020684202195</v>
      </c>
      <c r="G46" s="226">
        <f t="shared" ref="G46:G51" si="29">D46/E46</f>
        <v>1.4142135623730949</v>
      </c>
      <c r="H46" s="254">
        <f t="shared" ref="H46:H51" si="30">G46/0.707*2</f>
        <v>4.0006041368404386</v>
      </c>
      <c r="I46" s="243">
        <f t="shared" ref="I46:I51" si="31">G46/M$43</f>
        <v>5.6568542494923796E-2</v>
      </c>
      <c r="J46" s="226">
        <f t="shared" ref="J46:J51" si="32">I46/0.707*2</f>
        <v>0.16002416547361753</v>
      </c>
      <c r="K46" s="228">
        <f t="shared" ref="K46:K51" si="33">I46*50</f>
        <v>2.8284271247461898</v>
      </c>
      <c r="L46" s="226">
        <f t="shared" ref="L46:L51" si="34">K46/0.707*2</f>
        <v>8.0012082736808772</v>
      </c>
      <c r="M46" s="227">
        <f t="shared" ref="M46:M51" si="35">I46*K46</f>
        <v>0.15999999999999998</v>
      </c>
      <c r="N46" s="243">
        <f t="shared" ref="N46:N51" si="36">K46*O$31/(O$31+Q$31)</f>
        <v>1.4142135623730949</v>
      </c>
      <c r="O46" s="230">
        <f>N46*N46/(O$31*1000)</f>
        <v>1.9999999999999996E-3</v>
      </c>
      <c r="P46" s="243">
        <f t="shared" ref="P46:P51" si="37">K46*Q$31/(O$31+Q$31)</f>
        <v>1.4142135623730949</v>
      </c>
      <c r="Q46" s="229">
        <f>P46*P46/(Q$31*1000)</f>
        <v>1.9999999999999996E-3</v>
      </c>
      <c r="R46" s="227">
        <f t="shared" ref="R46:R51" si="38">P46/0.707*2</f>
        <v>4.0006041368404386</v>
      </c>
    </row>
    <row r="47" spans="4:18">
      <c r="D47" s="225">
        <v>150</v>
      </c>
      <c r="E47" s="226">
        <f t="shared" si="28"/>
        <v>86.602540378443862</v>
      </c>
      <c r="F47" s="226">
        <f>E47/0.707*2</f>
        <v>244.98596995316512</v>
      </c>
      <c r="G47" s="226">
        <f t="shared" si="29"/>
        <v>1.7320508075688774</v>
      </c>
      <c r="H47" s="254">
        <f t="shared" si="30"/>
        <v>4.8997193990633026</v>
      </c>
      <c r="I47" s="243">
        <f t="shared" si="31"/>
        <v>6.9282032302755092E-2</v>
      </c>
      <c r="J47" s="226">
        <f t="shared" si="32"/>
        <v>0.19598877596253209</v>
      </c>
      <c r="K47" s="228">
        <f t="shared" si="33"/>
        <v>3.4641016151377544</v>
      </c>
      <c r="L47" s="226">
        <f t="shared" si="34"/>
        <v>9.7994387981266033</v>
      </c>
      <c r="M47" s="227">
        <f t="shared" si="35"/>
        <v>0.24</v>
      </c>
      <c r="N47" s="243">
        <f t="shared" si="36"/>
        <v>1.7320508075688772</v>
      </c>
      <c r="O47" s="230">
        <f>N47*N47/(O$31*1000)</f>
        <v>2.9999999999999996E-3</v>
      </c>
      <c r="P47" s="243">
        <f t="shared" si="37"/>
        <v>1.7320508075688772</v>
      </c>
      <c r="Q47" s="229">
        <f>P47*P47/(Q$31*1000)</f>
        <v>2.9999999999999996E-3</v>
      </c>
      <c r="R47" s="227">
        <f t="shared" si="38"/>
        <v>4.8997193990633017</v>
      </c>
    </row>
    <row r="48" spans="4:18">
      <c r="D48" s="225">
        <v>200</v>
      </c>
      <c r="E48" s="226">
        <f t="shared" si="28"/>
        <v>100</v>
      </c>
      <c r="F48" s="226">
        <f>E48/0.707*2</f>
        <v>282.88543140028293</v>
      </c>
      <c r="G48" s="226">
        <f t="shared" si="29"/>
        <v>2</v>
      </c>
      <c r="H48" s="254">
        <f t="shared" si="30"/>
        <v>5.6577086280056577</v>
      </c>
      <c r="I48" s="243">
        <f t="shared" si="31"/>
        <v>0.08</v>
      </c>
      <c r="J48" s="226">
        <f t="shared" si="32"/>
        <v>0.22630834512022632</v>
      </c>
      <c r="K48" s="228">
        <f t="shared" si="33"/>
        <v>4</v>
      </c>
      <c r="L48" s="226">
        <f t="shared" si="34"/>
        <v>11.315417256011315</v>
      </c>
      <c r="M48" s="227">
        <f t="shared" si="35"/>
        <v>0.32</v>
      </c>
      <c r="N48" s="243">
        <f t="shared" si="36"/>
        <v>2</v>
      </c>
      <c r="O48" s="230">
        <f>N48*N48/(O$31*1000)</f>
        <v>4.0000000000000001E-3</v>
      </c>
      <c r="P48" s="243">
        <f t="shared" si="37"/>
        <v>2</v>
      </c>
      <c r="Q48" s="229">
        <f>P48*P48/(Q$31*1000)</f>
        <v>4.0000000000000001E-3</v>
      </c>
      <c r="R48" s="227">
        <f t="shared" si="38"/>
        <v>5.6577086280056577</v>
      </c>
    </row>
    <row r="49" spans="4:18">
      <c r="D49" s="225">
        <v>250</v>
      </c>
      <c r="E49" s="226">
        <f t="shared" si="28"/>
        <v>111.80339887498948</v>
      </c>
      <c r="F49" s="226">
        <f>E49/0.707*2</f>
        <v>316.27552722769303</v>
      </c>
      <c r="G49" s="226">
        <f t="shared" si="29"/>
        <v>2.2360679774997898</v>
      </c>
      <c r="H49" s="254">
        <f t="shared" si="30"/>
        <v>6.3255105445538611</v>
      </c>
      <c r="I49" s="243">
        <f t="shared" si="31"/>
        <v>8.9442719099991588E-2</v>
      </c>
      <c r="J49" s="226">
        <f t="shared" si="32"/>
        <v>0.25302042178215445</v>
      </c>
      <c r="K49" s="228">
        <f t="shared" si="33"/>
        <v>4.4721359549995796</v>
      </c>
      <c r="L49" s="226">
        <f t="shared" si="34"/>
        <v>12.651021089107722</v>
      </c>
      <c r="M49" s="227">
        <f t="shared" si="35"/>
        <v>0.4</v>
      </c>
      <c r="N49" s="243">
        <f t="shared" si="36"/>
        <v>2.2360679774997898</v>
      </c>
      <c r="O49" s="230">
        <f>N49*N49/(O$31*1000)</f>
        <v>5.000000000000001E-3</v>
      </c>
      <c r="P49" s="243">
        <f t="shared" si="37"/>
        <v>2.2360679774997898</v>
      </c>
      <c r="Q49" s="229">
        <f>P49*P49/(Q$31*1000)</f>
        <v>5.000000000000001E-3</v>
      </c>
      <c r="R49" s="227">
        <f t="shared" si="38"/>
        <v>6.3255105445538611</v>
      </c>
    </row>
    <row r="50" spans="4:18">
      <c r="D50" s="225">
        <v>300</v>
      </c>
      <c r="E50" s="226">
        <f t="shared" si="28"/>
        <v>122.47448713915891</v>
      </c>
      <c r="F50" s="226">
        <f>E50/0.707*2</f>
        <v>346.46248129889369</v>
      </c>
      <c r="G50" s="226">
        <f t="shared" si="29"/>
        <v>2.4494897427831779</v>
      </c>
      <c r="H50" s="254">
        <f t="shared" si="30"/>
        <v>6.9292496259778726</v>
      </c>
      <c r="I50" s="243">
        <f t="shared" si="31"/>
        <v>9.7979589711327114E-2</v>
      </c>
      <c r="J50" s="226">
        <f t="shared" si="32"/>
        <v>0.27716998503911489</v>
      </c>
      <c r="K50" s="228">
        <f t="shared" si="33"/>
        <v>4.8989794855663558</v>
      </c>
      <c r="L50" s="226">
        <f t="shared" si="34"/>
        <v>13.858499251955745</v>
      </c>
      <c r="M50" s="227">
        <f t="shared" si="35"/>
        <v>0.47999999999999993</v>
      </c>
      <c r="N50" s="243">
        <f t="shared" si="36"/>
        <v>2.4494897427831779</v>
      </c>
      <c r="O50" s="230">
        <f>N50*N50/(O$31*1000)</f>
        <v>5.9999999999999993E-3</v>
      </c>
      <c r="P50" s="243">
        <f t="shared" si="37"/>
        <v>2.4494897427831779</v>
      </c>
      <c r="Q50" s="229">
        <f>P50*P50/(Q$31*1000)</f>
        <v>5.9999999999999993E-3</v>
      </c>
      <c r="R50" s="227">
        <f t="shared" si="38"/>
        <v>6.9292496259778726</v>
      </c>
    </row>
    <row r="51" spans="4:18" ht="18" thickBot="1">
      <c r="D51" s="231">
        <v>350</v>
      </c>
      <c r="E51" s="232">
        <f t="shared" si="28"/>
        <v>132.28756555322954</v>
      </c>
      <c r="F51" s="232">
        <f>E51/0.707*2</f>
        <v>374.22225050418541</v>
      </c>
      <c r="G51" s="232">
        <f t="shared" si="29"/>
        <v>2.6457513110645903</v>
      </c>
      <c r="H51" s="255">
        <f t="shared" si="30"/>
        <v>7.4844450100837072</v>
      </c>
      <c r="I51" s="244">
        <f t="shared" si="31"/>
        <v>0.10583005244258362</v>
      </c>
      <c r="J51" s="232">
        <f t="shared" si="32"/>
        <v>0.29937780040334827</v>
      </c>
      <c r="K51" s="234">
        <f t="shared" si="33"/>
        <v>5.2915026221291805</v>
      </c>
      <c r="L51" s="232">
        <f t="shared" si="34"/>
        <v>14.968890020167414</v>
      </c>
      <c r="M51" s="233">
        <f t="shared" si="35"/>
        <v>0.55999999999999994</v>
      </c>
      <c r="N51" s="244">
        <f t="shared" si="36"/>
        <v>2.6457513110645903</v>
      </c>
      <c r="O51" s="236">
        <f>N51*N51/(O$31*1000)</f>
        <v>6.9999999999999984E-3</v>
      </c>
      <c r="P51" s="244">
        <f t="shared" si="37"/>
        <v>2.6457513110645903</v>
      </c>
      <c r="Q51" s="235">
        <f>P51*P51/(Q$31*1000)</f>
        <v>6.9999999999999984E-3</v>
      </c>
      <c r="R51" s="233">
        <f t="shared" si="38"/>
        <v>7.4844450100837072</v>
      </c>
    </row>
    <row r="53" spans="4:18" ht="18" thickBot="1">
      <c r="D53" s="1" t="s">
        <v>196</v>
      </c>
    </row>
    <row r="54" spans="4:18">
      <c r="D54" s="265" t="s">
        <v>197</v>
      </c>
      <c r="E54" s="3">
        <v>1</v>
      </c>
      <c r="F54" s="10">
        <v>1</v>
      </c>
      <c r="G54" s="11">
        <v>0.56000000000000005</v>
      </c>
      <c r="H54" s="262" t="s">
        <v>184</v>
      </c>
    </row>
    <row r="55" spans="4:18">
      <c r="D55" s="266" t="s">
        <v>198</v>
      </c>
      <c r="E55" s="4">
        <v>100</v>
      </c>
      <c r="F55" s="2">
        <v>47</v>
      </c>
      <c r="G55" s="5">
        <v>100</v>
      </c>
      <c r="H55" s="263" t="s">
        <v>199</v>
      </c>
    </row>
    <row r="56" spans="4:18">
      <c r="D56" s="266" t="s">
        <v>200</v>
      </c>
      <c r="E56" s="4">
        <f>(1/(2*3.14*E54*1000*E55*10^(-12)))/1000</f>
        <v>1592.3566878980891</v>
      </c>
      <c r="F56" s="2">
        <f>(1/(2*3.14*F54*1000*F55*10^(-12)))/1000</f>
        <v>3387.9929529746578</v>
      </c>
      <c r="G56" s="5">
        <f>(1/(2*3.14*G54*1000*G55*10^(-12)))/1000</f>
        <v>2843.4940855323021</v>
      </c>
      <c r="H56" s="263" t="s">
        <v>201</v>
      </c>
    </row>
    <row r="57" spans="4:18" ht="18" thickBot="1">
      <c r="D57" s="267" t="s">
        <v>202</v>
      </c>
      <c r="E57" s="7">
        <f>1/(2*3.14*E56)*1000</f>
        <v>0.1</v>
      </c>
      <c r="F57" s="8">
        <f>1/(2*3.14*F56)*1000</f>
        <v>4.7E-2</v>
      </c>
      <c r="G57" s="9">
        <f>1/(2*3.14*G56)*1000</f>
        <v>5.5999999999999994E-2</v>
      </c>
      <c r="H57" s="264" t="s">
        <v>203</v>
      </c>
    </row>
    <row r="59" spans="4:18" ht="18" thickBot="1">
      <c r="D59" s="261" t="s">
        <v>204</v>
      </c>
    </row>
    <row r="60" spans="4:18">
      <c r="D60" s="265" t="s">
        <v>198</v>
      </c>
      <c r="E60" s="3">
        <v>20</v>
      </c>
      <c r="F60" s="10">
        <v>68</v>
      </c>
      <c r="G60" s="10">
        <v>100</v>
      </c>
      <c r="H60" s="11">
        <v>100000</v>
      </c>
      <c r="I60" s="262" t="s">
        <v>199</v>
      </c>
    </row>
    <row r="61" spans="4:18">
      <c r="D61" s="266" t="s">
        <v>200</v>
      </c>
      <c r="E61" s="4">
        <v>27120</v>
      </c>
      <c r="F61" s="2">
        <v>13560</v>
      </c>
      <c r="G61" s="2">
        <v>13560</v>
      </c>
      <c r="H61" s="5">
        <v>0.8</v>
      </c>
      <c r="I61" s="263" t="s">
        <v>201</v>
      </c>
    </row>
    <row r="62" spans="4:18" ht="18" thickBot="1">
      <c r="D62" s="268" t="s">
        <v>205</v>
      </c>
      <c r="E62" s="7">
        <f>(1/(2*3.14*E61*1000*E60*10^(-12)))</f>
        <v>293.57608552693381</v>
      </c>
      <c r="F62" s="8">
        <f>(1/(2*3.14*F61*1000*F60*10^(-12)))</f>
        <v>172.69181501584345</v>
      </c>
      <c r="G62" s="8">
        <f>(1/(2*3.14*G61*1000*G60*10^(-12)))</f>
        <v>117.43043421077354</v>
      </c>
      <c r="H62" s="9">
        <f>(1/(2*3.14*H61*1000*H60*10^(-12)))</f>
        <v>1990.4458598726112</v>
      </c>
      <c r="I62" s="264" t="s">
        <v>170</v>
      </c>
    </row>
  </sheetData>
  <mergeCells count="20">
    <mergeCell ref="N42:O42"/>
    <mergeCell ref="P42:R42"/>
    <mergeCell ref="N30:O30"/>
    <mergeCell ref="D30:H31"/>
    <mergeCell ref="I30:K31"/>
    <mergeCell ref="P30:R30"/>
    <mergeCell ref="D42:H43"/>
    <mergeCell ref="I42:K43"/>
    <mergeCell ref="D24:E24"/>
    <mergeCell ref="D25:E25"/>
    <mergeCell ref="D26:E26"/>
    <mergeCell ref="D18:E18"/>
    <mergeCell ref="D19:E19"/>
    <mergeCell ref="D20:E20"/>
    <mergeCell ref="D21:E21"/>
    <mergeCell ref="D6:H6"/>
    <mergeCell ref="D15:E15"/>
    <mergeCell ref="D16:E16"/>
    <mergeCell ref="D17:E17"/>
    <mergeCell ref="I6:M6"/>
  </mergeCells>
  <phoneticPr fontId="1" type="noConversion"/>
  <pageMargins left="0.7" right="0.7" top="0.75" bottom="0.75" header="0.3" footer="0.3"/>
  <ignoredErrors>
    <ignoredError sqref="G8:G12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8"/>
  <sheetViews>
    <sheetView workbookViewId="0">
      <selection activeCell="D8" sqref="D8"/>
    </sheetView>
  </sheetViews>
  <sheetFormatPr defaultRowHeight="17.399999999999999"/>
  <sheetData>
    <row r="2" spans="2:8" ht="18" thickBot="1"/>
    <row r="3" spans="2:8" ht="18" thickBot="1">
      <c r="B3" s="52" t="s">
        <v>84</v>
      </c>
      <c r="C3" s="75" t="s">
        <v>85</v>
      </c>
      <c r="D3" s="75" t="s">
        <v>24</v>
      </c>
      <c r="E3" s="75" t="s">
        <v>86</v>
      </c>
      <c r="F3" s="75" t="s">
        <v>88</v>
      </c>
      <c r="G3" s="75" t="s">
        <v>87</v>
      </c>
      <c r="H3" s="53" t="s">
        <v>89</v>
      </c>
    </row>
    <row r="4" spans="2:8">
      <c r="B4" s="3">
        <v>9</v>
      </c>
      <c r="C4" s="10">
        <v>5</v>
      </c>
      <c r="D4" s="10">
        <v>1</v>
      </c>
      <c r="E4" s="10">
        <v>1</v>
      </c>
      <c r="F4" s="10">
        <v>0.05</v>
      </c>
      <c r="G4" s="10">
        <f>B4*E4/(C4+D4+E4)</f>
        <v>1.2857142857142858</v>
      </c>
      <c r="H4" s="11"/>
    </row>
    <row r="5" spans="2:8">
      <c r="B5" s="4">
        <v>9</v>
      </c>
      <c r="C5" s="2">
        <v>0</v>
      </c>
      <c r="D5" s="2">
        <v>1</v>
      </c>
      <c r="E5" s="2">
        <v>1</v>
      </c>
      <c r="F5" s="2">
        <v>0.05</v>
      </c>
      <c r="G5" s="2">
        <f>B5*E5/(C5+D5+E5)</f>
        <v>4.5</v>
      </c>
      <c r="H5" s="5"/>
    </row>
    <row r="6" spans="2:8">
      <c r="B6" s="4">
        <v>9</v>
      </c>
      <c r="C6" s="2">
        <v>0</v>
      </c>
      <c r="D6" s="2">
        <v>0.5</v>
      </c>
      <c r="E6" s="2">
        <v>1</v>
      </c>
      <c r="F6" s="2">
        <v>0.05</v>
      </c>
      <c r="G6" s="2">
        <f>B6*E6/(C6+D6+E6)</f>
        <v>6</v>
      </c>
      <c r="H6" s="5"/>
    </row>
    <row r="7" spans="2:8">
      <c r="B7" s="4">
        <v>9</v>
      </c>
      <c r="C7" s="2">
        <v>1</v>
      </c>
      <c r="D7" s="2">
        <v>0</v>
      </c>
      <c r="E7" s="2">
        <v>1</v>
      </c>
      <c r="F7" s="2">
        <v>0.05</v>
      </c>
      <c r="G7" s="2">
        <f>B7*E7/(C7+D7+E7)</f>
        <v>4.5</v>
      </c>
      <c r="H7" s="5"/>
    </row>
    <row r="8" spans="2:8" ht="18" thickBot="1">
      <c r="B8" s="7">
        <v>9</v>
      </c>
      <c r="C8" s="8">
        <v>3</v>
      </c>
      <c r="D8" s="8">
        <v>0</v>
      </c>
      <c r="E8" s="8">
        <v>1</v>
      </c>
      <c r="F8" s="8">
        <v>0.05</v>
      </c>
      <c r="G8" s="8">
        <f>B8*E8/(C8+D8+E8)</f>
        <v>2.25</v>
      </c>
      <c r="H8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I21"/>
  <sheetViews>
    <sheetView workbookViewId="0">
      <selection activeCell="M24" sqref="M24"/>
    </sheetView>
  </sheetViews>
  <sheetFormatPr defaultRowHeight="17.399999999999999"/>
  <cols>
    <col min="2" max="2" width="4.5" bestFit="1" customWidth="1"/>
    <col min="3" max="3" width="4.3984375" bestFit="1" customWidth="1"/>
    <col min="4" max="4" width="8.59765625" bestFit="1" customWidth="1"/>
    <col min="5" max="6" width="4.59765625" bestFit="1" customWidth="1"/>
    <col min="7" max="7" width="5.19921875" bestFit="1" customWidth="1"/>
    <col min="8" max="10" width="4.59765625" bestFit="1" customWidth="1"/>
    <col min="11" max="11" width="6.3984375" bestFit="1" customWidth="1"/>
    <col min="12" max="12" width="5.8984375" bestFit="1" customWidth="1"/>
    <col min="13" max="13" width="7.3984375" bestFit="1" customWidth="1"/>
    <col min="14" max="14" width="7.3984375" customWidth="1"/>
    <col min="15" max="15" width="4.5" bestFit="1" customWidth="1"/>
    <col min="16" max="16" width="6.3984375" bestFit="1" customWidth="1"/>
    <col min="17" max="18" width="4.3984375" bestFit="1" customWidth="1"/>
    <col min="19" max="19" width="5.19921875" bestFit="1" customWidth="1"/>
    <col min="20" max="20" width="7.3984375" bestFit="1" customWidth="1"/>
    <col min="21" max="21" width="5" bestFit="1" customWidth="1"/>
    <col min="22" max="22" width="5.3984375" bestFit="1" customWidth="1"/>
    <col min="23" max="23" width="5.8984375" bestFit="1" customWidth="1"/>
    <col min="24" max="24" width="4.69921875" bestFit="1" customWidth="1"/>
    <col min="25" max="25" width="4.8984375" bestFit="1" customWidth="1"/>
    <col min="27" max="27" width="8.59765625" bestFit="1" customWidth="1"/>
  </cols>
  <sheetData>
    <row r="2" spans="2:35" ht="18" thickBot="1"/>
    <row r="3" spans="2:35" ht="18" thickBot="1">
      <c r="B3" s="73"/>
      <c r="C3" s="74"/>
      <c r="D3" s="144" t="s">
        <v>21</v>
      </c>
      <c r="E3" s="149"/>
      <c r="F3" s="149"/>
      <c r="G3" s="149"/>
      <c r="H3" s="149"/>
      <c r="I3" s="149"/>
      <c r="J3" s="149"/>
      <c r="K3" s="149"/>
      <c r="L3" s="145"/>
      <c r="M3" s="152" t="s">
        <v>81</v>
      </c>
      <c r="N3" s="152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53"/>
      <c r="Z3" s="76" t="s">
        <v>57</v>
      </c>
    </row>
    <row r="4" spans="2:35">
      <c r="B4" s="69"/>
      <c r="C4" s="70"/>
      <c r="D4" s="69"/>
      <c r="E4" s="148"/>
      <c r="F4" s="148"/>
      <c r="G4" s="148"/>
      <c r="H4" s="68"/>
      <c r="I4" s="68"/>
      <c r="J4" s="68"/>
      <c r="K4" s="146" t="s">
        <v>10</v>
      </c>
      <c r="L4" s="147"/>
      <c r="M4" s="71"/>
      <c r="N4" s="71"/>
      <c r="O4" s="54"/>
      <c r="P4" s="54"/>
      <c r="Q4" s="54"/>
      <c r="R4" s="54"/>
      <c r="S4" s="54"/>
      <c r="T4" s="54"/>
      <c r="U4" s="54"/>
      <c r="V4" s="150" t="s">
        <v>34</v>
      </c>
      <c r="W4" s="150"/>
      <c r="X4" s="150"/>
      <c r="Y4" s="151"/>
      <c r="Z4" s="72"/>
      <c r="AC4" t="s">
        <v>101</v>
      </c>
      <c r="AF4" t="s">
        <v>96</v>
      </c>
    </row>
    <row r="5" spans="2:35" ht="18" thickBot="1">
      <c r="B5" s="45"/>
      <c r="C5" s="57" t="s">
        <v>12</v>
      </c>
      <c r="D5" s="65" t="s">
        <v>7</v>
      </c>
      <c r="E5" s="24" t="s">
        <v>2</v>
      </c>
      <c r="F5" s="24" t="s">
        <v>3</v>
      </c>
      <c r="G5" s="24" t="s">
        <v>1</v>
      </c>
      <c r="H5" s="23" t="s">
        <v>5</v>
      </c>
      <c r="I5" s="23" t="s">
        <v>6</v>
      </c>
      <c r="J5" s="23" t="s">
        <v>9</v>
      </c>
      <c r="K5" s="77" t="s">
        <v>14</v>
      </c>
      <c r="L5" s="79" t="s">
        <v>15</v>
      </c>
      <c r="M5" s="62" t="s">
        <v>22</v>
      </c>
      <c r="N5" s="83" t="s">
        <v>10</v>
      </c>
      <c r="O5" s="24" t="s">
        <v>24</v>
      </c>
      <c r="P5" s="24" t="s">
        <v>25</v>
      </c>
      <c r="Q5" s="24" t="s">
        <v>26</v>
      </c>
      <c r="R5" s="24" t="s">
        <v>27</v>
      </c>
      <c r="S5" s="77" t="s">
        <v>1</v>
      </c>
      <c r="T5" s="24" t="s">
        <v>28</v>
      </c>
      <c r="U5" s="24" t="s">
        <v>36</v>
      </c>
      <c r="V5" s="77" t="s">
        <v>14</v>
      </c>
      <c r="W5" s="83" t="s">
        <v>15</v>
      </c>
      <c r="X5" s="23" t="s">
        <v>16</v>
      </c>
      <c r="Y5" s="57" t="s">
        <v>38</v>
      </c>
      <c r="Z5" s="87" t="s">
        <v>83</v>
      </c>
      <c r="AA5" s="88" t="s">
        <v>82</v>
      </c>
      <c r="AB5" t="s">
        <v>90</v>
      </c>
      <c r="AC5" t="s">
        <v>102</v>
      </c>
      <c r="AD5" t="s">
        <v>103</v>
      </c>
      <c r="AE5" t="s">
        <v>104</v>
      </c>
      <c r="AF5" t="s">
        <v>100</v>
      </c>
      <c r="AG5" t="s">
        <v>97</v>
      </c>
      <c r="AH5" t="s">
        <v>98</v>
      </c>
      <c r="AI5" t="s">
        <v>99</v>
      </c>
    </row>
    <row r="6" spans="2:35" ht="18" thickBot="1">
      <c r="B6" s="12" t="s">
        <v>80</v>
      </c>
      <c r="C6" s="58">
        <v>0.8</v>
      </c>
      <c r="D6" s="66">
        <v>0.51200000000000001</v>
      </c>
      <c r="E6" s="14">
        <v>470</v>
      </c>
      <c r="F6" s="14">
        <v>47</v>
      </c>
      <c r="G6" s="33">
        <f t="shared" ref="G6" si="0">1+E6/F6</f>
        <v>11</v>
      </c>
      <c r="H6" s="55">
        <v>0</v>
      </c>
      <c r="I6" s="55" t="s">
        <v>8</v>
      </c>
      <c r="J6" s="55" t="s">
        <v>8</v>
      </c>
      <c r="K6" s="33">
        <f>D6*G6</f>
        <v>5.6319999999999997</v>
      </c>
      <c r="L6" s="80">
        <v>3.24</v>
      </c>
      <c r="M6" s="63" t="s">
        <v>23</v>
      </c>
      <c r="N6" s="13">
        <v>3.36</v>
      </c>
      <c r="O6" s="10" t="s">
        <v>30</v>
      </c>
      <c r="P6" s="10" t="s">
        <v>29</v>
      </c>
      <c r="Q6" s="10">
        <v>680</v>
      </c>
      <c r="R6" s="10">
        <v>680</v>
      </c>
      <c r="S6" s="50">
        <f>1+Q6/R6</f>
        <v>2</v>
      </c>
      <c r="T6" s="10" t="s">
        <v>23</v>
      </c>
      <c r="U6" s="10">
        <v>51</v>
      </c>
      <c r="V6" s="33">
        <f>N6*S6</f>
        <v>6.72</v>
      </c>
      <c r="W6" s="13">
        <v>6.25</v>
      </c>
      <c r="X6" s="56">
        <f>W6*W6/U6</f>
        <v>0.76593137254901966</v>
      </c>
      <c r="Y6" s="67">
        <f>X6/W6</f>
        <v>0.12254901960784315</v>
      </c>
      <c r="Z6" s="89">
        <v>2.96</v>
      </c>
      <c r="AA6" s="90">
        <v>2.92</v>
      </c>
      <c r="AB6">
        <v>4</v>
      </c>
    </row>
    <row r="7" spans="2:35">
      <c r="B7" s="4"/>
      <c r="C7" s="58">
        <v>0.8</v>
      </c>
      <c r="D7" s="66">
        <v>0.51200000000000001</v>
      </c>
      <c r="E7" s="14">
        <v>470</v>
      </c>
      <c r="F7" s="14">
        <v>47</v>
      </c>
      <c r="G7" s="33">
        <f t="shared" ref="G7" si="1">1+E7/F7</f>
        <v>11</v>
      </c>
      <c r="H7" s="55">
        <v>0</v>
      </c>
      <c r="I7" s="55" t="s">
        <v>8</v>
      </c>
      <c r="J7" s="55" t="s">
        <v>8</v>
      </c>
      <c r="K7" s="33">
        <f>D7*G7</f>
        <v>5.6319999999999997</v>
      </c>
      <c r="L7" s="80">
        <v>2.76</v>
      </c>
      <c r="M7" s="63" t="s">
        <v>23</v>
      </c>
      <c r="N7" s="13">
        <v>2.76</v>
      </c>
      <c r="O7" s="10" t="s">
        <v>30</v>
      </c>
      <c r="P7" s="10" t="s">
        <v>29</v>
      </c>
      <c r="Q7" s="10">
        <v>680</v>
      </c>
      <c r="R7" s="10">
        <v>360</v>
      </c>
      <c r="S7" s="50">
        <f>1+Q7/R7</f>
        <v>2.8888888888888888</v>
      </c>
      <c r="T7" s="10" t="s">
        <v>23</v>
      </c>
      <c r="U7" s="10">
        <v>51</v>
      </c>
      <c r="V7" s="33">
        <f>N7*S7</f>
        <v>7.9733333333333327</v>
      </c>
      <c r="W7" s="13">
        <v>7.68</v>
      </c>
      <c r="X7" s="56">
        <f>W7*W7/U7</f>
        <v>1.1565176470588234</v>
      </c>
      <c r="Y7" s="67">
        <f>X7/W7</f>
        <v>0.15058823529411763</v>
      </c>
      <c r="Z7" s="89">
        <v>3.84</v>
      </c>
      <c r="AA7" s="90">
        <v>3.72</v>
      </c>
      <c r="AB7">
        <v>4</v>
      </c>
    </row>
    <row r="8" spans="2:35">
      <c r="B8" s="4"/>
      <c r="C8" s="59">
        <v>0.6</v>
      </c>
      <c r="D8" s="4"/>
      <c r="E8" s="2"/>
      <c r="F8" s="2"/>
      <c r="G8" s="2"/>
      <c r="H8" s="2"/>
      <c r="I8" s="2"/>
      <c r="J8" s="2"/>
      <c r="K8" s="35"/>
      <c r="L8" s="81">
        <v>2.2400000000000002</v>
      </c>
      <c r="M8" s="61"/>
      <c r="N8" s="84"/>
      <c r="O8" s="2"/>
      <c r="P8" s="2"/>
      <c r="Q8" s="2"/>
      <c r="R8" s="2"/>
      <c r="S8" s="35"/>
      <c r="T8" s="2"/>
      <c r="U8" s="2" t="s">
        <v>105</v>
      </c>
      <c r="V8" s="35"/>
      <c r="W8" s="19">
        <v>5.76</v>
      </c>
      <c r="X8" s="2"/>
      <c r="Y8" s="59"/>
      <c r="Z8" s="91"/>
      <c r="AA8" s="90"/>
      <c r="AB8">
        <v>2.5</v>
      </c>
      <c r="AC8">
        <v>50</v>
      </c>
      <c r="AD8">
        <v>23.36</v>
      </c>
      <c r="AE8">
        <v>0.9</v>
      </c>
      <c r="AF8">
        <v>50</v>
      </c>
      <c r="AG8">
        <v>74.400000000000006</v>
      </c>
      <c r="AH8">
        <v>25.4</v>
      </c>
      <c r="AI8" s="93">
        <f>AH8*AH8/AF8</f>
        <v>12.9032</v>
      </c>
    </row>
    <row r="9" spans="2:35">
      <c r="B9" s="4"/>
      <c r="C9" s="59"/>
      <c r="D9" s="4"/>
      <c r="E9" s="2"/>
      <c r="F9" s="2"/>
      <c r="G9" s="2"/>
      <c r="H9" s="2"/>
      <c r="I9" s="2"/>
      <c r="J9" s="2"/>
      <c r="K9" s="35"/>
      <c r="L9" s="81"/>
      <c r="M9" s="61"/>
      <c r="N9" s="84"/>
      <c r="O9" s="2"/>
      <c r="P9" s="2"/>
      <c r="Q9" s="2"/>
      <c r="R9" s="2"/>
      <c r="S9" s="35"/>
      <c r="T9" s="2"/>
      <c r="U9" s="2"/>
      <c r="V9" s="35"/>
      <c r="W9" s="19"/>
      <c r="X9" s="2"/>
      <c r="Y9" s="59"/>
      <c r="Z9" s="91"/>
      <c r="AA9" s="90"/>
      <c r="AB9">
        <v>3</v>
      </c>
      <c r="AE9">
        <v>0.9</v>
      </c>
      <c r="AF9">
        <v>50</v>
      </c>
      <c r="AG9">
        <v>74.400000000000006</v>
      </c>
      <c r="AH9">
        <v>25.2</v>
      </c>
      <c r="AI9" s="93">
        <f>AH9*AH9/AF9</f>
        <v>12.700799999999999</v>
      </c>
    </row>
    <row r="10" spans="2:35">
      <c r="B10" s="4"/>
      <c r="C10" s="59"/>
      <c r="D10" s="4"/>
      <c r="E10" s="2"/>
      <c r="F10" s="2"/>
      <c r="G10" s="2"/>
      <c r="H10" s="2"/>
      <c r="I10" s="2"/>
      <c r="J10" s="2"/>
      <c r="K10" s="35"/>
      <c r="L10" s="81"/>
      <c r="M10" s="61"/>
      <c r="N10" s="84"/>
      <c r="O10" s="2"/>
      <c r="P10" s="2"/>
      <c r="Q10" s="2"/>
      <c r="R10" s="2"/>
      <c r="S10" s="35"/>
      <c r="T10" s="2"/>
      <c r="U10" s="2"/>
      <c r="V10" s="35"/>
      <c r="W10" s="19"/>
      <c r="X10" s="2"/>
      <c r="Y10" s="59"/>
      <c r="Z10" s="91"/>
      <c r="AA10" s="90"/>
      <c r="AB10">
        <v>3.76</v>
      </c>
      <c r="AE10">
        <v>1.5</v>
      </c>
      <c r="AF10">
        <v>50</v>
      </c>
      <c r="AG10">
        <v>71.2</v>
      </c>
      <c r="AH10">
        <v>23.9</v>
      </c>
      <c r="AI10" s="93">
        <f>AH10*AH10/AF10</f>
        <v>11.424199999999999</v>
      </c>
    </row>
    <row r="11" spans="2:35">
      <c r="B11" s="94"/>
      <c r="C11" s="95">
        <v>2</v>
      </c>
      <c r="D11" s="94"/>
      <c r="E11" s="96"/>
      <c r="F11" s="96"/>
      <c r="G11" s="96"/>
      <c r="H11" s="96"/>
      <c r="I11" s="96"/>
      <c r="J11" s="96"/>
      <c r="K11" s="97"/>
      <c r="L11" s="98">
        <v>3.92</v>
      </c>
      <c r="M11" s="99"/>
      <c r="N11" s="100"/>
      <c r="O11" s="96"/>
      <c r="P11" s="96"/>
      <c r="Q11" s="96"/>
      <c r="R11" s="96"/>
      <c r="S11" s="97"/>
      <c r="T11" s="96"/>
      <c r="U11" s="96"/>
      <c r="V11" s="97"/>
      <c r="W11" s="101">
        <v>10.6</v>
      </c>
      <c r="X11" s="96"/>
      <c r="Y11" s="95"/>
      <c r="Z11" s="102"/>
      <c r="AA11" s="90"/>
      <c r="AB11">
        <v>2</v>
      </c>
      <c r="AE11">
        <v>0.9</v>
      </c>
      <c r="AF11">
        <v>50</v>
      </c>
      <c r="AG11">
        <v>74.400000000000006</v>
      </c>
      <c r="AH11">
        <v>25.6</v>
      </c>
      <c r="AI11" s="93">
        <f>AH11*AH11/AF11</f>
        <v>13.107200000000002</v>
      </c>
    </row>
    <row r="12" spans="2:35">
      <c r="B12" s="94"/>
      <c r="C12" s="95"/>
      <c r="D12" s="94"/>
      <c r="E12" s="96"/>
      <c r="F12" s="96"/>
      <c r="G12" s="96"/>
      <c r="H12" s="96"/>
      <c r="I12" s="96"/>
      <c r="J12" s="96"/>
      <c r="K12" s="97"/>
      <c r="L12" s="98"/>
      <c r="M12" s="99"/>
      <c r="N12" s="100"/>
      <c r="O12" s="96"/>
      <c r="P12" s="96"/>
      <c r="Q12" s="96"/>
      <c r="R12" s="96"/>
      <c r="S12" s="97"/>
      <c r="T12" s="96"/>
      <c r="U12" s="96"/>
      <c r="V12" s="97"/>
      <c r="W12" s="101"/>
      <c r="X12" s="96"/>
      <c r="Y12" s="95"/>
      <c r="Z12" s="102"/>
      <c r="AA12" s="90"/>
      <c r="AB12">
        <v>2.5</v>
      </c>
      <c r="AE12">
        <v>0.9</v>
      </c>
      <c r="AF12">
        <v>50</v>
      </c>
      <c r="AG12">
        <v>75.2</v>
      </c>
      <c r="AH12">
        <v>25.5</v>
      </c>
      <c r="AI12" s="93">
        <f>AH12*AH12/AF12</f>
        <v>13.005000000000001</v>
      </c>
    </row>
    <row r="13" spans="2:35">
      <c r="B13" s="94"/>
      <c r="C13" s="95"/>
      <c r="D13" s="94"/>
      <c r="E13" s="96"/>
      <c r="F13" s="96"/>
      <c r="G13" s="96"/>
      <c r="H13" s="96"/>
      <c r="I13" s="96"/>
      <c r="J13" s="96"/>
      <c r="K13" s="97"/>
      <c r="L13" s="98"/>
      <c r="M13" s="99"/>
      <c r="N13" s="100"/>
      <c r="O13" s="96"/>
      <c r="P13" s="96"/>
      <c r="Q13" s="96"/>
      <c r="R13" s="96"/>
      <c r="S13" s="97"/>
      <c r="T13" s="96"/>
      <c r="U13" s="96"/>
      <c r="V13" s="97"/>
      <c r="W13" s="101"/>
      <c r="X13" s="96"/>
      <c r="Y13" s="95"/>
      <c r="Z13" s="102"/>
      <c r="AA13" s="90"/>
      <c r="AI13" s="93"/>
    </row>
    <row r="14" spans="2:35">
      <c r="B14" s="94"/>
      <c r="C14" s="95"/>
      <c r="D14" s="94"/>
      <c r="E14" s="96"/>
      <c r="F14" s="96"/>
      <c r="G14" s="96"/>
      <c r="H14" s="96"/>
      <c r="I14" s="96"/>
      <c r="J14" s="96"/>
      <c r="K14" s="97"/>
      <c r="L14" s="98"/>
      <c r="M14" s="99"/>
      <c r="N14" s="100"/>
      <c r="O14" s="96"/>
      <c r="P14" s="96"/>
      <c r="Q14" s="96"/>
      <c r="R14" s="96"/>
      <c r="S14" s="97"/>
      <c r="T14" s="96"/>
      <c r="U14" s="96"/>
      <c r="V14" s="97"/>
      <c r="W14" s="101"/>
      <c r="X14" s="96"/>
      <c r="Y14" s="95"/>
      <c r="Z14" s="102"/>
      <c r="AA14" s="90"/>
      <c r="AI14" s="93"/>
    </row>
    <row r="15" spans="2:35" ht="18" thickBot="1">
      <c r="B15" s="7"/>
      <c r="C15" s="60"/>
      <c r="D15" s="7"/>
      <c r="E15" s="8"/>
      <c r="F15" s="8"/>
      <c r="G15" s="8"/>
      <c r="H15" s="8"/>
      <c r="I15" s="8"/>
      <c r="J15" s="8"/>
      <c r="K15" s="78"/>
      <c r="L15" s="82"/>
      <c r="M15" s="64"/>
      <c r="N15" s="85"/>
      <c r="O15" s="8"/>
      <c r="P15" s="8"/>
      <c r="Q15" s="8"/>
      <c r="R15" s="8"/>
      <c r="S15" s="78"/>
      <c r="T15" s="8"/>
      <c r="U15" s="8"/>
      <c r="V15" s="78"/>
      <c r="W15" s="86"/>
      <c r="X15" s="8"/>
      <c r="Y15" s="60"/>
      <c r="Z15" s="88"/>
      <c r="AA15" s="90"/>
    </row>
    <row r="17" spans="2:33">
      <c r="B17" t="s">
        <v>91</v>
      </c>
      <c r="AF17">
        <v>23.36</v>
      </c>
      <c r="AG17">
        <v>0.9</v>
      </c>
    </row>
    <row r="18" spans="2:33">
      <c r="B18" t="s">
        <v>92</v>
      </c>
    </row>
    <row r="19" spans="2:33">
      <c r="B19" t="s">
        <v>93</v>
      </c>
    </row>
    <row r="20" spans="2:33">
      <c r="B20" t="s">
        <v>94</v>
      </c>
    </row>
    <row r="21" spans="2:33">
      <c r="C21" s="92" t="s">
        <v>95</v>
      </c>
    </row>
  </sheetData>
  <mergeCells count="5">
    <mergeCell ref="K4:L4"/>
    <mergeCell ref="E4:G4"/>
    <mergeCell ref="D3:L3"/>
    <mergeCell ref="V4:Y4"/>
    <mergeCell ref="M3:Y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13"/>
  <sheetViews>
    <sheetView workbookViewId="0">
      <selection activeCell="H20" sqref="H20"/>
    </sheetView>
  </sheetViews>
  <sheetFormatPr defaultRowHeight="17.399999999999999"/>
  <sheetData>
    <row r="1" spans="2:13">
      <c r="B1" s="1" t="s">
        <v>107</v>
      </c>
    </row>
    <row r="2" spans="2:13" ht="18" thickBot="1">
      <c r="C2" t="s">
        <v>119</v>
      </c>
    </row>
    <row r="3" spans="2:13" s="1" customFormat="1">
      <c r="B3" s="113" t="s">
        <v>12</v>
      </c>
      <c r="C3" s="114" t="s">
        <v>34</v>
      </c>
      <c r="D3" s="114" t="s">
        <v>117</v>
      </c>
      <c r="E3" s="114"/>
      <c r="F3" s="156" t="s">
        <v>106</v>
      </c>
      <c r="G3" s="156"/>
      <c r="H3" s="156"/>
      <c r="I3" s="156" t="s">
        <v>96</v>
      </c>
      <c r="J3" s="156"/>
      <c r="K3" s="156"/>
      <c r="L3" s="156"/>
      <c r="M3" s="154" t="s">
        <v>116</v>
      </c>
    </row>
    <row r="4" spans="2:13" s="1" customFormat="1" ht="18" thickBot="1">
      <c r="B4" s="107" t="s">
        <v>118</v>
      </c>
      <c r="C4" s="24" t="s">
        <v>118</v>
      </c>
      <c r="D4" s="24" t="s">
        <v>118</v>
      </c>
      <c r="E4" s="24" t="s">
        <v>110</v>
      </c>
      <c r="F4" s="24" t="s">
        <v>112</v>
      </c>
      <c r="G4" s="24" t="s">
        <v>111</v>
      </c>
      <c r="H4" s="24" t="s">
        <v>115</v>
      </c>
      <c r="I4" s="24" t="s">
        <v>100</v>
      </c>
      <c r="J4" s="24" t="s">
        <v>113</v>
      </c>
      <c r="K4" s="24" t="s">
        <v>114</v>
      </c>
      <c r="L4" s="24" t="s">
        <v>115</v>
      </c>
      <c r="M4" s="155"/>
    </row>
    <row r="5" spans="2:13">
      <c r="B5" s="115">
        <v>14</v>
      </c>
      <c r="C5" s="54">
        <v>3.76</v>
      </c>
      <c r="D5" s="54">
        <v>2.04</v>
      </c>
      <c r="E5" s="159">
        <v>3</v>
      </c>
      <c r="F5" s="54">
        <v>24</v>
      </c>
      <c r="G5" s="54">
        <v>1.6</v>
      </c>
      <c r="H5" s="54">
        <f>F5*G5</f>
        <v>38.400000000000006</v>
      </c>
      <c r="I5" s="54">
        <v>50</v>
      </c>
      <c r="J5" s="54">
        <v>72.8</v>
      </c>
      <c r="K5" s="54">
        <v>25.2</v>
      </c>
      <c r="L5" s="106">
        <f>K5*K5/I5</f>
        <v>12.700799999999999</v>
      </c>
      <c r="M5" s="116">
        <f>L5/H5*100</f>
        <v>33.074999999999996</v>
      </c>
    </row>
    <row r="6" spans="2:13">
      <c r="B6" s="4"/>
      <c r="C6" s="2"/>
      <c r="D6" s="2"/>
      <c r="E6" s="157"/>
      <c r="F6" s="2">
        <v>32</v>
      </c>
      <c r="G6" s="2">
        <v>2.9</v>
      </c>
      <c r="H6" s="2">
        <f>F6*G6</f>
        <v>92.8</v>
      </c>
      <c r="I6" s="2">
        <v>50</v>
      </c>
      <c r="J6" s="2">
        <v>93.6</v>
      </c>
      <c r="K6" s="2">
        <v>32.299999999999997</v>
      </c>
      <c r="L6" s="103">
        <f>K6*K6/I6</f>
        <v>20.865799999999993</v>
      </c>
      <c r="M6" s="108">
        <f t="shared" ref="M6:M13" si="0">L6/H6*100</f>
        <v>22.484698275862062</v>
      </c>
    </row>
    <row r="7" spans="2:13">
      <c r="B7" s="4"/>
      <c r="C7" s="2"/>
      <c r="D7" s="2"/>
      <c r="E7" s="157"/>
      <c r="F7" s="2">
        <v>40</v>
      </c>
      <c r="G7" s="2">
        <v>4</v>
      </c>
      <c r="H7" s="2">
        <f>F7*G7</f>
        <v>160</v>
      </c>
      <c r="I7" s="2">
        <v>50</v>
      </c>
      <c r="J7" s="2">
        <v>110</v>
      </c>
      <c r="K7" s="2">
        <v>38.4</v>
      </c>
      <c r="L7" s="103">
        <f>K7*K7/I7</f>
        <v>29.491199999999999</v>
      </c>
      <c r="M7" s="108">
        <f t="shared" si="0"/>
        <v>18.431999999999999</v>
      </c>
    </row>
    <row r="8" spans="2:13">
      <c r="B8" s="4"/>
      <c r="C8" s="2"/>
      <c r="D8" s="2"/>
      <c r="E8" s="157"/>
      <c r="F8" s="2">
        <v>48</v>
      </c>
      <c r="G8" s="2">
        <v>5</v>
      </c>
      <c r="H8" s="2">
        <f>F8*G8</f>
        <v>240</v>
      </c>
      <c r="I8" s="2">
        <v>50</v>
      </c>
      <c r="J8" s="2">
        <v>125</v>
      </c>
      <c r="K8" s="2">
        <v>43.3</v>
      </c>
      <c r="L8" s="103">
        <f>K8*K8/I8</f>
        <v>37.497799999999991</v>
      </c>
      <c r="M8" s="108">
        <f t="shared" ref="M8" si="1">L8/H8*100</f>
        <v>15.62408333333333</v>
      </c>
    </row>
    <row r="9" spans="2:13">
      <c r="B9" s="4"/>
      <c r="C9" s="2"/>
      <c r="D9" s="2"/>
      <c r="E9" s="157">
        <v>3.5</v>
      </c>
      <c r="F9" s="104">
        <v>24</v>
      </c>
      <c r="G9" s="104">
        <v>3.5</v>
      </c>
      <c r="H9" s="104">
        <f t="shared" ref="H9:H13" si="2">F9*G9</f>
        <v>84</v>
      </c>
      <c r="I9" s="104">
        <v>50</v>
      </c>
      <c r="J9" s="104">
        <v>69.599999999999994</v>
      </c>
      <c r="K9" s="104">
        <v>23.6</v>
      </c>
      <c r="L9" s="105">
        <f t="shared" ref="L9:L13" si="3">K9*K9/I9</f>
        <v>11.139200000000001</v>
      </c>
      <c r="M9" s="109">
        <f t="shared" si="0"/>
        <v>13.260952380952382</v>
      </c>
    </row>
    <row r="10" spans="2:13">
      <c r="B10" s="4"/>
      <c r="C10" s="2"/>
      <c r="D10" s="2"/>
      <c r="E10" s="157"/>
      <c r="F10" s="104">
        <v>32</v>
      </c>
      <c r="G10" s="104">
        <v>4.7</v>
      </c>
      <c r="H10" s="104">
        <f t="shared" si="2"/>
        <v>150.4</v>
      </c>
      <c r="I10" s="104">
        <v>50</v>
      </c>
      <c r="J10" s="104">
        <v>89.6</v>
      </c>
      <c r="K10" s="104">
        <v>30.7</v>
      </c>
      <c r="L10" s="105">
        <f t="shared" si="3"/>
        <v>18.849800000000002</v>
      </c>
      <c r="M10" s="109">
        <f t="shared" si="0"/>
        <v>12.533111702127661</v>
      </c>
    </row>
    <row r="11" spans="2:13">
      <c r="B11" s="4"/>
      <c r="C11" s="2"/>
      <c r="D11" s="2"/>
      <c r="E11" s="157">
        <v>2.5</v>
      </c>
      <c r="F11" s="2">
        <v>24</v>
      </c>
      <c r="G11" s="2">
        <v>1.6</v>
      </c>
      <c r="H11" s="2">
        <f t="shared" si="2"/>
        <v>38.400000000000006</v>
      </c>
      <c r="I11" s="2">
        <v>50</v>
      </c>
      <c r="J11" s="2">
        <v>74.400000000000006</v>
      </c>
      <c r="K11" s="2">
        <v>25.6</v>
      </c>
      <c r="L11" s="103">
        <f t="shared" si="3"/>
        <v>13.107200000000002</v>
      </c>
      <c r="M11" s="108">
        <f t="shared" si="0"/>
        <v>34.133333333333333</v>
      </c>
    </row>
    <row r="12" spans="2:13">
      <c r="B12" s="4"/>
      <c r="C12" s="2"/>
      <c r="D12" s="2"/>
      <c r="E12" s="157"/>
      <c r="F12" s="2">
        <v>32</v>
      </c>
      <c r="G12" s="2">
        <v>2.8</v>
      </c>
      <c r="H12" s="2">
        <f t="shared" si="2"/>
        <v>89.6</v>
      </c>
      <c r="I12" s="2">
        <v>50</v>
      </c>
      <c r="J12" s="2">
        <v>92.8</v>
      </c>
      <c r="K12" s="2">
        <v>32.200000000000003</v>
      </c>
      <c r="L12" s="103">
        <f t="shared" si="3"/>
        <v>20.736800000000002</v>
      </c>
      <c r="M12" s="108">
        <f t="shared" si="0"/>
        <v>23.143750000000004</v>
      </c>
    </row>
    <row r="13" spans="2:13" ht="18" thickBot="1">
      <c r="B13" s="7"/>
      <c r="C13" s="8"/>
      <c r="D13" s="8"/>
      <c r="E13" s="158"/>
      <c r="F13" s="110">
        <v>40</v>
      </c>
      <c r="G13" s="110">
        <v>2.9</v>
      </c>
      <c r="H13" s="110">
        <f t="shared" si="2"/>
        <v>116</v>
      </c>
      <c r="I13" s="110">
        <v>50</v>
      </c>
      <c r="J13" s="110">
        <v>94.4</v>
      </c>
      <c r="K13" s="110">
        <v>29.9</v>
      </c>
      <c r="L13" s="111">
        <f t="shared" si="3"/>
        <v>17.880199999999999</v>
      </c>
      <c r="M13" s="112">
        <f t="shared" si="0"/>
        <v>15.41396551724138</v>
      </c>
    </row>
  </sheetData>
  <mergeCells count="6">
    <mergeCell ref="M3:M4"/>
    <mergeCell ref="F3:H3"/>
    <mergeCell ref="I3:L3"/>
    <mergeCell ref="E11:E13"/>
    <mergeCell ref="E9:E10"/>
    <mergeCell ref="E5:E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AA18"/>
  <sheetViews>
    <sheetView workbookViewId="0">
      <selection activeCell="N21" sqref="N21"/>
    </sheetView>
  </sheetViews>
  <sheetFormatPr defaultRowHeight="17.399999999999999"/>
  <cols>
    <col min="1" max="1" width="5.09765625" customWidth="1"/>
    <col min="2" max="2" width="6.69921875" customWidth="1"/>
    <col min="3" max="3" width="9.5" bestFit="1" customWidth="1"/>
    <col min="4" max="4" width="5.19921875" bestFit="1" customWidth="1"/>
    <col min="5" max="5" width="9.5" bestFit="1" customWidth="1"/>
    <col min="6" max="6" width="4.59765625" bestFit="1" customWidth="1"/>
    <col min="7" max="7" width="7.59765625" bestFit="1" customWidth="1"/>
    <col min="8" max="9" width="4.5" bestFit="1" customWidth="1"/>
    <col min="10" max="11" width="6.8984375" customWidth="1"/>
    <col min="12" max="13" width="6.09765625" bestFit="1" customWidth="1"/>
    <col min="14" max="14" width="5.19921875" bestFit="1" customWidth="1"/>
    <col min="15" max="15" width="7.19921875" bestFit="1" customWidth="1"/>
    <col min="16" max="16" width="9.5" bestFit="1" customWidth="1"/>
    <col min="17" max="17" width="10.09765625" bestFit="1" customWidth="1"/>
    <col min="19" max="19" width="7.09765625" bestFit="1" customWidth="1"/>
    <col min="21" max="21" width="6" bestFit="1" customWidth="1"/>
    <col min="22" max="22" width="5" bestFit="1" customWidth="1"/>
    <col min="23" max="23" width="5.69921875" bestFit="1" customWidth="1"/>
    <col min="24" max="24" width="5.5" customWidth="1"/>
    <col min="25" max="25" width="7.19921875" bestFit="1" customWidth="1"/>
    <col min="26" max="26" width="6.69921875" bestFit="1" customWidth="1"/>
    <col min="27" max="27" width="6" bestFit="1" customWidth="1"/>
  </cols>
  <sheetData>
    <row r="3" spans="2:27" ht="18" thickBot="1"/>
    <row r="4" spans="2:27" s="15" customFormat="1">
      <c r="B4" s="161" t="s">
        <v>126</v>
      </c>
      <c r="C4" s="156" t="s">
        <v>125</v>
      </c>
      <c r="D4" s="156"/>
      <c r="E4" s="156"/>
      <c r="F4" s="156" t="s">
        <v>132</v>
      </c>
      <c r="G4" s="156"/>
      <c r="H4" s="156"/>
      <c r="I4" s="156"/>
      <c r="J4" s="156"/>
      <c r="K4" s="156"/>
      <c r="L4" s="156"/>
      <c r="M4" s="156" t="s">
        <v>137</v>
      </c>
      <c r="N4" s="156"/>
      <c r="O4" s="156"/>
      <c r="P4" s="156"/>
      <c r="Q4" s="156"/>
      <c r="R4" s="156"/>
      <c r="S4" s="156"/>
      <c r="T4" s="156"/>
      <c r="U4" s="163" t="s">
        <v>143</v>
      </c>
      <c r="V4" s="156" t="s">
        <v>144</v>
      </c>
      <c r="W4" s="156"/>
      <c r="X4" s="156"/>
      <c r="Y4" s="156" t="s">
        <v>106</v>
      </c>
      <c r="Z4" s="156"/>
      <c r="AA4" s="160"/>
    </row>
    <row r="5" spans="2:27" s="15" customFormat="1" ht="18" thickBot="1">
      <c r="B5" s="162"/>
      <c r="C5" s="24" t="s">
        <v>127</v>
      </c>
      <c r="D5" s="24" t="s">
        <v>129</v>
      </c>
      <c r="E5" s="24" t="s">
        <v>128</v>
      </c>
      <c r="F5" s="24" t="s">
        <v>134</v>
      </c>
      <c r="G5" s="24" t="s">
        <v>131</v>
      </c>
      <c r="H5" s="24" t="s">
        <v>26</v>
      </c>
      <c r="I5" s="24" t="s">
        <v>27</v>
      </c>
      <c r="J5" s="77" t="s">
        <v>1</v>
      </c>
      <c r="K5" s="77"/>
      <c r="L5" s="24" t="s">
        <v>133</v>
      </c>
      <c r="M5" s="24" t="s">
        <v>133</v>
      </c>
      <c r="N5" s="24" t="s">
        <v>138</v>
      </c>
      <c r="O5" s="24" t="s">
        <v>136</v>
      </c>
      <c r="P5" s="118" t="s">
        <v>139</v>
      </c>
      <c r="Q5" s="24" t="s">
        <v>140</v>
      </c>
      <c r="R5" s="24" t="s">
        <v>110</v>
      </c>
      <c r="S5" s="24" t="s">
        <v>141</v>
      </c>
      <c r="T5" s="24" t="s">
        <v>142</v>
      </c>
      <c r="U5" s="164"/>
      <c r="V5" s="119" t="s">
        <v>145</v>
      </c>
      <c r="W5" s="119" t="s">
        <v>146</v>
      </c>
      <c r="X5" s="120" t="s">
        <v>147</v>
      </c>
      <c r="Y5" s="24" t="s">
        <v>112</v>
      </c>
      <c r="Z5" s="24" t="s">
        <v>111</v>
      </c>
      <c r="AA5" s="121" t="s">
        <v>115</v>
      </c>
    </row>
    <row r="6" spans="2:27" ht="18" thickBot="1">
      <c r="B6" s="3">
        <v>0.8</v>
      </c>
      <c r="C6" s="10"/>
      <c r="D6" s="10" t="s">
        <v>130</v>
      </c>
      <c r="E6" s="10">
        <v>2.72</v>
      </c>
      <c r="F6" s="10" t="s">
        <v>135</v>
      </c>
      <c r="G6" s="10">
        <f>E6</f>
        <v>2.72</v>
      </c>
      <c r="H6" s="10">
        <v>680</v>
      </c>
      <c r="I6" s="10">
        <v>360</v>
      </c>
      <c r="J6" s="50">
        <f>1+H6/I6</f>
        <v>2.8888888888888888</v>
      </c>
      <c r="K6" s="50">
        <f>G6*J6</f>
        <v>7.8577777777777786</v>
      </c>
      <c r="L6" s="10">
        <v>8.4</v>
      </c>
      <c r="M6" s="10"/>
      <c r="N6" s="10" t="s">
        <v>130</v>
      </c>
      <c r="O6" s="10"/>
      <c r="P6" s="10">
        <v>4.2</v>
      </c>
      <c r="Q6" s="10"/>
      <c r="R6" s="10">
        <v>3</v>
      </c>
      <c r="S6" s="10"/>
      <c r="T6" s="10"/>
      <c r="U6" s="10">
        <v>50</v>
      </c>
      <c r="V6" s="10">
        <v>91.2</v>
      </c>
      <c r="W6" s="10">
        <v>29.8</v>
      </c>
      <c r="X6" s="122">
        <f>W6*W6/U6</f>
        <v>17.760800000000003</v>
      </c>
      <c r="Y6" s="10">
        <v>24</v>
      </c>
      <c r="Z6" s="10">
        <v>0.9</v>
      </c>
      <c r="AA6" s="123">
        <f>Y6*Z6</f>
        <v>21.6</v>
      </c>
    </row>
    <row r="7" spans="2:27" ht="18" thickBot="1">
      <c r="B7" s="4"/>
      <c r="C7" s="2"/>
      <c r="D7" s="2"/>
      <c r="E7" s="2"/>
      <c r="F7" s="2"/>
      <c r="G7" s="2"/>
      <c r="H7" s="2">
        <v>680</v>
      </c>
      <c r="I7" s="2">
        <v>360</v>
      </c>
      <c r="J7" s="37">
        <f t="shared" ref="J7:J18" si="0">1+H7/I7</f>
        <v>2.8888888888888888</v>
      </c>
      <c r="K7" s="50">
        <f t="shared" ref="K7:K9" si="1">G7*J7</f>
        <v>0</v>
      </c>
      <c r="L7" s="2"/>
      <c r="M7" s="2"/>
      <c r="N7" s="2"/>
      <c r="O7" s="2"/>
      <c r="P7" s="2"/>
      <c r="Q7" s="2"/>
      <c r="R7" s="2">
        <v>3.5</v>
      </c>
      <c r="S7" s="2"/>
      <c r="T7" s="2"/>
      <c r="U7" s="2">
        <v>50</v>
      </c>
      <c r="V7" s="2">
        <v>91.2</v>
      </c>
      <c r="W7" s="2">
        <v>29.7</v>
      </c>
      <c r="X7" s="36">
        <f t="shared" ref="X7:X18" si="2">W7*W7/U7</f>
        <v>17.6418</v>
      </c>
      <c r="Y7" s="2">
        <v>24</v>
      </c>
      <c r="Z7" s="2">
        <v>0.9</v>
      </c>
      <c r="AA7" s="124">
        <f t="shared" ref="AA7:AA18" si="3">Y7*Z7</f>
        <v>21.6</v>
      </c>
    </row>
    <row r="8" spans="2:27" ht="18" thickBot="1">
      <c r="B8" s="7"/>
      <c r="C8" s="8"/>
      <c r="D8" s="8"/>
      <c r="E8" s="8"/>
      <c r="F8" s="8"/>
      <c r="G8" s="8"/>
      <c r="H8" s="8">
        <v>680</v>
      </c>
      <c r="I8" s="8">
        <v>360</v>
      </c>
      <c r="J8" s="117">
        <f t="shared" si="0"/>
        <v>2.8888888888888888</v>
      </c>
      <c r="K8" s="130">
        <f t="shared" si="1"/>
        <v>0</v>
      </c>
      <c r="L8" s="8"/>
      <c r="M8" s="8"/>
      <c r="N8" s="8"/>
      <c r="O8" s="8"/>
      <c r="P8" s="8"/>
      <c r="Q8" s="8"/>
      <c r="R8" s="8">
        <v>4</v>
      </c>
      <c r="S8" s="8"/>
      <c r="T8" s="8"/>
      <c r="U8" s="8">
        <v>50</v>
      </c>
      <c r="V8" s="8">
        <v>88</v>
      </c>
      <c r="W8" s="8">
        <v>29</v>
      </c>
      <c r="X8" s="125">
        <f t="shared" si="2"/>
        <v>16.82</v>
      </c>
      <c r="Y8" s="8">
        <v>24</v>
      </c>
      <c r="Z8" s="8">
        <v>1.3</v>
      </c>
      <c r="AA8" s="126">
        <f t="shared" si="3"/>
        <v>31.200000000000003</v>
      </c>
    </row>
    <row r="9" spans="2:27">
      <c r="B9" s="3"/>
      <c r="C9" s="10"/>
      <c r="D9" s="10"/>
      <c r="E9" s="10">
        <v>2.72</v>
      </c>
      <c r="F9" s="10"/>
      <c r="G9" s="10">
        <v>2.72</v>
      </c>
      <c r="H9" s="10">
        <v>680</v>
      </c>
      <c r="I9" s="10">
        <v>200</v>
      </c>
      <c r="J9" s="50">
        <f t="shared" si="0"/>
        <v>4.4000000000000004</v>
      </c>
      <c r="K9" s="50">
        <f t="shared" si="1"/>
        <v>11.968000000000002</v>
      </c>
      <c r="L9" s="10">
        <v>12.6</v>
      </c>
      <c r="M9" s="10"/>
      <c r="N9" s="10"/>
      <c r="O9" s="10">
        <v>11.4</v>
      </c>
      <c r="P9" s="10">
        <v>6</v>
      </c>
      <c r="Q9" s="10"/>
      <c r="R9" s="10">
        <v>3</v>
      </c>
      <c r="S9" s="10"/>
      <c r="T9" s="10"/>
      <c r="U9" s="10">
        <v>50</v>
      </c>
      <c r="V9" s="10">
        <v>91.2</v>
      </c>
      <c r="W9" s="10">
        <v>30</v>
      </c>
      <c r="X9" s="122">
        <f t="shared" si="2"/>
        <v>18</v>
      </c>
      <c r="Y9" s="10">
        <v>24</v>
      </c>
      <c r="Z9" s="10">
        <v>0.9</v>
      </c>
      <c r="AA9" s="123">
        <f t="shared" si="3"/>
        <v>21.6</v>
      </c>
    </row>
    <row r="10" spans="2:27">
      <c r="B10" s="4"/>
      <c r="C10" s="2"/>
      <c r="D10" s="2"/>
      <c r="E10" s="2">
        <v>2.96</v>
      </c>
      <c r="F10" s="2"/>
      <c r="G10" s="2"/>
      <c r="H10" s="2">
        <v>680</v>
      </c>
      <c r="I10" s="2">
        <v>200</v>
      </c>
      <c r="J10" s="37">
        <f t="shared" si="0"/>
        <v>4.4000000000000004</v>
      </c>
      <c r="K10" s="37"/>
      <c r="L10" s="2"/>
      <c r="M10" s="2"/>
      <c r="N10" s="2"/>
      <c r="O10" s="2">
        <v>11</v>
      </c>
      <c r="P10" s="2">
        <v>5.8</v>
      </c>
      <c r="Q10" s="2"/>
      <c r="R10" s="2">
        <v>3</v>
      </c>
      <c r="S10" s="2"/>
      <c r="T10" s="2"/>
      <c r="U10" s="2">
        <v>50</v>
      </c>
      <c r="V10" s="2">
        <v>105</v>
      </c>
      <c r="W10" s="2">
        <v>35</v>
      </c>
      <c r="X10" s="36">
        <f t="shared" si="2"/>
        <v>24.5</v>
      </c>
      <c r="Y10" s="2"/>
      <c r="Z10" s="2">
        <v>1.6</v>
      </c>
      <c r="AA10" s="124">
        <f t="shared" si="3"/>
        <v>0</v>
      </c>
    </row>
    <row r="11" spans="2:27">
      <c r="B11" s="4"/>
      <c r="C11" s="2"/>
      <c r="D11" s="2"/>
      <c r="E11" s="2"/>
      <c r="F11" s="2"/>
      <c r="G11" s="2"/>
      <c r="H11" s="2">
        <v>680</v>
      </c>
      <c r="I11" s="2">
        <v>200</v>
      </c>
      <c r="J11" s="37">
        <f t="shared" si="0"/>
        <v>4.4000000000000004</v>
      </c>
      <c r="K11" s="37"/>
      <c r="L11" s="2"/>
      <c r="M11" s="2"/>
      <c r="N11" s="2"/>
      <c r="O11" s="2"/>
      <c r="P11" s="2"/>
      <c r="Q11" s="2"/>
      <c r="R11" s="2">
        <v>3</v>
      </c>
      <c r="S11" s="2"/>
      <c r="T11" s="2"/>
      <c r="U11" s="2">
        <v>50</v>
      </c>
      <c r="V11" s="2">
        <v>106</v>
      </c>
      <c r="W11" s="2">
        <v>34.799999999999997</v>
      </c>
      <c r="X11" s="36">
        <f t="shared" si="2"/>
        <v>24.220799999999993</v>
      </c>
      <c r="Y11" s="2">
        <v>28</v>
      </c>
      <c r="Z11" s="2">
        <v>2.2999999999999998</v>
      </c>
      <c r="AA11" s="124">
        <f t="shared" si="3"/>
        <v>64.399999999999991</v>
      </c>
    </row>
    <row r="12" spans="2:27" ht="18" thickBot="1">
      <c r="B12" s="7"/>
      <c r="C12" s="8"/>
      <c r="D12" s="8"/>
      <c r="E12" s="8"/>
      <c r="F12" s="8"/>
      <c r="G12" s="8"/>
      <c r="H12" s="8">
        <v>680</v>
      </c>
      <c r="I12" s="8">
        <v>200</v>
      </c>
      <c r="J12" s="117">
        <f t="shared" si="0"/>
        <v>4.4000000000000004</v>
      </c>
      <c r="K12" s="117"/>
      <c r="L12" s="8"/>
      <c r="M12" s="8"/>
      <c r="N12" s="8"/>
      <c r="O12" s="8"/>
      <c r="P12" s="8"/>
      <c r="Q12" s="8"/>
      <c r="R12" s="8">
        <v>3</v>
      </c>
      <c r="S12" s="8"/>
      <c r="T12" s="8"/>
      <c r="U12" s="8">
        <v>50</v>
      </c>
      <c r="V12" s="8">
        <v>135</v>
      </c>
      <c r="W12" s="8">
        <v>45.8</v>
      </c>
      <c r="X12" s="125">
        <f t="shared" si="2"/>
        <v>41.952799999999996</v>
      </c>
      <c r="Y12" s="8">
        <v>40</v>
      </c>
      <c r="Z12" s="8">
        <v>4</v>
      </c>
      <c r="AA12" s="126">
        <f t="shared" si="3"/>
        <v>160</v>
      </c>
    </row>
    <row r="13" spans="2:27">
      <c r="B13" s="115"/>
      <c r="C13" s="54"/>
      <c r="D13" s="54"/>
      <c r="E13" s="54">
        <v>2.8</v>
      </c>
      <c r="F13" s="54"/>
      <c r="G13" s="54">
        <f>E13</f>
        <v>2.8</v>
      </c>
      <c r="H13" s="54">
        <v>680</v>
      </c>
      <c r="I13" s="54">
        <v>100</v>
      </c>
      <c r="J13" s="127">
        <f t="shared" si="0"/>
        <v>7.8</v>
      </c>
      <c r="K13" s="127">
        <f t="shared" ref="K13" si="4">G13*J13</f>
        <v>21.84</v>
      </c>
      <c r="L13" s="54"/>
      <c r="M13" s="54"/>
      <c r="N13" s="54"/>
      <c r="O13" s="54">
        <v>18.2</v>
      </c>
      <c r="P13" s="54">
        <v>9.1199999999999992</v>
      </c>
      <c r="Q13" s="54"/>
      <c r="R13" s="54">
        <v>3</v>
      </c>
      <c r="S13" s="54"/>
      <c r="T13" s="54"/>
      <c r="U13" s="54">
        <v>50</v>
      </c>
      <c r="V13" s="54">
        <v>136</v>
      </c>
      <c r="W13" s="54">
        <v>45.8</v>
      </c>
      <c r="X13" s="128">
        <f t="shared" si="2"/>
        <v>41.952799999999996</v>
      </c>
      <c r="Y13" s="54">
        <v>40</v>
      </c>
      <c r="Z13" s="54">
        <v>4</v>
      </c>
      <c r="AA13" s="129">
        <f t="shared" si="3"/>
        <v>160</v>
      </c>
    </row>
    <row r="14" spans="2:27">
      <c r="B14" s="4"/>
      <c r="C14" s="2"/>
      <c r="D14" s="2"/>
      <c r="E14" s="2"/>
      <c r="F14" s="2"/>
      <c r="G14" s="2"/>
      <c r="H14" s="2">
        <v>680</v>
      </c>
      <c r="I14" s="2">
        <v>100</v>
      </c>
      <c r="J14" s="37">
        <f t="shared" si="0"/>
        <v>7.8</v>
      </c>
      <c r="K14" s="37"/>
      <c r="L14" s="2"/>
      <c r="M14" s="2"/>
      <c r="N14" s="2"/>
      <c r="O14" s="2"/>
      <c r="P14" s="2"/>
      <c r="Q14" s="2"/>
      <c r="R14" s="2">
        <v>3</v>
      </c>
      <c r="S14" s="2"/>
      <c r="T14" s="2"/>
      <c r="U14" s="2">
        <v>50</v>
      </c>
      <c r="V14" s="2">
        <v>144</v>
      </c>
      <c r="W14" s="2">
        <v>46</v>
      </c>
      <c r="X14" s="36">
        <f t="shared" si="2"/>
        <v>42.32</v>
      </c>
      <c r="Y14" s="2">
        <v>40</v>
      </c>
      <c r="Z14" s="2">
        <v>4.0999999999999996</v>
      </c>
      <c r="AA14" s="124">
        <f t="shared" si="3"/>
        <v>164</v>
      </c>
    </row>
    <row r="15" spans="2:27">
      <c r="B15" s="4"/>
      <c r="C15" s="2"/>
      <c r="D15" s="2"/>
      <c r="E15" s="2"/>
      <c r="F15" s="2"/>
      <c r="G15" s="2"/>
      <c r="H15" s="2"/>
      <c r="I15" s="2"/>
      <c r="J15" s="37" t="e">
        <f t="shared" si="0"/>
        <v>#DIV/0!</v>
      </c>
      <c r="K15" s="37"/>
      <c r="L15" s="2"/>
      <c r="M15" s="2"/>
      <c r="N15" s="2"/>
      <c r="O15" s="2"/>
      <c r="P15" s="2"/>
      <c r="Q15" s="2"/>
      <c r="R15" s="2">
        <v>3</v>
      </c>
      <c r="S15" s="2"/>
      <c r="T15" s="2"/>
      <c r="U15" s="2">
        <v>50</v>
      </c>
      <c r="V15" s="2">
        <v>134</v>
      </c>
      <c r="W15" s="2">
        <v>43</v>
      </c>
      <c r="X15" s="36">
        <f t="shared" si="2"/>
        <v>36.979999999999997</v>
      </c>
      <c r="Y15" s="2">
        <v>40</v>
      </c>
      <c r="Z15" s="2">
        <v>3.7</v>
      </c>
      <c r="AA15" s="124">
        <f t="shared" si="3"/>
        <v>148</v>
      </c>
    </row>
    <row r="16" spans="2:27">
      <c r="B16" s="4"/>
      <c r="C16" s="2"/>
      <c r="D16" s="2"/>
      <c r="E16" s="2"/>
      <c r="F16" s="2"/>
      <c r="G16" s="2"/>
      <c r="H16" s="2"/>
      <c r="I16" s="2"/>
      <c r="J16" s="37" t="e">
        <f t="shared" si="0"/>
        <v>#DIV/0!</v>
      </c>
      <c r="K16" s="37"/>
      <c r="L16" s="2"/>
      <c r="M16" s="2"/>
      <c r="N16" s="2"/>
      <c r="O16" s="2"/>
      <c r="P16" s="2"/>
      <c r="Q16" s="2"/>
      <c r="R16" s="2">
        <v>3</v>
      </c>
      <c r="S16" s="2"/>
      <c r="T16" s="2"/>
      <c r="U16" s="2">
        <v>50</v>
      </c>
      <c r="V16" s="2">
        <v>152</v>
      </c>
      <c r="W16" s="2">
        <v>48.7</v>
      </c>
      <c r="X16" s="36">
        <f t="shared" si="2"/>
        <v>47.433799999999998</v>
      </c>
      <c r="Y16" s="2">
        <v>48</v>
      </c>
      <c r="Z16" s="2">
        <v>4.5999999999999996</v>
      </c>
      <c r="AA16" s="124">
        <f t="shared" si="3"/>
        <v>220.79999999999998</v>
      </c>
    </row>
    <row r="17" spans="2:27">
      <c r="B17" s="4"/>
      <c r="C17" s="2"/>
      <c r="D17" s="2"/>
      <c r="E17" s="2"/>
      <c r="F17" s="2"/>
      <c r="G17" s="2"/>
      <c r="H17" s="2"/>
      <c r="I17" s="2"/>
      <c r="J17" s="37" t="e">
        <f t="shared" si="0"/>
        <v>#DIV/0!</v>
      </c>
      <c r="K17" s="37"/>
      <c r="L17" s="2"/>
      <c r="M17" s="2"/>
      <c r="N17" s="2"/>
      <c r="O17" s="2"/>
      <c r="P17" s="2"/>
      <c r="Q17" s="2"/>
      <c r="R17" s="2">
        <v>4</v>
      </c>
      <c r="S17" s="2"/>
      <c r="T17" s="2">
        <v>136</v>
      </c>
      <c r="U17" s="2">
        <v>50</v>
      </c>
      <c r="V17" s="2">
        <v>134</v>
      </c>
      <c r="W17" s="2">
        <v>43.2</v>
      </c>
      <c r="X17" s="36">
        <f t="shared" si="2"/>
        <v>37.324800000000003</v>
      </c>
      <c r="Y17" s="2">
        <v>40</v>
      </c>
      <c r="Z17" s="2">
        <v>3.7</v>
      </c>
      <c r="AA17" s="124">
        <f t="shared" si="3"/>
        <v>148</v>
      </c>
    </row>
    <row r="18" spans="2:27" ht="18" thickBot="1">
      <c r="B18" s="7"/>
      <c r="C18" s="8"/>
      <c r="D18" s="8"/>
      <c r="E18" s="8"/>
      <c r="F18" s="8"/>
      <c r="G18" s="8"/>
      <c r="H18" s="8"/>
      <c r="I18" s="8"/>
      <c r="J18" s="117" t="e">
        <f t="shared" si="0"/>
        <v>#DIV/0!</v>
      </c>
      <c r="K18" s="117"/>
      <c r="L18" s="8"/>
      <c r="M18" s="8"/>
      <c r="N18" s="8"/>
      <c r="O18" s="8"/>
      <c r="P18" s="8"/>
      <c r="Q18" s="8"/>
      <c r="R18" s="8"/>
      <c r="S18" s="8"/>
      <c r="T18" s="8"/>
      <c r="U18" s="8">
        <v>50</v>
      </c>
      <c r="V18" s="8"/>
      <c r="W18" s="8"/>
      <c r="X18" s="125">
        <f t="shared" si="2"/>
        <v>0</v>
      </c>
      <c r="Y18" s="8"/>
      <c r="Z18" s="8"/>
      <c r="AA18" s="126">
        <f t="shared" si="3"/>
        <v>0</v>
      </c>
    </row>
  </sheetData>
  <mergeCells count="7">
    <mergeCell ref="V4:X4"/>
    <mergeCell ref="Y4:AA4"/>
    <mergeCell ref="F4:L4"/>
    <mergeCell ref="C4:E4"/>
    <mergeCell ref="B4:B5"/>
    <mergeCell ref="M4:T4"/>
    <mergeCell ref="U4:U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K22"/>
  <sheetViews>
    <sheetView workbookViewId="0">
      <selection activeCell="I25" sqref="I25"/>
    </sheetView>
  </sheetViews>
  <sheetFormatPr defaultRowHeight="17.399999999999999"/>
  <cols>
    <col min="5" max="5" width="14.8984375" bestFit="1" customWidth="1"/>
  </cols>
  <sheetData>
    <row r="3" spans="2:11">
      <c r="C3" t="s">
        <v>39</v>
      </c>
      <c r="D3" t="s">
        <v>40</v>
      </c>
      <c r="E3" t="s">
        <v>41</v>
      </c>
      <c r="F3" t="s">
        <v>42</v>
      </c>
      <c r="G3" t="s">
        <v>43</v>
      </c>
      <c r="H3" t="s">
        <v>44</v>
      </c>
      <c r="I3" t="s">
        <v>45</v>
      </c>
    </row>
    <row r="4" spans="2:11">
      <c r="B4" t="s">
        <v>47</v>
      </c>
      <c r="C4">
        <v>35.549999999999997</v>
      </c>
      <c r="D4">
        <v>23</v>
      </c>
      <c r="E4">
        <v>12.7</v>
      </c>
      <c r="F4">
        <v>885</v>
      </c>
      <c r="G4">
        <v>20</v>
      </c>
      <c r="H4">
        <v>1704</v>
      </c>
      <c r="I4">
        <v>4.8</v>
      </c>
      <c r="J4" t="s">
        <v>48</v>
      </c>
    </row>
    <row r="5" spans="2:11">
      <c r="B5" t="s">
        <v>49</v>
      </c>
      <c r="C5">
        <v>21</v>
      </c>
      <c r="D5">
        <v>13.2</v>
      </c>
      <c r="E5">
        <v>6.35</v>
      </c>
      <c r="F5">
        <v>470</v>
      </c>
      <c r="G5">
        <v>20</v>
      </c>
      <c r="H5">
        <v>1704</v>
      </c>
      <c r="I5">
        <v>6.5</v>
      </c>
      <c r="J5" t="s">
        <v>48</v>
      </c>
    </row>
    <row r="6" spans="2:11">
      <c r="B6" t="s">
        <v>50</v>
      </c>
      <c r="C6">
        <v>26.9</v>
      </c>
      <c r="D6">
        <v>14.5</v>
      </c>
      <c r="E6">
        <v>11.1</v>
      </c>
      <c r="F6">
        <v>11.6</v>
      </c>
      <c r="G6">
        <v>1</v>
      </c>
      <c r="H6">
        <v>85.2</v>
      </c>
      <c r="I6">
        <v>9.3000000000000007</v>
      </c>
      <c r="J6" t="s">
        <v>51</v>
      </c>
    </row>
    <row r="7" spans="2:11">
      <c r="B7" t="s">
        <v>52</v>
      </c>
      <c r="C7">
        <v>26.9</v>
      </c>
      <c r="D7">
        <v>14.5</v>
      </c>
      <c r="E7">
        <v>11.1</v>
      </c>
      <c r="F7">
        <v>13.5</v>
      </c>
      <c r="G7">
        <v>1</v>
      </c>
      <c r="H7">
        <v>85.2</v>
      </c>
      <c r="I7">
        <v>8.6</v>
      </c>
      <c r="J7" t="s">
        <v>53</v>
      </c>
    </row>
    <row r="8" spans="2:11">
      <c r="B8" t="s">
        <v>54</v>
      </c>
      <c r="C8">
        <v>12.7</v>
      </c>
      <c r="D8">
        <v>7.7</v>
      </c>
      <c r="E8">
        <v>4.83</v>
      </c>
      <c r="F8">
        <v>4</v>
      </c>
      <c r="G8">
        <v>0.1</v>
      </c>
      <c r="H8">
        <v>8.5</v>
      </c>
      <c r="I8">
        <v>5</v>
      </c>
      <c r="J8" t="s">
        <v>51</v>
      </c>
    </row>
    <row r="9" spans="2:11">
      <c r="B9" t="s">
        <v>54</v>
      </c>
      <c r="C9">
        <v>12.7</v>
      </c>
      <c r="D9">
        <v>7.7</v>
      </c>
      <c r="E9">
        <v>4.83</v>
      </c>
      <c r="F9">
        <v>4</v>
      </c>
      <c r="G9">
        <v>0.25</v>
      </c>
      <c r="H9">
        <v>21.3</v>
      </c>
      <c r="I9">
        <v>8</v>
      </c>
      <c r="J9" t="s">
        <v>51</v>
      </c>
    </row>
    <row r="10" spans="2:11" ht="18" thickBot="1"/>
    <row r="11" spans="2:11" ht="18" thickBot="1">
      <c r="B11" s="131" t="s">
        <v>55</v>
      </c>
      <c r="C11" s="132" t="s">
        <v>56</v>
      </c>
      <c r="D11" s="132" t="s">
        <v>59</v>
      </c>
      <c r="E11" s="132" t="s">
        <v>46</v>
      </c>
      <c r="F11" s="132" t="s">
        <v>45</v>
      </c>
      <c r="G11" s="132" t="s">
        <v>43</v>
      </c>
      <c r="H11" s="132" t="s">
        <v>62</v>
      </c>
      <c r="I11" s="132" t="s">
        <v>46</v>
      </c>
      <c r="J11" s="133" t="s">
        <v>152</v>
      </c>
    </row>
    <row r="12" spans="2:11">
      <c r="B12" s="3" t="s">
        <v>57</v>
      </c>
      <c r="C12" s="10" t="s">
        <v>58</v>
      </c>
      <c r="D12" s="10" t="s">
        <v>47</v>
      </c>
      <c r="E12" s="10" t="s">
        <v>48</v>
      </c>
      <c r="F12" s="134">
        <v>5</v>
      </c>
      <c r="G12" s="134">
        <v>24</v>
      </c>
      <c r="H12" s="10">
        <v>1.6</v>
      </c>
      <c r="I12" s="2">
        <v>13.56</v>
      </c>
      <c r="J12" s="135">
        <f>2*3.14*I12*G12</f>
        <v>2043.7632000000001</v>
      </c>
    </row>
    <row r="13" spans="2:11">
      <c r="B13" s="4" t="s">
        <v>57</v>
      </c>
      <c r="C13" s="2" t="s">
        <v>60</v>
      </c>
      <c r="D13" s="2" t="s">
        <v>54</v>
      </c>
      <c r="E13" s="2" t="s">
        <v>51</v>
      </c>
      <c r="F13" s="136">
        <v>6</v>
      </c>
      <c r="G13" s="136">
        <v>0.5</v>
      </c>
      <c r="H13" s="2">
        <v>1</v>
      </c>
      <c r="I13" s="2"/>
      <c r="J13" s="5"/>
      <c r="K13" t="s">
        <v>61</v>
      </c>
    </row>
    <row r="14" spans="2:11">
      <c r="B14" s="4" t="s">
        <v>57</v>
      </c>
      <c r="C14" s="2" t="s">
        <v>63</v>
      </c>
      <c r="D14" s="2" t="s">
        <v>50</v>
      </c>
      <c r="E14" s="2" t="s">
        <v>51</v>
      </c>
      <c r="F14" s="136">
        <v>9</v>
      </c>
      <c r="G14" s="136">
        <v>1</v>
      </c>
      <c r="H14" s="2">
        <v>1</v>
      </c>
      <c r="I14" s="2"/>
      <c r="J14" s="5"/>
    </row>
    <row r="15" spans="2:11">
      <c r="B15" s="4" t="s">
        <v>64</v>
      </c>
      <c r="C15" s="2"/>
      <c r="D15" s="2" t="s">
        <v>49</v>
      </c>
      <c r="E15" s="2" t="s">
        <v>48</v>
      </c>
      <c r="F15" s="136">
        <v>25</v>
      </c>
      <c r="G15" s="136">
        <v>290</v>
      </c>
      <c r="H15" s="2">
        <v>0.45</v>
      </c>
      <c r="I15" s="2">
        <v>13.56</v>
      </c>
      <c r="J15" s="135">
        <f t="shared" ref="J15:J20" si="0">2*3.14*I15*G15</f>
        <v>24695.472000000002</v>
      </c>
    </row>
    <row r="16" spans="2:11">
      <c r="B16" s="4" t="s">
        <v>57</v>
      </c>
      <c r="C16" s="2" t="s">
        <v>109</v>
      </c>
      <c r="D16" s="2" t="s">
        <v>108</v>
      </c>
      <c r="E16" s="2"/>
      <c r="F16" s="136">
        <v>1</v>
      </c>
      <c r="G16" s="136">
        <v>4</v>
      </c>
      <c r="H16" s="2"/>
      <c r="I16" s="2">
        <v>13.56</v>
      </c>
      <c r="J16" s="135">
        <f t="shared" si="0"/>
        <v>340.62720000000002</v>
      </c>
    </row>
    <row r="17" spans="2:10">
      <c r="B17" s="4" t="s">
        <v>57</v>
      </c>
      <c r="C17" s="2" t="s">
        <v>149</v>
      </c>
      <c r="D17" s="2" t="s">
        <v>148</v>
      </c>
      <c r="E17" s="2"/>
      <c r="F17" s="136">
        <v>2</v>
      </c>
      <c r="G17" s="136">
        <v>25.6</v>
      </c>
      <c r="H17" s="2"/>
      <c r="I17" s="2">
        <v>13.56</v>
      </c>
      <c r="J17" s="135">
        <f t="shared" si="0"/>
        <v>2180.0140800000004</v>
      </c>
    </row>
    <row r="18" spans="2:10">
      <c r="B18" s="4" t="s">
        <v>57</v>
      </c>
      <c r="C18" s="2" t="s">
        <v>150</v>
      </c>
      <c r="D18" s="2" t="s">
        <v>148</v>
      </c>
      <c r="E18" s="2"/>
      <c r="F18" s="137" t="s">
        <v>151</v>
      </c>
      <c r="G18" s="136">
        <v>3.3</v>
      </c>
      <c r="H18" s="2"/>
      <c r="I18" s="2">
        <v>13.56</v>
      </c>
      <c r="J18" s="135">
        <f t="shared" si="0"/>
        <v>281.01744000000002</v>
      </c>
    </row>
    <row r="19" spans="2:10">
      <c r="B19" s="165" t="s">
        <v>57</v>
      </c>
      <c r="C19" s="157" t="s">
        <v>153</v>
      </c>
      <c r="D19" s="157" t="s">
        <v>154</v>
      </c>
      <c r="E19" s="157"/>
      <c r="F19" s="138">
        <v>5</v>
      </c>
      <c r="G19" s="138">
        <v>0.5</v>
      </c>
      <c r="H19" s="157">
        <v>1.6</v>
      </c>
      <c r="I19" s="2">
        <v>13.56</v>
      </c>
      <c r="J19" s="135">
        <f t="shared" si="0"/>
        <v>42.578400000000002</v>
      </c>
    </row>
    <row r="20" spans="2:10">
      <c r="B20" s="165"/>
      <c r="C20" s="157"/>
      <c r="D20" s="157"/>
      <c r="E20" s="157"/>
      <c r="F20" s="138">
        <v>6</v>
      </c>
      <c r="G20" s="138">
        <v>0.6</v>
      </c>
      <c r="H20" s="157"/>
      <c r="I20" s="2">
        <v>13.56</v>
      </c>
      <c r="J20" s="135">
        <f t="shared" si="0"/>
        <v>51.094079999999998</v>
      </c>
    </row>
    <row r="21" spans="2:10">
      <c r="B21" s="165"/>
      <c r="C21" s="157"/>
      <c r="D21" s="157"/>
      <c r="E21" s="157"/>
      <c r="F21" s="138">
        <v>8</v>
      </c>
      <c r="G21" s="138">
        <v>1</v>
      </c>
      <c r="H21" s="157"/>
      <c r="I21" s="2"/>
      <c r="J21" s="5"/>
    </row>
    <row r="22" spans="2:10" ht="18" thickBot="1">
      <c r="B22" s="166"/>
      <c r="C22" s="158"/>
      <c r="D22" s="158"/>
      <c r="E22" s="158"/>
      <c r="F22" s="139">
        <v>10</v>
      </c>
      <c r="G22" s="139">
        <v>1.4</v>
      </c>
      <c r="H22" s="158"/>
      <c r="I22" s="8"/>
      <c r="J22" s="9"/>
    </row>
  </sheetData>
  <mergeCells count="5">
    <mergeCell ref="B19:B22"/>
    <mergeCell ref="C19:C22"/>
    <mergeCell ref="D19:D22"/>
    <mergeCell ref="E19:E22"/>
    <mergeCell ref="H19:H2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K6"/>
  <sheetViews>
    <sheetView workbookViewId="0">
      <selection activeCell="O13" sqref="O13"/>
    </sheetView>
  </sheetViews>
  <sheetFormatPr defaultRowHeight="17.399999999999999"/>
  <cols>
    <col min="3" max="3" width="17.09765625" bestFit="1" customWidth="1"/>
    <col min="10" max="10" width="11.09765625" bestFit="1" customWidth="1"/>
    <col min="11" max="11" width="10.59765625" bestFit="1" customWidth="1"/>
  </cols>
  <sheetData>
    <row r="4" spans="3:11">
      <c r="C4" t="s">
        <v>66</v>
      </c>
      <c r="D4" t="s">
        <v>67</v>
      </c>
      <c r="E4" t="s">
        <v>69</v>
      </c>
      <c r="F4" t="s">
        <v>70</v>
      </c>
      <c r="G4" t="s">
        <v>68</v>
      </c>
      <c r="H4" t="s">
        <v>72</v>
      </c>
      <c r="I4" t="s">
        <v>73</v>
      </c>
      <c r="J4" t="s">
        <v>74</v>
      </c>
      <c r="K4" t="s">
        <v>77</v>
      </c>
    </row>
    <row r="5" spans="3:11">
      <c r="C5" t="s">
        <v>75</v>
      </c>
      <c r="D5" t="s">
        <v>65</v>
      </c>
      <c r="E5" t="s">
        <v>71</v>
      </c>
      <c r="F5">
        <v>0.75</v>
      </c>
      <c r="G5">
        <v>4800</v>
      </c>
      <c r="H5">
        <v>102.59</v>
      </c>
      <c r="I5">
        <v>13.35</v>
      </c>
      <c r="J5">
        <v>53</v>
      </c>
      <c r="K5" t="s">
        <v>79</v>
      </c>
    </row>
    <row r="6" spans="3:11">
      <c r="C6" t="s">
        <v>76</v>
      </c>
      <c r="E6" t="s">
        <v>71</v>
      </c>
      <c r="F6">
        <v>0.28000000000000003</v>
      </c>
      <c r="G6">
        <v>3300</v>
      </c>
      <c r="H6">
        <v>66.11</v>
      </c>
      <c r="I6">
        <v>5.03</v>
      </c>
      <c r="J6">
        <v>40.5</v>
      </c>
      <c r="K6" t="s">
        <v>78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D8"/>
  <sheetViews>
    <sheetView workbookViewId="0">
      <selection activeCell="E23" sqref="E23"/>
    </sheetView>
  </sheetViews>
  <sheetFormatPr defaultRowHeight="17.399999999999999"/>
  <sheetData>
    <row r="4" spans="2:4">
      <c r="B4" s="167" t="s">
        <v>120</v>
      </c>
      <c r="C4">
        <v>600</v>
      </c>
      <c r="D4" t="s">
        <v>121</v>
      </c>
    </row>
    <row r="5" spans="2:4">
      <c r="B5" s="167"/>
      <c r="C5">
        <v>48</v>
      </c>
      <c r="D5" t="s">
        <v>122</v>
      </c>
    </row>
    <row r="6" spans="2:4">
      <c r="B6" s="167"/>
      <c r="C6">
        <f>C4/C5</f>
        <v>12.5</v>
      </c>
      <c r="D6" t="s">
        <v>123</v>
      </c>
    </row>
    <row r="8" spans="2:4">
      <c r="B8" t="s">
        <v>124</v>
      </c>
    </row>
  </sheetData>
  <mergeCells count="1">
    <mergeCell ref="B4:B6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Z18"/>
  <sheetViews>
    <sheetView topLeftCell="A3" zoomScale="130" zoomScaleNormal="130" workbookViewId="0">
      <selection activeCell="O13" sqref="O13"/>
    </sheetView>
  </sheetViews>
  <sheetFormatPr defaultRowHeight="17.399999999999999"/>
  <cols>
    <col min="1" max="1" width="5.09765625" customWidth="1"/>
    <col min="2" max="2" width="9.5" bestFit="1" customWidth="1"/>
    <col min="3" max="3" width="5.19921875" bestFit="1" customWidth="1"/>
    <col min="4" max="4" width="9.5" bestFit="1" customWidth="1"/>
    <col min="5" max="5" width="4.59765625" bestFit="1" customWidth="1"/>
    <col min="6" max="6" width="7.59765625" bestFit="1" customWidth="1"/>
    <col min="7" max="8" width="4.5" bestFit="1" customWidth="1"/>
    <col min="9" max="10" width="6.8984375" customWidth="1"/>
    <col min="11" max="12" width="6.09765625" bestFit="1" customWidth="1"/>
    <col min="13" max="13" width="5.19921875" bestFit="1" customWidth="1"/>
    <col min="14" max="14" width="7.19921875" bestFit="1" customWidth="1"/>
    <col min="15" max="15" width="9.5" bestFit="1" customWidth="1"/>
    <col min="16" max="16" width="10.09765625" bestFit="1" customWidth="1"/>
    <col min="18" max="18" width="7.09765625" bestFit="1" customWidth="1"/>
    <col min="20" max="20" width="6" bestFit="1" customWidth="1"/>
    <col min="21" max="21" width="5" bestFit="1" customWidth="1"/>
    <col min="22" max="22" width="5.69921875" bestFit="1" customWidth="1"/>
    <col min="23" max="23" width="5.5" customWidth="1"/>
    <col min="24" max="24" width="7.19921875" bestFit="1" customWidth="1"/>
    <col min="25" max="25" width="6.69921875" bestFit="1" customWidth="1"/>
    <col min="26" max="26" width="6" bestFit="1" customWidth="1"/>
  </cols>
  <sheetData>
    <row r="3" spans="2:26" ht="18" thickBot="1"/>
    <row r="4" spans="2:26" s="15" customFormat="1">
      <c r="B4" s="156" t="s">
        <v>21</v>
      </c>
      <c r="C4" s="156"/>
      <c r="D4" s="156"/>
      <c r="E4" s="156" t="s">
        <v>81</v>
      </c>
      <c r="F4" s="156"/>
      <c r="G4" s="156"/>
      <c r="H4" s="156"/>
      <c r="I4" s="156"/>
      <c r="J4" s="156"/>
      <c r="K4" s="156"/>
      <c r="L4" s="156" t="s">
        <v>57</v>
      </c>
      <c r="M4" s="156"/>
      <c r="N4" s="156"/>
      <c r="O4" s="156"/>
      <c r="P4" s="156"/>
      <c r="Q4" s="156"/>
      <c r="R4" s="156"/>
      <c r="S4" s="156"/>
      <c r="T4" s="163" t="s">
        <v>100</v>
      </c>
      <c r="U4" s="156" t="s">
        <v>96</v>
      </c>
      <c r="V4" s="156"/>
      <c r="W4" s="156"/>
      <c r="X4" s="156" t="s">
        <v>106</v>
      </c>
      <c r="Y4" s="156"/>
      <c r="Z4" s="160"/>
    </row>
    <row r="5" spans="2:26" s="15" customFormat="1" ht="18" thickBot="1">
      <c r="B5" s="24" t="s">
        <v>7</v>
      </c>
      <c r="C5" s="24" t="s">
        <v>9</v>
      </c>
      <c r="D5" s="24" t="s">
        <v>128</v>
      </c>
      <c r="E5" s="24" t="s">
        <v>24</v>
      </c>
      <c r="F5" s="24" t="s">
        <v>10</v>
      </c>
      <c r="G5" s="24" t="s">
        <v>26</v>
      </c>
      <c r="H5" s="24" t="s">
        <v>27</v>
      </c>
      <c r="I5" s="77" t="s">
        <v>1</v>
      </c>
      <c r="J5" s="77"/>
      <c r="K5" s="24" t="s">
        <v>34</v>
      </c>
      <c r="L5" s="24" t="s">
        <v>34</v>
      </c>
      <c r="M5" s="24" t="s">
        <v>5</v>
      </c>
      <c r="N5" s="24" t="s">
        <v>136</v>
      </c>
      <c r="O5" s="118" t="s">
        <v>82</v>
      </c>
      <c r="P5" s="24" t="s">
        <v>83</v>
      </c>
      <c r="Q5" s="24" t="s">
        <v>110</v>
      </c>
      <c r="R5" s="24" t="s">
        <v>141</v>
      </c>
      <c r="S5" s="24" t="s">
        <v>142</v>
      </c>
      <c r="T5" s="164"/>
      <c r="U5" s="119" t="s">
        <v>97</v>
      </c>
      <c r="V5" s="119" t="s">
        <v>98</v>
      </c>
      <c r="W5" s="120" t="s">
        <v>16</v>
      </c>
      <c r="X5" s="24" t="s">
        <v>112</v>
      </c>
      <c r="Y5" s="24" t="s">
        <v>111</v>
      </c>
      <c r="Z5" s="121" t="s">
        <v>115</v>
      </c>
    </row>
    <row r="6" spans="2:26" ht="18" thickBot="1">
      <c r="B6" s="10">
        <v>0.6</v>
      </c>
      <c r="C6" s="10" t="s">
        <v>155</v>
      </c>
      <c r="D6" s="10">
        <v>4.12</v>
      </c>
      <c r="E6" s="10"/>
      <c r="F6" s="10"/>
      <c r="G6" s="10"/>
      <c r="H6" s="10"/>
      <c r="I6" s="50" t="e">
        <f>1+G6/H6</f>
        <v>#DIV/0!</v>
      </c>
      <c r="J6" s="50" t="e">
        <f>F6*I6</f>
        <v>#DIV/0!</v>
      </c>
      <c r="K6" s="10"/>
      <c r="L6" s="10"/>
      <c r="M6" s="10"/>
      <c r="N6" s="10"/>
      <c r="O6" s="10"/>
      <c r="P6" s="10"/>
      <c r="Q6" s="10"/>
      <c r="R6" s="10"/>
      <c r="S6" s="10"/>
      <c r="T6" s="10">
        <v>50</v>
      </c>
      <c r="U6" s="10">
        <v>91.2</v>
      </c>
      <c r="V6" s="10">
        <v>29.8</v>
      </c>
      <c r="W6" s="122">
        <f>V6*V6/T6</f>
        <v>17.760800000000003</v>
      </c>
      <c r="X6" s="10">
        <v>24</v>
      </c>
      <c r="Y6" s="10">
        <v>0.9</v>
      </c>
      <c r="Z6" s="123">
        <f>X6*Y6</f>
        <v>21.6</v>
      </c>
    </row>
    <row r="7" spans="2:26" ht="18" thickBot="1">
      <c r="B7" s="2"/>
      <c r="C7" s="2"/>
      <c r="D7" s="2"/>
      <c r="E7" s="2"/>
      <c r="F7" s="2"/>
      <c r="G7" s="2"/>
      <c r="H7" s="2"/>
      <c r="I7" s="37" t="e">
        <f t="shared" ref="I7:I18" si="0">1+G7/H7</f>
        <v>#DIV/0!</v>
      </c>
      <c r="J7" s="50" t="e">
        <f t="shared" ref="J7:J9" si="1">F7*I7</f>
        <v>#DIV/0!</v>
      </c>
      <c r="K7" s="2"/>
      <c r="L7" s="2"/>
      <c r="M7" s="2"/>
      <c r="N7" s="2"/>
      <c r="O7" s="2"/>
      <c r="P7" s="2"/>
      <c r="Q7" s="2"/>
      <c r="R7" s="2"/>
      <c r="S7" s="2"/>
      <c r="T7" s="2">
        <v>50</v>
      </c>
      <c r="U7" s="2">
        <v>91.2</v>
      </c>
      <c r="V7" s="2">
        <v>29.7</v>
      </c>
      <c r="W7" s="36">
        <f t="shared" ref="W7:W18" si="2">V7*V7/T7</f>
        <v>17.6418</v>
      </c>
      <c r="X7" s="2">
        <v>24</v>
      </c>
      <c r="Y7" s="2">
        <v>0.9</v>
      </c>
      <c r="Z7" s="124">
        <f t="shared" ref="Z7:Z18" si="3">X7*Y7</f>
        <v>21.6</v>
      </c>
    </row>
    <row r="8" spans="2:26" ht="18" thickBot="1">
      <c r="B8" s="8"/>
      <c r="C8" s="8"/>
      <c r="D8" s="8"/>
      <c r="E8" s="8"/>
      <c r="F8" s="8"/>
      <c r="G8" s="8"/>
      <c r="H8" s="8"/>
      <c r="I8" s="117" t="e">
        <f t="shared" si="0"/>
        <v>#DIV/0!</v>
      </c>
      <c r="J8" s="130" t="e">
        <f t="shared" si="1"/>
        <v>#DIV/0!</v>
      </c>
      <c r="K8" s="8"/>
      <c r="L8" s="8"/>
      <c r="M8" s="8"/>
      <c r="N8" s="8"/>
      <c r="O8" s="8"/>
      <c r="P8" s="8"/>
      <c r="Q8" s="8"/>
      <c r="R8" s="8"/>
      <c r="S8" s="8"/>
      <c r="T8" s="8">
        <v>50</v>
      </c>
      <c r="U8" s="8">
        <v>88</v>
      </c>
      <c r="V8" s="8">
        <v>29</v>
      </c>
      <c r="W8" s="125">
        <f t="shared" si="2"/>
        <v>16.82</v>
      </c>
      <c r="X8" s="8">
        <v>24</v>
      </c>
      <c r="Y8" s="8">
        <v>1.3</v>
      </c>
      <c r="Z8" s="126">
        <f t="shared" si="3"/>
        <v>31.200000000000003</v>
      </c>
    </row>
    <row r="9" spans="2:26">
      <c r="B9" s="10"/>
      <c r="C9" s="10"/>
      <c r="D9" s="10"/>
      <c r="E9" s="10"/>
      <c r="F9" s="10"/>
      <c r="G9" s="10"/>
      <c r="H9" s="10"/>
      <c r="I9" s="50" t="e">
        <f t="shared" si="0"/>
        <v>#DIV/0!</v>
      </c>
      <c r="J9" s="50" t="e">
        <f t="shared" si="1"/>
        <v>#DIV/0!</v>
      </c>
      <c r="K9" s="10"/>
      <c r="L9" s="10"/>
      <c r="M9" s="10"/>
      <c r="N9" s="10"/>
      <c r="O9" s="10"/>
      <c r="P9" s="10"/>
      <c r="Q9" s="10"/>
      <c r="R9" s="10"/>
      <c r="S9" s="10"/>
      <c r="T9" s="10">
        <v>50</v>
      </c>
      <c r="U9" s="10">
        <v>91.2</v>
      </c>
      <c r="V9" s="10">
        <v>30</v>
      </c>
      <c r="W9" s="122">
        <f t="shared" si="2"/>
        <v>18</v>
      </c>
      <c r="X9" s="10">
        <v>24</v>
      </c>
      <c r="Y9" s="10">
        <v>0.9</v>
      </c>
      <c r="Z9" s="123">
        <f t="shared" si="3"/>
        <v>21.6</v>
      </c>
    </row>
    <row r="10" spans="2:26">
      <c r="B10" s="2"/>
      <c r="C10" s="2"/>
      <c r="D10" s="2"/>
      <c r="E10" s="2"/>
      <c r="F10" s="2"/>
      <c r="G10" s="2"/>
      <c r="H10" s="2"/>
      <c r="I10" s="37" t="e">
        <f t="shared" si="0"/>
        <v>#DIV/0!</v>
      </c>
      <c r="J10" s="37"/>
      <c r="K10" s="2"/>
      <c r="L10" s="2"/>
      <c r="M10" s="2"/>
      <c r="N10" s="2"/>
      <c r="O10" s="2"/>
      <c r="P10" s="2"/>
      <c r="Q10" s="2"/>
      <c r="R10" s="2"/>
      <c r="S10" s="2"/>
      <c r="T10" s="2">
        <v>50</v>
      </c>
      <c r="U10" s="2">
        <v>105</v>
      </c>
      <c r="V10" s="2">
        <v>35</v>
      </c>
      <c r="W10" s="36">
        <f t="shared" si="2"/>
        <v>24.5</v>
      </c>
      <c r="X10" s="2"/>
      <c r="Y10" s="2">
        <v>1.6</v>
      </c>
      <c r="Z10" s="124">
        <f t="shared" si="3"/>
        <v>0</v>
      </c>
    </row>
    <row r="11" spans="2:26">
      <c r="B11" s="2"/>
      <c r="C11" s="2"/>
      <c r="D11" s="2"/>
      <c r="E11" s="2"/>
      <c r="F11" s="2"/>
      <c r="G11" s="2"/>
      <c r="H11" s="2"/>
      <c r="I11" s="37" t="e">
        <f t="shared" si="0"/>
        <v>#DIV/0!</v>
      </c>
      <c r="J11" s="37"/>
      <c r="K11" s="2"/>
      <c r="L11" s="2"/>
      <c r="M11" s="2"/>
      <c r="N11" s="2"/>
      <c r="O11" s="2"/>
      <c r="P11" s="2"/>
      <c r="Q11" s="2"/>
      <c r="R11" s="2"/>
      <c r="S11" s="2"/>
      <c r="T11" s="2">
        <v>50</v>
      </c>
      <c r="U11" s="2">
        <v>106</v>
      </c>
      <c r="V11" s="2">
        <v>34.799999999999997</v>
      </c>
      <c r="W11" s="36">
        <f t="shared" si="2"/>
        <v>24.220799999999993</v>
      </c>
      <c r="X11" s="2">
        <v>28</v>
      </c>
      <c r="Y11" s="2">
        <v>2.2999999999999998</v>
      </c>
      <c r="Z11" s="124">
        <f t="shared" si="3"/>
        <v>64.399999999999991</v>
      </c>
    </row>
    <row r="12" spans="2:26" ht="18" thickBot="1">
      <c r="B12" s="8"/>
      <c r="C12" s="8"/>
      <c r="D12" s="8"/>
      <c r="E12" s="8"/>
      <c r="F12" s="8"/>
      <c r="G12" s="8"/>
      <c r="H12" s="8"/>
      <c r="I12" s="117" t="e">
        <f t="shared" si="0"/>
        <v>#DIV/0!</v>
      </c>
      <c r="J12" s="117"/>
      <c r="K12" s="8"/>
      <c r="L12" s="8"/>
      <c r="M12" s="8"/>
      <c r="N12" s="8"/>
      <c r="O12" s="8"/>
      <c r="P12" s="8"/>
      <c r="Q12" s="8"/>
      <c r="R12" s="8"/>
      <c r="S12" s="8"/>
      <c r="T12" s="8">
        <v>50</v>
      </c>
      <c r="U12" s="8">
        <v>135</v>
      </c>
      <c r="V12" s="8">
        <v>45.8</v>
      </c>
      <c r="W12" s="125">
        <f t="shared" si="2"/>
        <v>41.952799999999996</v>
      </c>
      <c r="X12" s="8">
        <v>40</v>
      </c>
      <c r="Y12" s="8">
        <v>4</v>
      </c>
      <c r="Z12" s="126">
        <f t="shared" si="3"/>
        <v>160</v>
      </c>
    </row>
    <row r="13" spans="2:26">
      <c r="B13" s="54"/>
      <c r="C13" s="54"/>
      <c r="D13" s="54"/>
      <c r="E13" s="54"/>
      <c r="F13" s="54"/>
      <c r="G13" s="54"/>
      <c r="H13" s="54"/>
      <c r="I13" s="127" t="e">
        <f t="shared" si="0"/>
        <v>#DIV/0!</v>
      </c>
      <c r="J13" s="127" t="e">
        <f t="shared" ref="J13" si="4">F13*I13</f>
        <v>#DIV/0!</v>
      </c>
      <c r="K13" s="54"/>
      <c r="L13" s="54"/>
      <c r="M13" s="54"/>
      <c r="N13" s="54"/>
      <c r="O13" s="54"/>
      <c r="P13" s="54"/>
      <c r="Q13" s="54"/>
      <c r="R13" s="54"/>
      <c r="S13" s="54"/>
      <c r="T13" s="54">
        <v>50</v>
      </c>
      <c r="U13" s="54">
        <v>136</v>
      </c>
      <c r="V13" s="54">
        <v>45.8</v>
      </c>
      <c r="W13" s="128">
        <f t="shared" si="2"/>
        <v>41.952799999999996</v>
      </c>
      <c r="X13" s="54">
        <v>40</v>
      </c>
      <c r="Y13" s="54">
        <v>4</v>
      </c>
      <c r="Z13" s="129">
        <f t="shared" si="3"/>
        <v>160</v>
      </c>
    </row>
    <row r="14" spans="2:26">
      <c r="B14" s="2"/>
      <c r="C14" s="2"/>
      <c r="D14" s="2"/>
      <c r="E14" s="2"/>
      <c r="F14" s="2"/>
      <c r="G14" s="2"/>
      <c r="H14" s="2"/>
      <c r="I14" s="37" t="e">
        <f t="shared" si="0"/>
        <v>#DIV/0!</v>
      </c>
      <c r="J14" s="37"/>
      <c r="K14" s="2"/>
      <c r="L14" s="2"/>
      <c r="M14" s="2"/>
      <c r="N14" s="2"/>
      <c r="O14" s="2"/>
      <c r="P14" s="2"/>
      <c r="Q14" s="2"/>
      <c r="R14" s="2"/>
      <c r="S14" s="2"/>
      <c r="T14" s="2">
        <v>50</v>
      </c>
      <c r="U14" s="2">
        <v>144</v>
      </c>
      <c r="V14" s="2">
        <v>46</v>
      </c>
      <c r="W14" s="36">
        <f t="shared" si="2"/>
        <v>42.32</v>
      </c>
      <c r="X14" s="2">
        <v>40</v>
      </c>
      <c r="Y14" s="2">
        <v>4.0999999999999996</v>
      </c>
      <c r="Z14" s="124">
        <f t="shared" si="3"/>
        <v>164</v>
      </c>
    </row>
    <row r="15" spans="2:26">
      <c r="B15" s="2"/>
      <c r="C15" s="2"/>
      <c r="D15" s="2"/>
      <c r="E15" s="2"/>
      <c r="F15" s="2"/>
      <c r="G15" s="2"/>
      <c r="H15" s="2"/>
      <c r="I15" s="37" t="e">
        <f t="shared" si="0"/>
        <v>#DIV/0!</v>
      </c>
      <c r="J15" s="37"/>
      <c r="K15" s="2"/>
      <c r="L15" s="2"/>
      <c r="M15" s="2"/>
      <c r="N15" s="2"/>
      <c r="O15" s="2"/>
      <c r="P15" s="2"/>
      <c r="Q15" s="2"/>
      <c r="R15" s="2"/>
      <c r="S15" s="2"/>
      <c r="T15" s="2">
        <v>50</v>
      </c>
      <c r="U15" s="2">
        <v>134</v>
      </c>
      <c r="V15" s="2">
        <v>43</v>
      </c>
      <c r="W15" s="36">
        <f t="shared" si="2"/>
        <v>36.979999999999997</v>
      </c>
      <c r="X15" s="2">
        <v>40</v>
      </c>
      <c r="Y15" s="2">
        <v>3.7</v>
      </c>
      <c r="Z15" s="124">
        <f t="shared" si="3"/>
        <v>148</v>
      </c>
    </row>
    <row r="16" spans="2:26">
      <c r="B16" s="2"/>
      <c r="C16" s="2"/>
      <c r="D16" s="2"/>
      <c r="E16" s="2"/>
      <c r="F16" s="2"/>
      <c r="G16" s="2"/>
      <c r="H16" s="2"/>
      <c r="I16" s="37" t="e">
        <f t="shared" si="0"/>
        <v>#DIV/0!</v>
      </c>
      <c r="J16" s="37"/>
      <c r="K16" s="2"/>
      <c r="L16" s="2"/>
      <c r="M16" s="2"/>
      <c r="N16" s="2"/>
      <c r="O16" s="2"/>
      <c r="P16" s="2"/>
      <c r="Q16" s="2"/>
      <c r="R16" s="2"/>
      <c r="S16" s="2"/>
      <c r="T16" s="2">
        <v>50</v>
      </c>
      <c r="U16" s="2">
        <v>152</v>
      </c>
      <c r="V16" s="2">
        <v>48.7</v>
      </c>
      <c r="W16" s="36">
        <f t="shared" si="2"/>
        <v>47.433799999999998</v>
      </c>
      <c r="X16" s="2">
        <v>48</v>
      </c>
      <c r="Y16" s="2">
        <v>4.5999999999999996</v>
      </c>
      <c r="Z16" s="124">
        <f t="shared" si="3"/>
        <v>220.79999999999998</v>
      </c>
    </row>
    <row r="17" spans="2:26">
      <c r="B17" s="2"/>
      <c r="C17" s="2"/>
      <c r="D17" s="2"/>
      <c r="E17" s="2"/>
      <c r="F17" s="2"/>
      <c r="G17" s="2"/>
      <c r="H17" s="2"/>
      <c r="I17" s="37" t="e">
        <f t="shared" si="0"/>
        <v>#DIV/0!</v>
      </c>
      <c r="J17" s="37"/>
      <c r="K17" s="2"/>
      <c r="L17" s="2"/>
      <c r="M17" s="2"/>
      <c r="N17" s="2"/>
      <c r="O17" s="2"/>
      <c r="P17" s="2"/>
      <c r="Q17" s="2"/>
      <c r="R17" s="2"/>
      <c r="S17" s="2"/>
      <c r="T17" s="2">
        <v>50</v>
      </c>
      <c r="U17" s="2">
        <v>134</v>
      </c>
      <c r="V17" s="2">
        <v>43.2</v>
      </c>
      <c r="W17" s="36">
        <f t="shared" si="2"/>
        <v>37.324800000000003</v>
      </c>
      <c r="X17" s="2">
        <v>40</v>
      </c>
      <c r="Y17" s="2">
        <v>3.7</v>
      </c>
      <c r="Z17" s="124">
        <f t="shared" si="3"/>
        <v>148</v>
      </c>
    </row>
    <row r="18" spans="2:26" ht="18" thickBot="1">
      <c r="B18" s="8"/>
      <c r="C18" s="8"/>
      <c r="D18" s="8"/>
      <c r="E18" s="8"/>
      <c r="F18" s="8"/>
      <c r="G18" s="8"/>
      <c r="H18" s="8"/>
      <c r="I18" s="117" t="e">
        <f t="shared" si="0"/>
        <v>#DIV/0!</v>
      </c>
      <c r="J18" s="117"/>
      <c r="K18" s="8"/>
      <c r="L18" s="8"/>
      <c r="M18" s="8"/>
      <c r="N18" s="8"/>
      <c r="O18" s="8"/>
      <c r="P18" s="8"/>
      <c r="Q18" s="8"/>
      <c r="R18" s="8"/>
      <c r="S18" s="8"/>
      <c r="T18" s="8">
        <v>50</v>
      </c>
      <c r="U18" s="8"/>
      <c r="V18" s="8"/>
      <c r="W18" s="125">
        <f t="shared" si="2"/>
        <v>0</v>
      </c>
      <c r="X18" s="8"/>
      <c r="Y18" s="8"/>
      <c r="Z18" s="126">
        <f t="shared" si="3"/>
        <v>0</v>
      </c>
    </row>
  </sheetData>
  <mergeCells count="6">
    <mergeCell ref="X4:Z4"/>
    <mergeCell ref="B4:D4"/>
    <mergeCell ref="E4:K4"/>
    <mergeCell ref="L4:S4"/>
    <mergeCell ref="T4:T5"/>
    <mergeCell ref="U4:W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RF</vt:lpstr>
      <vt:lpstr>Bias</vt:lpstr>
      <vt:lpstr>0215</vt:lpstr>
      <vt:lpstr>0216</vt:lpstr>
      <vt:lpstr>0223</vt:lpstr>
      <vt:lpstr>CORE</vt:lpstr>
      <vt:lpstr>FAN</vt:lpstr>
      <vt:lpstr>Sheet1</vt:lpstr>
      <vt:lpstr>Test sheet (2)</vt:lpstr>
      <vt:lpstr>Coupler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2020-02-27T02:33:56Z</dcterms:modified>
</cp:coreProperties>
</file>