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11F5905B-8C1A-444C-9FEC-CC164697F03E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Sheet1" sheetId="1" r:id="rId1"/>
    <sheet name="Device" sheetId="3" r:id="rId2"/>
    <sheet name="ADC" sheetId="2" r:id="rId3"/>
    <sheet name="Current Sensor" sheetId="4" r:id="rId4"/>
    <sheet name="CT" sheetId="6" r:id="rId5"/>
    <sheet name="Check list" sheetId="5" r:id="rId6"/>
    <sheet name="Pre-Amp" sheetId="9" r:id="rId7"/>
    <sheet name="Path review" sheetId="7" r:id="rId8"/>
    <sheet name="Debugging" sheetId="10" r:id="rId9"/>
    <sheet name="FILTER" sheetId="8" r:id="rId10"/>
  </sheets>
  <calcPr calcId="181029"/>
</workbook>
</file>

<file path=xl/calcChain.xml><?xml version="1.0" encoding="utf-8"?>
<calcChain xmlns="http://schemas.openxmlformats.org/spreadsheetml/2006/main">
  <c r="F10" i="7" l="1"/>
  <c r="T54" i="7"/>
  <c r="R54" i="7"/>
  <c r="S54" i="7" s="1"/>
  <c r="Q54" i="7"/>
  <c r="N54" i="7"/>
  <c r="K54" i="7"/>
  <c r="T53" i="7"/>
  <c r="R53" i="7"/>
  <c r="S53" i="7" s="1"/>
  <c r="Q53" i="7"/>
  <c r="N53" i="7"/>
  <c r="K53" i="7"/>
  <c r="S19" i="9"/>
  <c r="P19" i="9"/>
  <c r="Q19" i="9"/>
  <c r="R19" i="9" s="1"/>
  <c r="M19" i="9"/>
  <c r="J19" i="9"/>
  <c r="N6" i="9"/>
  <c r="S18" i="9"/>
  <c r="P18" i="9"/>
  <c r="Q18" i="9"/>
  <c r="R18" i="9" s="1"/>
  <c r="M18" i="9"/>
  <c r="J18" i="9"/>
  <c r="J17" i="9"/>
  <c r="J16" i="9"/>
  <c r="J15" i="9"/>
  <c r="J14" i="9"/>
  <c r="J13" i="9"/>
  <c r="J12" i="9"/>
  <c r="R17" i="9"/>
  <c r="R16" i="9"/>
  <c r="R15" i="9"/>
  <c r="R14" i="9"/>
  <c r="R13" i="9"/>
  <c r="R12" i="9"/>
  <c r="S17" i="9"/>
  <c r="S16" i="9"/>
  <c r="S15" i="9"/>
  <c r="S14" i="9"/>
  <c r="S13" i="9"/>
  <c r="P17" i="9"/>
  <c r="Q17" i="9"/>
  <c r="M17" i="9"/>
  <c r="Q16" i="9"/>
  <c r="P16" i="9"/>
  <c r="M16" i="9"/>
  <c r="Q15" i="9"/>
  <c r="Q14" i="9"/>
  <c r="Q13" i="9"/>
  <c r="P15" i="9"/>
  <c r="M15" i="9"/>
  <c r="M14" i="9"/>
  <c r="P14" i="9"/>
  <c r="P13" i="9"/>
  <c r="P12" i="9"/>
  <c r="M13" i="9"/>
  <c r="M12" i="9"/>
  <c r="Q12" i="9" l="1"/>
  <c r="G8" i="9" l="1"/>
  <c r="E8" i="9"/>
  <c r="F4" i="7" l="1"/>
  <c r="V29" i="7" l="1"/>
  <c r="V25" i="7"/>
  <c r="V26" i="7" s="1"/>
  <c r="V18" i="7"/>
  <c r="F20" i="7" l="1"/>
  <c r="F19" i="7"/>
  <c r="F17" i="7"/>
  <c r="S17" i="7"/>
  <c r="S16" i="7"/>
  <c r="S15" i="7"/>
  <c r="S14" i="7"/>
  <c r="S13" i="7"/>
  <c r="S12" i="7"/>
  <c r="S11" i="7"/>
  <c r="S10" i="7"/>
  <c r="S9" i="7"/>
  <c r="S8" i="7"/>
  <c r="S7" i="7"/>
  <c r="F9" i="7"/>
  <c r="E7" i="6" l="1"/>
  <c r="E8" i="6" s="1"/>
  <c r="D7" i="6"/>
  <c r="D8" i="6" s="1"/>
  <c r="N15" i="1"/>
  <c r="N16" i="1"/>
  <c r="I42" i="4"/>
  <c r="K42" i="4" s="1"/>
  <c r="L42" i="4" s="1"/>
  <c r="M42" i="4" s="1"/>
  <c r="I38" i="4"/>
  <c r="K38" i="4" s="1"/>
  <c r="L38" i="4" s="1"/>
  <c r="M38" i="4" s="1"/>
  <c r="F30" i="4"/>
  <c r="G30" i="4" s="1"/>
  <c r="H30" i="4" s="1"/>
  <c r="I30" i="4" s="1"/>
  <c r="K30" i="4" s="1"/>
  <c r="L30" i="4" s="1"/>
  <c r="M30" i="4" s="1"/>
  <c r="F29" i="4"/>
  <c r="G29" i="4" s="1"/>
  <c r="H29" i="4" s="1"/>
  <c r="I29" i="4" s="1"/>
  <c r="K29" i="4" s="1"/>
  <c r="L29" i="4" s="1"/>
  <c r="M29" i="4" s="1"/>
  <c r="F48" i="4"/>
  <c r="G48" i="4" s="1"/>
  <c r="H48" i="4" s="1"/>
  <c r="I48" i="4" s="1"/>
  <c r="K48" i="4" s="1"/>
  <c r="L48" i="4" s="1"/>
  <c r="M48" i="4" s="1"/>
  <c r="F47" i="4"/>
  <c r="G47" i="4" s="1"/>
  <c r="H47" i="4" s="1"/>
  <c r="I47" i="4" s="1"/>
  <c r="K47" i="4" s="1"/>
  <c r="L47" i="4" s="1"/>
  <c r="M47" i="4" s="1"/>
  <c r="F46" i="4"/>
  <c r="G46" i="4" s="1"/>
  <c r="H46" i="4" s="1"/>
  <c r="I46" i="4" s="1"/>
  <c r="K46" i="4" s="1"/>
  <c r="L46" i="4" s="1"/>
  <c r="M46" i="4" s="1"/>
  <c r="F45" i="4"/>
  <c r="G45" i="4" s="1"/>
  <c r="H45" i="4" s="1"/>
  <c r="I45" i="4" s="1"/>
  <c r="K45" i="4" s="1"/>
  <c r="L45" i="4" s="1"/>
  <c r="M45" i="4" s="1"/>
  <c r="F44" i="4"/>
  <c r="G44" i="4" s="1"/>
  <c r="H44" i="4" s="1"/>
  <c r="I44" i="4" s="1"/>
  <c r="K44" i="4" s="1"/>
  <c r="L44" i="4" s="1"/>
  <c r="M44" i="4" s="1"/>
  <c r="F43" i="4"/>
  <c r="G43" i="4" s="1"/>
  <c r="H43" i="4" s="1"/>
  <c r="I43" i="4" s="1"/>
  <c r="K43" i="4" s="1"/>
  <c r="L43" i="4" s="1"/>
  <c r="M43" i="4" s="1"/>
  <c r="F42" i="4"/>
  <c r="G42" i="4" s="1"/>
  <c r="H42" i="4" s="1"/>
  <c r="F41" i="4"/>
  <c r="G41" i="4" s="1"/>
  <c r="H41" i="4" s="1"/>
  <c r="I41" i="4" s="1"/>
  <c r="K41" i="4" s="1"/>
  <c r="L41" i="4" s="1"/>
  <c r="M41" i="4" s="1"/>
  <c r="F40" i="4"/>
  <c r="G40" i="4" s="1"/>
  <c r="H40" i="4" s="1"/>
  <c r="I40" i="4" s="1"/>
  <c r="K40" i="4" s="1"/>
  <c r="L40" i="4" s="1"/>
  <c r="M40" i="4" s="1"/>
  <c r="F39" i="4"/>
  <c r="G39" i="4" s="1"/>
  <c r="H39" i="4" s="1"/>
  <c r="I39" i="4" s="1"/>
  <c r="K39" i="4" s="1"/>
  <c r="L39" i="4" s="1"/>
  <c r="M39" i="4" s="1"/>
  <c r="F38" i="4"/>
  <c r="G38" i="4" s="1"/>
  <c r="H38" i="4" s="1"/>
  <c r="F37" i="4"/>
  <c r="G37" i="4" s="1"/>
  <c r="H37" i="4" s="1"/>
  <c r="I37" i="4" s="1"/>
  <c r="K37" i="4" s="1"/>
  <c r="L37" i="4" s="1"/>
  <c r="M37" i="4" s="1"/>
  <c r="F36" i="4"/>
  <c r="G36" i="4" s="1"/>
  <c r="H36" i="4" s="1"/>
  <c r="I36" i="4" s="1"/>
  <c r="K36" i="4" s="1"/>
  <c r="L36" i="4" s="1"/>
  <c r="M36" i="4" s="1"/>
  <c r="F35" i="4"/>
  <c r="G35" i="4" s="1"/>
  <c r="H35" i="4" s="1"/>
  <c r="I35" i="4" s="1"/>
  <c r="K35" i="4" s="1"/>
  <c r="L35" i="4" s="1"/>
  <c r="M35" i="4" s="1"/>
  <c r="F34" i="4"/>
  <c r="G34" i="4" s="1"/>
  <c r="H34" i="4" s="1"/>
  <c r="I34" i="4" s="1"/>
  <c r="K34" i="4" s="1"/>
  <c r="L34" i="4" s="1"/>
  <c r="M34" i="4" s="1"/>
  <c r="F33" i="4"/>
  <c r="G33" i="4" s="1"/>
  <c r="H33" i="4" s="1"/>
  <c r="I33" i="4" s="1"/>
  <c r="K33" i="4" s="1"/>
  <c r="L33" i="4" s="1"/>
  <c r="M33" i="4" s="1"/>
  <c r="F32" i="4"/>
  <c r="G32" i="4" s="1"/>
  <c r="H32" i="4" s="1"/>
  <c r="I32" i="4" s="1"/>
  <c r="K32" i="4" s="1"/>
  <c r="L32" i="4" s="1"/>
  <c r="M32" i="4" s="1"/>
  <c r="F31" i="4"/>
  <c r="G31" i="4" s="1"/>
  <c r="H31" i="4" s="1"/>
  <c r="I31" i="4" s="1"/>
  <c r="K31" i="4" s="1"/>
  <c r="L31" i="4" s="1"/>
  <c r="M31" i="4" s="1"/>
  <c r="F28" i="4"/>
  <c r="G28" i="4" s="1"/>
  <c r="H28" i="4" s="1"/>
  <c r="I28" i="4" s="1"/>
  <c r="K28" i="4" s="1"/>
  <c r="L28" i="4" s="1"/>
  <c r="M28" i="4" s="1"/>
  <c r="E11" i="4"/>
  <c r="E12" i="4"/>
  <c r="E13" i="4" s="1"/>
  <c r="E15" i="4" s="1"/>
  <c r="E18" i="4" s="1"/>
  <c r="E21" i="4" s="1"/>
  <c r="G12" i="4"/>
  <c r="G13" i="4" s="1"/>
  <c r="G15" i="4" s="1"/>
  <c r="G18" i="4" s="1"/>
  <c r="G21" i="4" s="1"/>
  <c r="G11" i="4"/>
  <c r="F12" i="4"/>
  <c r="F13" i="4" s="1"/>
  <c r="F15" i="4" s="1"/>
  <c r="F18" i="4" s="1"/>
  <c r="F21" i="4" s="1"/>
  <c r="F11" i="4"/>
  <c r="E10" i="2"/>
  <c r="E13" i="2" l="1"/>
  <c r="G8" i="3" l="1"/>
  <c r="G7" i="3"/>
  <c r="G6" i="3"/>
  <c r="E16" i="2" l="1"/>
  <c r="M9" i="1" l="1"/>
  <c r="M11" i="1" s="1"/>
  <c r="O9" i="1"/>
  <c r="O11" i="1" s="1"/>
  <c r="N9" i="1"/>
  <c r="N11" i="1" s="1"/>
  <c r="M8" i="1"/>
  <c r="O8" i="1"/>
  <c r="N8" i="1"/>
</calcChain>
</file>

<file path=xl/sharedStrings.xml><?xml version="1.0" encoding="utf-8"?>
<sst xmlns="http://schemas.openxmlformats.org/spreadsheetml/2006/main" count="252" uniqueCount="159">
  <si>
    <t>Power</t>
    <phoneticPr fontId="1" type="noConversion"/>
  </si>
  <si>
    <t>W</t>
    <phoneticPr fontId="1" type="noConversion"/>
  </si>
  <si>
    <t>dB</t>
    <phoneticPr fontId="1" type="noConversion"/>
  </si>
  <si>
    <t>dBm</t>
    <phoneticPr fontId="1" type="noConversion"/>
  </si>
  <si>
    <t>Coupler</t>
    <phoneticPr fontId="1" type="noConversion"/>
  </si>
  <si>
    <t>http://www.plasource.com/</t>
    <phoneticPr fontId="1" type="noConversion"/>
  </si>
  <si>
    <t>Frequency</t>
    <phoneticPr fontId="1" type="noConversion"/>
  </si>
  <si>
    <t>V</t>
    <phoneticPr fontId="1" type="noConversion"/>
  </si>
  <si>
    <t>Vdc</t>
    <phoneticPr fontId="1" type="noConversion"/>
  </si>
  <si>
    <t>R1</t>
    <phoneticPr fontId="1" type="noConversion"/>
  </si>
  <si>
    <t>R2</t>
    <phoneticPr fontId="1" type="noConversion"/>
  </si>
  <si>
    <t>VDC_IN_AD</t>
    <phoneticPr fontId="1" type="noConversion"/>
  </si>
  <si>
    <t>POWER</t>
    <phoneticPr fontId="1" type="noConversion"/>
  </si>
  <si>
    <t>VIN</t>
    <phoneticPr fontId="1" type="noConversion"/>
  </si>
  <si>
    <t>R3</t>
    <phoneticPr fontId="1" type="noConversion"/>
  </si>
  <si>
    <t>R4</t>
    <phoneticPr fontId="1" type="noConversion"/>
  </si>
  <si>
    <t>MCU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</si>
  <si>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</si>
  <si>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SMPS</t>
    <phoneticPr fontId="1" type="noConversion"/>
  </si>
  <si>
    <t>V</t>
    <phoneticPr fontId="1" type="noConversion"/>
  </si>
  <si>
    <t>I</t>
    <phoneticPr fontId="1" type="noConversion"/>
  </si>
  <si>
    <t>P</t>
    <phoneticPr fontId="1" type="noConversion"/>
  </si>
  <si>
    <t>PSP-600-48</t>
    <phoneticPr fontId="1" type="noConversion"/>
  </si>
  <si>
    <t>MEAN WELL</t>
    <phoneticPr fontId="1" type="noConversion"/>
  </si>
  <si>
    <t>PN</t>
    <phoneticPr fontId="1" type="noConversion"/>
  </si>
  <si>
    <t>Vendor</t>
    <phoneticPr fontId="1" type="noConversion"/>
  </si>
  <si>
    <t>NET-35B</t>
    <phoneticPr fontId="1" type="noConversion"/>
  </si>
  <si>
    <t>I_max</t>
    <phoneticPr fontId="1" type="noConversion"/>
  </si>
  <si>
    <t>Rsens1</t>
    <phoneticPr fontId="1" type="noConversion"/>
  </si>
  <si>
    <t>Rsens2</t>
    <phoneticPr fontId="1" type="noConversion"/>
  </si>
  <si>
    <t>Vsens</t>
    <phoneticPr fontId="1" type="noConversion"/>
  </si>
  <si>
    <t>A</t>
    <phoneticPr fontId="1" type="noConversion"/>
  </si>
  <si>
    <t>Ω</t>
    <phoneticPr fontId="1" type="noConversion"/>
  </si>
  <si>
    <t>V</t>
    <phoneticPr fontId="1" type="noConversion"/>
  </si>
  <si>
    <t>Iout</t>
    <phoneticPr fontId="1" type="noConversion"/>
  </si>
  <si>
    <t>Rgain</t>
    <phoneticPr fontId="1" type="noConversion"/>
  </si>
  <si>
    <t>kΩ</t>
    <phoneticPr fontId="1" type="noConversion"/>
  </si>
  <si>
    <t>mA</t>
    <phoneticPr fontId="1" type="noConversion"/>
  </si>
  <si>
    <t>Vout</t>
    <phoneticPr fontId="1" type="noConversion"/>
  </si>
  <si>
    <t>W</t>
    <phoneticPr fontId="1" type="noConversion"/>
  </si>
  <si>
    <t>No</t>
    <phoneticPr fontId="1" type="noConversion"/>
  </si>
  <si>
    <t>Status</t>
    <phoneticPr fontId="1" type="noConversion"/>
  </si>
  <si>
    <t>Description</t>
    <phoneticPr fontId="1" type="noConversion"/>
  </si>
  <si>
    <t>OPEN</t>
    <phoneticPr fontId="1" type="noConversion"/>
  </si>
  <si>
    <t>FW_CT_AD path에 RC filter 추가</t>
    <phoneticPr fontId="1" type="noConversion"/>
  </si>
  <si>
    <t>ADC Path를 12V로 설계하고, MCU에서 3.3V로 Dividing하여 사용</t>
    <phoneticPr fontId="1" type="noConversion"/>
  </si>
  <si>
    <t>CT1의 Pin-3의 Resonator의 Freq 결정 - serial 공진인지, shunt 공진인지 특성 확인 필요</t>
    <phoneticPr fontId="1" type="noConversion"/>
  </si>
  <si>
    <t>VDC_IN_AD</t>
    <phoneticPr fontId="1" type="noConversion"/>
  </si>
  <si>
    <t>Unit</t>
    <phoneticPr fontId="1" type="noConversion"/>
  </si>
  <si>
    <t>SMPS Max Current</t>
    <phoneticPr fontId="1" type="noConversion"/>
  </si>
  <si>
    <t>ADC Path review</t>
    <phoneticPr fontId="1" type="noConversion"/>
  </si>
  <si>
    <t>48V Vin ADC Review</t>
    <phoneticPr fontId="1" type="noConversion"/>
  </si>
  <si>
    <t>Current Sensor Review</t>
    <phoneticPr fontId="1" type="noConversion"/>
  </si>
  <si>
    <t>Max 500mV</t>
    <phoneticPr fontId="1" type="noConversion"/>
  </si>
  <si>
    <t>Max 2mA</t>
    <phoneticPr fontId="1" type="noConversion"/>
  </si>
  <si>
    <t>PWR_IS_AD</t>
    <phoneticPr fontId="1" type="noConversion"/>
  </si>
  <si>
    <t>ZXCT1110</t>
    <phoneticPr fontId="1" type="noConversion"/>
  </si>
  <si>
    <t>R13</t>
    <phoneticPr fontId="1" type="noConversion"/>
  </si>
  <si>
    <t>R19</t>
    <phoneticPr fontId="1" type="noConversion"/>
  </si>
  <si>
    <t>Vout</t>
    <phoneticPr fontId="1" type="noConversion"/>
  </si>
  <si>
    <t>V</t>
    <phoneticPr fontId="1" type="noConversion"/>
  </si>
  <si>
    <t>R14</t>
    <phoneticPr fontId="1" type="noConversion"/>
  </si>
  <si>
    <t>R17</t>
    <phoneticPr fontId="1" type="noConversion"/>
  </si>
  <si>
    <t>V_ADC</t>
    <phoneticPr fontId="1" type="noConversion"/>
  </si>
  <si>
    <t>Prsens</t>
    <phoneticPr fontId="1" type="noConversion"/>
  </si>
  <si>
    <t>Vopamp</t>
    <phoneticPr fontId="1" type="noConversion"/>
  </si>
  <si>
    <t>POWER PCB</t>
    <phoneticPr fontId="1" type="noConversion"/>
  </si>
  <si>
    <t>MCU PCB</t>
    <phoneticPr fontId="1" type="noConversion"/>
  </si>
  <si>
    <t>ADC</t>
    <phoneticPr fontId="1" type="noConversion"/>
  </si>
  <si>
    <t>MHz</t>
    <phoneticPr fontId="1" type="noConversion"/>
  </si>
  <si>
    <t>파장</t>
    <phoneticPr fontId="1" type="noConversion"/>
  </si>
  <si>
    <t>m</t>
    <phoneticPr fontId="1" type="noConversion"/>
  </si>
  <si>
    <t>1N5711W</t>
    <phoneticPr fontId="1" type="noConversion"/>
  </si>
  <si>
    <t>DIODE</t>
    <phoneticPr fontId="1" type="noConversion"/>
  </si>
  <si>
    <t>Ifm[A]</t>
    <phoneticPr fontId="1" type="noConversion"/>
  </si>
  <si>
    <t>Vr[V]</t>
    <phoneticPr fontId="1" type="noConversion"/>
  </si>
  <si>
    <t>Vf</t>
    <phoneticPr fontId="1" type="noConversion"/>
  </si>
  <si>
    <t>Package</t>
    <phoneticPr fontId="1" type="noConversion"/>
  </si>
  <si>
    <t>SOD-123</t>
    <phoneticPr fontId="1" type="noConversion"/>
  </si>
  <si>
    <t>1.7x3.85</t>
    <phoneticPr fontId="1" type="noConversion"/>
  </si>
  <si>
    <t>Size</t>
    <phoneticPr fontId="1" type="noConversion"/>
  </si>
  <si>
    <t>T</t>
    <phoneticPr fontId="1" type="noConversion"/>
  </si>
  <si>
    <t>Schottky Barrier Diode</t>
    <phoneticPr fontId="1" type="noConversion"/>
  </si>
  <si>
    <t>1N4148</t>
    <phoneticPr fontId="1" type="noConversion"/>
  </si>
  <si>
    <t>VISHAY</t>
    <phoneticPr fontId="1" type="noConversion"/>
  </si>
  <si>
    <t>Ifm : max Forward Current</t>
    <phoneticPr fontId="1" type="noConversion"/>
  </si>
  <si>
    <t>Vr : reverse Voltage</t>
    <phoneticPr fontId="1" type="noConversion"/>
  </si>
  <si>
    <t>Vf : Forward Voltage drop</t>
    <phoneticPr fontId="1" type="noConversion"/>
  </si>
  <si>
    <t>Fast Switching Diode</t>
    <phoneticPr fontId="1" type="noConversion"/>
  </si>
  <si>
    <t>KDS226</t>
    <phoneticPr fontId="1" type="noConversion"/>
  </si>
  <si>
    <t>KEC</t>
    <phoneticPr fontId="1" type="noConversion"/>
  </si>
  <si>
    <t>SOT-23</t>
    <phoneticPr fontId="1" type="noConversion"/>
  </si>
  <si>
    <t>Vmax</t>
    <phoneticPr fontId="1" type="noConversion"/>
  </si>
  <si>
    <t>V</t>
    <phoneticPr fontId="1" type="noConversion"/>
  </si>
  <si>
    <t>R</t>
    <phoneticPr fontId="1" type="noConversion"/>
  </si>
  <si>
    <t>I</t>
    <phoneticPr fontId="1" type="noConversion"/>
  </si>
  <si>
    <t>P</t>
    <phoneticPr fontId="1" type="noConversion"/>
  </si>
  <si>
    <t>Ω</t>
    <phoneticPr fontId="1" type="noConversion"/>
  </si>
  <si>
    <t>A</t>
    <phoneticPr fontId="1" type="noConversion"/>
  </si>
  <si>
    <t>W</t>
    <phoneticPr fontId="1" type="noConversion"/>
  </si>
  <si>
    <t>L1[nH]</t>
    <phoneticPr fontId="1" type="noConversion"/>
  </si>
  <si>
    <t>C3[pF]</t>
    <phoneticPr fontId="1" type="noConversion"/>
  </si>
  <si>
    <t>fo[MHz]</t>
    <phoneticPr fontId="1" type="noConversion"/>
  </si>
  <si>
    <t>VR를 원형 눈금 타입으로 변경</t>
    <phoneticPr fontId="1" type="noConversion"/>
  </si>
  <si>
    <t>Filter matching value - reference PCB의 Data와 비슷함.</t>
    <phoneticPr fontId="1" type="noConversion"/>
  </si>
  <si>
    <t>V</t>
    <phoneticPr fontId="1" type="noConversion"/>
  </si>
  <si>
    <t>W</t>
    <phoneticPr fontId="1" type="noConversion"/>
  </si>
  <si>
    <t>A</t>
    <phoneticPr fontId="1" type="noConversion"/>
  </si>
  <si>
    <t>C</t>
    <phoneticPr fontId="1" type="noConversion"/>
  </si>
  <si>
    <t>Fc</t>
    <phoneticPr fontId="1" type="noConversion"/>
  </si>
  <si>
    <t>VR1</t>
    <phoneticPr fontId="1" type="noConversion"/>
  </si>
  <si>
    <t>Vcc</t>
    <phoneticPr fontId="1" type="noConversion"/>
  </si>
  <si>
    <t>V_gate</t>
    <phoneticPr fontId="1" type="noConversion"/>
  </si>
  <si>
    <t>Icc</t>
    <phoneticPr fontId="1" type="noConversion"/>
  </si>
  <si>
    <t>Spec</t>
    <phoneticPr fontId="1" type="noConversion"/>
  </si>
  <si>
    <t>RF Freq</t>
    <phoneticPr fontId="1" type="noConversion"/>
  </si>
  <si>
    <t>MHz</t>
    <phoneticPr fontId="1" type="noConversion"/>
  </si>
  <si>
    <t>Harmonic</t>
    <phoneticPr fontId="1" type="noConversion"/>
  </si>
  <si>
    <t>dBc</t>
    <phoneticPr fontId="1" type="noConversion"/>
  </si>
  <si>
    <t>Power</t>
    <phoneticPr fontId="1" type="noConversion"/>
  </si>
  <si>
    <t>W</t>
    <phoneticPr fontId="1" type="noConversion"/>
  </si>
  <si>
    <t>Reflect Power</t>
    <phoneticPr fontId="1" type="noConversion"/>
  </si>
  <si>
    <t>max</t>
    <phoneticPr fontId="1" type="noConversion"/>
  </si>
  <si>
    <t>Bias</t>
    <phoneticPr fontId="1" type="noConversion"/>
  </si>
  <si>
    <t>RF_in</t>
    <phoneticPr fontId="1" type="noConversion"/>
  </si>
  <si>
    <t>RF_out</t>
    <phoneticPr fontId="1" type="noConversion"/>
  </si>
  <si>
    <t>C100</t>
    <phoneticPr fontId="1" type="noConversion"/>
  </si>
  <si>
    <t>VR1[눈금]</t>
    <phoneticPr fontId="1" type="noConversion"/>
  </si>
  <si>
    <t>R1[KΩ]</t>
    <phoneticPr fontId="1" type="noConversion"/>
  </si>
  <si>
    <t>R23[KΩ]</t>
    <phoneticPr fontId="1" type="noConversion"/>
  </si>
  <si>
    <t>NC</t>
    <phoneticPr fontId="1" type="noConversion"/>
  </si>
  <si>
    <t>L2[uH]</t>
    <phoneticPr fontId="1" type="noConversion"/>
  </si>
  <si>
    <t>Gain</t>
    <phoneticPr fontId="1" type="noConversion"/>
  </si>
  <si>
    <r>
      <t>R2[K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</si>
  <si>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Date</t>
    <phoneticPr fontId="1" type="noConversion"/>
  </si>
  <si>
    <t xml:space="preserve">Q1의 Gain이 0.3정도밖에 안나옴 </t>
    <phoneticPr fontId="1" type="noConversion"/>
  </si>
  <si>
    <t>R4가 18.2가 아니라 18.2K가 실장되어 있었음</t>
    <phoneticPr fontId="1" type="noConversion"/>
  </si>
  <si>
    <t>Vpp</t>
    <phoneticPr fontId="1" type="noConversion"/>
  </si>
  <si>
    <t>Vrms</t>
    <phoneticPr fontId="1" type="noConversion"/>
  </si>
  <si>
    <t>Vrms_cal</t>
    <phoneticPr fontId="1" type="noConversion"/>
  </si>
  <si>
    <t>10n</t>
    <phoneticPr fontId="1" type="noConversion"/>
  </si>
  <si>
    <t>1n</t>
    <phoneticPr fontId="1" type="noConversion"/>
  </si>
  <si>
    <t>Pout</t>
    <phoneticPr fontId="1" type="noConversion"/>
  </si>
  <si>
    <t>MRF1513NT1</t>
    <phoneticPr fontId="1" type="noConversion"/>
  </si>
  <si>
    <t>Pcc</t>
    <phoneticPr fontId="1" type="noConversion"/>
  </si>
  <si>
    <r>
      <t>VR1[K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</si>
  <si>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[V/V]</t>
    <phoneticPr fontId="1" type="noConversion"/>
  </si>
  <si>
    <t>C6[pF]</t>
    <phoneticPr fontId="1" type="noConversion"/>
  </si>
  <si>
    <t>C7[pF]</t>
    <phoneticPr fontId="1" type="noConversion"/>
  </si>
  <si>
    <t>C34[pF]</t>
    <phoneticPr fontId="1" type="noConversion"/>
  </si>
  <si>
    <t>L11[nH]</t>
    <phoneticPr fontId="1" type="noConversion"/>
  </si>
  <si>
    <t>L3[nH]</t>
    <phoneticPr fontId="1" type="noConversion"/>
  </si>
  <si>
    <t>L12[nH]</t>
    <phoneticPr fontId="1" type="noConversion"/>
  </si>
  <si>
    <t>NC</t>
    <phoneticPr fontId="1" type="noConversion"/>
  </si>
  <si>
    <t>C3[pF]</t>
    <phoneticPr fontId="1" type="noConversion"/>
  </si>
  <si>
    <t>L1[nH]</t>
    <phoneticPr fontId="1" type="noConversion"/>
  </si>
  <si>
    <t>RF_IN의 +Vpp가 saturation됨</t>
    <phoneticPr fontId="1" type="noConversion"/>
  </si>
  <si>
    <t>RF_IN의 +Vpp가 개선</t>
    <phoneticPr fontId="1" type="noConversion"/>
  </si>
  <si>
    <t>RL=50 : TX1 1차에서 50저항 처리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</si>
</sst>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9">
    <xf numFmtId="0" fontId="0" fillId="0" borderId="0" xfId="0"/>
    <xf numFmtId="176" fontId="0" fillId="0" borderId="0" xfId="0" applyNumberFormat="1"/>
    <xf numFmtId="0" fontId="2" fillId="0" borderId="0" xfId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2" fontId="0" fillId="0" borderId="13" xfId="0" applyNumberFormat="1" applyBorder="1"/>
    <xf numFmtId="0" fontId="0" fillId="0" borderId="16" xfId="0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77" fontId="0" fillId="0" borderId="0" xfId="0" applyNumberFormat="1"/>
    <xf numFmtId="0" fontId="0" fillId="0" borderId="0" xfId="0" applyBorder="1"/>
    <xf numFmtId="0" fontId="0" fillId="0" borderId="24" xfId="0" applyBorder="1"/>
    <xf numFmtId="177" fontId="0" fillId="0" borderId="1" xfId="0" applyNumberFormat="1" applyBorder="1"/>
    <xf numFmtId="0" fontId="4" fillId="0" borderId="5" xfId="0" applyFont="1" applyBorder="1" applyAlignment="1">
      <alignment horizontal="center"/>
    </xf>
    <xf numFmtId="176" fontId="0" fillId="0" borderId="8" xfId="0" applyNumberFormat="1" applyBorder="1"/>
    <xf numFmtId="176" fontId="0" fillId="0" borderId="10" xfId="0" applyNumberFormat="1" applyBorder="1"/>
    <xf numFmtId="177" fontId="0" fillId="0" borderId="11" xfId="0" applyNumberFormat="1" applyBorder="1"/>
    <xf numFmtId="0" fontId="0" fillId="0" borderId="26" xfId="0" applyBorder="1"/>
    <xf numFmtId="0" fontId="0" fillId="0" borderId="23" xfId="0" applyBorder="1"/>
    <xf numFmtId="0" fontId="0" fillId="0" borderId="21" xfId="0" applyBorder="1"/>
    <xf numFmtId="0" fontId="0" fillId="0" borderId="7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5" xfId="0" applyBorder="1"/>
    <xf numFmtId="2" fontId="0" fillId="0" borderId="6" xfId="0" applyNumberFormat="1" applyBorder="1"/>
    <xf numFmtId="1" fontId="0" fillId="0" borderId="7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10" xfId="0" applyBorder="1"/>
    <xf numFmtId="1" fontId="0" fillId="0" borderId="12" xfId="0" applyNumberFormat="1" applyBorder="1"/>
    <xf numFmtId="0" fontId="4" fillId="0" borderId="2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6" fontId="0" fillId="0" borderId="29" xfId="0" applyNumberFormat="1" applyBorder="1"/>
    <xf numFmtId="177" fontId="0" fillId="0" borderId="14" xfId="0" applyNumberFormat="1" applyBorder="1"/>
    <xf numFmtId="2" fontId="0" fillId="0" borderId="33" xfId="0" applyNumberForma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2" fontId="0" fillId="0" borderId="0" xfId="0" applyNumberFormat="1"/>
    <xf numFmtId="0" fontId="0" fillId="0" borderId="9" xfId="0" applyBorder="1"/>
    <xf numFmtId="0" fontId="4" fillId="0" borderId="10" xfId="0" applyFont="1" applyBorder="1" applyAlignment="1">
      <alignment horizontal="center"/>
    </xf>
    <xf numFmtId="2" fontId="6" fillId="3" borderId="6" xfId="0" applyNumberFormat="1" applyFont="1" applyFill="1" applyBorder="1" applyAlignment="1">
      <alignment horizontal="right" vertical="center"/>
    </xf>
    <xf numFmtId="2" fontId="6" fillId="3" borderId="1" xfId="0" applyNumberFormat="1" applyFont="1" applyFill="1" applyBorder="1" applyAlignment="1">
      <alignment horizontal="right" vertical="center"/>
    </xf>
    <xf numFmtId="176" fontId="0" fillId="0" borderId="1" xfId="0" applyNumberFormat="1" applyBorder="1"/>
    <xf numFmtId="176" fontId="0" fillId="0" borderId="1" xfId="0" applyNumberFormat="1" applyFill="1" applyBorder="1"/>
    <xf numFmtId="0" fontId="4" fillId="0" borderId="11" xfId="0" applyFont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77" fontId="0" fillId="0" borderId="6" xfId="0" applyNumberFormat="1" applyBorder="1"/>
    <xf numFmtId="176" fontId="0" fillId="0" borderId="6" xfId="0" applyNumberFormat="1" applyBorder="1"/>
    <xf numFmtId="2" fontId="0" fillId="0" borderId="9" xfId="0" applyNumberFormat="1" applyBorder="1"/>
    <xf numFmtId="0" fontId="0" fillId="4" borderId="10" xfId="0" applyFill="1" applyBorder="1"/>
    <xf numFmtId="0" fontId="0" fillId="4" borderId="11" xfId="0" applyFill="1" applyBorder="1"/>
    <xf numFmtId="177" fontId="0" fillId="4" borderId="11" xfId="0" applyNumberFormat="1" applyFill="1" applyBorder="1"/>
    <xf numFmtId="2" fontId="6" fillId="4" borderId="11" xfId="0" applyNumberFormat="1" applyFont="1" applyFill="1" applyBorder="1" applyAlignment="1">
      <alignment horizontal="right" vertical="center"/>
    </xf>
    <xf numFmtId="176" fontId="0" fillId="4" borderId="11" xfId="0" applyNumberFormat="1" applyFill="1" applyBorder="1"/>
    <xf numFmtId="2" fontId="0" fillId="4" borderId="12" xfId="0" applyNumberFormat="1" applyFill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" xfId="0" applyFill="1" applyBorder="1"/>
    <xf numFmtId="177" fontId="0" fillId="0" borderId="1" xfId="0" applyNumberFormat="1" applyFill="1" applyBorder="1"/>
    <xf numFmtId="2" fontId="6" fillId="0" borderId="1" xfId="0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/>
    <xf numFmtId="0" fontId="0" fillId="4" borderId="6" xfId="0" applyFill="1" applyBorder="1"/>
    <xf numFmtId="177" fontId="0" fillId="4" borderId="6" xfId="0" applyNumberFormat="1" applyFill="1" applyBorder="1"/>
    <xf numFmtId="2" fontId="6" fillId="4" borderId="6" xfId="0" applyNumberFormat="1" applyFont="1" applyFill="1" applyBorder="1" applyAlignment="1">
      <alignment horizontal="right" vertical="center"/>
    </xf>
    <xf numFmtId="176" fontId="0" fillId="4" borderId="6" xfId="0" applyNumberFormat="1" applyFill="1" applyBorder="1"/>
    <xf numFmtId="2" fontId="0" fillId="4" borderId="7" xfId="0" applyNumberFormat="1" applyFill="1" applyBorder="1"/>
    <xf numFmtId="0" fontId="0" fillId="0" borderId="8" xfId="0" applyFill="1" applyBorder="1"/>
    <xf numFmtId="2" fontId="0" fillId="0" borderId="9" xfId="0" applyNumberFormat="1" applyFill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5</xdr:row>
      <xdr:rowOff>28575</xdr:rowOff>
    </xdr:from>
    <xdr:to>
      <xdr:col>19</xdr:col>
      <xdr:colOff>114301</xdr:colOff>
      <xdr:row>18</xdr:row>
      <xdr:rowOff>67189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6" y="1085850"/>
          <a:ext cx="6229350" cy="2791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1</xdr:row>
      <xdr:rowOff>66675</xdr:rowOff>
    </xdr:from>
    <xdr:to>
      <xdr:col>16</xdr:col>
      <xdr:colOff>648346</xdr:colOff>
      <xdr:row>18</xdr:row>
      <xdr:rowOff>162436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276225"/>
          <a:ext cx="4629796" cy="3658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152400</xdr:rowOff>
    </xdr:from>
    <xdr:to>
      <xdr:col>21</xdr:col>
      <xdr:colOff>677420</xdr:colOff>
      <xdr:row>18</xdr:row>
      <xdr:rowOff>19558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152400"/>
          <a:ext cx="8202170" cy="36390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398780</xdr:colOff>
      <xdr:row>19</xdr:row>
      <xdr:rowOff>213360</xdr:rowOff>
    </xdr:from>
    <xdr:to>
      <xdr:col>17</xdr:col>
      <xdr:colOff>7620</xdr:colOff>
      <xdr:row>38</xdr:row>
      <xdr:rowOff>76200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E95DC7C-B503-45DA-91C3-7F68809D2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660" y="4450080"/>
          <a:ext cx="5415280" cy="4061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20</xdr:row>
      <xdr:rowOff>180975</xdr:rowOff>
    </xdr:from>
    <xdr:to>
      <xdr:col>18</xdr:col>
      <xdr:colOff>542925</xdr:colOff>
      <xdr:row>45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371975"/>
          <a:ext cx="1098232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198120</xdr:colOff>
      <xdr:row>56</xdr:row>
      <xdr:rowOff>160020</xdr:rowOff>
    </xdr:from>
    <xdr:to>
      <xdr:col>10</xdr:col>
      <xdr:colOff>119380</xdr:colOff>
      <xdr:row>75</xdr:row>
      <xdr:rowOff>22860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57D87C9-85E8-4F4D-8FE4-B1F4E680F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12367260"/>
          <a:ext cx="5415280" cy="406146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56</xdr:row>
      <xdr:rowOff>156210</xdr:rowOff>
    </xdr:from>
    <xdr:to>
      <xdr:col>19</xdr:col>
      <xdr:colOff>129540</xdr:colOff>
      <xdr:row>75</xdr:row>
      <xdr:rowOff>20955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F265551-9AC3-4959-B81E-44F497B4C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340" y="12363450"/>
          <a:ext cx="5417820" cy="4063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38100</xdr:rowOff>
    </xdr:from>
    <xdr:to>
      <xdr:col>16</xdr:col>
      <xdr:colOff>504825</xdr:colOff>
      <xdr:row>40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0"/>
          <a:ext cx="10791825" cy="791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lasource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16"/>
  <sheetViews>
    <sheetView workbookViewId="0">
      <selection activeCell="E11" sqref="E11"/>
    </sheetView>
  </sheetViews>
  <sheetFormatPr defaultRowHeight="17.399999999999999" x14ac:dyDescent="0.4"/>
  <cols>
    <col min="1" max="2" width="5.09765625" customWidth="1"/>
  </cols>
  <sheetData>
    <row r="3" spans="2:16" ht="18" thickBot="1" x14ac:dyDescent="0.45">
      <c r="B3" s="31" t="s">
        <v>114</v>
      </c>
    </row>
    <row r="4" spans="2:16" x14ac:dyDescent="0.4">
      <c r="C4" s="94" t="s">
        <v>115</v>
      </c>
      <c r="D4" s="95"/>
      <c r="E4" s="20">
        <v>13.56</v>
      </c>
      <c r="F4" s="20" t="s">
        <v>116</v>
      </c>
      <c r="G4" s="44"/>
      <c r="N4" s="2" t="s">
        <v>5</v>
      </c>
    </row>
    <row r="5" spans="2:16" x14ac:dyDescent="0.4">
      <c r="C5" s="92" t="s">
        <v>117</v>
      </c>
      <c r="D5" s="93"/>
      <c r="E5" s="17">
        <v>50</v>
      </c>
      <c r="F5" s="17" t="s">
        <v>118</v>
      </c>
      <c r="G5" s="72" t="s">
        <v>122</v>
      </c>
    </row>
    <row r="6" spans="2:16" x14ac:dyDescent="0.4">
      <c r="C6" s="92" t="s">
        <v>119</v>
      </c>
      <c r="D6" s="93"/>
      <c r="E6" s="17">
        <v>300</v>
      </c>
      <c r="F6" s="17" t="s">
        <v>120</v>
      </c>
      <c r="G6" s="72" t="s">
        <v>122</v>
      </c>
    </row>
    <row r="7" spans="2:16" ht="18" thickBot="1" x14ac:dyDescent="0.45">
      <c r="C7" s="90" t="s">
        <v>121</v>
      </c>
      <c r="D7" s="91"/>
      <c r="E7" s="23">
        <v>30</v>
      </c>
      <c r="F7" s="23" t="s">
        <v>120</v>
      </c>
      <c r="G7" s="45" t="s">
        <v>122</v>
      </c>
      <c r="L7" t="s">
        <v>0</v>
      </c>
      <c r="M7">
        <v>1</v>
      </c>
      <c r="N7">
        <v>100</v>
      </c>
      <c r="O7">
        <v>300</v>
      </c>
      <c r="P7" t="s">
        <v>1</v>
      </c>
    </row>
    <row r="8" spans="2:16" x14ac:dyDescent="0.4">
      <c r="M8">
        <f>10*LOG(M7)</f>
        <v>0</v>
      </c>
      <c r="N8">
        <f>10*LOG(N7)</f>
        <v>20</v>
      </c>
      <c r="O8" s="1">
        <f>10*LOG(O7)</f>
        <v>24.771212547196626</v>
      </c>
      <c r="P8" t="s">
        <v>2</v>
      </c>
    </row>
    <row r="9" spans="2:16" x14ac:dyDescent="0.4">
      <c r="M9">
        <f>10*LOG(M7/0.001)</f>
        <v>30</v>
      </c>
      <c r="N9">
        <f>10*LOG(N7/0.001)</f>
        <v>50</v>
      </c>
      <c r="O9" s="1">
        <f>10*LOG(O7/0.001)</f>
        <v>54.771212547196626</v>
      </c>
      <c r="P9" t="s">
        <v>3</v>
      </c>
    </row>
    <row r="10" spans="2:16" x14ac:dyDescent="0.4">
      <c r="L10" t="s">
        <v>4</v>
      </c>
      <c r="M10">
        <v>30</v>
      </c>
      <c r="N10">
        <v>30</v>
      </c>
      <c r="O10">
        <v>30</v>
      </c>
      <c r="P10" t="s">
        <v>2</v>
      </c>
    </row>
    <row r="11" spans="2:16" x14ac:dyDescent="0.4">
      <c r="M11">
        <f>M9-M10</f>
        <v>0</v>
      </c>
      <c r="N11">
        <f>N9-N10</f>
        <v>20</v>
      </c>
      <c r="O11" s="1">
        <f>O9-O10</f>
        <v>24.771212547196626</v>
      </c>
      <c r="P11" t="s">
        <v>3</v>
      </c>
    </row>
    <row r="14" spans="2:16" x14ac:dyDescent="0.4">
      <c r="L14" t="s">
        <v>6</v>
      </c>
      <c r="N14" t="s">
        <v>70</v>
      </c>
    </row>
    <row r="15" spans="2:16" x14ac:dyDescent="0.4">
      <c r="L15">
        <v>12.56</v>
      </c>
      <c r="M15" t="s">
        <v>69</v>
      </c>
      <c r="N15" s="1">
        <f>300/L15</f>
        <v>23.885350318471335</v>
      </c>
      <c r="O15" t="s">
        <v>71</v>
      </c>
    </row>
    <row r="16" spans="2:16" x14ac:dyDescent="0.4">
      <c r="L16">
        <v>13.56</v>
      </c>
      <c r="M16" t="s">
        <v>69</v>
      </c>
      <c r="N16" s="1">
        <f>300/L16</f>
        <v>22.123893805309734</v>
      </c>
      <c r="O16" t="s">
        <v>71</v>
      </c>
    </row>
  </sheetData>
  <mergeCells count="4">
    <mergeCell ref="C7:D7"/>
    <mergeCell ref="C6:D6"/>
    <mergeCell ref="C5:D5"/>
    <mergeCell ref="C4:D4"/>
  </mergeCells>
  <phoneticPr fontId="1" type="noConversion"/>
  <hyperlinks>
    <hyperlink ref="N4" r:id="rId1" xr:uid="{00000000-0004-0000-0000-000000000000}"/>
  </hyperlinks>
  <pageMargins left="0.7" right="0.7" top="0.75" bottom="0.75" header="0.3" footer="0.3"/>
  <pageSetup paperSize="9" orientation="portrait" horizontalDpi="4294967292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"/>
  <sheetViews>
    <sheetView workbookViewId="0">
      <selection activeCell="T21" sqref="T21"/>
    </sheetView>
  </sheetViews>
  <sheetFormatPr defaultRowHeight="17.399999999999999" x14ac:dyDescent="0.4"/>
  <sheetData>
    <row r="2" spans="2:2" x14ac:dyDescent="0.4">
      <c r="B2" t="s">
        <v>104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16"/>
  <sheetViews>
    <sheetView workbookViewId="0">
      <selection activeCell="S13" sqref="S13"/>
    </sheetView>
  </sheetViews>
  <sheetFormatPr defaultColWidth="9" defaultRowHeight="17.399999999999999" x14ac:dyDescent="0.4"/>
  <cols>
    <col min="1" max="2" width="9" style="3"/>
    <col min="3" max="3" width="12.3984375" style="3" bestFit="1" customWidth="1"/>
    <col min="4" max="4" width="12.19921875" style="3" bestFit="1" customWidth="1"/>
    <col min="5" max="16384" width="9" style="3"/>
  </cols>
  <sheetData>
    <row r="4" spans="2:11" ht="18" thickBot="1" x14ac:dyDescent="0.45">
      <c r="K4" s="3" t="s">
        <v>85</v>
      </c>
    </row>
    <row r="5" spans="2:11" ht="18" thickBot="1" x14ac:dyDescent="0.45">
      <c r="B5" s="4"/>
      <c r="C5" s="5" t="s">
        <v>24</v>
      </c>
      <c r="D5" s="5" t="s">
        <v>25</v>
      </c>
      <c r="E5" s="5" t="s">
        <v>19</v>
      </c>
      <c r="F5" s="5" t="s">
        <v>20</v>
      </c>
      <c r="G5" s="6" t="s">
        <v>21</v>
      </c>
      <c r="K5" s="3" t="s">
        <v>86</v>
      </c>
    </row>
    <row r="6" spans="2:11" x14ac:dyDescent="0.4">
      <c r="B6" s="100" t="s">
        <v>18</v>
      </c>
      <c r="C6" s="7" t="s">
        <v>22</v>
      </c>
      <c r="D6" s="8" t="s">
        <v>23</v>
      </c>
      <c r="E6" s="9">
        <v>48</v>
      </c>
      <c r="F6" s="9">
        <v>12.5</v>
      </c>
      <c r="G6" s="10">
        <f>E6*F6</f>
        <v>600</v>
      </c>
      <c r="K6" s="3" t="s">
        <v>87</v>
      </c>
    </row>
    <row r="7" spans="2:11" x14ac:dyDescent="0.4">
      <c r="B7" s="101"/>
      <c r="C7" s="96" t="s">
        <v>26</v>
      </c>
      <c r="D7" s="98" t="s">
        <v>23</v>
      </c>
      <c r="E7" s="11">
        <v>5</v>
      </c>
      <c r="F7" s="11">
        <v>3</v>
      </c>
      <c r="G7" s="12">
        <f>E7*F7</f>
        <v>15</v>
      </c>
    </row>
    <row r="8" spans="2:11" ht="18" thickBot="1" x14ac:dyDescent="0.45">
      <c r="B8" s="102"/>
      <c r="C8" s="97"/>
      <c r="D8" s="99"/>
      <c r="E8" s="13">
        <v>12</v>
      </c>
      <c r="F8" s="13">
        <v>1</v>
      </c>
      <c r="G8" s="14">
        <f>E8*F8</f>
        <v>12</v>
      </c>
    </row>
    <row r="12" spans="2:11" ht="18" thickBot="1" x14ac:dyDescent="0.45"/>
    <row r="13" spans="2:11" ht="18" thickBot="1" x14ac:dyDescent="0.45">
      <c r="C13" s="5" t="s">
        <v>24</v>
      </c>
      <c r="D13" s="5" t="s">
        <v>25</v>
      </c>
      <c r="E13" s="3" t="s">
        <v>75</v>
      </c>
      <c r="F13" s="3" t="s">
        <v>74</v>
      </c>
      <c r="G13" s="3" t="s">
        <v>76</v>
      </c>
      <c r="H13" s="3" t="s">
        <v>77</v>
      </c>
      <c r="I13" s="3" t="s">
        <v>80</v>
      </c>
      <c r="J13" s="3" t="s">
        <v>81</v>
      </c>
    </row>
    <row r="14" spans="2:11" x14ac:dyDescent="0.4">
      <c r="C14" s="3" t="s">
        <v>72</v>
      </c>
      <c r="D14" s="3" t="s">
        <v>73</v>
      </c>
      <c r="E14" s="3">
        <v>70</v>
      </c>
      <c r="F14" s="3">
        <v>1.4999999999999999E-2</v>
      </c>
      <c r="G14" s="3">
        <v>1</v>
      </c>
      <c r="H14" s="3" t="s">
        <v>78</v>
      </c>
      <c r="I14" s="3" t="s">
        <v>79</v>
      </c>
      <c r="J14" s="3">
        <v>1.35</v>
      </c>
      <c r="K14" s="3" t="s">
        <v>82</v>
      </c>
    </row>
    <row r="15" spans="2:11" x14ac:dyDescent="0.4">
      <c r="C15" s="3" t="s">
        <v>83</v>
      </c>
      <c r="D15" s="3" t="s">
        <v>84</v>
      </c>
      <c r="E15" s="3">
        <v>75</v>
      </c>
      <c r="F15" s="3">
        <v>0.1</v>
      </c>
      <c r="G15" s="3">
        <v>1.2</v>
      </c>
      <c r="H15" s="3" t="s">
        <v>78</v>
      </c>
      <c r="I15" s="3" t="s">
        <v>79</v>
      </c>
      <c r="J15" s="3">
        <v>1.35</v>
      </c>
      <c r="K15" s="3" t="s">
        <v>88</v>
      </c>
    </row>
    <row r="16" spans="2:11" x14ac:dyDescent="0.4">
      <c r="C16" s="3" t="s">
        <v>89</v>
      </c>
      <c r="D16" s="3" t="s">
        <v>90</v>
      </c>
      <c r="E16" s="3">
        <v>80</v>
      </c>
      <c r="F16" s="3">
        <v>0.3</v>
      </c>
      <c r="G16" s="3">
        <v>0.9</v>
      </c>
      <c r="H16" s="3" t="s">
        <v>91</v>
      </c>
    </row>
  </sheetData>
  <mergeCells count="3">
    <mergeCell ref="C7:C8"/>
    <mergeCell ref="D7:D8"/>
    <mergeCell ref="B6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16"/>
  <sheetViews>
    <sheetView topLeftCell="A4" workbookViewId="0">
      <selection activeCell="E31" sqref="E31"/>
    </sheetView>
  </sheetViews>
  <sheetFormatPr defaultRowHeight="17.399999999999999" x14ac:dyDescent="0.4"/>
  <cols>
    <col min="4" max="4" width="12.8984375" customWidth="1"/>
    <col min="5" max="5" width="11.5" bestFit="1" customWidth="1"/>
  </cols>
  <sheetData>
    <row r="4" spans="2:6" x14ac:dyDescent="0.4">
      <c r="B4" t="s">
        <v>50</v>
      </c>
    </row>
    <row r="5" spans="2:6" ht="18" thickBot="1" x14ac:dyDescent="0.45">
      <c r="C5" s="31" t="s">
        <v>51</v>
      </c>
    </row>
    <row r="6" spans="2:6" ht="18" thickBot="1" x14ac:dyDescent="0.45">
      <c r="C6" s="26"/>
      <c r="D6" s="27"/>
      <c r="E6" s="27" t="s">
        <v>47</v>
      </c>
      <c r="F6" s="28" t="s">
        <v>48</v>
      </c>
    </row>
    <row r="7" spans="2:6" x14ac:dyDescent="0.4">
      <c r="C7" s="103" t="s">
        <v>12</v>
      </c>
      <c r="D7" s="20" t="s">
        <v>8</v>
      </c>
      <c r="E7" s="20">
        <v>48</v>
      </c>
      <c r="F7" s="21" t="s">
        <v>7</v>
      </c>
    </row>
    <row r="8" spans="2:6" x14ac:dyDescent="0.4">
      <c r="C8" s="104"/>
      <c r="D8" s="17" t="s">
        <v>9</v>
      </c>
      <c r="E8" s="17">
        <v>20</v>
      </c>
      <c r="F8" s="22" t="s">
        <v>17</v>
      </c>
    </row>
    <row r="9" spans="2:6" x14ac:dyDescent="0.4">
      <c r="C9" s="104"/>
      <c r="D9" s="17" t="s">
        <v>10</v>
      </c>
      <c r="E9" s="17">
        <v>4.99</v>
      </c>
      <c r="F9" s="22" t="s">
        <v>17</v>
      </c>
    </row>
    <row r="10" spans="2:6" ht="18" thickBot="1" x14ac:dyDescent="0.45">
      <c r="C10" s="105"/>
      <c r="D10" s="19" t="s">
        <v>11</v>
      </c>
      <c r="E10" s="29">
        <f>E7*E9/(E8+E9)</f>
        <v>9.5846338535414155</v>
      </c>
      <c r="F10" s="30" t="s">
        <v>7</v>
      </c>
    </row>
    <row r="11" spans="2:6" x14ac:dyDescent="0.4">
      <c r="C11" s="103" t="s">
        <v>16</v>
      </c>
      <c r="D11" s="20" t="s">
        <v>9</v>
      </c>
      <c r="E11" s="20">
        <v>4.7</v>
      </c>
      <c r="F11" s="21" t="s">
        <v>17</v>
      </c>
    </row>
    <row r="12" spans="2:6" x14ac:dyDescent="0.4">
      <c r="C12" s="104"/>
      <c r="D12" s="17" t="s">
        <v>10</v>
      </c>
      <c r="E12" s="17">
        <v>4.7</v>
      </c>
      <c r="F12" s="22" t="s">
        <v>17</v>
      </c>
    </row>
    <row r="13" spans="2:6" x14ac:dyDescent="0.4">
      <c r="C13" s="104"/>
      <c r="D13" s="17" t="s">
        <v>13</v>
      </c>
      <c r="E13" s="18">
        <f>E10*E12/(E11+E12)</f>
        <v>4.7923169267707078</v>
      </c>
      <c r="F13" s="22" t="s">
        <v>7</v>
      </c>
    </row>
    <row r="14" spans="2:6" x14ac:dyDescent="0.4">
      <c r="C14" s="104"/>
      <c r="D14" s="17" t="s">
        <v>14</v>
      </c>
      <c r="E14" s="17">
        <v>2.4</v>
      </c>
      <c r="F14" s="22" t="s">
        <v>17</v>
      </c>
    </row>
    <row r="15" spans="2:6" x14ac:dyDescent="0.4">
      <c r="C15" s="104"/>
      <c r="D15" s="17" t="s">
        <v>15</v>
      </c>
      <c r="E15" s="17">
        <v>3.3</v>
      </c>
      <c r="F15" s="22" t="s">
        <v>17</v>
      </c>
    </row>
    <row r="16" spans="2:6" ht="18" thickBot="1" x14ac:dyDescent="0.45">
      <c r="C16" s="106"/>
      <c r="D16" s="23" t="s">
        <v>11</v>
      </c>
      <c r="E16" s="24">
        <f>E13*E15/(E14+E15)</f>
        <v>2.7744992733935678</v>
      </c>
      <c r="F16" s="25" t="s">
        <v>7</v>
      </c>
    </row>
  </sheetData>
  <mergeCells count="2">
    <mergeCell ref="C7:C10"/>
    <mergeCell ref="C11:C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6:N48"/>
  <sheetViews>
    <sheetView workbookViewId="0">
      <selection activeCell="C28" sqref="C28"/>
    </sheetView>
  </sheetViews>
  <sheetFormatPr defaultRowHeight="17.399999999999999" x14ac:dyDescent="0.4"/>
  <cols>
    <col min="3" max="3" width="12.69921875" customWidth="1"/>
  </cols>
  <sheetData>
    <row r="6" spans="3:9" x14ac:dyDescent="0.4">
      <c r="C6" t="s">
        <v>52</v>
      </c>
    </row>
    <row r="8" spans="3:9" x14ac:dyDescent="0.4">
      <c r="C8" s="107" t="s">
        <v>56</v>
      </c>
      <c r="D8" s="15" t="s">
        <v>27</v>
      </c>
      <c r="E8">
        <v>12.5</v>
      </c>
      <c r="F8">
        <v>10</v>
      </c>
      <c r="G8">
        <v>1</v>
      </c>
      <c r="H8" s="15" t="s">
        <v>31</v>
      </c>
      <c r="I8" t="s">
        <v>49</v>
      </c>
    </row>
    <row r="9" spans="3:9" x14ac:dyDescent="0.4">
      <c r="C9" s="107"/>
      <c r="D9" s="15" t="s">
        <v>28</v>
      </c>
      <c r="E9">
        <v>0.01</v>
      </c>
      <c r="F9">
        <v>0.01</v>
      </c>
      <c r="G9">
        <v>0.01</v>
      </c>
      <c r="H9" s="32" t="s">
        <v>32</v>
      </c>
    </row>
    <row r="10" spans="3:9" x14ac:dyDescent="0.4">
      <c r="C10" s="107"/>
      <c r="D10" s="15" t="s">
        <v>29</v>
      </c>
      <c r="E10">
        <v>0.01</v>
      </c>
      <c r="F10">
        <v>0.01</v>
      </c>
      <c r="G10">
        <v>0.01</v>
      </c>
      <c r="H10" s="32" t="s">
        <v>32</v>
      </c>
    </row>
    <row r="11" spans="3:9" x14ac:dyDescent="0.4">
      <c r="C11" s="107"/>
      <c r="D11" s="15" t="s">
        <v>64</v>
      </c>
      <c r="E11" s="33">
        <f>(E8/2)*(E8/2)*E9</f>
        <v>0.390625</v>
      </c>
      <c r="F11" s="33">
        <f>(F8/2)*(F8/2)*F9</f>
        <v>0.25</v>
      </c>
      <c r="G11" s="33">
        <f>(G8/2)*(G8/2)*G9</f>
        <v>2.5000000000000001E-3</v>
      </c>
      <c r="H11" s="32" t="s">
        <v>39</v>
      </c>
    </row>
    <row r="12" spans="3:9" x14ac:dyDescent="0.4">
      <c r="C12" s="107"/>
      <c r="D12" s="15" t="s">
        <v>30</v>
      </c>
      <c r="E12" s="33">
        <f>E8*E9*E10/(E9+E10)</f>
        <v>6.25E-2</v>
      </c>
      <c r="F12" s="33">
        <f>F8*F9*F10/(F9+F10)</f>
        <v>0.05</v>
      </c>
      <c r="G12" s="33">
        <f>G8*G9*G10/(G9+G10)</f>
        <v>5.0000000000000001E-3</v>
      </c>
      <c r="H12" s="32" t="s">
        <v>33</v>
      </c>
      <c r="I12" t="s">
        <v>53</v>
      </c>
    </row>
    <row r="13" spans="3:9" x14ac:dyDescent="0.4">
      <c r="C13" s="107"/>
      <c r="D13" s="15" t="s">
        <v>34</v>
      </c>
      <c r="E13" s="33">
        <f>E12*0.004*1000</f>
        <v>0.25</v>
      </c>
      <c r="F13" s="33">
        <f>F12*0.004*1000</f>
        <v>0.2</v>
      </c>
      <c r="G13" s="33">
        <f>G12*0.004*1000</f>
        <v>0.02</v>
      </c>
      <c r="H13" s="32" t="s">
        <v>37</v>
      </c>
      <c r="I13" t="s">
        <v>54</v>
      </c>
    </row>
    <row r="14" spans="3:9" x14ac:dyDescent="0.4">
      <c r="C14" s="107"/>
      <c r="D14" s="15" t="s">
        <v>35</v>
      </c>
      <c r="E14">
        <v>8.25</v>
      </c>
      <c r="F14">
        <v>8.25</v>
      </c>
      <c r="G14">
        <v>8.25</v>
      </c>
      <c r="H14" s="32" t="s">
        <v>36</v>
      </c>
    </row>
    <row r="15" spans="3:9" x14ac:dyDescent="0.4">
      <c r="C15" s="107"/>
      <c r="D15" s="15" t="s">
        <v>38</v>
      </c>
      <c r="E15" s="33">
        <f>E14*E13</f>
        <v>2.0625</v>
      </c>
      <c r="F15" s="33">
        <f>F14*F13</f>
        <v>1.6500000000000001</v>
      </c>
      <c r="G15" s="33">
        <f>G14*G13</f>
        <v>0.16500000000000001</v>
      </c>
      <c r="H15" s="32" t="s">
        <v>33</v>
      </c>
      <c r="I15" t="s">
        <v>55</v>
      </c>
    </row>
    <row r="16" spans="3:9" x14ac:dyDescent="0.4">
      <c r="D16" s="15" t="s">
        <v>57</v>
      </c>
      <c r="E16">
        <v>50</v>
      </c>
      <c r="F16">
        <v>50</v>
      </c>
      <c r="G16">
        <v>50</v>
      </c>
      <c r="H16" s="32" t="s">
        <v>36</v>
      </c>
    </row>
    <row r="17" spans="4:14" x14ac:dyDescent="0.4">
      <c r="D17" s="15" t="s">
        <v>58</v>
      </c>
      <c r="E17">
        <v>10</v>
      </c>
      <c r="F17">
        <v>10</v>
      </c>
      <c r="G17">
        <v>10</v>
      </c>
      <c r="H17" s="32" t="s">
        <v>36</v>
      </c>
    </row>
    <row r="18" spans="4:14" x14ac:dyDescent="0.4">
      <c r="D18" s="15" t="s">
        <v>59</v>
      </c>
      <c r="E18">
        <f>(1+E16/E17)*E15</f>
        <v>12.375</v>
      </c>
      <c r="F18">
        <f>(1+F16/F17)*F15</f>
        <v>9.9</v>
      </c>
      <c r="G18">
        <f>(1+G16/G17)*G15</f>
        <v>0.99</v>
      </c>
      <c r="H18" s="32" t="s">
        <v>60</v>
      </c>
    </row>
    <row r="19" spans="4:14" x14ac:dyDescent="0.4">
      <c r="D19" s="15" t="s">
        <v>61</v>
      </c>
      <c r="E19">
        <v>2.2000000000000002</v>
      </c>
      <c r="F19">
        <v>2.2000000000000002</v>
      </c>
      <c r="G19">
        <v>2.2000000000000002</v>
      </c>
      <c r="H19" s="32" t="s">
        <v>36</v>
      </c>
    </row>
    <row r="20" spans="4:14" x14ac:dyDescent="0.4">
      <c r="D20" s="15" t="s">
        <v>62</v>
      </c>
      <c r="E20">
        <v>3.3</v>
      </c>
      <c r="F20">
        <v>3.3</v>
      </c>
      <c r="G20">
        <v>3.3</v>
      </c>
      <c r="H20" s="32" t="s">
        <v>36</v>
      </c>
    </row>
    <row r="21" spans="4:14" x14ac:dyDescent="0.4">
      <c r="D21" s="15" t="s">
        <v>63</v>
      </c>
      <c r="E21">
        <f>E20/(E19+E20)*E18</f>
        <v>7.4249999999999998</v>
      </c>
      <c r="F21">
        <f>F20/(F19+F20)*F18</f>
        <v>5.94</v>
      </c>
      <c r="G21">
        <f>G20/(G19+G20)*G18</f>
        <v>0.59399999999999997</v>
      </c>
      <c r="H21" s="32" t="s">
        <v>60</v>
      </c>
    </row>
    <row r="22" spans="4:14" ht="18" thickBot="1" x14ac:dyDescent="0.45"/>
    <row r="23" spans="4:14" ht="18" thickBot="1" x14ac:dyDescent="0.45">
      <c r="E23" s="111" t="s">
        <v>66</v>
      </c>
      <c r="F23" s="112"/>
      <c r="G23" s="112"/>
      <c r="H23" s="109"/>
      <c r="I23" s="110"/>
      <c r="J23" s="108" t="s">
        <v>67</v>
      </c>
      <c r="K23" s="109"/>
      <c r="L23" s="109"/>
      <c r="M23" s="110"/>
    </row>
    <row r="24" spans="4:14" ht="18" thickBot="1" x14ac:dyDescent="0.45">
      <c r="E24" s="37" t="s">
        <v>28</v>
      </c>
      <c r="F24" s="20">
        <v>0.01</v>
      </c>
      <c r="G24" s="57" t="s">
        <v>32</v>
      </c>
      <c r="H24" s="34"/>
      <c r="I24" s="35"/>
      <c r="J24" s="42"/>
      <c r="K24" s="34"/>
      <c r="L24" s="34"/>
      <c r="M24" s="35"/>
    </row>
    <row r="25" spans="4:14" x14ac:dyDescent="0.4">
      <c r="E25" s="58" t="s">
        <v>29</v>
      </c>
      <c r="F25" s="17">
        <v>0.01</v>
      </c>
      <c r="G25" s="59" t="s">
        <v>32</v>
      </c>
      <c r="H25" s="55" t="s">
        <v>57</v>
      </c>
      <c r="I25" s="43">
        <v>47</v>
      </c>
      <c r="J25" s="37" t="s">
        <v>61</v>
      </c>
      <c r="K25" s="44">
        <v>3.6</v>
      </c>
      <c r="L25" s="37" t="s">
        <v>61</v>
      </c>
      <c r="M25" s="44">
        <v>2.2000000000000002</v>
      </c>
      <c r="N25" s="32" t="s">
        <v>36</v>
      </c>
    </row>
    <row r="26" spans="4:14" ht="18" thickBot="1" x14ac:dyDescent="0.45">
      <c r="E26" s="60" t="s">
        <v>35</v>
      </c>
      <c r="F26" s="23">
        <v>8.25</v>
      </c>
      <c r="G26" s="61" t="s">
        <v>36</v>
      </c>
      <c r="H26" s="56" t="s">
        <v>58</v>
      </c>
      <c r="I26" s="41">
        <v>10</v>
      </c>
      <c r="J26" s="60" t="s">
        <v>62</v>
      </c>
      <c r="K26" s="45">
        <v>3.3</v>
      </c>
      <c r="L26" s="60" t="s">
        <v>62</v>
      </c>
      <c r="M26" s="45">
        <v>3.3</v>
      </c>
      <c r="N26" s="32" t="s">
        <v>36</v>
      </c>
    </row>
    <row r="27" spans="4:14" s="16" customFormat="1" ht="18" thickBot="1" x14ac:dyDescent="0.45">
      <c r="E27" s="65" t="s">
        <v>27</v>
      </c>
      <c r="F27" s="66" t="s">
        <v>30</v>
      </c>
      <c r="G27" s="66" t="s">
        <v>34</v>
      </c>
      <c r="H27" s="66" t="s">
        <v>38</v>
      </c>
      <c r="I27" s="67" t="s">
        <v>65</v>
      </c>
      <c r="J27" s="68"/>
      <c r="K27" s="69" t="s">
        <v>63</v>
      </c>
      <c r="L27" s="69" t="s">
        <v>63</v>
      </c>
      <c r="M27" s="70" t="s">
        <v>68</v>
      </c>
    </row>
    <row r="28" spans="4:14" x14ac:dyDescent="0.4">
      <c r="E28" s="62">
        <v>12.5</v>
      </c>
      <c r="F28" s="63">
        <f>E28*F$24*F$25/(F$24+F$25)</f>
        <v>6.25E-2</v>
      </c>
      <c r="G28" s="63">
        <f>F28*0.004*1000</f>
        <v>0.25</v>
      </c>
      <c r="H28" s="63">
        <f>F$26*G28</f>
        <v>2.0625</v>
      </c>
      <c r="I28" s="64">
        <f t="shared" ref="I28:I48" si="0">(1+I$25/I$26)*H28</f>
        <v>11.75625</v>
      </c>
      <c r="J28" s="48"/>
      <c r="K28" s="49">
        <f t="shared" ref="K28:K48" si="1">K$26/(K$25+K$26)*I28</f>
        <v>5.6225543478260862</v>
      </c>
      <c r="L28" s="49">
        <f t="shared" ref="L28:L48" si="2">M$26/(M$25+M$26)*K28</f>
        <v>3.3735326086956516</v>
      </c>
      <c r="M28" s="50">
        <f>L28/3.3*255</f>
        <v>260.68206521739125</v>
      </c>
    </row>
    <row r="29" spans="4:14" x14ac:dyDescent="0.4">
      <c r="E29" s="38">
        <v>12</v>
      </c>
      <c r="F29" s="36">
        <f>E29*F$24*F$25/(F$24+F$25)</f>
        <v>5.9999999999999991E-2</v>
      </c>
      <c r="G29" s="36">
        <f t="shared" ref="G29:G48" si="3">F29*0.004*1000</f>
        <v>0.24</v>
      </c>
      <c r="H29" s="36">
        <f t="shared" ref="H29:H48" si="4">F$26*G29</f>
        <v>1.98</v>
      </c>
      <c r="I29" s="46">
        <f t="shared" si="0"/>
        <v>11.286</v>
      </c>
      <c r="J29" s="51"/>
      <c r="K29" s="18">
        <f t="shared" si="1"/>
        <v>5.397652173913043</v>
      </c>
      <c r="L29" s="18">
        <f t="shared" si="2"/>
        <v>3.2385913043478256</v>
      </c>
      <c r="M29" s="52">
        <f t="shared" ref="M29:M48" si="5">L29/3.3*255</f>
        <v>250.25478260869562</v>
      </c>
    </row>
    <row r="30" spans="4:14" x14ac:dyDescent="0.4">
      <c r="E30" s="38">
        <v>11.5</v>
      </c>
      <c r="F30" s="36">
        <f>E30*F$24*F$25/(F$24+F$25)</f>
        <v>5.7499999999999996E-2</v>
      </c>
      <c r="G30" s="36">
        <f t="shared" si="3"/>
        <v>0.22999999999999998</v>
      </c>
      <c r="H30" s="36">
        <f t="shared" si="4"/>
        <v>1.8975</v>
      </c>
      <c r="I30" s="46">
        <f t="shared" si="0"/>
        <v>10.81575</v>
      </c>
      <c r="J30" s="51"/>
      <c r="K30" s="18">
        <f t="shared" si="1"/>
        <v>5.1727499999999997</v>
      </c>
      <c r="L30" s="18">
        <f t="shared" si="2"/>
        <v>3.1036499999999996</v>
      </c>
      <c r="M30" s="52">
        <f t="shared" si="5"/>
        <v>239.82749999999999</v>
      </c>
    </row>
    <row r="31" spans="4:14" x14ac:dyDescent="0.4">
      <c r="D31" s="15"/>
      <c r="E31" s="38">
        <v>11</v>
      </c>
      <c r="F31" s="36">
        <f t="shared" ref="F31:F48" si="6">E31*F$24*F$25/(F$24+F$25)</f>
        <v>5.5E-2</v>
      </c>
      <c r="G31" s="36">
        <f t="shared" si="3"/>
        <v>0.22</v>
      </c>
      <c r="H31" s="36">
        <f t="shared" si="4"/>
        <v>1.8149999999999999</v>
      </c>
      <c r="I31" s="46">
        <f t="shared" si="0"/>
        <v>10.345499999999999</v>
      </c>
      <c r="J31" s="51"/>
      <c r="K31" s="18">
        <f t="shared" si="1"/>
        <v>4.9478478260869556</v>
      </c>
      <c r="L31" s="18">
        <f t="shared" si="2"/>
        <v>2.9687086956521731</v>
      </c>
      <c r="M31" s="52">
        <f t="shared" si="5"/>
        <v>229.4002173913043</v>
      </c>
    </row>
    <row r="32" spans="4:14" x14ac:dyDescent="0.4">
      <c r="E32" s="38">
        <v>10.5</v>
      </c>
      <c r="F32" s="36">
        <f t="shared" si="6"/>
        <v>5.2499999999999998E-2</v>
      </c>
      <c r="G32" s="36">
        <f t="shared" si="3"/>
        <v>0.21000000000000002</v>
      </c>
      <c r="H32" s="36">
        <f t="shared" si="4"/>
        <v>1.7325000000000002</v>
      </c>
      <c r="I32" s="46">
        <f t="shared" si="0"/>
        <v>9.8752500000000012</v>
      </c>
      <c r="J32" s="51"/>
      <c r="K32" s="18">
        <f t="shared" si="1"/>
        <v>4.7229456521739133</v>
      </c>
      <c r="L32" s="18">
        <f t="shared" si="2"/>
        <v>2.833767391304348</v>
      </c>
      <c r="M32" s="52">
        <f t="shared" si="5"/>
        <v>218.97293478260872</v>
      </c>
    </row>
    <row r="33" spans="5:13" x14ac:dyDescent="0.4">
      <c r="E33" s="38">
        <v>10</v>
      </c>
      <c r="F33" s="36">
        <f t="shared" si="6"/>
        <v>0.05</v>
      </c>
      <c r="G33" s="36">
        <f t="shared" si="3"/>
        <v>0.2</v>
      </c>
      <c r="H33" s="36">
        <f t="shared" si="4"/>
        <v>1.6500000000000001</v>
      </c>
      <c r="I33" s="46">
        <f t="shared" si="0"/>
        <v>9.4050000000000011</v>
      </c>
      <c r="J33" s="51"/>
      <c r="K33" s="18">
        <f t="shared" si="1"/>
        <v>4.49804347826087</v>
      </c>
      <c r="L33" s="18">
        <f t="shared" si="2"/>
        <v>2.6988260869565219</v>
      </c>
      <c r="M33" s="52">
        <f t="shared" si="5"/>
        <v>208.54565217391306</v>
      </c>
    </row>
    <row r="34" spans="5:13" x14ac:dyDescent="0.4">
      <c r="E34" s="38">
        <v>9.5</v>
      </c>
      <c r="F34" s="36">
        <f t="shared" si="6"/>
        <v>4.7500000000000001E-2</v>
      </c>
      <c r="G34" s="36">
        <f t="shared" si="3"/>
        <v>0.19</v>
      </c>
      <c r="H34" s="36">
        <f t="shared" si="4"/>
        <v>1.5675000000000001</v>
      </c>
      <c r="I34" s="46">
        <f t="shared" si="0"/>
        <v>8.9347500000000011</v>
      </c>
      <c r="J34" s="51"/>
      <c r="K34" s="18">
        <f t="shared" si="1"/>
        <v>4.2731413043478259</v>
      </c>
      <c r="L34" s="18">
        <f t="shared" si="2"/>
        <v>2.5638847826086955</v>
      </c>
      <c r="M34" s="52">
        <f t="shared" si="5"/>
        <v>198.11836956521739</v>
      </c>
    </row>
    <row r="35" spans="5:13" x14ac:dyDescent="0.4">
      <c r="E35" s="38">
        <v>9</v>
      </c>
      <c r="F35" s="36">
        <f t="shared" si="6"/>
        <v>4.4999999999999998E-2</v>
      </c>
      <c r="G35" s="36">
        <f t="shared" si="3"/>
        <v>0.18</v>
      </c>
      <c r="H35" s="36">
        <f t="shared" si="4"/>
        <v>1.4849999999999999</v>
      </c>
      <c r="I35" s="46">
        <f t="shared" si="0"/>
        <v>8.4644999999999992</v>
      </c>
      <c r="J35" s="51"/>
      <c r="K35" s="18">
        <f t="shared" si="1"/>
        <v>4.0482391304347818</v>
      </c>
      <c r="L35" s="18">
        <f t="shared" si="2"/>
        <v>2.428943478260869</v>
      </c>
      <c r="M35" s="52">
        <f t="shared" si="5"/>
        <v>187.6910869565217</v>
      </c>
    </row>
    <row r="36" spans="5:13" x14ac:dyDescent="0.4">
      <c r="E36" s="38">
        <v>8.5</v>
      </c>
      <c r="F36" s="36">
        <f t="shared" si="6"/>
        <v>4.2500000000000003E-2</v>
      </c>
      <c r="G36" s="36">
        <f t="shared" si="3"/>
        <v>0.17</v>
      </c>
      <c r="H36" s="36">
        <f t="shared" si="4"/>
        <v>1.4025000000000001</v>
      </c>
      <c r="I36" s="46">
        <f t="shared" si="0"/>
        <v>7.994250000000001</v>
      </c>
      <c r="J36" s="51"/>
      <c r="K36" s="18">
        <f t="shared" si="1"/>
        <v>3.8233369565217394</v>
      </c>
      <c r="L36" s="18">
        <f t="shared" si="2"/>
        <v>2.2940021739130434</v>
      </c>
      <c r="M36" s="52">
        <f t="shared" si="5"/>
        <v>177.2638043478261</v>
      </c>
    </row>
    <row r="37" spans="5:13" x14ac:dyDescent="0.4">
      <c r="E37" s="38">
        <v>8</v>
      </c>
      <c r="F37" s="36">
        <f t="shared" si="6"/>
        <v>0.04</v>
      </c>
      <c r="G37" s="36">
        <f t="shared" si="3"/>
        <v>0.16</v>
      </c>
      <c r="H37" s="36">
        <f t="shared" si="4"/>
        <v>1.32</v>
      </c>
      <c r="I37" s="46">
        <f t="shared" si="0"/>
        <v>7.5240000000000009</v>
      </c>
      <c r="J37" s="51"/>
      <c r="K37" s="18">
        <f t="shared" si="1"/>
        <v>3.5984347826086958</v>
      </c>
      <c r="L37" s="18">
        <f t="shared" si="2"/>
        <v>2.1590608695652174</v>
      </c>
      <c r="M37" s="52">
        <f t="shared" si="5"/>
        <v>166.83652173913046</v>
      </c>
    </row>
    <row r="38" spans="5:13" x14ac:dyDescent="0.4">
      <c r="E38" s="38">
        <v>7.5</v>
      </c>
      <c r="F38" s="36">
        <f t="shared" si="6"/>
        <v>3.7499999999999999E-2</v>
      </c>
      <c r="G38" s="36">
        <f t="shared" si="3"/>
        <v>0.15</v>
      </c>
      <c r="H38" s="36">
        <f t="shared" si="4"/>
        <v>1.2375</v>
      </c>
      <c r="I38" s="46">
        <f t="shared" si="0"/>
        <v>7.0537500000000009</v>
      </c>
      <c r="J38" s="51"/>
      <c r="K38" s="18">
        <f t="shared" si="1"/>
        <v>3.3735326086956521</v>
      </c>
      <c r="L38" s="18">
        <f t="shared" si="2"/>
        <v>2.0241195652173913</v>
      </c>
      <c r="M38" s="52">
        <f t="shared" si="5"/>
        <v>156.4092391304348</v>
      </c>
    </row>
    <row r="39" spans="5:13" x14ac:dyDescent="0.4">
      <c r="E39" s="38">
        <v>7</v>
      </c>
      <c r="F39" s="36">
        <f t="shared" si="6"/>
        <v>3.5000000000000003E-2</v>
      </c>
      <c r="G39" s="36">
        <f t="shared" si="3"/>
        <v>0.14000000000000001</v>
      </c>
      <c r="H39" s="36">
        <f t="shared" si="4"/>
        <v>1.155</v>
      </c>
      <c r="I39" s="46">
        <f t="shared" si="0"/>
        <v>6.5835000000000008</v>
      </c>
      <c r="J39" s="51"/>
      <c r="K39" s="18">
        <f t="shared" si="1"/>
        <v>3.1486304347826088</v>
      </c>
      <c r="L39" s="18">
        <f t="shared" si="2"/>
        <v>1.8891782608695653</v>
      </c>
      <c r="M39" s="52">
        <f t="shared" si="5"/>
        <v>145.98195652173916</v>
      </c>
    </row>
    <row r="40" spans="5:13" x14ac:dyDescent="0.4">
      <c r="E40" s="38">
        <v>6.5</v>
      </c>
      <c r="F40" s="36">
        <f t="shared" si="6"/>
        <v>3.2500000000000001E-2</v>
      </c>
      <c r="G40" s="36">
        <f t="shared" si="3"/>
        <v>0.13</v>
      </c>
      <c r="H40" s="36">
        <f t="shared" si="4"/>
        <v>1.0725</v>
      </c>
      <c r="I40" s="46">
        <f t="shared" si="0"/>
        <v>6.1132499999999999</v>
      </c>
      <c r="J40" s="51"/>
      <c r="K40" s="18">
        <f t="shared" si="1"/>
        <v>2.9237282608695647</v>
      </c>
      <c r="L40" s="18">
        <f t="shared" si="2"/>
        <v>1.7542369565217388</v>
      </c>
      <c r="M40" s="52">
        <f t="shared" si="5"/>
        <v>135.55467391304344</v>
      </c>
    </row>
    <row r="41" spans="5:13" x14ac:dyDescent="0.4">
      <c r="E41" s="38">
        <v>6</v>
      </c>
      <c r="F41" s="36">
        <f t="shared" si="6"/>
        <v>2.9999999999999995E-2</v>
      </c>
      <c r="G41" s="36">
        <f t="shared" si="3"/>
        <v>0.12</v>
      </c>
      <c r="H41" s="36">
        <f t="shared" si="4"/>
        <v>0.99</v>
      </c>
      <c r="I41" s="46">
        <f t="shared" si="0"/>
        <v>5.6429999999999998</v>
      </c>
      <c r="J41" s="51"/>
      <c r="K41" s="18">
        <f t="shared" si="1"/>
        <v>2.6988260869565215</v>
      </c>
      <c r="L41" s="18">
        <f t="shared" si="2"/>
        <v>1.6192956521739128</v>
      </c>
      <c r="M41" s="52">
        <f t="shared" si="5"/>
        <v>125.12739130434781</v>
      </c>
    </row>
    <row r="42" spans="5:13" x14ac:dyDescent="0.4">
      <c r="E42" s="38">
        <v>5.5</v>
      </c>
      <c r="F42" s="36">
        <f t="shared" si="6"/>
        <v>2.75E-2</v>
      </c>
      <c r="G42" s="36">
        <f t="shared" si="3"/>
        <v>0.11</v>
      </c>
      <c r="H42" s="36">
        <f t="shared" si="4"/>
        <v>0.90749999999999997</v>
      </c>
      <c r="I42" s="46">
        <f t="shared" si="0"/>
        <v>5.1727499999999997</v>
      </c>
      <c r="J42" s="51"/>
      <c r="K42" s="18">
        <f t="shared" si="1"/>
        <v>2.4739239130434778</v>
      </c>
      <c r="L42" s="18">
        <f t="shared" si="2"/>
        <v>1.4843543478260866</v>
      </c>
      <c r="M42" s="52">
        <f t="shared" si="5"/>
        <v>114.70010869565215</v>
      </c>
    </row>
    <row r="43" spans="5:13" x14ac:dyDescent="0.4">
      <c r="E43" s="38">
        <v>5</v>
      </c>
      <c r="F43" s="36">
        <f t="shared" si="6"/>
        <v>2.5000000000000001E-2</v>
      </c>
      <c r="G43" s="36">
        <f t="shared" si="3"/>
        <v>0.1</v>
      </c>
      <c r="H43" s="36">
        <f t="shared" si="4"/>
        <v>0.82500000000000007</v>
      </c>
      <c r="I43" s="46">
        <f t="shared" si="0"/>
        <v>4.7025000000000006</v>
      </c>
      <c r="J43" s="51"/>
      <c r="K43" s="18">
        <f t="shared" si="1"/>
        <v>2.249021739130435</v>
      </c>
      <c r="L43" s="18">
        <f t="shared" si="2"/>
        <v>1.349413043478261</v>
      </c>
      <c r="M43" s="52">
        <f t="shared" si="5"/>
        <v>104.27282608695653</v>
      </c>
    </row>
    <row r="44" spans="5:13" x14ac:dyDescent="0.4">
      <c r="E44" s="38">
        <v>4.5</v>
      </c>
      <c r="F44" s="36">
        <f t="shared" si="6"/>
        <v>2.2499999999999999E-2</v>
      </c>
      <c r="G44" s="36">
        <f t="shared" si="3"/>
        <v>0.09</v>
      </c>
      <c r="H44" s="36">
        <f t="shared" si="4"/>
        <v>0.74249999999999994</v>
      </c>
      <c r="I44" s="46">
        <f t="shared" si="0"/>
        <v>4.2322499999999996</v>
      </c>
      <c r="J44" s="51"/>
      <c r="K44" s="18">
        <f t="shared" si="1"/>
        <v>2.0241195652173909</v>
      </c>
      <c r="L44" s="18">
        <f t="shared" si="2"/>
        <v>1.2144717391304345</v>
      </c>
      <c r="M44" s="52">
        <f t="shared" si="5"/>
        <v>93.845543478260851</v>
      </c>
    </row>
    <row r="45" spans="5:13" x14ac:dyDescent="0.4">
      <c r="E45" s="38">
        <v>4</v>
      </c>
      <c r="F45" s="36">
        <f t="shared" si="6"/>
        <v>0.02</v>
      </c>
      <c r="G45" s="36">
        <f t="shared" si="3"/>
        <v>0.08</v>
      </c>
      <c r="H45" s="36">
        <f t="shared" si="4"/>
        <v>0.66</v>
      </c>
      <c r="I45" s="46">
        <f t="shared" si="0"/>
        <v>3.7620000000000005</v>
      </c>
      <c r="J45" s="51"/>
      <c r="K45" s="18">
        <f t="shared" si="1"/>
        <v>1.7992173913043479</v>
      </c>
      <c r="L45" s="18">
        <f t="shared" si="2"/>
        <v>1.0795304347826087</v>
      </c>
      <c r="M45" s="52">
        <f t="shared" si="5"/>
        <v>83.418260869565231</v>
      </c>
    </row>
    <row r="46" spans="5:13" x14ac:dyDescent="0.4">
      <c r="E46" s="38">
        <v>3.5</v>
      </c>
      <c r="F46" s="36">
        <f t="shared" si="6"/>
        <v>1.7500000000000002E-2</v>
      </c>
      <c r="G46" s="36">
        <f t="shared" si="3"/>
        <v>7.0000000000000007E-2</v>
      </c>
      <c r="H46" s="36">
        <f t="shared" si="4"/>
        <v>0.57750000000000001</v>
      </c>
      <c r="I46" s="46">
        <f t="shared" si="0"/>
        <v>3.2917500000000004</v>
      </c>
      <c r="J46" s="51"/>
      <c r="K46" s="18">
        <f t="shared" si="1"/>
        <v>1.5743152173913044</v>
      </c>
      <c r="L46" s="18">
        <f t="shared" si="2"/>
        <v>0.94458913043478265</v>
      </c>
      <c r="M46" s="52">
        <f t="shared" si="5"/>
        <v>72.990978260869582</v>
      </c>
    </row>
    <row r="47" spans="5:13" x14ac:dyDescent="0.4">
      <c r="E47" s="38">
        <v>3</v>
      </c>
      <c r="F47" s="36">
        <f t="shared" si="6"/>
        <v>1.4999999999999998E-2</v>
      </c>
      <c r="G47" s="36">
        <f t="shared" si="3"/>
        <v>0.06</v>
      </c>
      <c r="H47" s="36">
        <f t="shared" si="4"/>
        <v>0.495</v>
      </c>
      <c r="I47" s="46">
        <f t="shared" si="0"/>
        <v>2.8214999999999999</v>
      </c>
      <c r="J47" s="51"/>
      <c r="K47" s="18">
        <f t="shared" si="1"/>
        <v>1.3494130434782607</v>
      </c>
      <c r="L47" s="18">
        <f t="shared" si="2"/>
        <v>0.8096478260869564</v>
      </c>
      <c r="M47" s="52">
        <f t="shared" si="5"/>
        <v>62.563695652173905</v>
      </c>
    </row>
    <row r="48" spans="5:13" ht="18" thickBot="1" x14ac:dyDescent="0.45">
      <c r="E48" s="39">
        <v>2.5</v>
      </c>
      <c r="F48" s="40">
        <f t="shared" si="6"/>
        <v>1.2500000000000001E-2</v>
      </c>
      <c r="G48" s="40">
        <f t="shared" si="3"/>
        <v>0.05</v>
      </c>
      <c r="H48" s="40">
        <f t="shared" si="4"/>
        <v>0.41250000000000003</v>
      </c>
      <c r="I48" s="47">
        <f t="shared" si="0"/>
        <v>2.3512500000000003</v>
      </c>
      <c r="J48" s="53"/>
      <c r="K48" s="24">
        <f t="shared" si="1"/>
        <v>1.1245108695652175</v>
      </c>
      <c r="L48" s="24">
        <f t="shared" si="2"/>
        <v>0.67470652173913048</v>
      </c>
      <c r="M48" s="54">
        <f t="shared" si="5"/>
        <v>52.136413043478264</v>
      </c>
    </row>
  </sheetData>
  <mergeCells count="3">
    <mergeCell ref="C8:C15"/>
    <mergeCell ref="J23:M23"/>
    <mergeCell ref="E23:I2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F8"/>
  <sheetViews>
    <sheetView workbookViewId="0">
      <selection activeCell="Y7" sqref="Y7"/>
    </sheetView>
  </sheetViews>
  <sheetFormatPr defaultRowHeight="17.399999999999999" x14ac:dyDescent="0.4"/>
  <sheetData>
    <row r="5" spans="3:6" x14ac:dyDescent="0.4">
      <c r="C5" t="s">
        <v>92</v>
      </c>
      <c r="D5">
        <v>12</v>
      </c>
      <c r="E5">
        <v>24</v>
      </c>
      <c r="F5" s="15" t="s">
        <v>93</v>
      </c>
    </row>
    <row r="6" spans="3:6" x14ac:dyDescent="0.4">
      <c r="C6" t="s">
        <v>94</v>
      </c>
      <c r="D6">
        <v>820</v>
      </c>
      <c r="E6">
        <v>820</v>
      </c>
      <c r="F6" s="59" t="s">
        <v>97</v>
      </c>
    </row>
    <row r="7" spans="3:6" x14ac:dyDescent="0.4">
      <c r="C7" t="s">
        <v>95</v>
      </c>
      <c r="D7">
        <f>D5/D6</f>
        <v>1.4634146341463415E-2</v>
      </c>
      <c r="E7">
        <f>E5/E6</f>
        <v>2.9268292682926831E-2</v>
      </c>
      <c r="F7" s="15" t="s">
        <v>98</v>
      </c>
    </row>
    <row r="8" spans="3:6" x14ac:dyDescent="0.4">
      <c r="C8" t="s">
        <v>96</v>
      </c>
      <c r="D8">
        <f>D5*D7</f>
        <v>0.17560975609756099</v>
      </c>
      <c r="E8">
        <f>E5*E7</f>
        <v>0.70243902439024397</v>
      </c>
      <c r="F8" s="15" t="s">
        <v>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D9"/>
  <sheetViews>
    <sheetView workbookViewId="0">
      <selection activeCell="D10" sqref="D10"/>
    </sheetView>
  </sheetViews>
  <sheetFormatPr defaultRowHeight="17.399999999999999" x14ac:dyDescent="0.4"/>
  <cols>
    <col min="2" max="3" width="9" style="15"/>
    <col min="4" max="4" width="81.8984375" bestFit="1" customWidth="1"/>
  </cols>
  <sheetData>
    <row r="5" spans="2:4" s="16" customFormat="1" x14ac:dyDescent="0.4">
      <c r="B5" s="16" t="s">
        <v>40</v>
      </c>
      <c r="C5" s="16" t="s">
        <v>41</v>
      </c>
      <c r="D5" s="16" t="s">
        <v>42</v>
      </c>
    </row>
    <row r="6" spans="2:4" x14ac:dyDescent="0.4">
      <c r="B6" s="15">
        <v>1</v>
      </c>
      <c r="C6" s="15" t="s">
        <v>43</v>
      </c>
      <c r="D6" t="s">
        <v>44</v>
      </c>
    </row>
    <row r="7" spans="2:4" x14ac:dyDescent="0.4">
      <c r="B7" s="15">
        <v>2</v>
      </c>
      <c r="C7" s="15" t="s">
        <v>43</v>
      </c>
      <c r="D7" t="s">
        <v>45</v>
      </c>
    </row>
    <row r="8" spans="2:4" x14ac:dyDescent="0.4">
      <c r="B8" s="15">
        <v>3</v>
      </c>
      <c r="C8" s="15" t="s">
        <v>43</v>
      </c>
      <c r="D8" t="s">
        <v>46</v>
      </c>
    </row>
    <row r="9" spans="2:4" x14ac:dyDescent="0.4">
      <c r="C9" s="15" t="s">
        <v>43</v>
      </c>
      <c r="D9" t="s">
        <v>103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99BC-2C16-460C-8540-F2312C53F795}">
  <dimension ref="B3:S19"/>
  <sheetViews>
    <sheetView workbookViewId="0">
      <selection activeCell="B10" sqref="B10:H10"/>
    </sheetView>
  </sheetViews>
  <sheetFormatPr defaultRowHeight="17.399999999999999" x14ac:dyDescent="0.4"/>
  <cols>
    <col min="3" max="3" width="9.59765625" bestFit="1" customWidth="1"/>
    <col min="11" max="16" width="8.296875" customWidth="1"/>
  </cols>
  <sheetData>
    <row r="3" spans="2:19" x14ac:dyDescent="0.4">
      <c r="C3" t="s">
        <v>123</v>
      </c>
      <c r="I3" s="31" t="s">
        <v>143</v>
      </c>
      <c r="J3" s="31"/>
    </row>
    <row r="4" spans="2:19" x14ac:dyDescent="0.4">
      <c r="D4" t="s">
        <v>111</v>
      </c>
      <c r="E4">
        <v>12</v>
      </c>
      <c r="G4">
        <v>12</v>
      </c>
      <c r="K4" t="s">
        <v>142</v>
      </c>
      <c r="L4">
        <v>3</v>
      </c>
      <c r="M4" t="s">
        <v>1</v>
      </c>
    </row>
    <row r="5" spans="2:19" x14ac:dyDescent="0.4">
      <c r="D5" t="s">
        <v>110</v>
      </c>
      <c r="E5">
        <v>2.2999999999999998</v>
      </c>
      <c r="G5">
        <v>1</v>
      </c>
      <c r="K5" t="s">
        <v>132</v>
      </c>
      <c r="L5">
        <v>15</v>
      </c>
      <c r="M5" t="s">
        <v>2</v>
      </c>
    </row>
    <row r="6" spans="2:19" x14ac:dyDescent="0.4">
      <c r="D6" t="s">
        <v>10</v>
      </c>
      <c r="E6">
        <v>1</v>
      </c>
      <c r="G6">
        <v>1</v>
      </c>
      <c r="K6" t="s">
        <v>38</v>
      </c>
      <c r="L6">
        <v>12.5</v>
      </c>
      <c r="M6" t="s">
        <v>7</v>
      </c>
      <c r="N6">
        <f>L6*L6/50</f>
        <v>3.125</v>
      </c>
    </row>
    <row r="7" spans="2:19" x14ac:dyDescent="0.4">
      <c r="D7" t="s">
        <v>9</v>
      </c>
      <c r="E7">
        <v>1</v>
      </c>
      <c r="G7">
        <v>1</v>
      </c>
    </row>
    <row r="8" spans="2:19" x14ac:dyDescent="0.4">
      <c r="D8" t="s">
        <v>112</v>
      </c>
      <c r="E8" s="71">
        <f>E4*E7/(SUM(E5:E7))</f>
        <v>2.7906976744186047</v>
      </c>
      <c r="F8">
        <v>2.7570000000000001</v>
      </c>
      <c r="G8" s="71">
        <f>G4*G7/(SUM(G5:G7))</f>
        <v>4</v>
      </c>
    </row>
    <row r="9" spans="2:19" ht="18" thickBot="1" x14ac:dyDescent="0.45">
      <c r="D9" t="s">
        <v>113</v>
      </c>
      <c r="F9">
        <v>0.32</v>
      </c>
    </row>
    <row r="10" spans="2:19" x14ac:dyDescent="0.4">
      <c r="B10" s="113" t="s">
        <v>158</v>
      </c>
      <c r="C10" s="114"/>
      <c r="D10" s="114"/>
      <c r="E10" s="114"/>
      <c r="F10" s="114"/>
      <c r="G10" s="114"/>
      <c r="H10" s="115"/>
      <c r="I10" s="20"/>
      <c r="J10" s="20"/>
      <c r="K10" s="95" t="s">
        <v>124</v>
      </c>
      <c r="L10" s="95"/>
      <c r="M10" s="95"/>
      <c r="N10" s="95" t="s">
        <v>125</v>
      </c>
      <c r="O10" s="95"/>
      <c r="P10" s="95"/>
      <c r="Q10" s="95" t="s">
        <v>132</v>
      </c>
      <c r="R10" s="95"/>
      <c r="S10" s="44"/>
    </row>
    <row r="11" spans="2:19" s="16" customFormat="1" ht="18" thickBot="1" x14ac:dyDescent="0.45">
      <c r="B11" s="60" t="s">
        <v>127</v>
      </c>
      <c r="C11" s="78" t="s">
        <v>145</v>
      </c>
      <c r="D11" s="78" t="s">
        <v>133</v>
      </c>
      <c r="E11" s="78" t="s">
        <v>128</v>
      </c>
      <c r="F11" s="78" t="s">
        <v>126</v>
      </c>
      <c r="G11" s="78" t="s">
        <v>129</v>
      </c>
      <c r="H11" s="78" t="s">
        <v>131</v>
      </c>
      <c r="I11" s="78" t="s">
        <v>113</v>
      </c>
      <c r="J11" s="78" t="s">
        <v>144</v>
      </c>
      <c r="K11" s="78" t="s">
        <v>137</v>
      </c>
      <c r="L11" s="78" t="s">
        <v>138</v>
      </c>
      <c r="M11" s="79" t="s">
        <v>139</v>
      </c>
      <c r="N11" s="78" t="s">
        <v>137</v>
      </c>
      <c r="O11" s="78" t="s">
        <v>138</v>
      </c>
      <c r="P11" s="79" t="s">
        <v>139</v>
      </c>
      <c r="Q11" s="78" t="s">
        <v>146</v>
      </c>
      <c r="R11" s="78" t="s">
        <v>2</v>
      </c>
      <c r="S11" s="80" t="s">
        <v>142</v>
      </c>
    </row>
    <row r="12" spans="2:19" x14ac:dyDescent="0.4">
      <c r="B12" s="48">
        <v>4</v>
      </c>
      <c r="C12" s="20"/>
      <c r="D12" s="20">
        <v>1</v>
      </c>
      <c r="E12" s="20">
        <v>1</v>
      </c>
      <c r="F12" s="20" t="s">
        <v>130</v>
      </c>
      <c r="G12" s="20">
        <v>1</v>
      </c>
      <c r="H12" s="20">
        <v>0.8</v>
      </c>
      <c r="I12" s="20">
        <v>0.42</v>
      </c>
      <c r="J12" s="20">
        <f>12*I12</f>
        <v>5.04</v>
      </c>
      <c r="K12" s="81">
        <v>0.72</v>
      </c>
      <c r="L12" s="81"/>
      <c r="M12" s="74">
        <f t="shared" ref="M12:M19" si="0">K12/2*0.707</f>
        <v>0.25451999999999997</v>
      </c>
      <c r="N12" s="82">
        <v>25</v>
      </c>
      <c r="O12" s="81"/>
      <c r="P12" s="74">
        <f t="shared" ref="P12:P19" si="1">N12/2*0.707</f>
        <v>8.8375000000000004</v>
      </c>
      <c r="Q12" s="82">
        <f>N12/K12</f>
        <v>34.722222222222221</v>
      </c>
      <c r="R12" s="82">
        <f>20*LOG(Q12)</f>
        <v>30.812150244815385</v>
      </c>
      <c r="S12" s="44"/>
    </row>
    <row r="13" spans="2:19" x14ac:dyDescent="0.4">
      <c r="B13" s="51"/>
      <c r="C13" s="17"/>
      <c r="D13" s="17"/>
      <c r="E13" s="17"/>
      <c r="F13" s="17"/>
      <c r="G13" s="17"/>
      <c r="H13" s="17">
        <v>100</v>
      </c>
      <c r="I13" s="17">
        <v>0.46</v>
      </c>
      <c r="J13" s="17">
        <f t="shared" ref="J13:J19" si="2">12*I13</f>
        <v>5.5200000000000005</v>
      </c>
      <c r="K13" s="36">
        <v>0.52800000000000002</v>
      </c>
      <c r="L13" s="36">
        <v>0.17399999999999999</v>
      </c>
      <c r="M13" s="75">
        <f t="shared" si="0"/>
        <v>0.18664800000000001</v>
      </c>
      <c r="N13" s="76">
        <v>22.4</v>
      </c>
      <c r="O13" s="36">
        <v>7.76</v>
      </c>
      <c r="P13" s="75">
        <f t="shared" si="1"/>
        <v>7.9183999999999992</v>
      </c>
      <c r="Q13" s="76">
        <f t="shared" ref="Q13:Q15" si="3">N13/K13</f>
        <v>42.424242424242422</v>
      </c>
      <c r="R13" s="76">
        <f t="shared" ref="R13:R19" si="4">20*LOG(Q13)</f>
        <v>32.552281916007011</v>
      </c>
      <c r="S13" s="83">
        <f>O13*O13/50</f>
        <v>1.2043519999999999</v>
      </c>
    </row>
    <row r="14" spans="2:19" x14ac:dyDescent="0.4">
      <c r="B14" s="51"/>
      <c r="C14" s="17"/>
      <c r="D14" s="17"/>
      <c r="E14" s="17"/>
      <c r="F14" s="17"/>
      <c r="G14" s="17"/>
      <c r="H14" s="17">
        <v>0.64</v>
      </c>
      <c r="I14" s="17">
        <v>0.49</v>
      </c>
      <c r="J14" s="17">
        <f t="shared" si="2"/>
        <v>5.88</v>
      </c>
      <c r="K14" s="36">
        <v>0.84799999999999998</v>
      </c>
      <c r="L14" s="36">
        <v>0.27700000000000002</v>
      </c>
      <c r="M14" s="75">
        <f t="shared" si="0"/>
        <v>0.29976799999999998</v>
      </c>
      <c r="N14" s="36">
        <v>25.2</v>
      </c>
      <c r="O14" s="36">
        <v>8.92</v>
      </c>
      <c r="P14" s="75">
        <f t="shared" si="1"/>
        <v>8.908199999999999</v>
      </c>
      <c r="Q14" s="76">
        <f t="shared" si="3"/>
        <v>29.716981132075471</v>
      </c>
      <c r="R14" s="76">
        <f t="shared" si="4"/>
        <v>29.460093770496606</v>
      </c>
      <c r="S14" s="83">
        <f t="shared" ref="S14:S19" si="5">O14*O14/50</f>
        <v>1.5913280000000001</v>
      </c>
    </row>
    <row r="15" spans="2:19" x14ac:dyDescent="0.4">
      <c r="B15" s="51"/>
      <c r="C15" s="17"/>
      <c r="D15" s="17"/>
      <c r="E15" s="17"/>
      <c r="F15" s="17"/>
      <c r="G15" s="17"/>
      <c r="H15" s="17"/>
      <c r="I15" s="17">
        <v>0.4</v>
      </c>
      <c r="J15" s="17">
        <f t="shared" si="2"/>
        <v>4.8000000000000007</v>
      </c>
      <c r="K15" s="36">
        <v>0.84</v>
      </c>
      <c r="L15" s="36">
        <v>0.27900000000000003</v>
      </c>
      <c r="M15" s="75">
        <f t="shared" si="0"/>
        <v>0.29693999999999998</v>
      </c>
      <c r="N15" s="36">
        <v>21.4</v>
      </c>
      <c r="O15" s="36">
        <v>7.54</v>
      </c>
      <c r="P15" s="75">
        <f t="shared" si="1"/>
        <v>7.5648999999999988</v>
      </c>
      <c r="Q15" s="76">
        <f t="shared" si="3"/>
        <v>25.476190476190474</v>
      </c>
      <c r="R15" s="76">
        <f t="shared" si="4"/>
        <v>28.122689745746182</v>
      </c>
      <c r="S15" s="83">
        <f t="shared" si="5"/>
        <v>1.137032</v>
      </c>
    </row>
    <row r="16" spans="2:19" x14ac:dyDescent="0.4">
      <c r="B16" s="51"/>
      <c r="C16" s="17"/>
      <c r="D16" s="17"/>
      <c r="E16" s="17"/>
      <c r="F16" s="17" t="s">
        <v>140</v>
      </c>
      <c r="G16" s="17"/>
      <c r="H16" s="17"/>
      <c r="I16" s="17">
        <v>0.35</v>
      </c>
      <c r="J16" s="17">
        <f t="shared" si="2"/>
        <v>4.1999999999999993</v>
      </c>
      <c r="K16" s="36">
        <v>0.28799999999999998</v>
      </c>
      <c r="L16" s="36">
        <v>0.13600000000000001</v>
      </c>
      <c r="M16" s="36">
        <f t="shared" si="0"/>
        <v>0.10180799999999998</v>
      </c>
      <c r="N16" s="36">
        <v>6.6</v>
      </c>
      <c r="O16" s="36">
        <v>2.1800000000000002</v>
      </c>
      <c r="P16" s="75">
        <f t="shared" si="1"/>
        <v>2.3331</v>
      </c>
      <c r="Q16" s="76">
        <f t="shared" ref="Q16:Q19" si="6">N16/K16</f>
        <v>22.916666666666668</v>
      </c>
      <c r="R16" s="76">
        <f t="shared" si="4"/>
        <v>27.203028955652755</v>
      </c>
      <c r="S16" s="83">
        <f t="shared" si="5"/>
        <v>9.5048000000000007E-2</v>
      </c>
    </row>
    <row r="17" spans="2:19" x14ac:dyDescent="0.4">
      <c r="B17" s="51"/>
      <c r="C17" s="17"/>
      <c r="D17" s="17"/>
      <c r="E17" s="17"/>
      <c r="F17" s="17" t="s">
        <v>141</v>
      </c>
      <c r="G17" s="17"/>
      <c r="H17" s="17"/>
      <c r="I17" s="17">
        <v>0.33</v>
      </c>
      <c r="J17" s="17">
        <f t="shared" si="2"/>
        <v>3.96</v>
      </c>
      <c r="K17" s="36">
        <v>0.27200000000000002</v>
      </c>
      <c r="L17" s="36">
        <v>0.11899999999999999</v>
      </c>
      <c r="M17" s="36">
        <f t="shared" si="0"/>
        <v>9.6152000000000001E-2</v>
      </c>
      <c r="N17" s="36">
        <v>6.6</v>
      </c>
      <c r="O17" s="36">
        <v>2.25</v>
      </c>
      <c r="P17" s="36">
        <f t="shared" si="1"/>
        <v>2.3331</v>
      </c>
      <c r="Q17" s="76">
        <f t="shared" si="6"/>
        <v>24.264705882352938</v>
      </c>
      <c r="R17" s="76">
        <f t="shared" si="4"/>
        <v>27.699500630153398</v>
      </c>
      <c r="S17" s="83">
        <f t="shared" si="5"/>
        <v>0.10125000000000001</v>
      </c>
    </row>
    <row r="18" spans="2:19" x14ac:dyDescent="0.4">
      <c r="B18" s="51"/>
      <c r="C18" s="17"/>
      <c r="D18" s="17"/>
      <c r="E18" s="17"/>
      <c r="F18" s="17" t="s">
        <v>141</v>
      </c>
      <c r="G18" s="17"/>
      <c r="H18" s="17"/>
      <c r="I18" s="17">
        <v>0.23</v>
      </c>
      <c r="J18" s="17">
        <f t="shared" si="2"/>
        <v>2.7600000000000002</v>
      </c>
      <c r="K18" s="36">
        <v>0.36799999999999999</v>
      </c>
      <c r="L18" s="36">
        <v>0.124</v>
      </c>
      <c r="M18" s="36">
        <f t="shared" si="0"/>
        <v>0.13008799999999998</v>
      </c>
      <c r="N18" s="36">
        <v>5</v>
      </c>
      <c r="O18" s="36">
        <v>1.7</v>
      </c>
      <c r="P18" s="36">
        <f t="shared" si="1"/>
        <v>1.7674999999999998</v>
      </c>
      <c r="Q18" s="77">
        <f t="shared" si="6"/>
        <v>13.586956521739131</v>
      </c>
      <c r="R18" s="76">
        <f t="shared" si="4"/>
        <v>22.66244371325002</v>
      </c>
      <c r="S18" s="83">
        <f t="shared" si="5"/>
        <v>5.779999999999999E-2</v>
      </c>
    </row>
    <row r="19" spans="2:19" ht="18" thickBot="1" x14ac:dyDescent="0.45">
      <c r="B19" s="84">
        <v>5</v>
      </c>
      <c r="C19" s="85">
        <v>1.1599999999999999</v>
      </c>
      <c r="D19" s="85">
        <v>1</v>
      </c>
      <c r="E19" s="85">
        <v>1</v>
      </c>
      <c r="F19" s="85" t="s">
        <v>130</v>
      </c>
      <c r="G19" s="85">
        <v>1</v>
      </c>
      <c r="H19" s="85">
        <v>0.64</v>
      </c>
      <c r="I19" s="85">
        <v>0.3</v>
      </c>
      <c r="J19" s="85">
        <f t="shared" si="2"/>
        <v>3.5999999999999996</v>
      </c>
      <c r="K19" s="86">
        <v>0.81599999999999995</v>
      </c>
      <c r="L19" s="86">
        <v>0.27</v>
      </c>
      <c r="M19" s="86">
        <f t="shared" si="0"/>
        <v>0.28845599999999999</v>
      </c>
      <c r="N19" s="86">
        <v>17.2</v>
      </c>
      <c r="O19" s="86">
        <v>6.07</v>
      </c>
      <c r="P19" s="87">
        <f t="shared" si="1"/>
        <v>6.0801999999999996</v>
      </c>
      <c r="Q19" s="88">
        <f t="shared" si="6"/>
        <v>21.078431372549019</v>
      </c>
      <c r="R19" s="88">
        <f t="shared" si="4"/>
        <v>26.476765763073757</v>
      </c>
      <c r="S19" s="89">
        <f t="shared" si="5"/>
        <v>0.73689800000000005</v>
      </c>
    </row>
  </sheetData>
  <mergeCells count="4">
    <mergeCell ref="K10:M10"/>
    <mergeCell ref="N10:P10"/>
    <mergeCell ref="Q10:R10"/>
    <mergeCell ref="B10:H10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W56"/>
  <sheetViews>
    <sheetView tabSelected="1" topLeftCell="A49" workbookViewId="0">
      <selection activeCell="F54" sqref="F54"/>
    </sheetView>
  </sheetViews>
  <sheetFormatPr defaultRowHeight="17.399999999999999" x14ac:dyDescent="0.4"/>
  <cols>
    <col min="6" max="6" width="10.5" bestFit="1" customWidth="1"/>
  </cols>
  <sheetData>
    <row r="3" spans="4:23" x14ac:dyDescent="0.4">
      <c r="D3" t="s">
        <v>109</v>
      </c>
      <c r="E3" t="s">
        <v>108</v>
      </c>
    </row>
    <row r="4" spans="4:23" x14ac:dyDescent="0.4">
      <c r="D4">
        <v>13.56</v>
      </c>
      <c r="E4">
        <v>10000</v>
      </c>
      <c r="F4">
        <f>1/(2*3.14*D4*E4*10^(-6))</f>
        <v>1.1743043421077355</v>
      </c>
    </row>
    <row r="7" spans="4:23" x14ac:dyDescent="0.4">
      <c r="Q7">
        <v>680</v>
      </c>
      <c r="R7">
        <v>820</v>
      </c>
      <c r="S7">
        <f t="shared" ref="S7:S17" si="0">1/(2*3.14*(Q7*R7*10^(-21))^0.5)/1000000</f>
        <v>6.7434008092669409</v>
      </c>
    </row>
    <row r="8" spans="4:23" x14ac:dyDescent="0.4">
      <c r="D8" t="s">
        <v>100</v>
      </c>
      <c r="E8" t="s">
        <v>101</v>
      </c>
      <c r="F8" t="s">
        <v>102</v>
      </c>
      <c r="Q8">
        <v>680</v>
      </c>
      <c r="R8">
        <v>680</v>
      </c>
      <c r="S8">
        <f t="shared" si="0"/>
        <v>7.4051087958232937</v>
      </c>
    </row>
    <row r="9" spans="4:23" x14ac:dyDescent="0.4">
      <c r="D9">
        <v>470</v>
      </c>
      <c r="E9">
        <v>300</v>
      </c>
      <c r="F9">
        <f>1/(2*3.14*(D9*E9*10^(-21))^0.5)/1000000</f>
        <v>13.410062437364953</v>
      </c>
      <c r="N9">
        <v>820</v>
      </c>
      <c r="Q9">
        <v>680</v>
      </c>
      <c r="R9">
        <v>560</v>
      </c>
      <c r="S9">
        <f t="shared" si="0"/>
        <v>8.1600324610946249</v>
      </c>
    </row>
    <row r="10" spans="4:23" x14ac:dyDescent="0.4">
      <c r="D10">
        <v>220</v>
      </c>
      <c r="E10">
        <v>300</v>
      </c>
      <c r="F10">
        <f>1/(2*3.14*(D10*E10*10^(-21))^0.5)/1000000</f>
        <v>19.600555888428783</v>
      </c>
      <c r="K10">
        <v>100</v>
      </c>
      <c r="N10">
        <v>680</v>
      </c>
      <c r="Q10">
        <v>680</v>
      </c>
      <c r="R10">
        <v>470</v>
      </c>
      <c r="S10">
        <f t="shared" si="0"/>
        <v>8.9071131829143706</v>
      </c>
    </row>
    <row r="11" spans="4:23" x14ac:dyDescent="0.4">
      <c r="K11">
        <v>120</v>
      </c>
      <c r="N11">
        <v>560</v>
      </c>
      <c r="Q11">
        <v>680</v>
      </c>
      <c r="R11">
        <v>390</v>
      </c>
      <c r="S11">
        <f t="shared" si="0"/>
        <v>9.7780802306742576</v>
      </c>
    </row>
    <row r="12" spans="4:23" x14ac:dyDescent="0.4">
      <c r="K12">
        <v>150</v>
      </c>
      <c r="N12">
        <v>470</v>
      </c>
      <c r="Q12">
        <v>680</v>
      </c>
      <c r="R12">
        <v>330</v>
      </c>
      <c r="S12">
        <f t="shared" si="0"/>
        <v>10.629893905942531</v>
      </c>
    </row>
    <row r="13" spans="4:23" x14ac:dyDescent="0.4">
      <c r="K13">
        <v>180</v>
      </c>
      <c r="N13">
        <v>390</v>
      </c>
      <c r="Q13">
        <v>680</v>
      </c>
      <c r="R13">
        <v>300</v>
      </c>
      <c r="S13">
        <f t="shared" si="0"/>
        <v>11.148726783662498</v>
      </c>
    </row>
    <row r="14" spans="4:23" x14ac:dyDescent="0.4">
      <c r="K14">
        <v>220</v>
      </c>
      <c r="N14">
        <v>330</v>
      </c>
      <c r="Q14">
        <v>680</v>
      </c>
      <c r="R14">
        <v>270</v>
      </c>
      <c r="S14">
        <f t="shared" si="0"/>
        <v>11.751789882432261</v>
      </c>
    </row>
    <row r="15" spans="4:23" x14ac:dyDescent="0.4">
      <c r="K15">
        <v>330</v>
      </c>
      <c r="N15">
        <v>300</v>
      </c>
      <c r="Q15">
        <v>680</v>
      </c>
      <c r="R15">
        <v>240</v>
      </c>
      <c r="S15">
        <f t="shared" si="0"/>
        <v>12.464655475420971</v>
      </c>
    </row>
    <row r="16" spans="4:23" x14ac:dyDescent="0.4">
      <c r="K16">
        <v>390</v>
      </c>
      <c r="N16">
        <v>270</v>
      </c>
      <c r="Q16">
        <v>680</v>
      </c>
      <c r="R16">
        <v>220</v>
      </c>
      <c r="S16">
        <f t="shared" si="0"/>
        <v>13.01890804473982</v>
      </c>
      <c r="V16">
        <v>12</v>
      </c>
      <c r="W16" t="s">
        <v>105</v>
      </c>
    </row>
    <row r="17" spans="4:23" x14ac:dyDescent="0.4">
      <c r="D17">
        <v>820</v>
      </c>
      <c r="E17">
        <v>150</v>
      </c>
      <c r="F17">
        <f>1/(2*3.14*(D17*E17*10^(-21))^0.5)/1000000</f>
        <v>14.357796730373126</v>
      </c>
      <c r="K17">
        <v>470</v>
      </c>
      <c r="N17">
        <v>240</v>
      </c>
      <c r="Q17">
        <v>680</v>
      </c>
      <c r="R17">
        <v>200</v>
      </c>
      <c r="S17">
        <f t="shared" si="0"/>
        <v>13.65434595083669</v>
      </c>
      <c r="V17">
        <v>3</v>
      </c>
      <c r="W17" t="s">
        <v>106</v>
      </c>
    </row>
    <row r="18" spans="4:23" x14ac:dyDescent="0.4">
      <c r="K18">
        <v>680</v>
      </c>
      <c r="N18">
        <v>220</v>
      </c>
      <c r="V18">
        <f>V17/V16</f>
        <v>0.25</v>
      </c>
      <c r="W18" t="s">
        <v>107</v>
      </c>
    </row>
    <row r="19" spans="4:23" x14ac:dyDescent="0.4">
      <c r="D19">
        <v>51</v>
      </c>
      <c r="E19">
        <v>240</v>
      </c>
      <c r="F19">
        <f>1/(2*3.14*(D19*E19*10^(-21))^0.5)/1000000</f>
        <v>45.514486502788969</v>
      </c>
    </row>
    <row r="20" spans="4:23" x14ac:dyDescent="0.4">
      <c r="D20">
        <v>510</v>
      </c>
      <c r="E20">
        <v>2700</v>
      </c>
      <c r="F20">
        <f>1/(2*3.14*(D20*E20*10^(-21))^0.5)/1000000</f>
        <v>4.2911469397794235</v>
      </c>
    </row>
    <row r="23" spans="4:23" x14ac:dyDescent="0.4">
      <c r="V23">
        <v>3.3</v>
      </c>
    </row>
    <row r="24" spans="4:23" x14ac:dyDescent="0.4">
      <c r="V24">
        <v>1.27</v>
      </c>
    </row>
    <row r="25" spans="4:23" x14ac:dyDescent="0.4">
      <c r="V25">
        <f>V23-V24</f>
        <v>2.0299999999999998</v>
      </c>
    </row>
    <row r="26" spans="4:23" x14ac:dyDescent="0.4">
      <c r="V26">
        <f>V25/2</f>
        <v>1.0149999999999999</v>
      </c>
    </row>
    <row r="28" spans="4:23" x14ac:dyDescent="0.4">
      <c r="V28">
        <v>1.27</v>
      </c>
    </row>
    <row r="29" spans="4:23" x14ac:dyDescent="0.4">
      <c r="V29">
        <f>V28/2</f>
        <v>0.63500000000000001</v>
      </c>
    </row>
    <row r="48" spans="3:9" ht="18" thickBot="1" x14ac:dyDescent="0.45">
      <c r="C48" s="60" t="s">
        <v>127</v>
      </c>
      <c r="D48" s="78" t="s">
        <v>145</v>
      </c>
      <c r="E48" s="78" t="s">
        <v>133</v>
      </c>
      <c r="F48" s="78" t="s">
        <v>128</v>
      </c>
      <c r="G48" s="78" t="s">
        <v>126</v>
      </c>
      <c r="H48" s="78" t="s">
        <v>129</v>
      </c>
      <c r="I48" s="78" t="s">
        <v>131</v>
      </c>
    </row>
    <row r="49" spans="1:21" ht="18" thickBot="1" x14ac:dyDescent="0.45">
      <c r="C49" s="84">
        <v>5</v>
      </c>
      <c r="D49" s="85">
        <v>1.1599999999999999</v>
      </c>
      <c r="E49" s="85">
        <v>1</v>
      </c>
      <c r="F49" s="85">
        <v>1</v>
      </c>
      <c r="G49" s="85" t="s">
        <v>130</v>
      </c>
      <c r="H49" s="85">
        <v>1</v>
      </c>
      <c r="I49" s="85">
        <v>0.64</v>
      </c>
    </row>
    <row r="50" spans="1:21" ht="18" thickBot="1" x14ac:dyDescent="0.45"/>
    <row r="51" spans="1:21" x14ac:dyDescent="0.4">
      <c r="A51" s="119" t="s">
        <v>158</v>
      </c>
      <c r="B51" s="120"/>
      <c r="C51" s="120"/>
      <c r="D51" s="120"/>
      <c r="E51" s="120"/>
      <c r="F51" s="120"/>
      <c r="G51" s="120"/>
      <c r="H51" s="20"/>
      <c r="I51" s="20"/>
      <c r="J51" s="20"/>
      <c r="K51" s="20"/>
      <c r="L51" s="95" t="s">
        <v>124</v>
      </c>
      <c r="M51" s="95"/>
      <c r="N51" s="95"/>
      <c r="O51" s="95" t="s">
        <v>125</v>
      </c>
      <c r="P51" s="95"/>
      <c r="Q51" s="95"/>
      <c r="R51" s="95" t="s">
        <v>132</v>
      </c>
      <c r="S51" s="95"/>
      <c r="T51" s="44"/>
    </row>
    <row r="52" spans="1:21" ht="18" thickBot="1" x14ac:dyDescent="0.45">
      <c r="A52" s="73" t="s">
        <v>131</v>
      </c>
      <c r="B52" s="78" t="s">
        <v>154</v>
      </c>
      <c r="C52" s="78" t="s">
        <v>155</v>
      </c>
      <c r="D52" s="78" t="s">
        <v>147</v>
      </c>
      <c r="E52" s="78" t="s">
        <v>150</v>
      </c>
      <c r="F52" s="78" t="s">
        <v>148</v>
      </c>
      <c r="G52" s="78" t="s">
        <v>151</v>
      </c>
      <c r="H52" s="78" t="s">
        <v>149</v>
      </c>
      <c r="I52" s="78" t="s">
        <v>152</v>
      </c>
      <c r="J52" s="78" t="s">
        <v>113</v>
      </c>
      <c r="K52" s="78" t="s">
        <v>144</v>
      </c>
      <c r="L52" s="78" t="s">
        <v>137</v>
      </c>
      <c r="M52" s="78" t="s">
        <v>138</v>
      </c>
      <c r="N52" s="79" t="s">
        <v>139</v>
      </c>
      <c r="O52" s="78" t="s">
        <v>137</v>
      </c>
      <c r="P52" s="78" t="s">
        <v>138</v>
      </c>
      <c r="Q52" s="79" t="s">
        <v>139</v>
      </c>
      <c r="R52" s="78" t="s">
        <v>146</v>
      </c>
      <c r="S52" s="78" t="s">
        <v>2</v>
      </c>
      <c r="T52" s="80" t="s">
        <v>142</v>
      </c>
    </row>
    <row r="53" spans="1:21" x14ac:dyDescent="0.4">
      <c r="A53" s="121">
        <v>0.64</v>
      </c>
      <c r="B53" s="20">
        <v>300</v>
      </c>
      <c r="C53" s="20">
        <v>220</v>
      </c>
      <c r="D53" s="20">
        <v>1000</v>
      </c>
      <c r="E53" s="20">
        <v>0</v>
      </c>
      <c r="F53" s="20" t="s">
        <v>153</v>
      </c>
      <c r="G53" s="20" t="s">
        <v>153</v>
      </c>
      <c r="H53" s="20">
        <v>1000</v>
      </c>
      <c r="I53" s="20">
        <v>0</v>
      </c>
      <c r="J53" s="122">
        <v>0.3</v>
      </c>
      <c r="K53" s="122">
        <f t="shared" ref="K53:K54" si="1">12*J53</f>
        <v>3.5999999999999996</v>
      </c>
      <c r="L53" s="123">
        <v>0.81599999999999995</v>
      </c>
      <c r="M53" s="123">
        <v>0.27</v>
      </c>
      <c r="N53" s="123">
        <f>L53/2*0.707</f>
        <v>0.28845599999999999</v>
      </c>
      <c r="O53" s="123">
        <v>17.2</v>
      </c>
      <c r="P53" s="123">
        <v>6.07</v>
      </c>
      <c r="Q53" s="124">
        <f>O53/2*0.707</f>
        <v>6.0801999999999996</v>
      </c>
      <c r="R53" s="125">
        <f t="shared" ref="R53:R54" si="2">O53/L53</f>
        <v>21.078431372549019</v>
      </c>
      <c r="S53" s="125">
        <f t="shared" ref="S53:S54" si="3">20*LOG(R53)</f>
        <v>26.476765763073757</v>
      </c>
      <c r="T53" s="126">
        <f t="shared" ref="T53:T54" si="4">P53*P53/50</f>
        <v>0.73689800000000005</v>
      </c>
    </row>
    <row r="54" spans="1:21" x14ac:dyDescent="0.4">
      <c r="A54" s="127">
        <v>0.64</v>
      </c>
      <c r="B54" s="17">
        <v>300</v>
      </c>
      <c r="C54" s="17">
        <v>470</v>
      </c>
      <c r="D54" s="17">
        <v>150</v>
      </c>
      <c r="E54" s="17">
        <v>820</v>
      </c>
      <c r="F54" s="17">
        <v>330</v>
      </c>
      <c r="G54" s="17">
        <v>330</v>
      </c>
      <c r="H54" s="17">
        <v>150</v>
      </c>
      <c r="I54" s="17">
        <v>820</v>
      </c>
      <c r="J54" s="116">
        <v>0.34</v>
      </c>
      <c r="K54" s="116">
        <f t="shared" si="1"/>
        <v>4.08</v>
      </c>
      <c r="L54" s="116">
        <v>0.73599999999999999</v>
      </c>
      <c r="M54" s="116">
        <v>0.247</v>
      </c>
      <c r="N54" s="117">
        <f>L54/2*0.707</f>
        <v>0.26017599999999996</v>
      </c>
      <c r="O54" s="116">
        <v>13.4</v>
      </c>
      <c r="P54" s="116">
        <v>4.59</v>
      </c>
      <c r="Q54" s="118">
        <f>O54/2*0.707</f>
        <v>4.7368999999999994</v>
      </c>
      <c r="R54" s="77">
        <f t="shared" si="2"/>
        <v>18.206521739130437</v>
      </c>
      <c r="S54" s="77">
        <f t="shared" si="3"/>
        <v>25.204539680546176</v>
      </c>
      <c r="T54" s="128">
        <f t="shared" si="4"/>
        <v>0.42136199999999996</v>
      </c>
    </row>
    <row r="55" spans="1:21" x14ac:dyDescent="0.4">
      <c r="A55" s="51">
        <v>0.8</v>
      </c>
      <c r="B55" s="17"/>
      <c r="C55" s="17"/>
      <c r="D55" s="17"/>
      <c r="E55" s="17"/>
      <c r="F55" s="17"/>
      <c r="G55" s="17"/>
      <c r="H55" s="17"/>
      <c r="I55" s="17"/>
      <c r="J55" s="17">
        <v>0.31</v>
      </c>
      <c r="K55" s="17"/>
      <c r="L55" s="17">
        <v>0.71199999999999997</v>
      </c>
      <c r="M55" s="17">
        <v>0.23799999999999999</v>
      </c>
      <c r="N55" s="17"/>
      <c r="O55" s="17">
        <v>13.2</v>
      </c>
      <c r="P55" s="17">
        <v>4.4400000000000004</v>
      </c>
      <c r="Q55" s="17"/>
      <c r="R55" s="17"/>
      <c r="S55" s="17"/>
      <c r="T55" s="72"/>
      <c r="U55" t="s">
        <v>156</v>
      </c>
    </row>
    <row r="56" spans="1:21" ht="18" thickBot="1" x14ac:dyDescent="0.45">
      <c r="A56" s="53">
        <v>0.48</v>
      </c>
      <c r="B56" s="23"/>
      <c r="C56" s="23"/>
      <c r="D56" s="23"/>
      <c r="E56" s="23"/>
      <c r="F56" s="23"/>
      <c r="G56" s="23"/>
      <c r="H56" s="23"/>
      <c r="I56" s="23"/>
      <c r="J56" s="23">
        <v>0.32</v>
      </c>
      <c r="K56" s="23"/>
      <c r="L56" s="23">
        <v>0.8</v>
      </c>
      <c r="M56" s="23">
        <v>0.27100000000000002</v>
      </c>
      <c r="N56" s="23"/>
      <c r="O56" s="23">
        <v>13.2</v>
      </c>
      <c r="P56" s="23">
        <v>4.57</v>
      </c>
      <c r="Q56" s="23"/>
      <c r="R56" s="23"/>
      <c r="S56" s="23"/>
      <c r="T56" s="45"/>
      <c r="U56" t="s">
        <v>157</v>
      </c>
    </row>
  </sheetData>
  <mergeCells count="4">
    <mergeCell ref="L51:N51"/>
    <mergeCell ref="O51:Q51"/>
    <mergeCell ref="R51:S51"/>
    <mergeCell ref="A51:G51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BB2F-A1AA-48EF-90B7-503CCC607E69}">
  <dimension ref="B3:D4"/>
  <sheetViews>
    <sheetView workbookViewId="0">
      <selection activeCell="C7" sqref="C7"/>
    </sheetView>
  </sheetViews>
  <sheetFormatPr defaultRowHeight="17.399999999999999" x14ac:dyDescent="0.4"/>
  <cols>
    <col min="3" max="3" width="30" bestFit="1" customWidth="1"/>
    <col min="4" max="4" width="56.19921875" customWidth="1"/>
  </cols>
  <sheetData>
    <row r="3" spans="2:4" x14ac:dyDescent="0.4">
      <c r="B3" t="s">
        <v>134</v>
      </c>
    </row>
    <row r="4" spans="2:4" x14ac:dyDescent="0.4">
      <c r="C4" t="s">
        <v>135</v>
      </c>
      <c r="D4" t="s">
        <v>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Device</vt:lpstr>
      <vt:lpstr>ADC</vt:lpstr>
      <vt:lpstr>Current Sensor</vt:lpstr>
      <vt:lpstr>CT</vt:lpstr>
      <vt:lpstr>Check list</vt:lpstr>
      <vt:lpstr>Pre-Amp</vt:lpstr>
      <vt:lpstr>Path review</vt:lpstr>
      <vt:lpstr>Debugging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2019-04-27T08:43:48Z</dcterms:modified>
</cp:coreProperties>
</file>